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36" documentId="13_ncr:1_{224E4DA0-46C7-4ADE-8066-DF2AAC521D08}" xr6:coauthVersionLast="47" xr6:coauthVersionMax="47" xr10:uidLastSave="{789FBBB1-588E-484E-87C5-3741070F8432}"/>
  <bookViews>
    <workbookView xWindow="28680" yWindow="-120" windowWidth="29040" windowHeight="15720" xr2:uid="{9F94A6FE-762A-4BB0-B22D-33E4ACA57C83}"/>
  </bookViews>
  <sheets>
    <sheet name="8.2.15.2" sheetId="1" r:id="rId1"/>
  </sheets>
  <definedNames>
    <definedName name="CurrentYear">#REF!</definedName>
    <definedName name="Demand_Dawn_to_Parkway">#REF!</definedName>
    <definedName name="Demand_FromDawn_Ojibway">#REF!</definedName>
    <definedName name="Demand_Rate_M12_Dawn_to_Kirkwall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'8.2.15.2'!#REF!</definedName>
    <definedName name="fuel_UFG_West_to_Pool_M16">'8.2.15.2'!#REF!</definedName>
    <definedName name="GSAdminChg">#REF!</definedName>
    <definedName name="Monthly_Fixed_Charge_M13_Large">#REF!</definedName>
    <definedName name="Monthly_Fixed_Charge_M13_Typical">#REF!</definedName>
    <definedName name="paolo" hidden="1">{#N/A,#N/A,FALSE,"H3 Tab 1"}</definedName>
    <definedName name="_xlnm.Print_Area" localSheetId="0">'8.2.15.2'!$B$1:$Y$841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8" i="1" l="1"/>
  <c r="M828" i="1"/>
  <c r="H830" i="1"/>
  <c r="M826" i="1"/>
  <c r="S825" i="1"/>
  <c r="Q825" i="1" s="1"/>
  <c r="M825" i="1"/>
  <c r="J824" i="1"/>
  <c r="M824" i="1" s="1"/>
  <c r="O830" i="1"/>
  <c r="D811" i="1"/>
  <c r="Y809" i="1"/>
  <c r="Q809" i="1"/>
  <c r="J809" i="1"/>
  <c r="M809" i="1" s="1"/>
  <c r="Y808" i="1"/>
  <c r="Q808" i="1"/>
  <c r="J808" i="1"/>
  <c r="M808" i="1" s="1"/>
  <c r="Y807" i="1"/>
  <c r="Q807" i="1"/>
  <c r="Y805" i="1"/>
  <c r="M805" i="1"/>
  <c r="M804" i="1"/>
  <c r="Y803" i="1"/>
  <c r="M803" i="1"/>
  <c r="S803" i="1"/>
  <c r="Q803" i="1" s="1"/>
  <c r="Y802" i="1"/>
  <c r="J801" i="1"/>
  <c r="M801" i="1" s="1"/>
  <c r="S799" i="1"/>
  <c r="Q799" i="1" s="1"/>
  <c r="J799" i="1"/>
  <c r="M799" i="1" s="1"/>
  <c r="Y798" i="1"/>
  <c r="S798" i="1"/>
  <c r="J798" i="1"/>
  <c r="S795" i="1"/>
  <c r="H793" i="1"/>
  <c r="D793" i="1"/>
  <c r="J790" i="1"/>
  <c r="M790" i="1" s="1"/>
  <c r="J789" i="1"/>
  <c r="M789" i="1" s="1"/>
  <c r="Y788" i="1"/>
  <c r="J787" i="1"/>
  <c r="M787" i="1" s="1"/>
  <c r="J786" i="1"/>
  <c r="D783" i="1"/>
  <c r="Y781" i="1"/>
  <c r="Q781" i="1"/>
  <c r="Y780" i="1"/>
  <c r="Q780" i="1"/>
  <c r="Y778" i="1"/>
  <c r="W778" i="1"/>
  <c r="Q778" i="1"/>
  <c r="M778" i="1"/>
  <c r="Y777" i="1"/>
  <c r="W777" i="1"/>
  <c r="Q777" i="1"/>
  <c r="M777" i="1"/>
  <c r="Y773" i="1"/>
  <c r="Q773" i="1"/>
  <c r="M773" i="1"/>
  <c r="Y772" i="1"/>
  <c r="W772" i="1"/>
  <c r="Q772" i="1"/>
  <c r="M772" i="1"/>
  <c r="Y771" i="1"/>
  <c r="Y770" i="1"/>
  <c r="W770" i="1"/>
  <c r="Q770" i="1"/>
  <c r="M770" i="1"/>
  <c r="Y765" i="1"/>
  <c r="W765" i="1"/>
  <c r="Q765" i="1"/>
  <c r="J765" i="1"/>
  <c r="M765" i="1" s="1"/>
  <c r="W764" i="1"/>
  <c r="Y764" i="1"/>
  <c r="S764" i="1"/>
  <c r="Q764" i="1" s="1"/>
  <c r="J764" i="1"/>
  <c r="M764" i="1" s="1"/>
  <c r="J763" i="1"/>
  <c r="M763" i="1" s="1"/>
  <c r="J762" i="1"/>
  <c r="M762" i="1" s="1"/>
  <c r="J761" i="1"/>
  <c r="Y747" i="1"/>
  <c r="W747" i="1"/>
  <c r="M747" i="1"/>
  <c r="Y746" i="1"/>
  <c r="M746" i="1"/>
  <c r="Y743" i="1"/>
  <c r="W743" i="1"/>
  <c r="Q743" i="1"/>
  <c r="M743" i="1"/>
  <c r="Y742" i="1"/>
  <c r="H749" i="1"/>
  <c r="M739" i="1"/>
  <c r="J739" i="1"/>
  <c r="J738" i="1"/>
  <c r="M738" i="1" s="1"/>
  <c r="Y737" i="1"/>
  <c r="S737" i="1"/>
  <c r="J737" i="1"/>
  <c r="M737" i="1" s="1"/>
  <c r="Y736" i="1"/>
  <c r="S736" i="1"/>
  <c r="W736" i="1" s="1"/>
  <c r="Q736" i="1"/>
  <c r="M736" i="1"/>
  <c r="Y735" i="1"/>
  <c r="S735" i="1"/>
  <c r="J735" i="1"/>
  <c r="M735" i="1" s="1"/>
  <c r="K732" i="1"/>
  <c r="J732" i="1" s="1"/>
  <c r="M732" i="1" s="1"/>
  <c r="Y730" i="1"/>
  <c r="S730" i="1"/>
  <c r="J730" i="1"/>
  <c r="M730" i="1" s="1"/>
  <c r="Y729" i="1"/>
  <c r="S729" i="1"/>
  <c r="W729" i="1" s="1"/>
  <c r="J729" i="1"/>
  <c r="M729" i="1" s="1"/>
  <c r="J728" i="1"/>
  <c r="Y727" i="1"/>
  <c r="S727" i="1"/>
  <c r="Q727" i="1" s="1"/>
  <c r="J727" i="1"/>
  <c r="M727" i="1" s="1"/>
  <c r="Y722" i="1"/>
  <c r="M722" i="1"/>
  <c r="O719" i="1"/>
  <c r="H719" i="1"/>
  <c r="Y717" i="1"/>
  <c r="S717" i="1"/>
  <c r="S719" i="1" s="1"/>
  <c r="J717" i="1"/>
  <c r="Y711" i="1"/>
  <c r="S711" i="1"/>
  <c r="Q711" i="1" s="1"/>
  <c r="M711" i="1"/>
  <c r="Y710" i="1"/>
  <c r="O713" i="1"/>
  <c r="B710" i="1"/>
  <c r="B711" i="1" s="1"/>
  <c r="Y686" i="1"/>
  <c r="O686" i="1"/>
  <c r="W686" i="1" s="1"/>
  <c r="Y684" i="1"/>
  <c r="Q684" i="1"/>
  <c r="J684" i="1"/>
  <c r="M684" i="1" s="1"/>
  <c r="S684" i="1"/>
  <c r="Y682" i="1"/>
  <c r="J682" i="1"/>
  <c r="M682" i="1" s="1"/>
  <c r="S682" i="1"/>
  <c r="Y681" i="1"/>
  <c r="S681" i="1"/>
  <c r="Q681" i="1"/>
  <c r="J681" i="1"/>
  <c r="M681" i="1" s="1"/>
  <c r="Y680" i="1"/>
  <c r="Y679" i="1"/>
  <c r="J679" i="1"/>
  <c r="M679" i="1" s="1"/>
  <c r="S679" i="1"/>
  <c r="Q679" i="1" s="1"/>
  <c r="Y677" i="1"/>
  <c r="Y672" i="1"/>
  <c r="W672" i="1"/>
  <c r="Q672" i="1"/>
  <c r="O672" i="1"/>
  <c r="M672" i="1" s="1"/>
  <c r="Y671" i="1"/>
  <c r="J671" i="1"/>
  <c r="M671" i="1" s="1"/>
  <c r="S671" i="1"/>
  <c r="Q671" i="1" s="1"/>
  <c r="Y670" i="1"/>
  <c r="J670" i="1"/>
  <c r="M670" i="1" s="1"/>
  <c r="S670" i="1"/>
  <c r="Q670" i="1" s="1"/>
  <c r="Y668" i="1"/>
  <c r="O673" i="1"/>
  <c r="O663" i="1"/>
  <c r="W661" i="1"/>
  <c r="Y661" i="1"/>
  <c r="Q661" i="1"/>
  <c r="M661" i="1"/>
  <c r="Y659" i="1"/>
  <c r="J659" i="1"/>
  <c r="M659" i="1" s="1"/>
  <c r="S659" i="1"/>
  <c r="Q659" i="1" s="1"/>
  <c r="S657" i="1"/>
  <c r="Q657" i="1" s="1"/>
  <c r="Y657" i="1"/>
  <c r="J657" i="1"/>
  <c r="M657" i="1" s="1"/>
  <c r="Y656" i="1"/>
  <c r="S655" i="1"/>
  <c r="Q655" i="1" s="1"/>
  <c r="J655" i="1"/>
  <c r="M655" i="1" s="1"/>
  <c r="Y654" i="1"/>
  <c r="J654" i="1"/>
  <c r="M654" i="1" s="1"/>
  <c r="S654" i="1"/>
  <c r="Q654" i="1" s="1"/>
  <c r="S652" i="1"/>
  <c r="Y652" i="1"/>
  <c r="J652" i="1"/>
  <c r="Y644" i="1"/>
  <c r="S641" i="1"/>
  <c r="J641" i="1"/>
  <c r="M641" i="1" s="1"/>
  <c r="Y640" i="1"/>
  <c r="S640" i="1"/>
  <c r="J640" i="1"/>
  <c r="M640" i="1" s="1"/>
  <c r="H648" i="1"/>
  <c r="H665" i="1" s="1"/>
  <c r="S638" i="1"/>
  <c r="Q638" i="1" s="1"/>
  <c r="Y638" i="1"/>
  <c r="Y637" i="1"/>
  <c r="Y634" i="1"/>
  <c r="S634" i="1"/>
  <c r="Q634" i="1" s="1"/>
  <c r="J634" i="1"/>
  <c r="Y619" i="1"/>
  <c r="O619" i="1"/>
  <c r="W619" i="1" s="1"/>
  <c r="M619" i="1"/>
  <c r="Y617" i="1"/>
  <c r="Y615" i="1"/>
  <c r="J614" i="1"/>
  <c r="M614" i="1" s="1"/>
  <c r="Y613" i="1"/>
  <c r="J613" i="1"/>
  <c r="M613" i="1" s="1"/>
  <c r="S613" i="1"/>
  <c r="Q613" i="1" s="1"/>
  <c r="Y612" i="1"/>
  <c r="Y610" i="1"/>
  <c r="Y604" i="1"/>
  <c r="O604" i="1"/>
  <c r="Y602" i="1"/>
  <c r="J602" i="1"/>
  <c r="M602" i="1" s="1"/>
  <c r="J601" i="1"/>
  <c r="M601" i="1" s="1"/>
  <c r="Y599" i="1"/>
  <c r="S599" i="1"/>
  <c r="Q599" i="1" s="1"/>
  <c r="J599" i="1"/>
  <c r="M599" i="1" s="1"/>
  <c r="Y598" i="1"/>
  <c r="Y596" i="1"/>
  <c r="J596" i="1"/>
  <c r="M596" i="1" s="1"/>
  <c r="S596" i="1"/>
  <c r="Q596" i="1" s="1"/>
  <c r="J595" i="1"/>
  <c r="M595" i="1" s="1"/>
  <c r="Y587" i="1"/>
  <c r="H587" i="1"/>
  <c r="H584" i="1"/>
  <c r="J584" i="1" s="1"/>
  <c r="Y579" i="1"/>
  <c r="H580" i="1"/>
  <c r="H589" i="1" s="1"/>
  <c r="S578" i="1"/>
  <c r="J578" i="1"/>
  <c r="Y564" i="1"/>
  <c r="S560" i="1"/>
  <c r="O560" i="1"/>
  <c r="M560" i="1" s="1"/>
  <c r="J560" i="1"/>
  <c r="O557" i="1"/>
  <c r="Y555" i="1"/>
  <c r="S555" i="1"/>
  <c r="Q555" i="1" s="1"/>
  <c r="J555" i="1"/>
  <c r="M555" i="1" s="1"/>
  <c r="Y554" i="1"/>
  <c r="H551" i="1"/>
  <c r="Y549" i="1"/>
  <c r="Y547" i="1"/>
  <c r="J547" i="1"/>
  <c r="M547" i="1" s="1"/>
  <c r="S547" i="1"/>
  <c r="Q547" i="1" s="1"/>
  <c r="Y541" i="1"/>
  <c r="Y540" i="1"/>
  <c r="H537" i="1"/>
  <c r="S537" i="1" s="1"/>
  <c r="H533" i="1"/>
  <c r="Y531" i="1"/>
  <c r="J531" i="1"/>
  <c r="S531" i="1"/>
  <c r="S530" i="1"/>
  <c r="Q530" i="1" s="1"/>
  <c r="J530" i="1"/>
  <c r="M530" i="1" s="1"/>
  <c r="Y529" i="1"/>
  <c r="S529" i="1"/>
  <c r="Q529" i="1" s="1"/>
  <c r="J529" i="1"/>
  <c r="Y524" i="1"/>
  <c r="S524" i="1"/>
  <c r="Q524" i="1" s="1"/>
  <c r="Y523" i="1"/>
  <c r="S523" i="1"/>
  <c r="Q523" i="1" s="1"/>
  <c r="J523" i="1"/>
  <c r="M523" i="1" s="1"/>
  <c r="Y522" i="1"/>
  <c r="S521" i="1"/>
  <c r="Q521" i="1" s="1"/>
  <c r="J521" i="1"/>
  <c r="M521" i="1" s="1"/>
  <c r="Y520" i="1"/>
  <c r="O526" i="1"/>
  <c r="Y507" i="1"/>
  <c r="Y506" i="1"/>
  <c r="J506" i="1"/>
  <c r="M506" i="1" s="1"/>
  <c r="S506" i="1"/>
  <c r="Q506" i="1" s="1"/>
  <c r="J502" i="1"/>
  <c r="S502" i="1"/>
  <c r="O499" i="1"/>
  <c r="M497" i="1"/>
  <c r="J497" i="1"/>
  <c r="Y496" i="1"/>
  <c r="S496" i="1"/>
  <c r="Q496" i="1"/>
  <c r="J496" i="1"/>
  <c r="M496" i="1" s="1"/>
  <c r="H499" i="1"/>
  <c r="Y495" i="1"/>
  <c r="S490" i="1"/>
  <c r="Q490" i="1" s="1"/>
  <c r="Y490" i="1"/>
  <c r="Y489" i="1"/>
  <c r="H487" i="1"/>
  <c r="J486" i="1"/>
  <c r="M486" i="1" s="1"/>
  <c r="Y485" i="1"/>
  <c r="O487" i="1"/>
  <c r="S485" i="1"/>
  <c r="S481" i="1"/>
  <c r="Q481" i="1" s="1"/>
  <c r="S480" i="1"/>
  <c r="J480" i="1"/>
  <c r="M480" i="1" s="1"/>
  <c r="O482" i="1"/>
  <c r="Y473" i="1"/>
  <c r="J469" i="1"/>
  <c r="J463" i="1"/>
  <c r="M463" i="1" s="1"/>
  <c r="S463" i="1"/>
  <c r="Q463" i="1" s="1"/>
  <c r="S462" i="1"/>
  <c r="Q462" i="1" s="1"/>
  <c r="S461" i="1"/>
  <c r="J461" i="1"/>
  <c r="M461" i="1" s="1"/>
  <c r="O464" i="1"/>
  <c r="Y458" i="1"/>
  <c r="S458" i="1"/>
  <c r="J458" i="1"/>
  <c r="Y445" i="1"/>
  <c r="J441" i="1"/>
  <c r="S441" i="1"/>
  <c r="O441" i="1" s="1"/>
  <c r="S435" i="1"/>
  <c r="Q435" i="1" s="1"/>
  <c r="J435" i="1"/>
  <c r="M435" i="1" s="1"/>
  <c r="S434" i="1"/>
  <c r="Q434" i="1" s="1"/>
  <c r="J434" i="1"/>
  <c r="M434" i="1" s="1"/>
  <c r="O436" i="1"/>
  <c r="O438" i="1" s="1"/>
  <c r="Y431" i="1"/>
  <c r="J431" i="1"/>
  <c r="S431" i="1"/>
  <c r="W431" i="1" s="1"/>
  <c r="S425" i="1"/>
  <c r="H425" i="1"/>
  <c r="S424" i="1"/>
  <c r="O424" i="1" s="1"/>
  <c r="J424" i="1"/>
  <c r="S423" i="1"/>
  <c r="J423" i="1"/>
  <c r="H420" i="1"/>
  <c r="S419" i="1"/>
  <c r="J419" i="1"/>
  <c r="S418" i="1"/>
  <c r="O418" i="1"/>
  <c r="J418" i="1"/>
  <c r="S417" i="1"/>
  <c r="O417" i="1" s="1"/>
  <c r="J417" i="1"/>
  <c r="S416" i="1"/>
  <c r="O416" i="1" s="1"/>
  <c r="Q416" i="1" s="1"/>
  <c r="J416" i="1"/>
  <c r="S414" i="1"/>
  <c r="J414" i="1"/>
  <c r="S413" i="1"/>
  <c r="O413" i="1" s="1"/>
  <c r="Q413" i="1" s="1"/>
  <c r="J413" i="1"/>
  <c r="S412" i="1"/>
  <c r="O412" i="1"/>
  <c r="Q412" i="1" s="1"/>
  <c r="J412" i="1"/>
  <c r="S411" i="1"/>
  <c r="J411" i="1"/>
  <c r="S409" i="1"/>
  <c r="Q409" i="1" s="1"/>
  <c r="J409" i="1"/>
  <c r="M409" i="1" s="1"/>
  <c r="S408" i="1"/>
  <c r="Q408" i="1" s="1"/>
  <c r="M408" i="1"/>
  <c r="J408" i="1"/>
  <c r="H405" i="1"/>
  <c r="H427" i="1" s="1"/>
  <c r="J403" i="1"/>
  <c r="M403" i="1" s="1"/>
  <c r="Y402" i="1"/>
  <c r="J402" i="1"/>
  <c r="M402" i="1" s="1"/>
  <c r="Y401" i="1"/>
  <c r="S401" i="1"/>
  <c r="Q401" i="1"/>
  <c r="J401" i="1"/>
  <c r="M401" i="1" s="1"/>
  <c r="Y400" i="1"/>
  <c r="J400" i="1"/>
  <c r="M400" i="1" s="1"/>
  <c r="S400" i="1"/>
  <c r="Q400" i="1" s="1"/>
  <c r="Y399" i="1"/>
  <c r="O405" i="1"/>
  <c r="J399" i="1"/>
  <c r="Y386" i="1"/>
  <c r="J386" i="1"/>
  <c r="J381" i="1"/>
  <c r="M381" i="1" s="1"/>
  <c r="Y380" i="1"/>
  <c r="J380" i="1"/>
  <c r="Y379" i="1"/>
  <c r="S379" i="1"/>
  <c r="Q379" i="1" s="1"/>
  <c r="H382" i="1"/>
  <c r="H388" i="1" s="1"/>
  <c r="Y378" i="1"/>
  <c r="J378" i="1"/>
  <c r="S378" i="1"/>
  <c r="S372" i="1"/>
  <c r="J372" i="1"/>
  <c r="S371" i="1"/>
  <c r="O371" i="1" s="1"/>
  <c r="H373" i="1"/>
  <c r="H368" i="1"/>
  <c r="S367" i="1"/>
  <c r="O367" i="1" s="1"/>
  <c r="J367" i="1"/>
  <c r="M367" i="1" s="1"/>
  <c r="S366" i="1"/>
  <c r="J366" i="1"/>
  <c r="J361" i="1"/>
  <c r="S361" i="1"/>
  <c r="J356" i="1"/>
  <c r="S355" i="1"/>
  <c r="O355" i="1" s="1"/>
  <c r="J355" i="1"/>
  <c r="H360" i="1"/>
  <c r="S354" i="1"/>
  <c r="H359" i="1"/>
  <c r="S351" i="1"/>
  <c r="J346" i="1"/>
  <c r="M346" i="1" s="1"/>
  <c r="Y345" i="1"/>
  <c r="J345" i="1"/>
  <c r="M345" i="1" s="1"/>
  <c r="S345" i="1"/>
  <c r="Q345" i="1" s="1"/>
  <c r="S342" i="1"/>
  <c r="Q342" i="1" s="1"/>
  <c r="J342" i="1"/>
  <c r="M342" i="1" s="1"/>
  <c r="O343" i="1"/>
  <c r="O348" i="1" s="1"/>
  <c r="H343" i="1"/>
  <c r="H348" i="1" s="1"/>
  <c r="O338" i="1"/>
  <c r="H338" i="1"/>
  <c r="S337" i="1"/>
  <c r="Q337" i="1" s="1"/>
  <c r="J337" i="1"/>
  <c r="M337" i="1" s="1"/>
  <c r="S336" i="1"/>
  <c r="J336" i="1"/>
  <c r="Y334" i="1"/>
  <c r="H321" i="1"/>
  <c r="J320" i="1"/>
  <c r="S320" i="1"/>
  <c r="S319" i="1"/>
  <c r="J319" i="1"/>
  <c r="S314" i="1"/>
  <c r="O314" i="1" s="1"/>
  <c r="J314" i="1"/>
  <c r="M314" i="1" s="1"/>
  <c r="H312" i="1"/>
  <c r="J308" i="1"/>
  <c r="S307" i="1"/>
  <c r="J307" i="1"/>
  <c r="S301" i="1"/>
  <c r="Q301" i="1" s="1"/>
  <c r="J301" i="1"/>
  <c r="M301" i="1" s="1"/>
  <c r="S300" i="1"/>
  <c r="M300" i="1"/>
  <c r="J300" i="1"/>
  <c r="J299" i="1"/>
  <c r="M299" i="1" s="1"/>
  <c r="S298" i="1"/>
  <c r="Q298" i="1" s="1"/>
  <c r="J298" i="1"/>
  <c r="M298" i="1" s="1"/>
  <c r="S297" i="1"/>
  <c r="H302" i="1"/>
  <c r="Y295" i="1"/>
  <c r="H282" i="1"/>
  <c r="J281" i="1"/>
  <c r="J280" i="1"/>
  <c r="S280" i="1"/>
  <c r="J275" i="1"/>
  <c r="H273" i="1"/>
  <c r="S273" i="1" s="1"/>
  <c r="H270" i="1"/>
  <c r="J269" i="1"/>
  <c r="S269" i="1"/>
  <c r="J268" i="1"/>
  <c r="S268" i="1"/>
  <c r="S262" i="1"/>
  <c r="Q262" i="1" s="1"/>
  <c r="J262" i="1"/>
  <c r="M262" i="1" s="1"/>
  <c r="S260" i="1"/>
  <c r="Q260" i="1" s="1"/>
  <c r="J259" i="1"/>
  <c r="M259" i="1" s="1"/>
  <c r="S259" i="1"/>
  <c r="Q259" i="1" s="1"/>
  <c r="S258" i="1"/>
  <c r="Q258" i="1" s="1"/>
  <c r="O263" i="1"/>
  <c r="J258" i="1"/>
  <c r="M258" i="1" s="1"/>
  <c r="Y256" i="1"/>
  <c r="J256" i="1"/>
  <c r="Y242" i="1"/>
  <c r="S238" i="1"/>
  <c r="O238" i="1" s="1"/>
  <c r="J238" i="1"/>
  <c r="S237" i="1"/>
  <c r="J237" i="1"/>
  <c r="O231" i="1"/>
  <c r="Y230" i="1"/>
  <c r="S230" i="1"/>
  <c r="H233" i="1"/>
  <c r="Y229" i="1"/>
  <c r="S229" i="1"/>
  <c r="J229" i="1"/>
  <c r="M229" i="1" s="1"/>
  <c r="S228" i="1"/>
  <c r="J228" i="1"/>
  <c r="Y223" i="1"/>
  <c r="S219" i="1"/>
  <c r="J218" i="1"/>
  <c r="S218" i="1"/>
  <c r="J217" i="1"/>
  <c r="O212" i="1"/>
  <c r="H210" i="1"/>
  <c r="H214" i="1" s="1"/>
  <c r="H225" i="1" s="1"/>
  <c r="J209" i="1"/>
  <c r="S209" i="1"/>
  <c r="J208" i="1"/>
  <c r="Y206" i="1"/>
  <c r="M206" i="1"/>
  <c r="J206" i="1"/>
  <c r="S206" i="1"/>
  <c r="Y205" i="1"/>
  <c r="J205" i="1"/>
  <c r="Y200" i="1"/>
  <c r="S196" i="1"/>
  <c r="J196" i="1"/>
  <c r="O189" i="1"/>
  <c r="S185" i="1"/>
  <c r="J184" i="1"/>
  <c r="S184" i="1"/>
  <c r="Y182" i="1"/>
  <c r="J182" i="1"/>
  <c r="M182" i="1" s="1"/>
  <c r="Y181" i="1"/>
  <c r="S181" i="1"/>
  <c r="J181" i="1"/>
  <c r="Y168" i="1"/>
  <c r="S164" i="1"/>
  <c r="O164" i="1" s="1"/>
  <c r="J164" i="1"/>
  <c r="S163" i="1"/>
  <c r="J163" i="1"/>
  <c r="O157" i="1"/>
  <c r="S154" i="1"/>
  <c r="Q154" i="1" s="1"/>
  <c r="J154" i="1"/>
  <c r="M154" i="1" s="1"/>
  <c r="O155" i="1"/>
  <c r="S146" i="1"/>
  <c r="J146" i="1"/>
  <c r="M146" i="1" s="1"/>
  <c r="S145" i="1"/>
  <c r="Q145" i="1" s="1"/>
  <c r="H148" i="1"/>
  <c r="Y142" i="1"/>
  <c r="S142" i="1"/>
  <c r="Q142" i="1" s="1"/>
  <c r="J142" i="1"/>
  <c r="Y137" i="1"/>
  <c r="H139" i="1"/>
  <c r="Y134" i="1"/>
  <c r="S134" i="1"/>
  <c r="Q134" i="1" s="1"/>
  <c r="Y133" i="1"/>
  <c r="O135" i="1"/>
  <c r="O139" i="1" s="1"/>
  <c r="J133" i="1"/>
  <c r="S133" i="1"/>
  <c r="Y120" i="1"/>
  <c r="S116" i="1"/>
  <c r="O116" i="1" s="1"/>
  <c r="J116" i="1"/>
  <c r="J115" i="1"/>
  <c r="S114" i="1"/>
  <c r="H120" i="1"/>
  <c r="S120" i="1" s="1"/>
  <c r="J108" i="1"/>
  <c r="S107" i="1"/>
  <c r="O107" i="1" s="1"/>
  <c r="H109" i="1"/>
  <c r="H111" i="1" s="1"/>
  <c r="Y105" i="1"/>
  <c r="J105" i="1"/>
  <c r="S104" i="1"/>
  <c r="Q104" i="1" s="1"/>
  <c r="Y104" i="1"/>
  <c r="J104" i="1"/>
  <c r="M104" i="1" s="1"/>
  <c r="Y99" i="1"/>
  <c r="H99" i="1"/>
  <c r="J99" i="1" s="1"/>
  <c r="S94" i="1"/>
  <c r="S93" i="1"/>
  <c r="O93" i="1" s="1"/>
  <c r="J93" i="1"/>
  <c r="S87" i="1"/>
  <c r="J87" i="1"/>
  <c r="Y84" i="1"/>
  <c r="S84" i="1"/>
  <c r="W84" i="1" s="1"/>
  <c r="Y83" i="1"/>
  <c r="S83" i="1"/>
  <c r="J83" i="1"/>
  <c r="Y78" i="1"/>
  <c r="J72" i="1"/>
  <c r="S72" i="1"/>
  <c r="Y68" i="1"/>
  <c r="S68" i="1"/>
  <c r="O68" i="1" s="1"/>
  <c r="Q68" i="1" s="1"/>
  <c r="H69" i="1"/>
  <c r="Y67" i="1"/>
  <c r="S67" i="1"/>
  <c r="J67" i="1"/>
  <c r="M67" i="1" s="1"/>
  <c r="Y66" i="1"/>
  <c r="Y53" i="1"/>
  <c r="H53" i="1"/>
  <c r="J49" i="1"/>
  <c r="S49" i="1"/>
  <c r="S47" i="1"/>
  <c r="J47" i="1"/>
  <c r="J40" i="1"/>
  <c r="M40" i="1" s="1"/>
  <c r="S40" i="1"/>
  <c r="Q40" i="1" s="1"/>
  <c r="J39" i="1"/>
  <c r="M39" i="1" s="1"/>
  <c r="S38" i="1"/>
  <c r="Q38" i="1" s="1"/>
  <c r="M38" i="1"/>
  <c r="J38" i="1"/>
  <c r="S37" i="1"/>
  <c r="Q37" i="1" s="1"/>
  <c r="J37" i="1"/>
  <c r="M37" i="1" s="1"/>
  <c r="S36" i="1"/>
  <c r="Q36" i="1" s="1"/>
  <c r="J36" i="1"/>
  <c r="Y34" i="1"/>
  <c r="S34" i="1"/>
  <c r="J34" i="1"/>
  <c r="Y29" i="1"/>
  <c r="S25" i="1"/>
  <c r="J24" i="1"/>
  <c r="S24" i="1"/>
  <c r="J23" i="1"/>
  <c r="S16" i="1"/>
  <c r="Q16" i="1" s="1"/>
  <c r="J15" i="1"/>
  <c r="M15" i="1" s="1"/>
  <c r="S15" i="1"/>
  <c r="Q15" i="1" s="1"/>
  <c r="O18" i="1"/>
  <c r="O20" i="1" s="1"/>
  <c r="J14" i="1"/>
  <c r="M14" i="1" s="1"/>
  <c r="B14" i="1"/>
  <c r="Y12" i="1"/>
  <c r="J12" i="1"/>
  <c r="M12" i="1" s="1"/>
  <c r="S12" i="1"/>
  <c r="O621" i="1" l="1"/>
  <c r="W727" i="1"/>
  <c r="M116" i="1"/>
  <c r="M164" i="1"/>
  <c r="W547" i="1"/>
  <c r="J783" i="1"/>
  <c r="Q164" i="1"/>
  <c r="M424" i="1"/>
  <c r="S99" i="1"/>
  <c r="H663" i="1"/>
  <c r="Q116" i="1"/>
  <c r="M355" i="1"/>
  <c r="Q560" i="1"/>
  <c r="H509" i="1"/>
  <c r="Q355" i="1"/>
  <c r="W400" i="1"/>
  <c r="Q418" i="1"/>
  <c r="Q619" i="1"/>
  <c r="Q717" i="1"/>
  <c r="Q719" i="1" s="1"/>
  <c r="M238" i="1"/>
  <c r="J420" i="1"/>
  <c r="M412" i="1"/>
  <c r="O419" i="1"/>
  <c r="M419" i="1" s="1"/>
  <c r="Q228" i="1"/>
  <c r="S233" i="1"/>
  <c r="W228" i="1"/>
  <c r="W137" i="1"/>
  <c r="Q137" i="1"/>
  <c r="J16" i="1"/>
  <c r="M16" i="1" s="1"/>
  <c r="S73" i="1"/>
  <c r="J73" i="1"/>
  <c r="Q67" i="1"/>
  <c r="W67" i="1"/>
  <c r="M34" i="1"/>
  <c r="M36" i="1"/>
  <c r="S66" i="1"/>
  <c r="O87" i="1"/>
  <c r="Q87" i="1" s="1"/>
  <c r="O163" i="1"/>
  <c r="M163" i="1" s="1"/>
  <c r="H117" i="1"/>
  <c r="H118" i="1" s="1"/>
  <c r="H122" i="1"/>
  <c r="O24" i="1"/>
  <c r="Q24" i="1" s="1"/>
  <c r="O49" i="1"/>
  <c r="Q49" i="1" s="1"/>
  <c r="W12" i="1"/>
  <c r="Q12" i="1"/>
  <c r="O25" i="1"/>
  <c r="Q25" i="1" s="1"/>
  <c r="O47" i="1"/>
  <c r="Q47" i="1" s="1"/>
  <c r="S53" i="1"/>
  <c r="H80" i="1"/>
  <c r="H75" i="1"/>
  <c r="H76" i="1" s="1"/>
  <c r="M83" i="1"/>
  <c r="S17" i="1"/>
  <c r="Q17" i="1" s="1"/>
  <c r="J17" i="1"/>
  <c r="M17" i="1" s="1"/>
  <c r="S152" i="1"/>
  <c r="H155" i="1"/>
  <c r="H159" i="1" s="1"/>
  <c r="J152" i="1"/>
  <c r="W206" i="1"/>
  <c r="Q206" i="1"/>
  <c r="J25" i="1"/>
  <c r="O42" i="1"/>
  <c r="O44" i="1" s="1"/>
  <c r="S41" i="1"/>
  <c r="Q41" i="1" s="1"/>
  <c r="H42" i="1"/>
  <c r="J41" i="1"/>
  <c r="M41" i="1" s="1"/>
  <c r="J48" i="1"/>
  <c r="O69" i="1"/>
  <c r="M142" i="1"/>
  <c r="S162" i="1"/>
  <c r="H168" i="1"/>
  <c r="J162" i="1"/>
  <c r="S194" i="1"/>
  <c r="H200" i="1"/>
  <c r="J194" i="1"/>
  <c r="O265" i="1"/>
  <c r="M256" i="1"/>
  <c r="Q34" i="1"/>
  <c r="W34" i="1"/>
  <c r="O72" i="1"/>
  <c r="M72" i="1" s="1"/>
  <c r="S74" i="1"/>
  <c r="W83" i="1"/>
  <c r="Q83" i="1"/>
  <c r="O185" i="1"/>
  <c r="Q185" i="1" s="1"/>
  <c r="H244" i="1"/>
  <c r="H239" i="1"/>
  <c r="H240" i="1" s="1"/>
  <c r="O237" i="1"/>
  <c r="Q237" i="1" s="1"/>
  <c r="S270" i="1"/>
  <c r="O268" i="1"/>
  <c r="Q268" i="1" s="1"/>
  <c r="S282" i="1"/>
  <c r="O280" i="1"/>
  <c r="Q297" i="1"/>
  <c r="J405" i="1"/>
  <c r="M399" i="1"/>
  <c r="M405" i="1" s="1"/>
  <c r="O411" i="1"/>
  <c r="Q411" i="1" s="1"/>
  <c r="H18" i="1"/>
  <c r="H29" i="1"/>
  <c r="J53" i="1"/>
  <c r="J66" i="1"/>
  <c r="J74" i="1"/>
  <c r="M93" i="1"/>
  <c r="Q120" i="1"/>
  <c r="O120" i="1"/>
  <c r="W120" i="1" s="1"/>
  <c r="J185" i="1"/>
  <c r="M185" i="1" s="1"/>
  <c r="O219" i="1"/>
  <c r="Q219" i="1" s="1"/>
  <c r="J260" i="1"/>
  <c r="M260" i="1" s="1"/>
  <c r="J270" i="1"/>
  <c r="J282" i="1"/>
  <c r="J309" i="1"/>
  <c r="O366" i="1"/>
  <c r="O368" i="1" s="1"/>
  <c r="S368" i="1"/>
  <c r="W68" i="1"/>
  <c r="H78" i="1"/>
  <c r="O99" i="1"/>
  <c r="W99" i="1" s="1"/>
  <c r="J120" i="1"/>
  <c r="W134" i="1"/>
  <c r="Q146" i="1"/>
  <c r="M181" i="1"/>
  <c r="O196" i="1"/>
  <c r="Q196" i="1" s="1"/>
  <c r="J210" i="1"/>
  <c r="J214" i="1" s="1"/>
  <c r="J219" i="1"/>
  <c r="Q229" i="1"/>
  <c r="W229" i="1"/>
  <c r="S236" i="1"/>
  <c r="H242" i="1"/>
  <c r="J236" i="1"/>
  <c r="Q300" i="1"/>
  <c r="Q417" i="1"/>
  <c r="O423" i="1"/>
  <c r="O425" i="1" s="1"/>
  <c r="S14" i="1"/>
  <c r="S23" i="1"/>
  <c r="S39" i="1"/>
  <c r="Q39" i="1" s="1"/>
  <c r="S48" i="1"/>
  <c r="J68" i="1"/>
  <c r="S86" i="1"/>
  <c r="J86" i="1"/>
  <c r="S95" i="1"/>
  <c r="J95" i="1"/>
  <c r="W142" i="1"/>
  <c r="O148" i="1"/>
  <c r="O159" i="1" s="1"/>
  <c r="O230" i="1"/>
  <c r="O273" i="1"/>
  <c r="S295" i="1"/>
  <c r="J295" i="1"/>
  <c r="O302" i="1"/>
  <c r="O320" i="1"/>
  <c r="Q320" i="1"/>
  <c r="O354" i="1"/>
  <c r="Q354" i="1" s="1"/>
  <c r="W458" i="1"/>
  <c r="Q458" i="1"/>
  <c r="H88" i="1"/>
  <c r="H90" i="1" s="1"/>
  <c r="Q93" i="1"/>
  <c r="M105" i="1"/>
  <c r="O114" i="1"/>
  <c r="S135" i="1"/>
  <c r="W133" i="1"/>
  <c r="Q133" i="1"/>
  <c r="Q135" i="1" s="1"/>
  <c r="J147" i="1"/>
  <c r="M147" i="1" s="1"/>
  <c r="W181" i="1"/>
  <c r="O184" i="1"/>
  <c r="S195" i="1"/>
  <c r="J195" i="1"/>
  <c r="O269" i="1"/>
  <c r="Q269" i="1" s="1"/>
  <c r="S281" i="1"/>
  <c r="H274" i="1"/>
  <c r="S308" i="1"/>
  <c r="H309" i="1"/>
  <c r="S360" i="1"/>
  <c r="J360" i="1"/>
  <c r="B15" i="1"/>
  <c r="B16" i="1" s="1"/>
  <c r="Q84" i="1"/>
  <c r="O94" i="1"/>
  <c r="Q94" i="1" s="1"/>
  <c r="M133" i="1"/>
  <c r="S148" i="1"/>
  <c r="S153" i="1"/>
  <c r="Q153" i="1" s="1"/>
  <c r="J153" i="1"/>
  <c r="M153" i="1" s="1"/>
  <c r="S186" i="1"/>
  <c r="J186" i="1"/>
  <c r="O209" i="1"/>
  <c r="M209" i="1" s="1"/>
  <c r="O218" i="1"/>
  <c r="M218" i="1" s="1"/>
  <c r="Q238" i="1"/>
  <c r="O304" i="1"/>
  <c r="H304" i="1"/>
  <c r="H323" i="1"/>
  <c r="S312" i="1"/>
  <c r="J312" i="1"/>
  <c r="M416" i="1"/>
  <c r="M431" i="1"/>
  <c r="J84" i="1"/>
  <c r="J94" i="1"/>
  <c r="M94" i="1" s="1"/>
  <c r="W104" i="1"/>
  <c r="J134" i="1"/>
  <c r="J135" i="1" s="1"/>
  <c r="M205" i="1"/>
  <c r="H220" i="1"/>
  <c r="H221" i="1" s="1"/>
  <c r="S261" i="1"/>
  <c r="Q261" i="1" s="1"/>
  <c r="Q263" i="1" s="1"/>
  <c r="J261" i="1"/>
  <c r="M261" i="1" s="1"/>
  <c r="S352" i="1"/>
  <c r="J352" i="1"/>
  <c r="S105" i="1"/>
  <c r="Q107" i="1"/>
  <c r="S115" i="1"/>
  <c r="Q181" i="1"/>
  <c r="H187" i="1"/>
  <c r="H191" i="1" s="1"/>
  <c r="S205" i="1"/>
  <c r="H223" i="1"/>
  <c r="S275" i="1"/>
  <c r="S299" i="1"/>
  <c r="Q299" i="1" s="1"/>
  <c r="M320" i="1"/>
  <c r="J338" i="1"/>
  <c r="M336" i="1"/>
  <c r="M338" i="1" s="1"/>
  <c r="W378" i="1"/>
  <c r="Q378" i="1"/>
  <c r="M418" i="1"/>
  <c r="S433" i="1"/>
  <c r="H436" i="1"/>
  <c r="J433" i="1"/>
  <c r="O492" i="1"/>
  <c r="S256" i="1"/>
  <c r="H263" i="1"/>
  <c r="J273" i="1"/>
  <c r="J297" i="1"/>
  <c r="Q314" i="1"/>
  <c r="S373" i="1"/>
  <c r="Q371" i="1"/>
  <c r="M378" i="1"/>
  <c r="Q424" i="1"/>
  <c r="J489" i="1"/>
  <c r="M489" i="1" s="1"/>
  <c r="S489" i="1"/>
  <c r="Q489" i="1" s="1"/>
  <c r="Q798" i="1"/>
  <c r="S108" i="1"/>
  <c r="J114" i="1"/>
  <c r="S147" i="1"/>
  <c r="Q147" i="1" s="1"/>
  <c r="S182" i="1"/>
  <c r="S208" i="1"/>
  <c r="S217" i="1"/>
  <c r="J230" i="1"/>
  <c r="J233" i="1" s="1"/>
  <c r="Q336" i="1"/>
  <c r="Q338" i="1" s="1"/>
  <c r="S338" i="1"/>
  <c r="O351" i="1"/>
  <c r="J425" i="1"/>
  <c r="M423" i="1"/>
  <c r="J145" i="1"/>
  <c r="M228" i="1"/>
  <c r="J351" i="1"/>
  <c r="J359" i="1"/>
  <c r="S359" i="1"/>
  <c r="Q367" i="1"/>
  <c r="O382" i="1"/>
  <c r="O414" i="1"/>
  <c r="M414" i="1" s="1"/>
  <c r="M417" i="1"/>
  <c r="J107" i="1"/>
  <c r="M137" i="1"/>
  <c r="S309" i="1"/>
  <c r="O307" i="1"/>
  <c r="S334" i="1"/>
  <c r="J334" i="1"/>
  <c r="O361" i="1"/>
  <c r="Q361" i="1" s="1"/>
  <c r="J368" i="1"/>
  <c r="K368" i="1" s="1"/>
  <c r="M380" i="1"/>
  <c r="S420" i="1"/>
  <c r="M413" i="1"/>
  <c r="Y486" i="1"/>
  <c r="S486" i="1"/>
  <c r="Q486" i="1" s="1"/>
  <c r="M652" i="1"/>
  <c r="S321" i="1"/>
  <c r="O319" i="1"/>
  <c r="O321" i="1" s="1"/>
  <c r="J321" i="1"/>
  <c r="M361" i="1"/>
  <c r="H375" i="1"/>
  <c r="Q431" i="1"/>
  <c r="H503" i="1"/>
  <c r="H492" i="1"/>
  <c r="J643" i="1"/>
  <c r="M643" i="1" s="1"/>
  <c r="S643" i="1"/>
  <c r="Q643" i="1" s="1"/>
  <c r="M529" i="1"/>
  <c r="M533" i="1" s="1"/>
  <c r="J533" i="1"/>
  <c r="O537" i="1"/>
  <c r="Q537" i="1" s="1"/>
  <c r="Y824" i="1"/>
  <c r="S824" i="1"/>
  <c r="Q824" i="1" s="1"/>
  <c r="H313" i="1"/>
  <c r="S356" i="1"/>
  <c r="O372" i="1"/>
  <c r="Q372" i="1" s="1"/>
  <c r="S380" i="1"/>
  <c r="S386" i="1"/>
  <c r="Q461" i="1"/>
  <c r="Y497" i="1"/>
  <c r="S497" i="1"/>
  <c r="Q497" i="1" s="1"/>
  <c r="J537" i="1"/>
  <c r="M537" i="1" s="1"/>
  <c r="S540" i="1"/>
  <c r="Q540" i="1" s="1"/>
  <c r="J540" i="1"/>
  <c r="S554" i="1"/>
  <c r="H557" i="1"/>
  <c r="H561" i="1"/>
  <c r="J554" i="1"/>
  <c r="W578" i="1"/>
  <c r="Q578" i="1"/>
  <c r="S584" i="1"/>
  <c r="J587" i="1"/>
  <c r="S587" i="1"/>
  <c r="O783" i="1"/>
  <c r="M761" i="1"/>
  <c r="S786" i="1"/>
  <c r="Y786" i="1"/>
  <c r="S341" i="1"/>
  <c r="J354" i="1"/>
  <c r="M354" i="1" s="1"/>
  <c r="J379" i="1"/>
  <c r="M379" i="1" s="1"/>
  <c r="S399" i="1"/>
  <c r="S402" i="1"/>
  <c r="Q402" i="1" s="1"/>
  <c r="J462" i="1"/>
  <c r="M462" i="1" s="1"/>
  <c r="H482" i="1"/>
  <c r="J479" i="1"/>
  <c r="S479" i="1"/>
  <c r="O502" i="1"/>
  <c r="M502" i="1" s="1"/>
  <c r="H504" i="1"/>
  <c r="J524" i="1"/>
  <c r="M524" i="1" s="1"/>
  <c r="H566" i="1"/>
  <c r="Y578" i="1"/>
  <c r="O646" i="1"/>
  <c r="M646" i="1" s="1"/>
  <c r="M458" i="1"/>
  <c r="H473" i="1"/>
  <c r="M441" i="1"/>
  <c r="Q485" i="1"/>
  <c r="S487" i="1"/>
  <c r="U487" i="1" s="1"/>
  <c r="H507" i="1"/>
  <c r="S520" i="1"/>
  <c r="J520" i="1"/>
  <c r="Y521" i="1"/>
  <c r="S533" i="1"/>
  <c r="W529" i="1"/>
  <c r="Y530" i="1"/>
  <c r="O606" i="1"/>
  <c r="Y614" i="1"/>
  <c r="S614" i="1"/>
  <c r="Q614" i="1" s="1"/>
  <c r="Y790" i="1"/>
  <c r="S790" i="1"/>
  <c r="J807" i="1"/>
  <c r="M807" i="1" s="1"/>
  <c r="H811" i="1"/>
  <c r="J341" i="1"/>
  <c r="J371" i="1"/>
  <c r="Q441" i="1"/>
  <c r="O466" i="1"/>
  <c r="S469" i="1"/>
  <c r="Q480" i="1"/>
  <c r="J485" i="1"/>
  <c r="S495" i="1"/>
  <c r="J495" i="1"/>
  <c r="J522" i="1"/>
  <c r="M522" i="1" s="1"/>
  <c r="S522" i="1"/>
  <c r="Q522" i="1" s="1"/>
  <c r="Q531" i="1"/>
  <c r="Q533" i="1" s="1"/>
  <c r="H538" i="1"/>
  <c r="H541" i="1"/>
  <c r="S536" i="1"/>
  <c r="J536" i="1"/>
  <c r="Y548" i="1"/>
  <c r="S548" i="1"/>
  <c r="W730" i="1"/>
  <c r="Q730" i="1"/>
  <c r="Q746" i="1"/>
  <c r="W746" i="1"/>
  <c r="J460" i="1"/>
  <c r="S460" i="1"/>
  <c r="H464" i="1"/>
  <c r="J481" i="1"/>
  <c r="M481" i="1" s="1"/>
  <c r="J490" i="1"/>
  <c r="M490" i="1" s="1"/>
  <c r="M531" i="1"/>
  <c r="J549" i="1"/>
  <c r="M549" i="1" s="1"/>
  <c r="S549" i="1"/>
  <c r="Q549" i="1" s="1"/>
  <c r="M578" i="1"/>
  <c r="J583" i="1"/>
  <c r="S583" i="1"/>
  <c r="H585" i="1"/>
  <c r="Y601" i="1"/>
  <c r="S601" i="1"/>
  <c r="Q601" i="1" s="1"/>
  <c r="J612" i="1"/>
  <c r="M612" i="1" s="1"/>
  <c r="S612" i="1"/>
  <c r="Q612" i="1" s="1"/>
  <c r="J638" i="1"/>
  <c r="M638" i="1" s="1"/>
  <c r="H445" i="1"/>
  <c r="H526" i="1"/>
  <c r="H543" i="1"/>
  <c r="J592" i="1"/>
  <c r="S592" i="1"/>
  <c r="Y595" i="1"/>
  <c r="S595" i="1"/>
  <c r="Q595" i="1" s="1"/>
  <c r="M604" i="1"/>
  <c r="W634" i="1"/>
  <c r="J637" i="1"/>
  <c r="M637" i="1" s="1"/>
  <c r="S637" i="1"/>
  <c r="Q637" i="1" s="1"/>
  <c r="Q641" i="1"/>
  <c r="M802" i="1"/>
  <c r="O811" i="1"/>
  <c r="J548" i="1"/>
  <c r="J579" i="1"/>
  <c r="M579" i="1" s="1"/>
  <c r="S598" i="1"/>
  <c r="Q598" i="1" s="1"/>
  <c r="H606" i="1"/>
  <c r="J598" i="1"/>
  <c r="M598" i="1" s="1"/>
  <c r="S602" i="1"/>
  <c r="Q602" i="1" s="1"/>
  <c r="J610" i="1"/>
  <c r="S610" i="1"/>
  <c r="J617" i="1"/>
  <c r="M617" i="1" s="1"/>
  <c r="Q640" i="1"/>
  <c r="Y641" i="1"/>
  <c r="W735" i="1"/>
  <c r="Q735" i="1"/>
  <c r="S738" i="1"/>
  <c r="Y738" i="1"/>
  <c r="S804" i="1"/>
  <c r="Q804" i="1" s="1"/>
  <c r="Y804" i="1"/>
  <c r="S822" i="1"/>
  <c r="Y822" i="1"/>
  <c r="S826" i="1"/>
  <c r="Q826" i="1" s="1"/>
  <c r="Y826" i="1"/>
  <c r="O551" i="1"/>
  <c r="Q604" i="1"/>
  <c r="J615" i="1"/>
  <c r="M615" i="1" s="1"/>
  <c r="S615" i="1"/>
  <c r="Q615" i="1" s="1"/>
  <c r="S710" i="1"/>
  <c r="H713" i="1"/>
  <c r="J710" i="1"/>
  <c r="W737" i="1"/>
  <c r="Q737" i="1"/>
  <c r="M786" i="1"/>
  <c r="M798" i="1"/>
  <c r="H564" i="1"/>
  <c r="S579" i="1"/>
  <c r="Y592" i="1"/>
  <c r="J719" i="1"/>
  <c r="M717" i="1"/>
  <c r="M719" i="1" s="1"/>
  <c r="S732" i="1"/>
  <c r="Y732" i="1"/>
  <c r="Y787" i="1"/>
  <c r="S787" i="1"/>
  <c r="M795" i="1"/>
  <c r="S801" i="1"/>
  <c r="Q801" i="1" s="1"/>
  <c r="Y801" i="1"/>
  <c r="O533" i="1"/>
  <c r="O580" i="1"/>
  <c r="W604" i="1"/>
  <c r="S617" i="1"/>
  <c r="Q617" i="1" s="1"/>
  <c r="M634" i="1"/>
  <c r="O688" i="1"/>
  <c r="O749" i="1"/>
  <c r="S762" i="1"/>
  <c r="Y762" i="1"/>
  <c r="O793" i="1"/>
  <c r="S788" i="1"/>
  <c r="J788" i="1"/>
  <c r="M788" i="1" s="1"/>
  <c r="Q795" i="1"/>
  <c r="Y655" i="1"/>
  <c r="J677" i="1"/>
  <c r="S677" i="1"/>
  <c r="M686" i="1"/>
  <c r="B713" i="1"/>
  <c r="Y726" i="1"/>
  <c r="S726" i="1"/>
  <c r="W742" i="1"/>
  <c r="Q742" i="1"/>
  <c r="M742" i="1"/>
  <c r="Y763" i="1"/>
  <c r="S763" i="1"/>
  <c r="H783" i="1"/>
  <c r="K783" i="1" s="1"/>
  <c r="M780" i="1"/>
  <c r="W780" i="1"/>
  <c r="Y643" i="1"/>
  <c r="J656" i="1"/>
  <c r="M656" i="1" s="1"/>
  <c r="S656" i="1"/>
  <c r="Q656" i="1" s="1"/>
  <c r="J668" i="1"/>
  <c r="S668" i="1"/>
  <c r="M728" i="1"/>
  <c r="W771" i="1"/>
  <c r="Q771" i="1"/>
  <c r="M771" i="1"/>
  <c r="S789" i="1"/>
  <c r="Y789" i="1"/>
  <c r="S644" i="1"/>
  <c r="Q644" i="1" s="1"/>
  <c r="J644" i="1"/>
  <c r="M644" i="1" s="1"/>
  <c r="Q652" i="1"/>
  <c r="Q682" i="1"/>
  <c r="Q686" i="1"/>
  <c r="W719" i="1"/>
  <c r="Y761" i="1"/>
  <c r="S761" i="1"/>
  <c r="Y799" i="1"/>
  <c r="S802" i="1"/>
  <c r="Q802" i="1" s="1"/>
  <c r="J726" i="1"/>
  <c r="Y739" i="1"/>
  <c r="S739" i="1"/>
  <c r="Q747" i="1"/>
  <c r="S805" i="1"/>
  <c r="Q805" i="1" s="1"/>
  <c r="J822" i="1"/>
  <c r="Y825" i="1"/>
  <c r="Y646" i="1"/>
  <c r="S680" i="1"/>
  <c r="Q680" i="1" s="1"/>
  <c r="J680" i="1"/>
  <c r="M680" i="1" s="1"/>
  <c r="Y728" i="1"/>
  <c r="S728" i="1"/>
  <c r="M781" i="1"/>
  <c r="W781" i="1"/>
  <c r="H673" i="1"/>
  <c r="M648" i="1" l="1"/>
  <c r="Q419" i="1"/>
  <c r="J811" i="1"/>
  <c r="J648" i="1"/>
  <c r="S648" i="1"/>
  <c r="Q42" i="1"/>
  <c r="Q148" i="1"/>
  <c r="M425" i="1"/>
  <c r="M25" i="1"/>
  <c r="M49" i="1"/>
  <c r="M268" i="1"/>
  <c r="S663" i="1"/>
  <c r="M219" i="1"/>
  <c r="M382" i="1"/>
  <c r="O373" i="1"/>
  <c r="W373" i="1" s="1"/>
  <c r="M269" i="1"/>
  <c r="M270" i="1" s="1"/>
  <c r="J18" i="1"/>
  <c r="J20" i="1" s="1"/>
  <c r="J382" i="1"/>
  <c r="J388" i="1" s="1"/>
  <c r="J263" i="1"/>
  <c r="K263" i="1" s="1"/>
  <c r="M372" i="1"/>
  <c r="M580" i="1"/>
  <c r="M263" i="1"/>
  <c r="M265" i="1" s="1"/>
  <c r="Q302" i="1"/>
  <c r="Q72" i="1"/>
  <c r="S42" i="1"/>
  <c r="S44" i="1" s="1"/>
  <c r="M24" i="1"/>
  <c r="M811" i="1"/>
  <c r="M793" i="1"/>
  <c r="Q319" i="1"/>
  <c r="Q321" i="1" s="1"/>
  <c r="M366" i="1"/>
  <c r="M368" i="1" s="1"/>
  <c r="Q209" i="1"/>
  <c r="M196" i="1"/>
  <c r="Q366" i="1"/>
  <c r="Q368" i="1" s="1"/>
  <c r="M87" i="1"/>
  <c r="Q44" i="1"/>
  <c r="M18" i="1"/>
  <c r="M20" i="1" s="1"/>
  <c r="J276" i="1"/>
  <c r="S276" i="1"/>
  <c r="Q554" i="1"/>
  <c r="Q557" i="1" s="1"/>
  <c r="S557" i="1"/>
  <c r="S221" i="1"/>
  <c r="O217" i="1"/>
  <c r="O186" i="1"/>
  <c r="Q186" i="1" s="1"/>
  <c r="M295" i="1"/>
  <c r="Q487" i="1"/>
  <c r="Q786" i="1"/>
  <c r="S793" i="1"/>
  <c r="W786" i="1"/>
  <c r="Q351" i="1"/>
  <c r="M184" i="1"/>
  <c r="S263" i="1"/>
  <c r="S265" i="1" s="1"/>
  <c r="W739" i="1"/>
  <c r="Q739" i="1"/>
  <c r="Q579" i="1"/>
  <c r="Q580" i="1" s="1"/>
  <c r="W579" i="1"/>
  <c r="J793" i="1"/>
  <c r="H475" i="1"/>
  <c r="H466" i="1"/>
  <c r="H470" i="1"/>
  <c r="S541" i="1"/>
  <c r="J541" i="1"/>
  <c r="Q495" i="1"/>
  <c r="Q499" i="1" s="1"/>
  <c r="S499" i="1"/>
  <c r="J373" i="1"/>
  <c r="M371" i="1"/>
  <c r="M373" i="1" s="1"/>
  <c r="O623" i="1"/>
  <c r="J526" i="1"/>
  <c r="M520" i="1"/>
  <c r="M526" i="1" s="1"/>
  <c r="S580" i="1"/>
  <c r="K321" i="1"/>
  <c r="U309" i="1"/>
  <c r="M411" i="1"/>
  <c r="M420" i="1" s="1"/>
  <c r="M427" i="1" s="1"/>
  <c r="W182" i="1"/>
  <c r="Q182" i="1"/>
  <c r="M273" i="1"/>
  <c r="W105" i="1"/>
  <c r="Q105" i="1"/>
  <c r="M237" i="1"/>
  <c r="M84" i="1"/>
  <c r="Q218" i="1"/>
  <c r="J187" i="1"/>
  <c r="J139" i="1"/>
  <c r="K135" i="1"/>
  <c r="O308" i="1"/>
  <c r="M308" i="1" s="1"/>
  <c r="Q139" i="1"/>
  <c r="J88" i="1"/>
  <c r="J90" i="1" s="1"/>
  <c r="Q14" i="1"/>
  <c r="Q18" i="1" s="1"/>
  <c r="Q20" i="1" s="1"/>
  <c r="S18" i="1"/>
  <c r="K309" i="1"/>
  <c r="J69" i="1"/>
  <c r="M66" i="1"/>
  <c r="Q163" i="1"/>
  <c r="Q66" i="1"/>
  <c r="Q69" i="1" s="1"/>
  <c r="S69" i="1"/>
  <c r="W66" i="1"/>
  <c r="Q822" i="1"/>
  <c r="Q830" i="1" s="1"/>
  <c r="S830" i="1"/>
  <c r="S665" i="1"/>
  <c r="U648" i="1"/>
  <c r="O115" i="1"/>
  <c r="M115" i="1" s="1"/>
  <c r="Q230" i="1"/>
  <c r="O194" i="1"/>
  <c r="Q152" i="1"/>
  <c r="Q155" i="1" s="1"/>
  <c r="Q159" i="1" s="1"/>
  <c r="S155" i="1"/>
  <c r="S538" i="1"/>
  <c r="O536" i="1"/>
  <c r="O538" i="1" s="1"/>
  <c r="Q536" i="1"/>
  <c r="Q538" i="1" s="1"/>
  <c r="Q295" i="1"/>
  <c r="Q304" i="1" s="1"/>
  <c r="W295" i="1"/>
  <c r="O23" i="1"/>
  <c r="Q23" i="1" s="1"/>
  <c r="M307" i="1"/>
  <c r="H170" i="1"/>
  <c r="H165" i="1"/>
  <c r="O420" i="1"/>
  <c r="U42" i="1"/>
  <c r="K18" i="1"/>
  <c r="Q663" i="1"/>
  <c r="W788" i="1"/>
  <c r="Q788" i="1"/>
  <c r="W732" i="1"/>
  <c r="Q732" i="1"/>
  <c r="Q610" i="1"/>
  <c r="Q621" i="1" s="1"/>
  <c r="S621" i="1"/>
  <c r="S464" i="1"/>
  <c r="Q460" i="1"/>
  <c r="Q464" i="1" s="1"/>
  <c r="Q548" i="1"/>
  <c r="Q551" i="1" s="1"/>
  <c r="S551" i="1"/>
  <c r="J487" i="1"/>
  <c r="M485" i="1"/>
  <c r="M487" i="1" s="1"/>
  <c r="J343" i="1"/>
  <c r="M341" i="1"/>
  <c r="M343" i="1" s="1"/>
  <c r="Q520" i="1"/>
  <c r="Q526" i="1" s="1"/>
  <c r="S526" i="1"/>
  <c r="W520" i="1"/>
  <c r="M783" i="1"/>
  <c r="Q373" i="1"/>
  <c r="H265" i="1"/>
  <c r="H284" i="1"/>
  <c r="J436" i="1"/>
  <c r="M433" i="1"/>
  <c r="M436" i="1" s="1"/>
  <c r="M438" i="1" s="1"/>
  <c r="O275" i="1"/>
  <c r="M275" i="1" s="1"/>
  <c r="O233" i="1"/>
  <c r="M134" i="1"/>
  <c r="M135" i="1" s="1"/>
  <c r="M139" i="1" s="1"/>
  <c r="B17" i="1"/>
  <c r="B18" i="1" s="1"/>
  <c r="O86" i="1"/>
  <c r="O88" i="1" s="1"/>
  <c r="S88" i="1"/>
  <c r="M280" i="1"/>
  <c r="Q280" i="1"/>
  <c r="J239" i="1"/>
  <c r="S239" i="1"/>
  <c r="J168" i="1"/>
  <c r="S168" i="1"/>
  <c r="J117" i="1"/>
  <c r="J118" i="1" s="1"/>
  <c r="S117" i="1"/>
  <c r="J42" i="1"/>
  <c r="Q73" i="1"/>
  <c r="O73" i="1"/>
  <c r="M73" i="1" s="1"/>
  <c r="W787" i="1"/>
  <c r="Q787" i="1"/>
  <c r="J313" i="1"/>
  <c r="S313" i="1"/>
  <c r="K214" i="1"/>
  <c r="W148" i="1"/>
  <c r="U148" i="1"/>
  <c r="J265" i="1"/>
  <c r="W763" i="1"/>
  <c r="Q763" i="1"/>
  <c r="J499" i="1"/>
  <c r="M495" i="1"/>
  <c r="M499" i="1" s="1"/>
  <c r="O584" i="1"/>
  <c r="M584" i="1" s="1"/>
  <c r="Q307" i="1"/>
  <c r="Q184" i="1"/>
  <c r="W677" i="1"/>
  <c r="Q677" i="1"/>
  <c r="Q688" i="1" s="1"/>
  <c r="S688" i="1"/>
  <c r="Q738" i="1"/>
  <c r="W738" i="1"/>
  <c r="M548" i="1"/>
  <c r="M551" i="1" s="1"/>
  <c r="J551" i="1"/>
  <c r="J445" i="1"/>
  <c r="S445" i="1"/>
  <c r="M460" i="1"/>
  <c r="M464" i="1" s="1"/>
  <c r="M466" i="1" s="1"/>
  <c r="J464" i="1"/>
  <c r="J357" i="1"/>
  <c r="S357" i="1"/>
  <c r="H363" i="1"/>
  <c r="S482" i="1"/>
  <c r="Q479" i="1"/>
  <c r="Q482" i="1" s="1"/>
  <c r="Q492" i="1" s="1"/>
  <c r="M114" i="1"/>
  <c r="U373" i="1"/>
  <c r="Q414" i="1"/>
  <c r="Q420" i="1" s="1"/>
  <c r="J274" i="1"/>
  <c r="S274" i="1"/>
  <c r="K282" i="1"/>
  <c r="U282" i="1"/>
  <c r="S75" i="1"/>
  <c r="J75" i="1"/>
  <c r="M42" i="1"/>
  <c r="M44" i="1" s="1"/>
  <c r="H688" i="1"/>
  <c r="H690" i="1"/>
  <c r="W728" i="1"/>
  <c r="Q728" i="1"/>
  <c r="O834" i="1"/>
  <c r="M677" i="1"/>
  <c r="M688" i="1" s="1"/>
  <c r="J688" i="1"/>
  <c r="Y719" i="1"/>
  <c r="M710" i="1"/>
  <c r="M713" i="1" s="1"/>
  <c r="J713" i="1"/>
  <c r="W592" i="1"/>
  <c r="Q592" i="1"/>
  <c r="Q606" i="1" s="1"/>
  <c r="S606" i="1"/>
  <c r="O583" i="1"/>
  <c r="S585" i="1"/>
  <c r="O469" i="1"/>
  <c r="Q469" i="1" s="1"/>
  <c r="J473" i="1"/>
  <c r="S473" i="1"/>
  <c r="W646" i="1"/>
  <c r="M479" i="1"/>
  <c r="M482" i="1" s="1"/>
  <c r="J482" i="1"/>
  <c r="O648" i="1"/>
  <c r="W648" i="1" s="1"/>
  <c r="M554" i="1"/>
  <c r="M557" i="1" s="1"/>
  <c r="J557" i="1"/>
  <c r="S382" i="1"/>
  <c r="Q380" i="1"/>
  <c r="Q382" i="1" s="1"/>
  <c r="Q388" i="1" s="1"/>
  <c r="U321" i="1"/>
  <c r="Y321" i="1" s="1"/>
  <c r="W321" i="1"/>
  <c r="J109" i="1"/>
  <c r="M107" i="1"/>
  <c r="O359" i="1"/>
  <c r="Q359" i="1" s="1"/>
  <c r="O108" i="1"/>
  <c r="Q108" i="1" s="1"/>
  <c r="Q109" i="1" s="1"/>
  <c r="Q433" i="1"/>
  <c r="Q436" i="1" s="1"/>
  <c r="Q438" i="1" s="1"/>
  <c r="S436" i="1"/>
  <c r="W205" i="1"/>
  <c r="Q205" i="1"/>
  <c r="O352" i="1"/>
  <c r="Q352" i="1" s="1"/>
  <c r="S220" i="1"/>
  <c r="J220" i="1"/>
  <c r="J221" i="1" s="1"/>
  <c r="O281" i="1"/>
  <c r="M281" i="1" s="1"/>
  <c r="S118" i="1"/>
  <c r="Q273" i="1"/>
  <c r="O48" i="1"/>
  <c r="M48" i="1" s="1"/>
  <c r="Q423" i="1"/>
  <c r="Q425" i="1" s="1"/>
  <c r="J240" i="1"/>
  <c r="K210" i="1"/>
  <c r="O270" i="1"/>
  <c r="H55" i="1"/>
  <c r="H44" i="1"/>
  <c r="H50" i="1"/>
  <c r="W233" i="1"/>
  <c r="U233" i="1"/>
  <c r="J538" i="1"/>
  <c r="M536" i="1"/>
  <c r="M538" i="1" s="1"/>
  <c r="K338" i="1"/>
  <c r="O360" i="1"/>
  <c r="Q360" i="1" s="1"/>
  <c r="H31" i="1"/>
  <c r="H20" i="1"/>
  <c r="H26" i="1"/>
  <c r="M47" i="1"/>
  <c r="U663" i="1"/>
  <c r="W663" i="1"/>
  <c r="B717" i="1"/>
  <c r="B719" i="1" s="1"/>
  <c r="M540" i="1"/>
  <c r="K533" i="1"/>
  <c r="J564" i="1"/>
  <c r="S564" i="1"/>
  <c r="W399" i="1"/>
  <c r="S405" i="1"/>
  <c r="Q399" i="1"/>
  <c r="Q405" i="1" s="1"/>
  <c r="M145" i="1"/>
  <c r="M148" i="1" s="1"/>
  <c r="M159" i="1" s="1"/>
  <c r="J148" i="1"/>
  <c r="W338" i="1"/>
  <c r="U338" i="1"/>
  <c r="W256" i="1"/>
  <c r="Q256" i="1"/>
  <c r="Q265" i="1" s="1"/>
  <c r="H438" i="1"/>
  <c r="H447" i="1"/>
  <c r="H442" i="1"/>
  <c r="J223" i="1"/>
  <c r="S223" i="1"/>
  <c r="Q99" i="1"/>
  <c r="K405" i="1"/>
  <c r="J427" i="1"/>
  <c r="W726" i="1"/>
  <c r="S749" i="1"/>
  <c r="Q726" i="1"/>
  <c r="Q762" i="1"/>
  <c r="W762" i="1"/>
  <c r="O690" i="1"/>
  <c r="M592" i="1"/>
  <c r="M606" i="1" s="1"/>
  <c r="J606" i="1"/>
  <c r="J585" i="1"/>
  <c r="W790" i="1"/>
  <c r="Q790" i="1"/>
  <c r="S507" i="1"/>
  <c r="J507" i="1"/>
  <c r="J561" i="1"/>
  <c r="H562" i="1"/>
  <c r="S561" i="1"/>
  <c r="M663" i="1"/>
  <c r="J348" i="1"/>
  <c r="M334" i="1"/>
  <c r="M348" i="1" s="1"/>
  <c r="Q811" i="1"/>
  <c r="H202" i="1"/>
  <c r="H197" i="1"/>
  <c r="H316" i="1"/>
  <c r="O195" i="1"/>
  <c r="M195" i="1" s="1"/>
  <c r="Q114" i="1"/>
  <c r="H101" i="1"/>
  <c r="H96" i="1"/>
  <c r="Q466" i="1"/>
  <c r="J78" i="1"/>
  <c r="S78" i="1"/>
  <c r="H277" i="1"/>
  <c r="S109" i="1"/>
  <c r="J29" i="1"/>
  <c r="S29" i="1"/>
  <c r="M319" i="1"/>
  <c r="M321" i="1" s="1"/>
  <c r="Q270" i="1"/>
  <c r="O74" i="1"/>
  <c r="M74" i="1" s="1"/>
  <c r="J155" i="1"/>
  <c r="M152" i="1"/>
  <c r="M155" i="1" s="1"/>
  <c r="Q233" i="1"/>
  <c r="M668" i="1"/>
  <c r="M673" i="1" s="1"/>
  <c r="J673" i="1"/>
  <c r="O236" i="1"/>
  <c r="S240" i="1"/>
  <c r="K270" i="1"/>
  <c r="W761" i="1"/>
  <c r="S783" i="1"/>
  <c r="Q761" i="1"/>
  <c r="S210" i="1"/>
  <c r="O208" i="1"/>
  <c r="M297" i="1"/>
  <c r="M302" i="1" s="1"/>
  <c r="J302" i="1"/>
  <c r="J304" i="1" s="1"/>
  <c r="K233" i="1"/>
  <c r="S159" i="1"/>
  <c r="M726" i="1"/>
  <c r="M749" i="1" s="1"/>
  <c r="J749" i="1"/>
  <c r="K648" i="1"/>
  <c r="M610" i="1"/>
  <c r="M621" i="1" s="1"/>
  <c r="J621" i="1"/>
  <c r="O386" i="1"/>
  <c r="Q386" i="1"/>
  <c r="M352" i="1"/>
  <c r="S139" i="1"/>
  <c r="W135" i="1"/>
  <c r="U135" i="1"/>
  <c r="M68" i="1"/>
  <c r="W368" i="1"/>
  <c r="U368" i="1"/>
  <c r="Y368" i="1" s="1"/>
  <c r="O162" i="1"/>
  <c r="Q162" i="1" s="1"/>
  <c r="M822" i="1"/>
  <c r="M830" i="1" s="1"/>
  <c r="J830" i="1"/>
  <c r="Q789" i="1"/>
  <c r="W789" i="1"/>
  <c r="Q668" i="1"/>
  <c r="Q673" i="1" s="1"/>
  <c r="W668" i="1"/>
  <c r="S673" i="1"/>
  <c r="K811" i="1"/>
  <c r="Q710" i="1"/>
  <c r="Q713" i="1" s="1"/>
  <c r="S713" i="1"/>
  <c r="H623" i="1"/>
  <c r="H621" i="1"/>
  <c r="J580" i="1"/>
  <c r="U533" i="1"/>
  <c r="W533" i="1"/>
  <c r="Q502" i="1"/>
  <c r="Q646" i="1"/>
  <c r="Q648" i="1" s="1"/>
  <c r="Q665" i="1" s="1"/>
  <c r="S343" i="1"/>
  <c r="Q341" i="1"/>
  <c r="Q343" i="1" s="1"/>
  <c r="O587" i="1"/>
  <c r="M587" i="1" s="1"/>
  <c r="O356" i="1"/>
  <c r="M356" i="1" s="1"/>
  <c r="S503" i="1"/>
  <c r="J503" i="1"/>
  <c r="J663" i="1"/>
  <c r="Q334" i="1"/>
  <c r="W334" i="1"/>
  <c r="M351" i="1"/>
  <c r="M230" i="1"/>
  <c r="M233" i="1" s="1"/>
  <c r="S811" i="1"/>
  <c r="O312" i="1"/>
  <c r="M312" i="1" s="1"/>
  <c r="M186" i="1"/>
  <c r="S362" i="1"/>
  <c r="J362" i="1"/>
  <c r="W230" i="1"/>
  <c r="O95" i="1"/>
  <c r="Q95" i="1" s="1"/>
  <c r="J242" i="1"/>
  <c r="S242" i="1"/>
  <c r="M120" i="1"/>
  <c r="S187" i="1"/>
  <c r="S191" i="1" s="1"/>
  <c r="S302" i="1"/>
  <c r="S304" i="1" s="1"/>
  <c r="U270" i="1"/>
  <c r="J200" i="1"/>
  <c r="S200" i="1"/>
  <c r="O53" i="1"/>
  <c r="W53" i="1" s="1"/>
  <c r="M99" i="1"/>
  <c r="M665" i="1" l="1"/>
  <c r="J225" i="1"/>
  <c r="W42" i="1"/>
  <c r="Q281" i="1"/>
  <c r="O585" i="1"/>
  <c r="O589" i="1" s="1"/>
  <c r="Q308" i="1"/>
  <c r="Q783" i="1"/>
  <c r="M623" i="1"/>
  <c r="J363" i="1"/>
  <c r="Q48" i="1"/>
  <c r="Q623" i="1"/>
  <c r="K382" i="1"/>
  <c r="W587" i="1"/>
  <c r="Q275" i="1"/>
  <c r="Y270" i="1"/>
  <c r="Y233" i="1"/>
  <c r="Q86" i="1"/>
  <c r="Q88" i="1" s="1"/>
  <c r="Q90" i="1" s="1"/>
  <c r="M304" i="1"/>
  <c r="Q587" i="1"/>
  <c r="Q690" i="1"/>
  <c r="M187" i="1"/>
  <c r="M191" i="1" s="1"/>
  <c r="Q195" i="1"/>
  <c r="M583" i="1"/>
  <c r="M585" i="1" s="1"/>
  <c r="M589" i="1" s="1"/>
  <c r="Q583" i="1"/>
  <c r="Y135" i="1"/>
  <c r="M360" i="1"/>
  <c r="M282" i="1"/>
  <c r="M834" i="1"/>
  <c r="Y282" i="1"/>
  <c r="U191" i="1"/>
  <c r="K363" i="1"/>
  <c r="K304" i="1"/>
  <c r="B722" i="1"/>
  <c r="K225" i="1"/>
  <c r="W265" i="1"/>
  <c r="U265" i="1"/>
  <c r="K436" i="1"/>
  <c r="J438" i="1"/>
  <c r="J165" i="1"/>
  <c r="S165" i="1"/>
  <c r="H166" i="1"/>
  <c r="U221" i="1"/>
  <c r="K557" i="1"/>
  <c r="O274" i="1"/>
  <c r="Q274" i="1" s="1"/>
  <c r="S277" i="1"/>
  <c r="U665" i="1"/>
  <c r="O242" i="1"/>
  <c r="O503" i="1"/>
  <c r="O504" i="1" s="1"/>
  <c r="S504" i="1"/>
  <c r="K830" i="1"/>
  <c r="M386" i="1"/>
  <c r="M388" i="1" s="1"/>
  <c r="K749" i="1"/>
  <c r="J690" i="1"/>
  <c r="K673" i="1"/>
  <c r="S96" i="1"/>
  <c r="J96" i="1"/>
  <c r="H97" i="1"/>
  <c r="J197" i="1"/>
  <c r="S197" i="1"/>
  <c r="H198" i="1"/>
  <c r="K148" i="1"/>
  <c r="J159" i="1"/>
  <c r="S50" i="1"/>
  <c r="J50" i="1"/>
  <c r="H51" i="1"/>
  <c r="W436" i="1"/>
  <c r="U436" i="1"/>
  <c r="S438" i="1"/>
  <c r="K499" i="1"/>
  <c r="O117" i="1"/>
  <c r="O118" i="1" s="1"/>
  <c r="O239" i="1"/>
  <c r="Q239" i="1" s="1"/>
  <c r="U88" i="1"/>
  <c r="W88" i="1"/>
  <c r="S90" i="1"/>
  <c r="U551" i="1"/>
  <c r="W551" i="1"/>
  <c r="W44" i="1"/>
  <c r="U44" i="1"/>
  <c r="M309" i="1"/>
  <c r="Y309" i="1"/>
  <c r="O309" i="1"/>
  <c r="O276" i="1"/>
  <c r="M276" i="1" s="1"/>
  <c r="U811" i="1"/>
  <c r="Y811" i="1" s="1"/>
  <c r="W811" i="1"/>
  <c r="K265" i="1"/>
  <c r="K302" i="1"/>
  <c r="O75" i="1"/>
  <c r="O76" i="1" s="1"/>
  <c r="Q111" i="1"/>
  <c r="W386" i="1"/>
  <c r="O210" i="1"/>
  <c r="M208" i="1"/>
  <c r="M210" i="1" s="1"/>
  <c r="M214" i="1" s="1"/>
  <c r="M690" i="1"/>
  <c r="Q74" i="1"/>
  <c r="S26" i="1"/>
  <c r="J26" i="1"/>
  <c r="H27" i="1"/>
  <c r="K109" i="1"/>
  <c r="J111" i="1"/>
  <c r="O665" i="1"/>
  <c r="W665" i="1" s="1"/>
  <c r="M469" i="1"/>
  <c r="O357" i="1"/>
  <c r="M357" i="1" s="1"/>
  <c r="S363" i="1"/>
  <c r="K388" i="1"/>
  <c r="O90" i="1"/>
  <c r="S543" i="1"/>
  <c r="W526" i="1"/>
  <c r="U526" i="1"/>
  <c r="M23" i="1"/>
  <c r="W830" i="1"/>
  <c r="U830" i="1"/>
  <c r="Y830" i="1"/>
  <c r="K90" i="1"/>
  <c r="W18" i="1"/>
  <c r="U18" i="1"/>
  <c r="Y18" i="1" s="1"/>
  <c r="S20" i="1"/>
  <c r="K139" i="1"/>
  <c r="J543" i="1"/>
  <c r="K526" i="1"/>
  <c r="O541" i="1"/>
  <c r="W541" i="1" s="1"/>
  <c r="Q541" i="1"/>
  <c r="Q543" i="1" s="1"/>
  <c r="O187" i="1"/>
  <c r="W557" i="1"/>
  <c r="U557" i="1"/>
  <c r="Y557" i="1" s="1"/>
  <c r="K155" i="1"/>
  <c r="K348" i="1"/>
  <c r="J375" i="1"/>
  <c r="S442" i="1"/>
  <c r="J442" i="1"/>
  <c r="H443" i="1"/>
  <c r="K688" i="1"/>
  <c r="W304" i="1"/>
  <c r="U304" i="1"/>
  <c r="O362" i="1"/>
  <c r="M362" i="1" s="1"/>
  <c r="Y148" i="1"/>
  <c r="K621" i="1"/>
  <c r="Q208" i="1"/>
  <c r="Q210" i="1" s="1"/>
  <c r="Q214" i="1" s="1"/>
  <c r="O78" i="1"/>
  <c r="O561" i="1"/>
  <c r="O562" i="1" s="1"/>
  <c r="Q561" i="1"/>
  <c r="Q562" i="1" s="1"/>
  <c r="S562" i="1"/>
  <c r="K585" i="1"/>
  <c r="Q749" i="1"/>
  <c r="Q427" i="1"/>
  <c r="M236" i="1"/>
  <c r="U118" i="1"/>
  <c r="O220" i="1"/>
  <c r="M220" i="1" s="1"/>
  <c r="J492" i="1"/>
  <c r="K482" i="1"/>
  <c r="K713" i="1"/>
  <c r="J834" i="1"/>
  <c r="Q309" i="1"/>
  <c r="K20" i="1"/>
  <c r="Q282" i="1"/>
  <c r="B726" i="1"/>
  <c r="W538" i="1"/>
  <c r="U538" i="1"/>
  <c r="O282" i="1"/>
  <c r="K187" i="1"/>
  <c r="J191" i="1"/>
  <c r="J470" i="1"/>
  <c r="S470" i="1"/>
  <c r="H471" i="1"/>
  <c r="U793" i="1"/>
  <c r="W793" i="1"/>
  <c r="U109" i="1"/>
  <c r="S111" i="1"/>
  <c r="O507" i="1"/>
  <c r="K42" i="1"/>
  <c r="J44" i="1"/>
  <c r="Y648" i="1"/>
  <c r="W499" i="1"/>
  <c r="U499" i="1"/>
  <c r="Y499" i="1" s="1"/>
  <c r="W343" i="1"/>
  <c r="U343" i="1"/>
  <c r="K221" i="1"/>
  <c r="K427" i="1"/>
  <c r="K487" i="1"/>
  <c r="Y487" i="1" s="1"/>
  <c r="W270" i="1"/>
  <c r="W302" i="1"/>
  <c r="U302" i="1"/>
  <c r="Q356" i="1"/>
  <c r="Q53" i="1"/>
  <c r="B20" i="1"/>
  <c r="Q312" i="1"/>
  <c r="Y533" i="1"/>
  <c r="W673" i="1"/>
  <c r="S690" i="1"/>
  <c r="U673" i="1"/>
  <c r="W159" i="1"/>
  <c r="U159" i="1"/>
  <c r="U210" i="1"/>
  <c r="Y210" i="1" s="1"/>
  <c r="W210" i="1"/>
  <c r="K606" i="1"/>
  <c r="J623" i="1"/>
  <c r="W749" i="1"/>
  <c r="U749" i="1"/>
  <c r="J315" i="1"/>
  <c r="S315" i="1"/>
  <c r="S427" i="1"/>
  <c r="W405" i="1"/>
  <c r="U405" i="1"/>
  <c r="Y405" i="1" s="1"/>
  <c r="K538" i="1"/>
  <c r="K240" i="1"/>
  <c r="M492" i="1"/>
  <c r="U585" i="1"/>
  <c r="W585" i="1"/>
  <c r="K464" i="1"/>
  <c r="J466" i="1"/>
  <c r="W688" i="1"/>
  <c r="U688" i="1"/>
  <c r="Y688" i="1" s="1"/>
  <c r="J76" i="1"/>
  <c r="J80" i="1" s="1"/>
  <c r="U464" i="1"/>
  <c r="W464" i="1"/>
  <c r="S466" i="1"/>
  <c r="W155" i="1"/>
  <c r="U155" i="1"/>
  <c r="Q115" i="1"/>
  <c r="M69" i="1"/>
  <c r="M86" i="1"/>
  <c r="M88" i="1" s="1"/>
  <c r="M90" i="1" s="1"/>
  <c r="M162" i="1"/>
  <c r="Q793" i="1"/>
  <c r="K663" i="1"/>
  <c r="Y663" i="1" s="1"/>
  <c r="W263" i="1"/>
  <c r="U263" i="1"/>
  <c r="Y263" i="1" s="1"/>
  <c r="Y713" i="1"/>
  <c r="W713" i="1"/>
  <c r="S834" i="1"/>
  <c r="Q236" i="1"/>
  <c r="K551" i="1"/>
  <c r="Y42" i="1"/>
  <c r="Q194" i="1"/>
  <c r="O200" i="1"/>
  <c r="S348" i="1"/>
  <c r="K580" i="1"/>
  <c r="J589" i="1"/>
  <c r="Q29" i="1"/>
  <c r="W29" i="1"/>
  <c r="M359" i="1"/>
  <c r="M561" i="1"/>
  <c r="M562" i="1" s="1"/>
  <c r="J562" i="1"/>
  <c r="J566" i="1" s="1"/>
  <c r="O223" i="1"/>
  <c r="W223" i="1"/>
  <c r="S76" i="1"/>
  <c r="S80" i="1" s="1"/>
  <c r="M194" i="1"/>
  <c r="M108" i="1"/>
  <c r="M109" i="1" s="1"/>
  <c r="M111" i="1" s="1"/>
  <c r="O109" i="1"/>
  <c r="Q584" i="1"/>
  <c r="M53" i="1"/>
  <c r="O388" i="1"/>
  <c r="W621" i="1"/>
  <c r="U621" i="1"/>
  <c r="Y621" i="1" s="1"/>
  <c r="K88" i="1"/>
  <c r="J277" i="1"/>
  <c r="J284" i="1" s="1"/>
  <c r="O221" i="1"/>
  <c r="W221" i="1" s="1"/>
  <c r="M217" i="1"/>
  <c r="S388" i="1"/>
  <c r="W382" i="1"/>
  <c r="U382" i="1"/>
  <c r="Y382" i="1" s="1"/>
  <c r="Q187" i="1"/>
  <c r="Q191" i="1" s="1"/>
  <c r="W69" i="1"/>
  <c r="U69" i="1"/>
  <c r="K793" i="1"/>
  <c r="J504" i="1"/>
  <c r="W783" i="1"/>
  <c r="U783" i="1"/>
  <c r="Y783" i="1" s="1"/>
  <c r="W482" i="1"/>
  <c r="S492" i="1"/>
  <c r="U482" i="1"/>
  <c r="W187" i="1"/>
  <c r="U187" i="1"/>
  <c r="Q348" i="1"/>
  <c r="W139" i="1"/>
  <c r="U139" i="1"/>
  <c r="J665" i="1"/>
  <c r="J244" i="1"/>
  <c r="U240" i="1"/>
  <c r="M29" i="1"/>
  <c r="M95" i="1"/>
  <c r="M507" i="1"/>
  <c r="Y338" i="1"/>
  <c r="O564" i="1"/>
  <c r="Q564" i="1" s="1"/>
  <c r="S244" i="1"/>
  <c r="S214" i="1"/>
  <c r="O473" i="1"/>
  <c r="W473" i="1"/>
  <c r="W606" i="1"/>
  <c r="U606" i="1"/>
  <c r="S623" i="1"/>
  <c r="K118" i="1"/>
  <c r="O445" i="1"/>
  <c r="O313" i="1"/>
  <c r="Q313" i="1" s="1"/>
  <c r="O168" i="1"/>
  <c r="M168" i="1" s="1"/>
  <c r="K343" i="1"/>
  <c r="O427" i="1"/>
  <c r="K69" i="1"/>
  <c r="S589" i="1"/>
  <c r="W580" i="1"/>
  <c r="U580" i="1"/>
  <c r="K373" i="1"/>
  <c r="Y373" i="1" s="1"/>
  <c r="Q217" i="1"/>
  <c r="Q357" i="1" l="1"/>
  <c r="M239" i="1"/>
  <c r="M240" i="1" s="1"/>
  <c r="Y221" i="1"/>
  <c r="Q834" i="1"/>
  <c r="M117" i="1"/>
  <c r="M118" i="1" s="1"/>
  <c r="M122" i="1" s="1"/>
  <c r="Q585" i="1"/>
  <c r="Q589" i="1" s="1"/>
  <c r="Y240" i="1"/>
  <c r="Y482" i="1"/>
  <c r="Y580" i="1"/>
  <c r="Y464" i="1"/>
  <c r="Q566" i="1"/>
  <c r="W564" i="1"/>
  <c r="M564" i="1"/>
  <c r="M566" i="1" s="1"/>
  <c r="Y118" i="1"/>
  <c r="Y526" i="1"/>
  <c r="Q75" i="1"/>
  <c r="Q76" i="1" s="1"/>
  <c r="B727" i="1"/>
  <c r="B728" i="1" s="1"/>
  <c r="Y109" i="1"/>
  <c r="Y673" i="1"/>
  <c r="Y302" i="1"/>
  <c r="Y155" i="1"/>
  <c r="Q220" i="1"/>
  <c r="Q221" i="1" s="1"/>
  <c r="M363" i="1"/>
  <c r="M375" i="1" s="1"/>
  <c r="Y187" i="1"/>
  <c r="Y551" i="1"/>
  <c r="Y436" i="1"/>
  <c r="K284" i="1"/>
  <c r="W427" i="1"/>
  <c r="U427" i="1"/>
  <c r="Y427" i="1" s="1"/>
  <c r="J51" i="1"/>
  <c r="J55" i="1" s="1"/>
  <c r="Q168" i="1"/>
  <c r="Q473" i="1"/>
  <c r="K665" i="1"/>
  <c r="Y69" i="1"/>
  <c r="O111" i="1"/>
  <c r="O122" i="1" s="1"/>
  <c r="Q223" i="1"/>
  <c r="W200" i="1"/>
  <c r="Q240" i="1"/>
  <c r="K466" i="1"/>
  <c r="M78" i="1"/>
  <c r="W507" i="1"/>
  <c r="Q362" i="1"/>
  <c r="Q363" i="1" s="1"/>
  <c r="Q375" i="1" s="1"/>
  <c r="J443" i="1"/>
  <c r="Q276" i="1"/>
  <c r="Q277" i="1" s="1"/>
  <c r="Q284" i="1" s="1"/>
  <c r="W90" i="1"/>
  <c r="U90" i="1"/>
  <c r="Y90" i="1" s="1"/>
  <c r="O50" i="1"/>
  <c r="O51" i="1" s="1"/>
  <c r="S51" i="1"/>
  <c r="J97" i="1"/>
  <c r="Q242" i="1"/>
  <c r="M313" i="1"/>
  <c r="Q200" i="1"/>
  <c r="O315" i="1"/>
  <c r="M315" i="1" s="1"/>
  <c r="S316" i="1"/>
  <c r="U277" i="1"/>
  <c r="W168" i="1"/>
  <c r="M221" i="1"/>
  <c r="K562" i="1"/>
  <c r="K589" i="1"/>
  <c r="Y749" i="1"/>
  <c r="K44" i="1"/>
  <c r="Y44" i="1" s="1"/>
  <c r="Q507" i="1"/>
  <c r="W118" i="1"/>
  <c r="O566" i="1"/>
  <c r="O442" i="1"/>
  <c r="O443" i="1" s="1"/>
  <c r="S443" i="1"/>
  <c r="W20" i="1"/>
  <c r="U20" i="1"/>
  <c r="Y20" i="1" s="1"/>
  <c r="M242" i="1"/>
  <c r="W309" i="1"/>
  <c r="W438" i="1"/>
  <c r="S447" i="1"/>
  <c r="U438" i="1"/>
  <c r="O96" i="1"/>
  <c r="O97" i="1" s="1"/>
  <c r="O101" i="1" s="1"/>
  <c r="S97" i="1"/>
  <c r="S101" i="1" s="1"/>
  <c r="O277" i="1"/>
  <c r="W277" i="1" s="1"/>
  <c r="O165" i="1"/>
  <c r="O166" i="1" s="1"/>
  <c r="S166" i="1"/>
  <c r="M75" i="1"/>
  <c r="M76" i="1" s="1"/>
  <c r="M80" i="1" s="1"/>
  <c r="K566" i="1"/>
  <c r="J27" i="1"/>
  <c r="Q445" i="1"/>
  <c r="K244" i="1"/>
  <c r="W388" i="1"/>
  <c r="U388" i="1"/>
  <c r="Y388" i="1" s="1"/>
  <c r="U214" i="1"/>
  <c r="Y214" i="1" s="1"/>
  <c r="S225" i="1"/>
  <c r="M223" i="1"/>
  <c r="Y139" i="1"/>
  <c r="U80" i="1"/>
  <c r="M445" i="1"/>
  <c r="Y343" i="1"/>
  <c r="U111" i="1"/>
  <c r="S122" i="1"/>
  <c r="W111" i="1"/>
  <c r="O470" i="1"/>
  <c r="O471" i="1" s="1"/>
  <c r="S471" i="1"/>
  <c r="Y304" i="1"/>
  <c r="O543" i="1"/>
  <c r="U543" i="1"/>
  <c r="U363" i="1"/>
  <c r="Y363" i="1" s="1"/>
  <c r="K111" i="1"/>
  <c r="J122" i="1"/>
  <c r="K159" i="1"/>
  <c r="Y159" i="1" s="1"/>
  <c r="W242" i="1"/>
  <c r="M165" i="1"/>
  <c r="M166" i="1" s="1"/>
  <c r="M170" i="1" s="1"/>
  <c r="J166" i="1"/>
  <c r="J198" i="1"/>
  <c r="Y793" i="1"/>
  <c r="W623" i="1"/>
  <c r="U623" i="1"/>
  <c r="U244" i="1"/>
  <c r="M200" i="1"/>
  <c r="K277" i="1"/>
  <c r="W76" i="1"/>
  <c r="U76" i="1"/>
  <c r="W348" i="1"/>
  <c r="S375" i="1"/>
  <c r="U348" i="1"/>
  <c r="Y348" i="1" s="1"/>
  <c r="B23" i="1"/>
  <c r="U690" i="1"/>
  <c r="W690" i="1"/>
  <c r="M470" i="1"/>
  <c r="M471" i="1" s="1"/>
  <c r="J471" i="1"/>
  <c r="K375" i="1"/>
  <c r="O363" i="1"/>
  <c r="W363" i="1" s="1"/>
  <c r="Y88" i="1"/>
  <c r="M274" i="1"/>
  <c r="M277" i="1" s="1"/>
  <c r="M284" i="1" s="1"/>
  <c r="K690" i="1"/>
  <c r="K438" i="1"/>
  <c r="O240" i="1"/>
  <c r="S509" i="1"/>
  <c r="U492" i="1"/>
  <c r="W492" i="1"/>
  <c r="O26" i="1"/>
  <c r="O27" i="1" s="1"/>
  <c r="S27" i="1"/>
  <c r="S31" i="1" s="1"/>
  <c r="Q117" i="1"/>
  <c r="Q118" i="1" s="1"/>
  <c r="Q122" i="1" s="1"/>
  <c r="W589" i="1"/>
  <c r="U589" i="1"/>
  <c r="Y606" i="1"/>
  <c r="K504" i="1"/>
  <c r="M473" i="1"/>
  <c r="K76" i="1"/>
  <c r="K623" i="1"/>
  <c r="K191" i="1"/>
  <c r="Y191" i="1" s="1"/>
  <c r="J202" i="1"/>
  <c r="J509" i="1"/>
  <c r="K492" i="1"/>
  <c r="Q78" i="1"/>
  <c r="K543" i="1"/>
  <c r="M225" i="1"/>
  <c r="M541" i="1"/>
  <c r="M543" i="1" s="1"/>
  <c r="U504" i="1"/>
  <c r="W504" i="1"/>
  <c r="Y665" i="1"/>
  <c r="J316" i="1"/>
  <c r="S284" i="1"/>
  <c r="O509" i="1"/>
  <c r="W282" i="1"/>
  <c r="U562" i="1"/>
  <c r="W562" i="1"/>
  <c r="K80" i="1"/>
  <c r="W445" i="1"/>
  <c r="M503" i="1"/>
  <c r="M504" i="1" s="1"/>
  <c r="M509" i="1" s="1"/>
  <c r="S475" i="1"/>
  <c r="W466" i="1"/>
  <c r="U466" i="1"/>
  <c r="Y466" i="1" s="1"/>
  <c r="W109" i="1"/>
  <c r="W78" i="1"/>
  <c r="O191" i="1"/>
  <c r="O214" i="1"/>
  <c r="O225" i="1" s="1"/>
  <c r="O80" i="1"/>
  <c r="S566" i="1"/>
  <c r="O197" i="1"/>
  <c r="O198" i="1" s="1"/>
  <c r="S198" i="1"/>
  <c r="Q503" i="1"/>
  <c r="Q504" i="1" s="1"/>
  <c r="Q509" i="1" s="1"/>
  <c r="Y265" i="1"/>
  <c r="Q197" i="1" l="1"/>
  <c r="Q198" i="1" s="1"/>
  <c r="Q202" i="1" s="1"/>
  <c r="Q96" i="1"/>
  <c r="Q97" i="1" s="1"/>
  <c r="Q101" i="1" s="1"/>
  <c r="M244" i="1"/>
  <c r="M475" i="1"/>
  <c r="M197" i="1"/>
  <c r="M198" i="1" s="1"/>
  <c r="M202" i="1" s="1"/>
  <c r="Q80" i="1"/>
  <c r="Q165" i="1"/>
  <c r="Q166" i="1" s="1"/>
  <c r="Q170" i="1" s="1"/>
  <c r="Q225" i="1"/>
  <c r="Y244" i="1"/>
  <c r="B729" i="1"/>
  <c r="B730" i="1" s="1"/>
  <c r="Y492" i="1"/>
  <c r="Q244" i="1"/>
  <c r="Y589" i="1"/>
  <c r="Y438" i="1"/>
  <c r="W101" i="1"/>
  <c r="U101" i="1"/>
  <c r="U31" i="1"/>
  <c r="W566" i="1"/>
  <c r="U566" i="1"/>
  <c r="Y566" i="1" s="1"/>
  <c r="U122" i="1"/>
  <c r="W122" i="1"/>
  <c r="U316" i="1"/>
  <c r="S323" i="1"/>
  <c r="K202" i="1"/>
  <c r="Y111" i="1"/>
  <c r="U447" i="1"/>
  <c r="O31" i="1"/>
  <c r="W31" i="1" s="1"/>
  <c r="O244" i="1"/>
  <c r="W240" i="1"/>
  <c r="O316" i="1"/>
  <c r="W316" i="1" s="1"/>
  <c r="M26" i="1"/>
  <c r="M27" i="1" s="1"/>
  <c r="M31" i="1" s="1"/>
  <c r="Q315" i="1"/>
  <c r="Q316" i="1" s="1"/>
  <c r="Q323" i="1" s="1"/>
  <c r="Q50" i="1"/>
  <c r="Q51" i="1" s="1"/>
  <c r="Q55" i="1" s="1"/>
  <c r="M442" i="1"/>
  <c r="M443" i="1" s="1"/>
  <c r="M447" i="1" s="1"/>
  <c r="B24" i="1"/>
  <c r="K443" i="1"/>
  <c r="K509" i="1"/>
  <c r="Q26" i="1"/>
  <c r="Q27" i="1" s="1"/>
  <c r="Q31" i="1" s="1"/>
  <c r="W225" i="1"/>
  <c r="U225" i="1"/>
  <c r="Y225" i="1" s="1"/>
  <c r="O170" i="1"/>
  <c r="W509" i="1"/>
  <c r="U509" i="1"/>
  <c r="K27" i="1"/>
  <c r="J31" i="1"/>
  <c r="O55" i="1"/>
  <c r="W198" i="1"/>
  <c r="U198" i="1"/>
  <c r="S202" i="1"/>
  <c r="U284" i="1"/>
  <c r="Y284" i="1" s="1"/>
  <c r="J447" i="1"/>
  <c r="O375" i="1"/>
  <c r="U375" i="1"/>
  <c r="Y375" i="1" s="1"/>
  <c r="W375" i="1"/>
  <c r="Y623" i="1"/>
  <c r="U471" i="1"/>
  <c r="W471" i="1"/>
  <c r="O284" i="1"/>
  <c r="W443" i="1"/>
  <c r="U443" i="1"/>
  <c r="K55" i="1"/>
  <c r="M316" i="1"/>
  <c r="M323" i="1" s="1"/>
  <c r="K51" i="1"/>
  <c r="W27" i="1"/>
  <c r="U27" i="1"/>
  <c r="K471" i="1"/>
  <c r="K166" i="1"/>
  <c r="W166" i="1"/>
  <c r="U166" i="1"/>
  <c r="S170" i="1"/>
  <c r="S692" i="1" s="1"/>
  <c r="U475" i="1"/>
  <c r="K316" i="1"/>
  <c r="J323" i="1"/>
  <c r="J170" i="1"/>
  <c r="Q470" i="1"/>
  <c r="Q471" i="1" s="1"/>
  <c r="Q475" i="1" s="1"/>
  <c r="W214" i="1"/>
  <c r="W97" i="1"/>
  <c r="U97" i="1"/>
  <c r="Q442" i="1"/>
  <c r="Q443" i="1" s="1"/>
  <c r="Q447" i="1" s="1"/>
  <c r="J475" i="1"/>
  <c r="M50" i="1"/>
  <c r="M51" i="1" s="1"/>
  <c r="M55" i="1" s="1"/>
  <c r="Y690" i="1"/>
  <c r="Y543" i="1"/>
  <c r="O475" i="1"/>
  <c r="W475" i="1" s="1"/>
  <c r="W80" i="1"/>
  <c r="O447" i="1"/>
  <c r="Y277" i="1"/>
  <c r="K97" i="1"/>
  <c r="J101" i="1"/>
  <c r="U51" i="1"/>
  <c r="W51" i="1"/>
  <c r="S55" i="1"/>
  <c r="O202" i="1"/>
  <c r="W191" i="1"/>
  <c r="Y76" i="1"/>
  <c r="K198" i="1"/>
  <c r="K122" i="1"/>
  <c r="W543" i="1"/>
  <c r="Y80" i="1"/>
  <c r="M96" i="1"/>
  <c r="M97" i="1" s="1"/>
  <c r="M101" i="1" s="1"/>
  <c r="Y27" i="1" l="1"/>
  <c r="B732" i="1"/>
  <c r="B736" i="1" s="1"/>
  <c r="B737" i="1" s="1"/>
  <c r="B735" i="1"/>
  <c r="Y316" i="1"/>
  <c r="Q692" i="1"/>
  <c r="Q836" i="1" s="1"/>
  <c r="Y509" i="1"/>
  <c r="Y51" i="1"/>
  <c r="M692" i="1"/>
  <c r="M836" i="1" s="1"/>
  <c r="J692" i="1"/>
  <c r="J836" i="1" s="1"/>
  <c r="S836" i="1"/>
  <c r="Y198" i="1"/>
  <c r="K170" i="1"/>
  <c r="W447" i="1"/>
  <c r="K475" i="1"/>
  <c r="Y475" i="1" s="1"/>
  <c r="W170" i="1"/>
  <c r="U170" i="1"/>
  <c r="W244" i="1"/>
  <c r="K323" i="1"/>
  <c r="Y166" i="1"/>
  <c r="W284" i="1"/>
  <c r="K31" i="1"/>
  <c r="Y31" i="1" s="1"/>
  <c r="Y122" i="1"/>
  <c r="K101" i="1"/>
  <c r="Y101" i="1" s="1"/>
  <c r="B25" i="1"/>
  <c r="Y97" i="1"/>
  <c r="W202" i="1"/>
  <c r="U202" i="1"/>
  <c r="Y202" i="1" s="1"/>
  <c r="U323" i="1"/>
  <c r="Y323" i="1" s="1"/>
  <c r="W55" i="1"/>
  <c r="U55" i="1"/>
  <c r="Y55" i="1" s="1"/>
  <c r="K447" i="1"/>
  <c r="Y447" i="1" s="1"/>
  <c r="O323" i="1"/>
  <c r="O692" i="1" s="1"/>
  <c r="B738" i="1" l="1"/>
  <c r="B739" i="1"/>
  <c r="Y170" i="1"/>
  <c r="O836" i="1"/>
  <c r="W323" i="1"/>
  <c r="B26" i="1"/>
  <c r="B27" i="1" s="1"/>
  <c r="B29" i="1" s="1"/>
  <c r="B31" i="1" s="1"/>
  <c r="B742" i="1" l="1"/>
  <c r="B743" i="1" s="1"/>
  <c r="B34" i="1"/>
  <c r="B36" i="1" s="1"/>
  <c r="B37" i="1" s="1"/>
  <c r="B38" i="1" s="1"/>
  <c r="B39" i="1" s="1"/>
  <c r="B40" i="1" s="1"/>
  <c r="B41" i="1" s="1"/>
  <c r="B42" i="1" s="1"/>
  <c r="B44" i="1" s="1"/>
  <c r="B47" i="1" s="1"/>
  <c r="B48" i="1" s="1"/>
  <c r="B49" i="1" s="1"/>
  <c r="B50" i="1" s="1"/>
  <c r="B51" i="1" s="1"/>
  <c r="B53" i="1" s="1"/>
  <c r="B55" i="1" s="1"/>
  <c r="B66" i="1" s="1"/>
  <c r="B746" i="1" l="1"/>
  <c r="B747" i="1"/>
  <c r="B749" i="1" s="1"/>
  <c r="B761" i="1" s="1"/>
  <c r="B67" i="1"/>
  <c r="B762" i="1" l="1"/>
  <c r="B68" i="1"/>
  <c r="B763" i="1" l="1"/>
  <c r="B764" i="1" s="1"/>
  <c r="B69" i="1"/>
  <c r="B765" i="1" l="1"/>
  <c r="B72" i="1"/>
  <c r="B770" i="1" l="1"/>
  <c r="B771" i="1" s="1"/>
  <c r="B73" i="1"/>
  <c r="B772" i="1" l="1"/>
  <c r="B773" i="1" s="1"/>
  <c r="B74" i="1"/>
  <c r="B777" i="1" l="1"/>
  <c r="B778" i="1" s="1"/>
  <c r="B75" i="1"/>
  <c r="B780" i="1" l="1"/>
  <c r="B781" i="1" s="1"/>
  <c r="B783" i="1" s="1"/>
  <c r="B786" i="1" s="1"/>
  <c r="B787" i="1" s="1"/>
  <c r="B788" i="1" s="1"/>
  <c r="B76" i="1"/>
  <c r="B78" i="1" s="1"/>
  <c r="B80" i="1" s="1"/>
  <c r="B83" i="1" s="1"/>
  <c r="B84" i="1" s="1"/>
  <c r="B86" i="1" s="1"/>
  <c r="B87" i="1" s="1"/>
  <c r="B88" i="1" s="1"/>
  <c r="B90" i="1" s="1"/>
  <c r="B93" i="1" s="1"/>
  <c r="B94" i="1" s="1"/>
  <c r="B95" i="1" s="1"/>
  <c r="B96" i="1" s="1"/>
  <c r="B97" i="1" s="1"/>
  <c r="B99" i="1" s="1"/>
  <c r="B101" i="1" s="1"/>
  <c r="B104" i="1" s="1"/>
  <c r="B789" i="1" l="1"/>
  <c r="B105" i="1"/>
  <c r="B790" i="1"/>
  <c r="B791" i="1" s="1"/>
  <c r="B793" i="1" s="1"/>
  <c r="B795" i="1" l="1"/>
  <c r="B798" i="1" s="1"/>
  <c r="B107" i="1"/>
  <c r="B108" i="1" s="1"/>
  <c r="B109" i="1" s="1"/>
  <c r="B799" i="1" l="1"/>
  <c r="B111" i="1"/>
  <c r="B114" i="1" s="1"/>
  <c r="B115" i="1" s="1"/>
  <c r="B801" i="1" l="1"/>
  <c r="B116" i="1"/>
  <c r="B117" i="1" l="1"/>
  <c r="B802" i="1"/>
  <c r="B803" i="1"/>
  <c r="B804" i="1" l="1"/>
  <c r="B805" i="1" s="1"/>
  <c r="B118" i="1"/>
  <c r="B120" i="1" s="1"/>
  <c r="B122" i="1" s="1"/>
  <c r="B133" i="1" s="1"/>
  <c r="B134" i="1" s="1"/>
  <c r="B135" i="1" s="1"/>
  <c r="B137" i="1" s="1"/>
  <c r="B139" i="1" s="1"/>
  <c r="B142" i="1" s="1"/>
  <c r="B145" i="1" l="1"/>
  <c r="B807" i="1"/>
  <c r="B808" i="1" l="1"/>
  <c r="B809" i="1" s="1"/>
  <c r="B811" i="1" s="1"/>
  <c r="B822" i="1" s="1"/>
  <c r="B824" i="1" s="1"/>
  <c r="B825" i="1" s="1"/>
  <c r="B826" i="1" s="1"/>
  <c r="B828" i="1" s="1"/>
  <c r="B830" i="1" s="1"/>
  <c r="B146" i="1"/>
  <c r="B832" i="1" l="1"/>
  <c r="B834" i="1" s="1"/>
  <c r="B836" i="1" s="1"/>
  <c r="B147" i="1"/>
  <c r="B148" i="1" l="1"/>
  <c r="B152" i="1" l="1"/>
  <c r="B153" i="1" s="1"/>
  <c r="B154" i="1" s="1"/>
  <c r="B155" i="1" l="1"/>
  <c r="B157" i="1" s="1"/>
  <c r="B159" i="1" l="1"/>
  <c r="B162" i="1" s="1"/>
  <c r="B163" i="1" s="1"/>
  <c r="B164" i="1" s="1"/>
  <c r="B165" i="1" s="1"/>
  <c r="B166" i="1" s="1"/>
  <c r="B168" i="1" s="1"/>
  <c r="B170" i="1" s="1"/>
  <c r="B181" i="1" s="1"/>
  <c r="B182" i="1" s="1"/>
  <c r="B184" i="1" l="1"/>
  <c r="B185" i="1" s="1"/>
  <c r="B186" i="1" s="1"/>
  <c r="B187" i="1" s="1"/>
  <c r="B189" i="1" s="1"/>
  <c r="B191" i="1" s="1"/>
  <c r="B194" i="1" s="1"/>
  <c r="B195" i="1" s="1"/>
  <c r="B196" i="1" s="1"/>
  <c r="B197" i="1" s="1"/>
  <c r="B198" i="1" s="1"/>
  <c r="B200" i="1" s="1"/>
  <c r="B202" i="1" s="1"/>
  <c r="B205" i="1" s="1"/>
  <c r="B206" i="1" l="1"/>
  <c r="B208" i="1" s="1"/>
  <c r="B209" i="1" l="1"/>
  <c r="B210" i="1" s="1"/>
  <c r="B212" i="1" l="1"/>
  <c r="B214" i="1" l="1"/>
  <c r="B217" i="1" s="1"/>
  <c r="B218" i="1" l="1"/>
  <c r="B219" i="1" l="1"/>
  <c r="B220" i="1" l="1"/>
  <c r="B221" i="1" s="1"/>
  <c r="B223" i="1" s="1"/>
  <c r="B225" i="1" l="1"/>
  <c r="B228" i="1" s="1"/>
  <c r="B229" i="1" s="1"/>
  <c r="B230" i="1" s="1"/>
  <c r="B231" i="1" s="1"/>
  <c r="B233" i="1" s="1"/>
  <c r="B236" i="1" s="1"/>
  <c r="B237" i="1" s="1"/>
  <c r="B238" i="1" s="1"/>
  <c r="B239" i="1" s="1"/>
  <c r="B240" i="1" s="1"/>
  <c r="B242" i="1" s="1"/>
  <c r="B244" i="1" s="1"/>
  <c r="B256" i="1" s="1"/>
  <c r="B258" i="1" l="1"/>
  <c r="B259" i="1" l="1"/>
  <c r="B260" i="1" s="1"/>
  <c r="B261" i="1" l="1"/>
  <c r="B262" i="1"/>
  <c r="B263" i="1" l="1"/>
  <c r="B265" i="1" l="1"/>
  <c r="B268" i="1" l="1"/>
  <c r="B269" i="1" s="1"/>
  <c r="B270" i="1" l="1"/>
  <c r="B273" i="1"/>
  <c r="B274" i="1" s="1"/>
  <c r="B275" i="1" s="1"/>
  <c r="B276" i="1" s="1"/>
  <c r="B277" i="1" s="1"/>
  <c r="B280" i="1" s="1"/>
  <c r="B281" i="1" s="1"/>
  <c r="B282" i="1" s="1"/>
  <c r="B284" i="1" s="1"/>
  <c r="B295" i="1" s="1"/>
  <c r="B297" i="1" s="1"/>
  <c r="B298" i="1" s="1"/>
  <c r="B299" i="1" s="1"/>
  <c r="B300" i="1" s="1"/>
  <c r="B301" i="1" s="1"/>
  <c r="B302" i="1" s="1"/>
  <c r="B304" i="1" s="1"/>
  <c r="B307" i="1" s="1"/>
  <c r="B308" i="1" s="1"/>
  <c r="B309" i="1" s="1"/>
  <c r="B312" i="1" s="1"/>
  <c r="B313" i="1" s="1"/>
  <c r="B314" i="1" s="1"/>
  <c r="B315" i="1" s="1"/>
  <c r="B316" i="1" s="1"/>
  <c r="B319" i="1" s="1"/>
  <c r="B320" i="1" s="1"/>
  <c r="B321" i="1" s="1"/>
  <c r="B323" i="1" s="1"/>
  <c r="B334" i="1" s="1"/>
  <c r="B336" i="1" l="1"/>
  <c r="B337" i="1" l="1"/>
  <c r="B338" i="1" s="1"/>
  <c r="B341" i="1" l="1"/>
  <c r="B342" i="1" s="1"/>
  <c r="B343" i="1"/>
  <c r="B345" i="1" s="1"/>
  <c r="B346" i="1" l="1"/>
  <c r="B348" i="1"/>
  <c r="B351" i="1" l="1"/>
  <c r="B352" i="1" l="1"/>
  <c r="B354" i="1" s="1"/>
  <c r="B355" i="1" s="1"/>
  <c r="B356" i="1" s="1"/>
  <c r="B357" i="1" s="1"/>
  <c r="B359" i="1" l="1"/>
  <c r="B360" i="1" s="1"/>
  <c r="B361" i="1" s="1"/>
  <c r="B362" i="1" s="1"/>
  <c r="B366" i="1" s="1"/>
  <c r="B367" i="1" s="1"/>
  <c r="B368" i="1" s="1"/>
  <c r="B371" i="1" s="1"/>
  <c r="B372" i="1" s="1"/>
  <c r="B373" i="1" s="1"/>
  <c r="B375" i="1" s="1"/>
  <c r="B378" i="1" s="1"/>
  <c r="B379" i="1" s="1"/>
  <c r="B380" i="1" s="1"/>
  <c r="B381" i="1" s="1"/>
  <c r="B382" i="1" s="1"/>
  <c r="B386" i="1" s="1"/>
  <c r="B388" i="1" s="1"/>
  <c r="B399" i="1" s="1"/>
  <c r="B400" i="1" s="1"/>
  <c r="B401" i="1" s="1"/>
  <c r="B402" i="1" s="1"/>
  <c r="B403" i="1" s="1"/>
  <c r="B405" i="1" s="1"/>
  <c r="B408" i="1" s="1"/>
  <c r="B409" i="1" s="1"/>
  <c r="B411" i="1" s="1"/>
  <c r="B412" i="1" s="1"/>
  <c r="B413" i="1" s="1"/>
  <c r="B414" i="1" s="1"/>
  <c r="B416" i="1" s="1"/>
  <c r="B417" i="1" s="1"/>
  <c r="B418" i="1" s="1"/>
  <c r="B419" i="1" s="1"/>
  <c r="B420" i="1" s="1"/>
  <c r="B423" i="1" s="1"/>
  <c r="B424" i="1" s="1"/>
  <c r="B425" i="1" s="1"/>
  <c r="B427" i="1" s="1"/>
  <c r="B431" i="1" s="1"/>
  <c r="B433" i="1" l="1"/>
  <c r="B434" i="1" l="1"/>
  <c r="B435" i="1" l="1"/>
  <c r="B436" i="1" l="1"/>
  <c r="B438" i="1" l="1"/>
  <c r="B441" i="1" l="1"/>
  <c r="B442" i="1" s="1"/>
  <c r="B443" i="1" l="1"/>
  <c r="B445" i="1" s="1"/>
  <c r="B447" i="1" s="1"/>
  <c r="B458" i="1" s="1"/>
  <c r="B460" i="1"/>
  <c r="B461" i="1" s="1"/>
  <c r="B462" i="1" s="1"/>
  <c r="B463" i="1" s="1"/>
  <c r="B464" i="1" s="1"/>
  <c r="B466" i="1" s="1"/>
  <c r="B469" i="1" s="1"/>
  <c r="B470" i="1" s="1"/>
  <c r="B471" i="1" s="1"/>
  <c r="B473" i="1" s="1"/>
  <c r="B475" i="1" s="1"/>
  <c r="B479" i="1" s="1"/>
  <c r="B480" i="1" l="1"/>
  <c r="B481" i="1" l="1"/>
  <c r="B482" i="1" l="1"/>
  <c r="B485" i="1" l="1"/>
  <c r="B486" i="1" l="1"/>
  <c r="B487" i="1"/>
  <c r="B489" i="1"/>
  <c r="B490" i="1" l="1"/>
  <c r="B492" i="1" s="1"/>
  <c r="B495" i="1" l="1"/>
  <c r="B496" i="1"/>
  <c r="B497" i="1" s="1"/>
  <c r="B499" i="1" s="1"/>
  <c r="B502" i="1" s="1"/>
  <c r="B503" i="1" s="1"/>
  <c r="B504" i="1" s="1"/>
  <c r="B506" i="1" s="1"/>
  <c r="B507" i="1" s="1"/>
  <c r="B509" i="1" s="1"/>
  <c r="B520" i="1" s="1"/>
  <c r="B521" i="1" s="1"/>
  <c r="B522" i="1" s="1"/>
  <c r="B523" i="1" s="1"/>
  <c r="B524" i="1" s="1"/>
  <c r="B526" i="1" s="1"/>
  <c r="B529" i="1" s="1"/>
  <c r="B530" i="1" s="1"/>
  <c r="B531" i="1" s="1"/>
  <c r="B533" i="1" s="1"/>
  <c r="B536" i="1" s="1"/>
  <c r="B537" i="1" s="1"/>
  <c r="B538" i="1" s="1"/>
  <c r="B540" i="1" s="1"/>
  <c r="B541" i="1" s="1"/>
  <c r="B543" i="1" s="1"/>
  <c r="B547" i="1" s="1"/>
  <c r="B548" i="1" l="1"/>
  <c r="B549" i="1" l="1"/>
  <c r="B551" i="1" s="1"/>
  <c r="B554" i="1" s="1"/>
  <c r="B555" i="1" l="1"/>
  <c r="B557" i="1" l="1"/>
  <c r="B560" i="1" l="1"/>
  <c r="B561" i="1" l="1"/>
  <c r="B562" i="1" s="1"/>
  <c r="B564" i="1" l="1"/>
  <c r="B566" i="1" l="1"/>
  <c r="B578" i="1" s="1"/>
  <c r="B579" i="1" s="1"/>
  <c r="B580" i="1" s="1"/>
  <c r="B583" i="1" s="1"/>
  <c r="B584" i="1" s="1"/>
  <c r="B585" i="1" s="1"/>
  <c r="B587" i="1" s="1"/>
  <c r="B589" i="1" s="1"/>
  <c r="B592" i="1" s="1"/>
  <c r="B595" i="1" s="1"/>
  <c r="B596" i="1" s="1"/>
  <c r="B598" i="1" s="1"/>
  <c r="B599" i="1" s="1"/>
  <c r="B601" i="1" s="1"/>
  <c r="B602" i="1" s="1"/>
  <c r="B604" i="1" s="1"/>
  <c r="B606" i="1" s="1"/>
  <c r="B610" i="1" s="1"/>
  <c r="B612" i="1" s="1"/>
  <c r="B613" i="1" s="1"/>
  <c r="B614" i="1" s="1"/>
  <c r="B615" i="1" s="1"/>
  <c r="B617" i="1" s="1"/>
  <c r="B619" i="1" s="1"/>
  <c r="B621" i="1" s="1"/>
  <c r="B623" i="1" s="1"/>
  <c r="B634" i="1" s="1"/>
  <c r="B637" i="1" l="1"/>
  <c r="B638" i="1" l="1"/>
  <c r="B640" i="1" s="1"/>
  <c r="B641" i="1" l="1"/>
  <c r="B643" i="1" l="1"/>
  <c r="B644" i="1" l="1"/>
  <c r="B646" i="1" s="1"/>
  <c r="B648" i="1" s="1"/>
  <c r="B652" i="1" l="1"/>
  <c r="B654" i="1" s="1"/>
  <c r="B655" i="1" l="1"/>
  <c r="B656" i="1" l="1"/>
  <c r="B657" i="1" s="1"/>
  <c r="B659" i="1" s="1"/>
  <c r="B661" i="1" s="1"/>
  <c r="B663" i="1" s="1"/>
  <c r="B665" i="1" s="1"/>
  <c r="B668" i="1" s="1"/>
  <c r="B670" i="1" s="1"/>
  <c r="B671" i="1" s="1"/>
  <c r="B672" i="1" s="1"/>
  <c r="B673" i="1" s="1"/>
  <c r="B677" i="1" s="1"/>
  <c r="B679" i="1" s="1"/>
  <c r="B680" i="1" s="1"/>
  <c r="B681" i="1" s="1"/>
  <c r="B682" i="1" s="1"/>
  <c r="B684" i="1" s="1"/>
  <c r="B686" i="1" s="1"/>
  <c r="B688" i="1" s="1"/>
  <c r="B690" i="1" s="1"/>
  <c r="B692" i="1" s="1"/>
</calcChain>
</file>

<file path=xl/sharedStrings.xml><?xml version="1.0" encoding="utf-8"?>
<sst xmlns="http://schemas.openxmlformats.org/spreadsheetml/2006/main" count="1446" uniqueCount="297">
  <si>
    <t>Derivation of Proposed Rates and Revenue by Rate Class - Current Rate Zones</t>
  </si>
  <si>
    <t>In-franchise</t>
  </si>
  <si>
    <t>Current Approved</t>
  </si>
  <si>
    <t>Proposed 2024</t>
  </si>
  <si>
    <t>Line</t>
  </si>
  <si>
    <t>Billing</t>
  </si>
  <si>
    <t xml:space="preserve">2024 
Forecast </t>
  </si>
  <si>
    <t>Revenue</t>
  </si>
  <si>
    <t>Rates 
(1) (2)</t>
  </si>
  <si>
    <t>Revenue (Deficiency) / Sufficiency</t>
  </si>
  <si>
    <t>Revenue Requirement (3)</t>
  </si>
  <si>
    <t>Revenue (Deficiency) / Sufficiency (4)</t>
  </si>
  <si>
    <t>Rates</t>
  </si>
  <si>
    <t>Revenue-
to-Cost</t>
  </si>
  <si>
    <t>Rate 
Change</t>
  </si>
  <si>
    <t>No.</t>
  </si>
  <si>
    <t>Particulars</t>
  </si>
  <si>
    <t>Units</t>
  </si>
  <si>
    <t>Usage</t>
  </si>
  <si>
    <t>($000s)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</si>
  <si>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</si>
  <si>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Ratios</t>
  </si>
  <si>
    <t>(%)</t>
  </si>
  <si>
    <t>(a)</t>
  </si>
  <si>
    <t>(b)</t>
  </si>
  <si>
    <t xml:space="preserve">(c) </t>
  </si>
  <si>
    <t>(d) = (b - e)</t>
  </si>
  <si>
    <t>(e)</t>
  </si>
  <si>
    <t>(f) = (g - e)</t>
  </si>
  <si>
    <t>(g)</t>
  </si>
  <si>
    <t>(h)</t>
  </si>
  <si>
    <t>(i) = (g / e)</t>
  </si>
  <si>
    <t>(j) = (h - c) / (c)</t>
  </si>
  <si>
    <t>EGD Rate Zone</t>
  </si>
  <si>
    <t>Rate 1</t>
  </si>
  <si>
    <t>Monthly Customer Charge</t>
  </si>
  <si>
    <t>bills</t>
  </si>
  <si>
    <t>Delivery Commodity Charge</t>
  </si>
  <si>
    <t>First     30 m³</t>
  </si>
  <si>
    <t>10³m³</t>
  </si>
  <si>
    <t>Next     55 m³</t>
  </si>
  <si>
    <t>Next     85 m³</t>
  </si>
  <si>
    <t>Over  170 m³</t>
  </si>
  <si>
    <t>Total Delivery</t>
  </si>
  <si>
    <t>Gas Supply Transportation Charge</t>
  </si>
  <si>
    <t>Transportation - System</t>
  </si>
  <si>
    <t>Transportation - Dawn</t>
  </si>
  <si>
    <t>Transportation - Western</t>
  </si>
  <si>
    <t>Transportation - Ontario</t>
  </si>
  <si>
    <t>Gas Supply Commodity Charge</t>
  </si>
  <si>
    <t>Total Rate 1</t>
  </si>
  <si>
    <t>Rate 6</t>
  </si>
  <si>
    <t>First      500 m³</t>
  </si>
  <si>
    <t>Next      1,050 m³</t>
  </si>
  <si>
    <t>Next    4,500 m³</t>
  </si>
  <si>
    <t>Next    7,000 m³</t>
  </si>
  <si>
    <t>Next    15,250 m³</t>
  </si>
  <si>
    <t>Over  28,300 m³</t>
  </si>
  <si>
    <t>Total Rate 6</t>
  </si>
  <si>
    <t xml:space="preserve">In-franchise </t>
  </si>
  <si>
    <t>Rate 100</t>
  </si>
  <si>
    <t>Delivery Contract Demand Charge</t>
  </si>
  <si>
    <t>10³m³/d</t>
  </si>
  <si>
    <t>Total Rate 100</t>
  </si>
  <si>
    <t>Rate 110</t>
  </si>
  <si>
    <t>First 1,000,000 m³</t>
  </si>
  <si>
    <t>For all over 1,000,000 m³</t>
  </si>
  <si>
    <t>Total Rate 110</t>
  </si>
  <si>
    <t>Rate 115</t>
  </si>
  <si>
    <t>Total Rate 115</t>
  </si>
  <si>
    <t>Rate 125</t>
  </si>
  <si>
    <t>Customer Supplied Fuel (UFG)</t>
  </si>
  <si>
    <t>Total Rate 125</t>
  </si>
  <si>
    <t>Rate 135</t>
  </si>
  <si>
    <t>Winter</t>
  </si>
  <si>
    <t xml:space="preserve">   First             14,000 m³</t>
  </si>
  <si>
    <t xml:space="preserve">   Next             28,000 m³</t>
  </si>
  <si>
    <t xml:space="preserve">   For all over    42,000 m³</t>
  </si>
  <si>
    <t>Summer</t>
  </si>
  <si>
    <t>Seasonal Credits</t>
  </si>
  <si>
    <t>Total Rate 135</t>
  </si>
  <si>
    <t>Rate 145</t>
  </si>
  <si>
    <t>Curtailment Credits</t>
  </si>
  <si>
    <t>Total Rate 145</t>
  </si>
  <si>
    <t>Rate 170</t>
  </si>
  <si>
    <t>Total Rate 170</t>
  </si>
  <si>
    <t>Rate 200</t>
  </si>
  <si>
    <t>Total Rate 200</t>
  </si>
  <si>
    <t>Union North Rate Zone</t>
  </si>
  <si>
    <t>Rate 01</t>
  </si>
  <si>
    <t>First     100 m³</t>
  </si>
  <si>
    <t>Next     200 m³</t>
  </si>
  <si>
    <t>Next     500 m³</t>
  </si>
  <si>
    <t>Over  1,000 m³</t>
  </si>
  <si>
    <t>Storage Commodity Charge</t>
  </si>
  <si>
    <t>Storage Commodity - North West</t>
  </si>
  <si>
    <t>Storage Commodity - North East</t>
  </si>
  <si>
    <t>Transportation - System - North West</t>
  </si>
  <si>
    <t>Transportation - System - North East</t>
  </si>
  <si>
    <t>Transportation - Bundled - North West</t>
  </si>
  <si>
    <t>Transportation - Bundled - North East</t>
  </si>
  <si>
    <t>Gas Supply Commodity - North West</t>
  </si>
  <si>
    <t>Gas Supply Commodity - North East</t>
  </si>
  <si>
    <t>Total Rate 01</t>
  </si>
  <si>
    <t>Rate 10</t>
  </si>
  <si>
    <t>First      1,000 m³</t>
  </si>
  <si>
    <t>Next      9,000 m³</t>
  </si>
  <si>
    <t>Next    20,000 m³</t>
  </si>
  <si>
    <t>Next    70,000 m³</t>
  </si>
  <si>
    <t>Over  100,000 m³</t>
  </si>
  <si>
    <t>Total Rate 10</t>
  </si>
  <si>
    <t>Rate 20</t>
  </si>
  <si>
    <t>First        70,000 m³</t>
  </si>
  <si>
    <t>All over   70,000 m³</t>
  </si>
  <si>
    <t>First      852,000 m³</t>
  </si>
  <si>
    <t>All over 852,000 m³</t>
  </si>
  <si>
    <t>MAV Charge</t>
  </si>
  <si>
    <t>Transportation Account Charge</t>
  </si>
  <si>
    <t>Gas Supply Demand Charge</t>
  </si>
  <si>
    <t>North West</t>
  </si>
  <si>
    <t>North East</t>
  </si>
  <si>
    <t>Commodity Transportation 1</t>
  </si>
  <si>
    <t>System - North West</t>
  </si>
  <si>
    <t>System - North East</t>
  </si>
  <si>
    <t>Bundled - North West</t>
  </si>
  <si>
    <t>Bundled - North East</t>
  </si>
  <si>
    <t>Commodity Transportation 2</t>
  </si>
  <si>
    <t>Gas Supply Transportation Charges</t>
  </si>
  <si>
    <t>Unbundled Storage</t>
  </si>
  <si>
    <t>Storage Demand ($/GJ)</t>
  </si>
  <si>
    <t>GJ/d</t>
  </si>
  <si>
    <t>Storage Commodity ($/GJ)</t>
  </si>
  <si>
    <t>GJ</t>
  </si>
  <si>
    <t>Total Rate 20</t>
  </si>
  <si>
    <t>Rate 25</t>
  </si>
  <si>
    <t>Delivery Commodity Charge (average)</t>
  </si>
  <si>
    <t>MAV (average)</t>
  </si>
  <si>
    <t>Total Rate 25</t>
  </si>
  <si>
    <t>Union South Rate Zone</t>
  </si>
  <si>
    <t>Rate M1</t>
  </si>
  <si>
    <t>First              100 m³</t>
  </si>
  <si>
    <t>Next              150 m³</t>
  </si>
  <si>
    <t>All over         250 m³</t>
  </si>
  <si>
    <t>Total Rate M1</t>
  </si>
  <si>
    <t>Rate M2</t>
  </si>
  <si>
    <t>First              1,000 m³</t>
  </si>
  <si>
    <t>Next              6,000 m³</t>
  </si>
  <si>
    <t>Next            13,000 m³</t>
  </si>
  <si>
    <t>All over       20,000 m³</t>
  </si>
  <si>
    <t>Total Rate M2</t>
  </si>
  <si>
    <t>Rate M4</t>
  </si>
  <si>
    <t>First           8,450 m³</t>
  </si>
  <si>
    <t>Next         19,700 m³</t>
  </si>
  <si>
    <t>All over    28,150 m³</t>
  </si>
  <si>
    <t>First Block</t>
  </si>
  <si>
    <t>All remaining use</t>
  </si>
  <si>
    <t>Firm MAV</t>
  </si>
  <si>
    <t>Unauthorized Overrun</t>
  </si>
  <si>
    <t>Total Delivery - Firm</t>
  </si>
  <si>
    <t>Interruptible Contracts</t>
  </si>
  <si>
    <t>Interruptible MAV</t>
  </si>
  <si>
    <t>Total Delivery - Interruptible</t>
  </si>
  <si>
    <t>Gas Supply MAV</t>
  </si>
  <si>
    <t>Total Rate M4</t>
  </si>
  <si>
    <t>Rate M5</t>
  </si>
  <si>
    <t>Days Use Discount - 75 days</t>
  </si>
  <si>
    <t>Days Use Discount - up to 275 days</t>
  </si>
  <si>
    <t>Firm Contracts</t>
  </si>
  <si>
    <t>Total Rate M5</t>
  </si>
  <si>
    <t>Rate M7</t>
  </si>
  <si>
    <t>Interruptible MAV (average)</t>
  </si>
  <si>
    <t>Total Rate M7</t>
  </si>
  <si>
    <t>Rate M9</t>
  </si>
  <si>
    <t>Total Rate M9</t>
  </si>
  <si>
    <t>Rate T1</t>
  </si>
  <si>
    <r>
      <t>Transportation 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</si>
  <si>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Demand</t>
  </si>
  <si>
    <t>First            28,150 m³</t>
  </si>
  <si>
    <t>Next         112,720 m³</t>
  </si>
  <si>
    <t>Commodity</t>
  </si>
  <si>
    <t>Transportation Commodity - Firm</t>
  </si>
  <si>
    <t>Transportation Commodity - IT</t>
  </si>
  <si>
    <t>MAV - Firm</t>
  </si>
  <si>
    <t>MAV - Interruptible (average)</t>
  </si>
  <si>
    <t>Customer Supplied Fuel - Transportation</t>
  </si>
  <si>
    <t>Total Transportation</t>
  </si>
  <si>
    <t>Storage ($/GJ's)</t>
  </si>
  <si>
    <t>Monthly Demand Charges:</t>
  </si>
  <si>
    <t>Firm Space</t>
  </si>
  <si>
    <t>GJ/d/mth</t>
  </si>
  <si>
    <t>Firm Injection/Withdrawal Right</t>
  </si>
  <si>
    <t>Union provides deliverability inventory</t>
  </si>
  <si>
    <t>Customer provides deliverability inventory</t>
  </si>
  <si>
    <t>Firm incremental injection</t>
  </si>
  <si>
    <t xml:space="preserve">Interruptible withdrawal </t>
  </si>
  <si>
    <t>Commodity:</t>
  </si>
  <si>
    <t>Storage Commodity</t>
  </si>
  <si>
    <t>Customer Supplied Fuel - Storage</t>
  </si>
  <si>
    <t>Total Storage</t>
  </si>
  <si>
    <t>Total Rate T1</t>
  </si>
  <si>
    <t>Rate T2</t>
  </si>
  <si>
    <t>First            140,870 m³</t>
  </si>
  <si>
    <t>All Over      140,870 m³</t>
  </si>
  <si>
    <t>Total Rate T2</t>
  </si>
  <si>
    <t>Rate T3</t>
  </si>
  <si>
    <t>Transportation Commodity</t>
  </si>
  <si>
    <t>Total Rate T3</t>
  </si>
  <si>
    <t>Total In-franchise</t>
  </si>
  <si>
    <t>Notes:</t>
  </si>
  <si>
    <t xml:space="preserve">(1) </t>
  </si>
  <si>
    <t>Current approved revenue at July 2024 QRAM rates.</t>
  </si>
  <si>
    <t xml:space="preserve">(2) </t>
  </si>
  <si>
    <t>Union South and Union North East gas supply commodity rates include adjustment to include Rider C, as described at Phase 3 Exhibit 7, Tab 1, Schedule 1, Section 4.</t>
  </si>
  <si>
    <t xml:space="preserve">(3) </t>
  </si>
  <si>
    <t>Revenue requirement by rate component for each rate class provided at Phase 3 Exhibit 7, Tab 3, Schedule 7, Attachment 13.</t>
  </si>
  <si>
    <t xml:space="preserve">(4) </t>
  </si>
  <si>
    <t>Allocation of S&amp;T Margin and other rate design adjustments.</t>
  </si>
  <si>
    <t>Ex-franchise</t>
  </si>
  <si>
    <t xml:space="preserve">Rates 
(1) </t>
  </si>
  <si>
    <t>Revenue Requirement (2)</t>
  </si>
  <si>
    <t>Revenue (Deficiency) / Sufficiency (3)</t>
  </si>
  <si>
    <t>($/GJ)</t>
  </si>
  <si>
    <t>Rate 331</t>
  </si>
  <si>
    <t>Tecumseh Transportation Service</t>
  </si>
  <si>
    <t>Firm Demand Charge</t>
  </si>
  <si>
    <t>Interruptible Charge</t>
  </si>
  <si>
    <t>Total Rate 331</t>
  </si>
  <si>
    <t>Rate 332</t>
  </si>
  <si>
    <t>Monthly Contract Demand</t>
  </si>
  <si>
    <t>Total Rate 332</t>
  </si>
  <si>
    <t>Rate 401</t>
  </si>
  <si>
    <t>Service Fee</t>
  </si>
  <si>
    <t>Rate M12/C1 Dawn to Parkway</t>
  </si>
  <si>
    <t>Rate M12 Demand Charges</t>
  </si>
  <si>
    <t>Dawn to Parkway</t>
  </si>
  <si>
    <t>- F24-T</t>
  </si>
  <si>
    <t>Dawn to Kirkwall</t>
  </si>
  <si>
    <t>Kirkwall to Parkway</t>
  </si>
  <si>
    <t xml:space="preserve">M12-X </t>
  </si>
  <si>
    <t>- Between Dawn, Kirkwall and Parkway</t>
  </si>
  <si>
    <t>Rate C1 Dawn Parkway Demand Charges</t>
  </si>
  <si>
    <t xml:space="preserve">Dawn to Parkway </t>
  </si>
  <si>
    <t xml:space="preserve">Parkway to Dawn/Kirkwall </t>
  </si>
  <si>
    <t>Kirkwall to Dawn</t>
  </si>
  <si>
    <t>Rate M12 Commodity Charges</t>
  </si>
  <si>
    <t>Easterly - Shipper Supplied Fuel</t>
  </si>
  <si>
    <t>Westerly - Shipper Supplied Fuel</t>
  </si>
  <si>
    <t>Rate C1 Dawn Parkway Commodity Charges</t>
  </si>
  <si>
    <t>Total Rate M12/C1 Dawn Parkway</t>
  </si>
  <si>
    <t xml:space="preserve">Ex-franchise </t>
  </si>
  <si>
    <t>Rate C1</t>
  </si>
  <si>
    <t>Firm Demand Charges</t>
  </si>
  <si>
    <t>From Dawn to St.Clair, Bluewater, and Ojibway</t>
  </si>
  <si>
    <t xml:space="preserve">To Dawn from St.Clair, Bluewater, and Ojibway </t>
  </si>
  <si>
    <t>Dawn to Dawn-Vector</t>
  </si>
  <si>
    <t>Dawn to Dawn-TCPL</t>
  </si>
  <si>
    <t>Commodity Charges</t>
  </si>
  <si>
    <t>Easterly</t>
  </si>
  <si>
    <t>Shipper Supplied Fuel</t>
  </si>
  <si>
    <t>Dawn to Dawn TCPL</t>
  </si>
  <si>
    <t>Dawn to Dawn Vector</t>
  </si>
  <si>
    <t xml:space="preserve">Ojibway to Dawn </t>
  </si>
  <si>
    <t xml:space="preserve">Bluewater to Dawn </t>
  </si>
  <si>
    <t>Westerly</t>
  </si>
  <si>
    <t>Parkway to Kirkwall</t>
  </si>
  <si>
    <t>Short-term Transportation</t>
  </si>
  <si>
    <t>Short-term Transportation - Utility Supplied Fuel</t>
  </si>
  <si>
    <t>Rate M13</t>
  </si>
  <si>
    <t>Monthly Fixed Charge - Typical</t>
  </si>
  <si>
    <t>Monthly Fixed Charge - Large</t>
  </si>
  <si>
    <t>RNG Sampling Charge</t>
  </si>
  <si>
    <t>per use</t>
  </si>
  <si>
    <t>Transmission Commodity Charge</t>
  </si>
  <si>
    <t>Commodity - Utility Supplied Fuel</t>
  </si>
  <si>
    <t>Commodity - Shipper Supplied Fuel</t>
  </si>
  <si>
    <t>Monthly Fixed Charge - Ontario Producers</t>
  </si>
  <si>
    <t>Rate M16</t>
  </si>
  <si>
    <t>Monthly Fixed Charge</t>
  </si>
  <si>
    <t>Charges West of Dawn</t>
  </si>
  <si>
    <t xml:space="preserve">  Firm Demand Charge</t>
  </si>
  <si>
    <t xml:space="preserve">  Utility Supplied Fuel to Dawn</t>
  </si>
  <si>
    <t xml:space="preserve">  Utility Supplied Fuel to Pool</t>
  </si>
  <si>
    <t xml:space="preserve">  Shipper Supplied Fuel to Dawn</t>
  </si>
  <si>
    <t xml:space="preserve">  Shipper Supplied Fuel to Pool</t>
  </si>
  <si>
    <t>Charges East of Dawn</t>
  </si>
  <si>
    <t>Rate M17 Wholesale Transportation Service</t>
  </si>
  <si>
    <t>Dawn to Delivery Area</t>
  </si>
  <si>
    <t>Kirkwall to Delivery Area or Dawn</t>
  </si>
  <si>
    <t>Parkway (TCPL) to Delivery Area or Dawn</t>
  </si>
  <si>
    <t>Shipper Supplied Fuel Dawn to Delivery Area</t>
  </si>
  <si>
    <t>Total Rate M17</t>
  </si>
  <si>
    <t>Non-Utility Cross Charge</t>
  </si>
  <si>
    <t/>
  </si>
  <si>
    <t>Total Ex-franchise</t>
  </si>
  <si>
    <t>Total Enbridge Gas</t>
  </si>
  <si>
    <t>Revenue requirement by rate class provided at Phase 3 Exhibit 7, Tab 3, Schedule 7, Attachment 2, line 21.</t>
  </si>
  <si>
    <t>S&amp;T Margin.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</si>
</sst>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&quot;$&quot;#,##0.00"/>
    <numFmt numFmtId="167" formatCode="#,##0.000_);\(#,##0.000\)"/>
    <numFmt numFmtId="168" formatCode="###0%;\(###0%\)\ "/>
    <numFmt numFmtId="169" formatCode="#,##0.0000_);\(#,##0.0000\);\-"/>
    <numFmt numFmtId="170" formatCode="0.0%"/>
    <numFmt numFmtId="171" formatCode="###0.0%;\(###0.0%\)\ "/>
    <numFmt numFmtId="172" formatCode="0.000%"/>
    <numFmt numFmtId="173" formatCode="#,##0.000_);\(#,##0.000\);\-"/>
    <numFmt numFmtId="174" formatCode="&quot;$&quot;#,##0.000"/>
    <numFmt numFmtId="175" formatCode="_-* #,##0_-;\-* #,##0_-;_-* &quot;-&quot;??_-;_-@_-"/>
    <numFmt numFmtId="176" formatCode="#,##0.00_);\(#,##0.00\);\-"/>
    <numFmt numFmtId="177" formatCode="0.000"/>
    <numFmt numFmtId="178" formatCode="#,##0.00000_);\(#,##0.00000\);\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4" applyFont="1" applyAlignment="1">
      <alignment horizontal="centerContinuous"/>
    </xf>
    <xf numFmtId="0" fontId="2" fillId="0" borderId="0" xfId="4" applyFont="1"/>
    <xf numFmtId="0" fontId="4" fillId="0" borderId="0" xfId="4" applyFont="1"/>
    <xf numFmtId="0" fontId="4" fillId="0" borderId="0" xfId="4" applyFont="1" applyAlignment="1">
      <alignment horizontal="centerContinuous"/>
    </xf>
    <xf numFmtId="0" fontId="4" fillId="0" borderId="0" xfId="4" applyFont="1" applyAlignment="1">
      <alignment horizontal="center" wrapText="1"/>
    </xf>
    <xf numFmtId="0" fontId="6" fillId="0" borderId="0" xfId="5" applyFont="1" applyAlignment="1">
      <alignment horizontal="center"/>
    </xf>
    <xf numFmtId="164" fontId="6" fillId="0" borderId="0" xfId="6" applyNumberFormat="1" applyFont="1" applyFill="1" applyBorder="1"/>
    <xf numFmtId="164" fontId="4" fillId="0" borderId="0" xfId="6" applyNumberFormat="1" applyFont="1" applyFill="1" applyBorder="1"/>
    <xf numFmtId="0" fontId="4" fillId="0" borderId="0" xfId="4" applyFont="1" applyAlignment="1">
      <alignment horizontal="left" indent="1"/>
    </xf>
    <xf numFmtId="165" fontId="4" fillId="0" borderId="0" xfId="6" applyNumberFormat="1" applyFont="1" applyFill="1" applyBorder="1" applyAlignment="1">
      <alignment horizontal="center"/>
    </xf>
    <xf numFmtId="165" fontId="4" fillId="0" borderId="0" xfId="6" applyNumberFormat="1" applyFont="1" applyFill="1" applyBorder="1" applyAlignment="1">
      <alignment horizontal="right"/>
    </xf>
    <xf numFmtId="165" fontId="4" fillId="0" borderId="0" xfId="4" applyNumberFormat="1" applyFont="1" applyAlignment="1">
      <alignment horizontal="right"/>
    </xf>
    <xf numFmtId="167" fontId="4" fillId="0" borderId="0" xfId="6" applyNumberFormat="1" applyFont="1" applyFill="1" applyBorder="1" applyAlignment="1">
      <alignment horizontal="right"/>
    </xf>
    <xf numFmtId="168" fontId="4" fillId="0" borderId="0" xfId="3" applyNumberFormat="1" applyFont="1" applyFill="1" applyBorder="1" applyAlignment="1">
      <alignment horizontal="right"/>
    </xf>
    <xf numFmtId="170" fontId="4" fillId="0" borderId="0" xfId="3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left" indent="2"/>
    </xf>
    <xf numFmtId="169" fontId="4" fillId="0" borderId="2" xfId="6" applyNumberFormat="1" applyFont="1" applyFill="1" applyBorder="1" applyAlignment="1">
      <alignment horizontal="right"/>
    </xf>
    <xf numFmtId="168" fontId="4" fillId="0" borderId="2" xfId="3" applyNumberFormat="1" applyFont="1" applyFill="1" applyBorder="1" applyAlignment="1">
      <alignment horizontal="right"/>
    </xf>
    <xf numFmtId="0" fontId="4" fillId="0" borderId="0" xfId="4" applyFont="1" applyAlignment="1">
      <alignment horizontal="center"/>
    </xf>
    <xf numFmtId="165" fontId="6" fillId="0" borderId="0" xfId="5" applyNumberFormat="1" applyFont="1" applyAlignment="1">
      <alignment horizontal="right"/>
    </xf>
    <xf numFmtId="168" fontId="6" fillId="0" borderId="0" xfId="5" applyNumberFormat="1" applyFont="1" applyAlignment="1">
      <alignment horizontal="right"/>
    </xf>
    <xf numFmtId="168" fontId="4" fillId="0" borderId="0" xfId="4" applyNumberFormat="1" applyFont="1" applyAlignment="1">
      <alignment horizontal="right"/>
    </xf>
    <xf numFmtId="169" fontId="4" fillId="0" borderId="3" xfId="6" applyNumberFormat="1" applyFont="1" applyFill="1" applyBorder="1" applyAlignment="1">
      <alignment horizontal="right"/>
    </xf>
    <xf numFmtId="168" fontId="4" fillId="0" borderId="3" xfId="3" applyNumberFormat="1" applyFont="1" applyFill="1" applyBorder="1" applyAlignment="1">
      <alignment horizontal="right"/>
    </xf>
    <xf numFmtId="0" fontId="6" fillId="0" borderId="0" xfId="5" applyFont="1" applyAlignment="1">
      <alignment horizontal="right"/>
    </xf>
    <xf numFmtId="164" fontId="6" fillId="0" borderId="0" xfId="6" applyNumberFormat="1" applyFont="1" applyFill="1" applyBorder="1" applyAlignment="1">
      <alignment horizontal="right"/>
    </xf>
    <xf numFmtId="164" fontId="4" fillId="0" borderId="0" xfId="6" applyNumberFormat="1" applyFont="1" applyFill="1" applyBorder="1" applyAlignment="1">
      <alignment horizontal="right"/>
    </xf>
    <xf numFmtId="171" fontId="6" fillId="0" borderId="0" xfId="5" applyNumberFormat="1" applyFont="1" applyAlignment="1">
      <alignment horizontal="right"/>
    </xf>
    <xf numFmtId="171" fontId="4" fillId="0" borderId="0" xfId="3" applyNumberFormat="1" applyFont="1" applyFill="1" applyBorder="1" applyAlignment="1">
      <alignment horizontal="right"/>
    </xf>
    <xf numFmtId="165" fontId="6" fillId="0" borderId="0" xfId="5" applyNumberFormat="1" applyFont="1" applyAlignment="1">
      <alignment horizontal="center"/>
    </xf>
    <xf numFmtId="169" fontId="4" fillId="0" borderId="0" xfId="6" applyNumberFormat="1" applyFont="1" applyFill="1" applyBorder="1" applyAlignment="1">
      <alignment horizontal="right"/>
    </xf>
    <xf numFmtId="171" fontId="4" fillId="0" borderId="0" xfId="4" applyNumberFormat="1" applyFont="1" applyAlignment="1">
      <alignment horizontal="right"/>
    </xf>
    <xf numFmtId="168" fontId="4" fillId="0" borderId="0" xfId="4" applyNumberFormat="1" applyFont="1" applyAlignment="1">
      <alignment horizontal="centerContinuous"/>
    </xf>
    <xf numFmtId="173" fontId="4" fillId="0" borderId="2" xfId="6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4" fillId="0" borderId="0" xfId="4" applyFont="1" applyAlignment="1">
      <alignment horizontal="left" indent="3"/>
    </xf>
    <xf numFmtId="0" fontId="4" fillId="0" borderId="0" xfId="0" applyFont="1" applyAlignment="1">
      <alignment horizontal="center"/>
    </xf>
    <xf numFmtId="165" fontId="4" fillId="0" borderId="0" xfId="4" applyNumberFormat="1" applyFont="1"/>
    <xf numFmtId="0" fontId="4" fillId="0" borderId="0" xfId="4" quotePrefix="1" applyFont="1"/>
    <xf numFmtId="0" fontId="4" fillId="0" borderId="0" xfId="4" applyFont="1" applyAlignment="1">
      <alignment horizontal="left"/>
    </xf>
    <xf numFmtId="0" fontId="2" fillId="0" borderId="0" xfId="5" applyFont="1" applyAlignment="1">
      <alignment horizontal="centerContinuous"/>
    </xf>
    <xf numFmtId="0" fontId="4" fillId="0" borderId="0" xfId="4" applyFont="1" applyAlignment="1">
      <alignment horizontal="right" wrapText="1"/>
    </xf>
    <xf numFmtId="0" fontId="4" fillId="0" borderId="0" xfId="0" applyFont="1" applyAlignment="1">
      <alignment horizontal="left" indent="1"/>
    </xf>
    <xf numFmtId="0" fontId="4" fillId="0" borderId="0" xfId="8" applyFont="1" applyAlignment="1">
      <alignment horizontal="left" indent="3"/>
    </xf>
    <xf numFmtId="0" fontId="4" fillId="0" borderId="0" xfId="0" applyFont="1"/>
    <xf numFmtId="0" fontId="6" fillId="0" borderId="0" xfId="4" applyFont="1"/>
    <xf numFmtId="0" fontId="4" fillId="0" borderId="0" xfId="8" applyFont="1" applyAlignment="1">
      <alignment horizontal="left" indent="1"/>
    </xf>
    <xf numFmtId="0" fontId="2" fillId="0" borderId="0" xfId="0" applyFont="1"/>
    <xf numFmtId="0" fontId="4" fillId="0" borderId="0" xfId="4" quotePrefix="1" applyFont="1" applyAlignment="1">
      <alignment horizontal="left" indent="3"/>
    </xf>
    <xf numFmtId="0" fontId="4" fillId="0" borderId="0" xfId="0" applyFont="1" applyAlignment="1">
      <alignment horizontal="left" indent="2"/>
    </xf>
    <xf numFmtId="173" fontId="4" fillId="0" borderId="0" xfId="6" applyNumberFormat="1" applyFont="1" applyFill="1" applyBorder="1" applyAlignment="1">
      <alignment horizontal="right"/>
    </xf>
    <xf numFmtId="173" fontId="4" fillId="0" borderId="0" xfId="4" applyNumberFormat="1" applyFont="1" applyAlignment="1">
      <alignment horizontal="right"/>
    </xf>
    <xf numFmtId="0" fontId="4" fillId="0" borderId="0" xfId="0" applyFont="1" applyAlignment="1">
      <alignment horizontal="left" wrapText="1" indent="2"/>
    </xf>
    <xf numFmtId="176" fontId="4" fillId="0" borderId="0" xfId="6" applyNumberFormat="1" applyFont="1" applyFill="1" applyBorder="1" applyAlignment="1">
      <alignment horizontal="right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indent="4"/>
    </xf>
    <xf numFmtId="167" fontId="4" fillId="0" borderId="3" xfId="6" applyNumberFormat="1" applyFont="1" applyFill="1" applyBorder="1" applyAlignment="1">
      <alignment horizontal="right"/>
    </xf>
    <xf numFmtId="37" fontId="4" fillId="0" borderId="0" xfId="4" applyNumberFormat="1" applyFont="1" applyAlignment="1">
      <alignment horizontal="right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left" wrapText="1"/>
    </xf>
    <xf numFmtId="0" fontId="4" fillId="0" borderId="0" xfId="4" applyFont="1" applyAlignment="1">
      <alignment horizontal="left" wrapText="1" indent="1"/>
    </xf>
    <xf numFmtId="0" fontId="4" fillId="0" borderId="0" xfId="4" applyFont="1" applyAlignment="1">
      <alignment horizontal="left" wrapText="1"/>
    </xf>
    <xf numFmtId="173" fontId="4" fillId="0" borderId="3" xfId="6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right"/>
    </xf>
    <xf numFmtId="43" fontId="4" fillId="0" borderId="0" xfId="1" applyFont="1" applyFill="1" applyAlignment="1">
      <alignment horizontal="right"/>
    </xf>
    <xf numFmtId="0" fontId="4" fillId="0" borderId="0" xfId="0" applyFont="1" applyAlignment="1">
      <alignment horizontal="left" vertical="center"/>
    </xf>
    <xf numFmtId="3" fontId="4" fillId="0" borderId="0" xfId="4" applyNumberFormat="1" applyFont="1" applyAlignment="1">
      <alignment horizontal="right"/>
    </xf>
    <xf numFmtId="0" fontId="4" fillId="0" borderId="0" xfId="0" quotePrefix="1" applyFont="1"/>
    <xf numFmtId="0" fontId="4" fillId="0" borderId="0" xfId="4" quotePrefix="1" applyFont="1" applyAlignment="1">
      <alignment horizontal="right"/>
    </xf>
    <xf numFmtId="176" fontId="4" fillId="0" borderId="0" xfId="4" applyNumberFormat="1" applyFont="1"/>
    <xf numFmtId="178" fontId="4" fillId="0" borderId="0" xfId="4" applyNumberFormat="1" applyFont="1"/>
    <xf numFmtId="173" fontId="4" fillId="0" borderId="0" xfId="4" applyNumberFormat="1" applyFont="1"/>
    <xf numFmtId="43" fontId="4" fillId="0" borderId="0" xfId="1" applyFont="1" applyFill="1" applyBorder="1"/>
    <xf numFmtId="0" fontId="2" fillId="0" borderId="0" xfId="0" applyFont="1" applyAlignment="1">
      <alignment horizontal="center"/>
    </xf>
    <xf numFmtId="0" fontId="4" fillId="0" borderId="0" xfId="5" applyAlignment="1">
      <alignment horizontal="centerContinuous"/>
    </xf>
    <xf numFmtId="0" fontId="4" fillId="0" borderId="0" xfId="5" applyAlignment="1">
      <alignment horizontal="left"/>
    </xf>
    <xf numFmtId="0" fontId="4" fillId="0" borderId="1" xfId="5" applyBorder="1" applyAlignment="1">
      <alignment horizontal="centerContinuous"/>
    </xf>
    <xf numFmtId="0" fontId="4" fillId="0" borderId="0" xfId="5" applyAlignment="1">
      <alignment horizontal="center" wrapText="1"/>
    </xf>
    <xf numFmtId="0" fontId="4" fillId="0" borderId="0" xfId="5" applyAlignment="1">
      <alignment horizontal="center"/>
    </xf>
    <xf numFmtId="0" fontId="4" fillId="0" borderId="1" xfId="5" applyBorder="1" applyAlignment="1">
      <alignment horizontal="center"/>
    </xf>
    <xf numFmtId="0" fontId="4" fillId="0" borderId="0" xfId="5"/>
    <xf numFmtId="0" fontId="4" fillId="0" borderId="1" xfId="5" applyBorder="1"/>
    <xf numFmtId="0" fontId="4" fillId="0" borderId="0" xfId="5" quotePrefix="1" applyAlignment="1">
      <alignment horizontal="center"/>
    </xf>
    <xf numFmtId="0" fontId="4" fillId="0" borderId="0" xfId="5" applyAlignment="1">
      <alignment horizontal="right"/>
    </xf>
    <xf numFmtId="166" fontId="4" fillId="0" borderId="0" xfId="2" applyNumberFormat="1" applyFont="1" applyFill="1" applyBorder="1" applyAlignment="1">
      <alignment horizontal="right"/>
    </xf>
    <xf numFmtId="165" fontId="4" fillId="0" borderId="0" xfId="5" applyNumberFormat="1" applyAlignment="1">
      <alignment horizontal="right"/>
    </xf>
    <xf numFmtId="165" fontId="4" fillId="0" borderId="2" xfId="5" applyNumberFormat="1" applyBorder="1" applyAlignment="1">
      <alignment horizontal="right"/>
    </xf>
    <xf numFmtId="167" fontId="4" fillId="0" borderId="2" xfId="5" applyNumberFormat="1" applyBorder="1" applyAlignment="1">
      <alignment horizontal="right"/>
    </xf>
    <xf numFmtId="165" fontId="4" fillId="0" borderId="0" xfId="5" applyNumberFormat="1" applyAlignment="1">
      <alignment horizontal="center"/>
    </xf>
    <xf numFmtId="167" fontId="4" fillId="0" borderId="0" xfId="5" applyNumberFormat="1" applyAlignment="1">
      <alignment horizontal="right"/>
    </xf>
    <xf numFmtId="165" fontId="4" fillId="0" borderId="3" xfId="5" applyNumberFormat="1" applyBorder="1" applyAlignment="1">
      <alignment horizontal="right"/>
    </xf>
    <xf numFmtId="167" fontId="4" fillId="0" borderId="3" xfId="5" applyNumberFormat="1" applyBorder="1" applyAlignment="1">
      <alignment horizontal="right"/>
    </xf>
    <xf numFmtId="168" fontId="4" fillId="0" borderId="0" xfId="5" applyNumberFormat="1" applyAlignment="1">
      <alignment horizontal="right"/>
    </xf>
    <xf numFmtId="164" fontId="4" fillId="0" borderId="0" xfId="5" applyNumberFormat="1" applyAlignment="1">
      <alignment horizontal="center"/>
    </xf>
    <xf numFmtId="172" fontId="4" fillId="0" borderId="0" xfId="3" applyNumberFormat="1" applyFont="1" applyFill="1" applyBorder="1" applyAlignment="1">
      <alignment horizontal="right"/>
    </xf>
    <xf numFmtId="171" fontId="4" fillId="0" borderId="0" xfId="5" applyNumberFormat="1" applyAlignment="1">
      <alignment horizontal="right"/>
    </xf>
    <xf numFmtId="171" fontId="4" fillId="0" borderId="0" xfId="6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 indent="3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7" quotePrefix="1" applyAlignment="1">
      <alignment horizontal="center" vertical="top"/>
    </xf>
    <xf numFmtId="174" fontId="4" fillId="0" borderId="0" xfId="0" applyNumberFormat="1" applyFont="1" applyAlignment="1">
      <alignment horizontal="right"/>
    </xf>
    <xf numFmtId="175" fontId="4" fillId="0" borderId="0" xfId="0" applyNumberFormat="1" applyFont="1" applyAlignment="1">
      <alignment horizontal="right"/>
    </xf>
    <xf numFmtId="168" fontId="4" fillId="0" borderId="0" xfId="3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37" fontId="4" fillId="0" borderId="3" xfId="5" applyNumberFormat="1" applyBorder="1" applyAlignment="1">
      <alignment horizontal="right"/>
    </xf>
    <xf numFmtId="37" fontId="4" fillId="0" borderId="0" xfId="5" applyNumberFormat="1" applyAlignment="1">
      <alignment horizontal="right"/>
    </xf>
    <xf numFmtId="164" fontId="4" fillId="0" borderId="0" xfId="1" applyNumberFormat="1" applyFont="1" applyFill="1" applyAlignment="1">
      <alignment horizontal="right"/>
    </xf>
    <xf numFmtId="177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76" fontId="4" fillId="0" borderId="3" xfId="5" applyNumberFormat="1" applyBorder="1" applyAlignment="1">
      <alignment horizontal="right"/>
    </xf>
    <xf numFmtId="0" fontId="4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176" fontId="4" fillId="0" borderId="0" xfId="6" applyNumberFormat="1" applyFont="1" applyFill="1" applyBorder="1" applyAlignment="1">
      <alignment horizontal="center"/>
    </xf>
    <xf numFmtId="169" fontId="4" fillId="0" borderId="0" xfId="5" applyNumberFormat="1" applyAlignment="1">
      <alignment horizontal="center"/>
    </xf>
    <xf numFmtId="178" fontId="4" fillId="0" borderId="0" xfId="5" applyNumberFormat="1" applyAlignment="1">
      <alignment horizontal="center"/>
    </xf>
    <xf numFmtId="0" fontId="4" fillId="0" borderId="4" xfId="5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" xfId="1" builtinId="3"/>
    <cellStyle name="Comma 10" xfId="6" xr:uid="{8EFCD5B6-17CB-4E51-BAE8-31D184219A60}"/>
    <cellStyle name="Currency" xfId="2" builtinId="4"/>
    <cellStyle name="Normal" xfId="0" builtinId="0"/>
    <cellStyle name="Normal 10" xfId="7" xr:uid="{C91CDC4C-28F9-44A7-9D9C-C994593597B1}"/>
    <cellStyle name="Normal 4 3" xfId="4" xr:uid="{A124BBE2-E841-49FB-88C0-FCE9A321599B}"/>
    <cellStyle name="Normal 59" xfId="8" xr:uid="{CE7B565F-0F71-421A-81CB-1FF5AA956D64}"/>
    <cellStyle name="Normal 60" xfId="5" xr:uid="{CE5B03A9-2503-406F-A9ED-1E5EF469512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4638-62AA-4664-A320-BA06D59A76FA}">
  <dimension ref="B2:Z863"/>
  <sheetViews>
    <sheetView tabSelected="1" view="pageBreakPreview" topLeftCell="A830" zoomScaleNormal="100" zoomScaleSheetLayoutView="100" workbookViewId="0">
      <selection activeCell="B813" sqref="B813"/>
    </sheetView>
  </sheetViews>
  <sheetFormatPr defaultRowHeight="12.45" x14ac:dyDescent="0.3"/>
  <cols>
    <col min="1" max="1" width="1.53515625" style="4" customWidth="1"/>
    <col min="2" max="2" width="4.53515625" style="21" customWidth="1"/>
    <col min="3" max="3" width="1.53515625" style="4" customWidth="1"/>
    <col min="4" max="4" width="44.53515625" style="4" customWidth="1"/>
    <col min="5" max="5" width="1.53515625" style="4" customWidth="1"/>
    <col min="6" max="6" width="10.53515625" style="4" customWidth="1"/>
    <col min="7" max="7" width="1.53515625" style="4" customWidth="1"/>
    <col min="8" max="8" width="16.3828125" style="4" customWidth="1"/>
    <col min="9" max="9" width="1.53515625" style="4" customWidth="1"/>
    <col min="10" max="10" width="12.53515625" style="4" bestFit="1" customWidth="1"/>
    <col min="11" max="11" width="10.3828125" style="4" customWidth="1"/>
    <col min="12" max="12" width="1.53515625" style="4" customWidth="1"/>
    <col min="13" max="13" width="13.53515625" style="4" customWidth="1"/>
    <col min="14" max="14" width="1.53515625" style="4" customWidth="1"/>
    <col min="15" max="15" width="13.3828125" style="4" customWidth="1"/>
    <col min="16" max="16" width="1.53515625" style="4" customWidth="1"/>
    <col min="17" max="17" width="13.53515625" style="4" customWidth="1"/>
    <col min="18" max="18" width="1.53515625" style="4" customWidth="1"/>
    <col min="19" max="19" width="12.53515625" style="4" customWidth="1"/>
    <col min="20" max="20" width="1.53515625" style="4" customWidth="1"/>
    <col min="21" max="21" width="10.3828125" style="4" customWidth="1"/>
    <col min="22" max="22" width="1.53515625" style="4" customWidth="1"/>
    <col min="23" max="23" width="10.3828125" style="4" customWidth="1"/>
    <col min="24" max="24" width="1.53515625" style="4" customWidth="1"/>
    <col min="25" max="25" width="12.3828125" style="4" customWidth="1"/>
    <col min="26" max="26" width="3.3828125" style="4" customWidth="1"/>
    <col min="27" max="216" width="9.15234375" style="4"/>
    <col min="217" max="217" width="4.53515625" style="4" customWidth="1"/>
    <col min="218" max="218" width="1" style="4" customWidth="1"/>
    <col min="219" max="219" width="18" style="4" customWidth="1"/>
    <col min="220" max="220" width="1.53515625" style="4" customWidth="1"/>
    <col min="221" max="221" width="12.53515625" style="4" customWidth="1"/>
    <col min="222" max="222" width="1.53515625" style="4" customWidth="1"/>
    <col min="223" max="223" width="9.53515625" style="4" customWidth="1"/>
    <col min="224" max="224" width="1.53515625" style="4" customWidth="1"/>
    <col min="225" max="225" width="11.53515625" style="4" customWidth="1"/>
    <col min="226" max="226" width="1.53515625" style="4" customWidth="1"/>
    <col min="227" max="227" width="10.3828125" style="4" customWidth="1"/>
    <col min="228" max="228" width="2" style="4" customWidth="1"/>
    <col min="229" max="229" width="9.53515625" style="4" customWidth="1"/>
    <col min="230" max="472" width="9.15234375" style="4"/>
    <col min="473" max="473" width="4.53515625" style="4" customWidth="1"/>
    <col min="474" max="474" width="1" style="4" customWidth="1"/>
    <col min="475" max="475" width="18" style="4" customWidth="1"/>
    <col min="476" max="476" width="1.53515625" style="4" customWidth="1"/>
    <col min="477" max="477" width="12.53515625" style="4" customWidth="1"/>
    <col min="478" max="478" width="1.53515625" style="4" customWidth="1"/>
    <col min="479" max="479" width="9.53515625" style="4" customWidth="1"/>
    <col min="480" max="480" width="1.53515625" style="4" customWidth="1"/>
    <col min="481" max="481" width="11.53515625" style="4" customWidth="1"/>
    <col min="482" max="482" width="1.53515625" style="4" customWidth="1"/>
    <col min="483" max="483" width="10.3828125" style="4" customWidth="1"/>
    <col min="484" max="484" width="2" style="4" customWidth="1"/>
    <col min="485" max="485" width="9.53515625" style="4" customWidth="1"/>
    <col min="486" max="728" width="9.15234375" style="4"/>
    <col min="729" max="729" width="4.53515625" style="4" customWidth="1"/>
    <col min="730" max="730" width="1" style="4" customWidth="1"/>
    <col min="731" max="731" width="18" style="4" customWidth="1"/>
    <col min="732" max="732" width="1.53515625" style="4" customWidth="1"/>
    <col min="733" max="733" width="12.53515625" style="4" customWidth="1"/>
    <col min="734" max="734" width="1.53515625" style="4" customWidth="1"/>
    <col min="735" max="735" width="9.53515625" style="4" customWidth="1"/>
    <col min="736" max="736" width="1.53515625" style="4" customWidth="1"/>
    <col min="737" max="737" width="11.53515625" style="4" customWidth="1"/>
    <col min="738" max="738" width="1.53515625" style="4" customWidth="1"/>
    <col min="739" max="739" width="10.3828125" style="4" customWidth="1"/>
    <col min="740" max="740" width="2" style="4" customWidth="1"/>
    <col min="741" max="741" width="9.53515625" style="4" customWidth="1"/>
    <col min="742" max="984" width="9.15234375" style="4"/>
    <col min="985" max="985" width="4.53515625" style="4" customWidth="1"/>
    <col min="986" max="986" width="1" style="4" customWidth="1"/>
    <col min="987" max="987" width="18" style="4" customWidth="1"/>
    <col min="988" max="988" width="1.53515625" style="4" customWidth="1"/>
    <col min="989" max="989" width="12.53515625" style="4" customWidth="1"/>
    <col min="990" max="990" width="1.53515625" style="4" customWidth="1"/>
    <col min="991" max="991" width="9.53515625" style="4" customWidth="1"/>
    <col min="992" max="992" width="1.53515625" style="4" customWidth="1"/>
    <col min="993" max="993" width="11.53515625" style="4" customWidth="1"/>
    <col min="994" max="994" width="1.53515625" style="4" customWidth="1"/>
    <col min="995" max="995" width="10.3828125" style="4" customWidth="1"/>
    <col min="996" max="996" width="2" style="4" customWidth="1"/>
    <col min="997" max="997" width="9.53515625" style="4" customWidth="1"/>
    <col min="998" max="1240" width="9.15234375" style="4"/>
    <col min="1241" max="1241" width="4.53515625" style="4" customWidth="1"/>
    <col min="1242" max="1242" width="1" style="4" customWidth="1"/>
    <col min="1243" max="1243" width="18" style="4" customWidth="1"/>
    <col min="1244" max="1244" width="1.53515625" style="4" customWidth="1"/>
    <col min="1245" max="1245" width="12.53515625" style="4" customWidth="1"/>
    <col min="1246" max="1246" width="1.53515625" style="4" customWidth="1"/>
    <col min="1247" max="1247" width="9.53515625" style="4" customWidth="1"/>
    <col min="1248" max="1248" width="1.53515625" style="4" customWidth="1"/>
    <col min="1249" max="1249" width="11.53515625" style="4" customWidth="1"/>
    <col min="1250" max="1250" width="1.53515625" style="4" customWidth="1"/>
    <col min="1251" max="1251" width="10.3828125" style="4" customWidth="1"/>
    <col min="1252" max="1252" width="2" style="4" customWidth="1"/>
    <col min="1253" max="1253" width="9.53515625" style="4" customWidth="1"/>
    <col min="1254" max="1496" width="9.15234375" style="4"/>
    <col min="1497" max="1497" width="4.53515625" style="4" customWidth="1"/>
    <col min="1498" max="1498" width="1" style="4" customWidth="1"/>
    <col min="1499" max="1499" width="18" style="4" customWidth="1"/>
    <col min="1500" max="1500" width="1.53515625" style="4" customWidth="1"/>
    <col min="1501" max="1501" width="12.53515625" style="4" customWidth="1"/>
    <col min="1502" max="1502" width="1.53515625" style="4" customWidth="1"/>
    <col min="1503" max="1503" width="9.53515625" style="4" customWidth="1"/>
    <col min="1504" max="1504" width="1.53515625" style="4" customWidth="1"/>
    <col min="1505" max="1505" width="11.53515625" style="4" customWidth="1"/>
    <col min="1506" max="1506" width="1.53515625" style="4" customWidth="1"/>
    <col min="1507" max="1507" width="10.3828125" style="4" customWidth="1"/>
    <col min="1508" max="1508" width="2" style="4" customWidth="1"/>
    <col min="1509" max="1509" width="9.53515625" style="4" customWidth="1"/>
    <col min="1510" max="1752" width="9.15234375" style="4"/>
    <col min="1753" max="1753" width="4.53515625" style="4" customWidth="1"/>
    <col min="1754" max="1754" width="1" style="4" customWidth="1"/>
    <col min="1755" max="1755" width="18" style="4" customWidth="1"/>
    <col min="1756" max="1756" width="1.53515625" style="4" customWidth="1"/>
    <col min="1757" max="1757" width="12.53515625" style="4" customWidth="1"/>
    <col min="1758" max="1758" width="1.53515625" style="4" customWidth="1"/>
    <col min="1759" max="1759" width="9.53515625" style="4" customWidth="1"/>
    <col min="1760" max="1760" width="1.53515625" style="4" customWidth="1"/>
    <col min="1761" max="1761" width="11.53515625" style="4" customWidth="1"/>
    <col min="1762" max="1762" width="1.53515625" style="4" customWidth="1"/>
    <col min="1763" max="1763" width="10.3828125" style="4" customWidth="1"/>
    <col min="1764" max="1764" width="2" style="4" customWidth="1"/>
    <col min="1765" max="1765" width="9.53515625" style="4" customWidth="1"/>
    <col min="1766" max="2008" width="9.15234375" style="4"/>
    <col min="2009" max="2009" width="4.53515625" style="4" customWidth="1"/>
    <col min="2010" max="2010" width="1" style="4" customWidth="1"/>
    <col min="2011" max="2011" width="18" style="4" customWidth="1"/>
    <col min="2012" max="2012" width="1.53515625" style="4" customWidth="1"/>
    <col min="2013" max="2013" width="12.53515625" style="4" customWidth="1"/>
    <col min="2014" max="2014" width="1.53515625" style="4" customWidth="1"/>
    <col min="2015" max="2015" width="9.53515625" style="4" customWidth="1"/>
    <col min="2016" max="2016" width="1.53515625" style="4" customWidth="1"/>
    <col min="2017" max="2017" width="11.53515625" style="4" customWidth="1"/>
    <col min="2018" max="2018" width="1.53515625" style="4" customWidth="1"/>
    <col min="2019" max="2019" width="10.3828125" style="4" customWidth="1"/>
    <col min="2020" max="2020" width="2" style="4" customWidth="1"/>
    <col min="2021" max="2021" width="9.53515625" style="4" customWidth="1"/>
    <col min="2022" max="2264" width="9.15234375" style="4"/>
    <col min="2265" max="2265" width="4.53515625" style="4" customWidth="1"/>
    <col min="2266" max="2266" width="1" style="4" customWidth="1"/>
    <col min="2267" max="2267" width="18" style="4" customWidth="1"/>
    <col min="2268" max="2268" width="1.53515625" style="4" customWidth="1"/>
    <col min="2269" max="2269" width="12.53515625" style="4" customWidth="1"/>
    <col min="2270" max="2270" width="1.53515625" style="4" customWidth="1"/>
    <col min="2271" max="2271" width="9.53515625" style="4" customWidth="1"/>
    <col min="2272" max="2272" width="1.53515625" style="4" customWidth="1"/>
    <col min="2273" max="2273" width="11.53515625" style="4" customWidth="1"/>
    <col min="2274" max="2274" width="1.53515625" style="4" customWidth="1"/>
    <col min="2275" max="2275" width="10.3828125" style="4" customWidth="1"/>
    <col min="2276" max="2276" width="2" style="4" customWidth="1"/>
    <col min="2277" max="2277" width="9.53515625" style="4" customWidth="1"/>
    <col min="2278" max="2520" width="9.15234375" style="4"/>
    <col min="2521" max="2521" width="4.53515625" style="4" customWidth="1"/>
    <col min="2522" max="2522" width="1" style="4" customWidth="1"/>
    <col min="2523" max="2523" width="18" style="4" customWidth="1"/>
    <col min="2524" max="2524" width="1.53515625" style="4" customWidth="1"/>
    <col min="2525" max="2525" width="12.53515625" style="4" customWidth="1"/>
    <col min="2526" max="2526" width="1.53515625" style="4" customWidth="1"/>
    <col min="2527" max="2527" width="9.53515625" style="4" customWidth="1"/>
    <col min="2528" max="2528" width="1.53515625" style="4" customWidth="1"/>
    <col min="2529" max="2529" width="11.53515625" style="4" customWidth="1"/>
    <col min="2530" max="2530" width="1.53515625" style="4" customWidth="1"/>
    <col min="2531" max="2531" width="10.3828125" style="4" customWidth="1"/>
    <col min="2532" max="2532" width="2" style="4" customWidth="1"/>
    <col min="2533" max="2533" width="9.53515625" style="4" customWidth="1"/>
    <col min="2534" max="2776" width="9.15234375" style="4"/>
    <col min="2777" max="2777" width="4.53515625" style="4" customWidth="1"/>
    <col min="2778" max="2778" width="1" style="4" customWidth="1"/>
    <col min="2779" max="2779" width="18" style="4" customWidth="1"/>
    <col min="2780" max="2780" width="1.53515625" style="4" customWidth="1"/>
    <col min="2781" max="2781" width="12.53515625" style="4" customWidth="1"/>
    <col min="2782" max="2782" width="1.53515625" style="4" customWidth="1"/>
    <col min="2783" max="2783" width="9.53515625" style="4" customWidth="1"/>
    <col min="2784" max="2784" width="1.53515625" style="4" customWidth="1"/>
    <col min="2785" max="2785" width="11.53515625" style="4" customWidth="1"/>
    <col min="2786" max="2786" width="1.53515625" style="4" customWidth="1"/>
    <col min="2787" max="2787" width="10.3828125" style="4" customWidth="1"/>
    <col min="2788" max="2788" width="2" style="4" customWidth="1"/>
    <col min="2789" max="2789" width="9.53515625" style="4" customWidth="1"/>
    <col min="2790" max="3032" width="9.15234375" style="4"/>
    <col min="3033" max="3033" width="4.53515625" style="4" customWidth="1"/>
    <col min="3034" max="3034" width="1" style="4" customWidth="1"/>
    <col min="3035" max="3035" width="18" style="4" customWidth="1"/>
    <col min="3036" max="3036" width="1.53515625" style="4" customWidth="1"/>
    <col min="3037" max="3037" width="12.53515625" style="4" customWidth="1"/>
    <col min="3038" max="3038" width="1.53515625" style="4" customWidth="1"/>
    <col min="3039" max="3039" width="9.53515625" style="4" customWidth="1"/>
    <col min="3040" max="3040" width="1.53515625" style="4" customWidth="1"/>
    <col min="3041" max="3041" width="11.53515625" style="4" customWidth="1"/>
    <col min="3042" max="3042" width="1.53515625" style="4" customWidth="1"/>
    <col min="3043" max="3043" width="10.3828125" style="4" customWidth="1"/>
    <col min="3044" max="3044" width="2" style="4" customWidth="1"/>
    <col min="3045" max="3045" width="9.53515625" style="4" customWidth="1"/>
    <col min="3046" max="3288" width="9.15234375" style="4"/>
    <col min="3289" max="3289" width="4.53515625" style="4" customWidth="1"/>
    <col min="3290" max="3290" width="1" style="4" customWidth="1"/>
    <col min="3291" max="3291" width="18" style="4" customWidth="1"/>
    <col min="3292" max="3292" width="1.53515625" style="4" customWidth="1"/>
    <col min="3293" max="3293" width="12.53515625" style="4" customWidth="1"/>
    <col min="3294" max="3294" width="1.53515625" style="4" customWidth="1"/>
    <col min="3295" max="3295" width="9.53515625" style="4" customWidth="1"/>
    <col min="3296" max="3296" width="1.53515625" style="4" customWidth="1"/>
    <col min="3297" max="3297" width="11.53515625" style="4" customWidth="1"/>
    <col min="3298" max="3298" width="1.53515625" style="4" customWidth="1"/>
    <col min="3299" max="3299" width="10.3828125" style="4" customWidth="1"/>
    <col min="3300" max="3300" width="2" style="4" customWidth="1"/>
    <col min="3301" max="3301" width="9.53515625" style="4" customWidth="1"/>
    <col min="3302" max="3544" width="9.15234375" style="4"/>
    <col min="3545" max="3545" width="4.53515625" style="4" customWidth="1"/>
    <col min="3546" max="3546" width="1" style="4" customWidth="1"/>
    <col min="3547" max="3547" width="18" style="4" customWidth="1"/>
    <col min="3548" max="3548" width="1.53515625" style="4" customWidth="1"/>
    <col min="3549" max="3549" width="12.53515625" style="4" customWidth="1"/>
    <col min="3550" max="3550" width="1.53515625" style="4" customWidth="1"/>
    <col min="3551" max="3551" width="9.53515625" style="4" customWidth="1"/>
    <col min="3552" max="3552" width="1.53515625" style="4" customWidth="1"/>
    <col min="3553" max="3553" width="11.53515625" style="4" customWidth="1"/>
    <col min="3554" max="3554" width="1.53515625" style="4" customWidth="1"/>
    <col min="3555" max="3555" width="10.3828125" style="4" customWidth="1"/>
    <col min="3556" max="3556" width="2" style="4" customWidth="1"/>
    <col min="3557" max="3557" width="9.53515625" style="4" customWidth="1"/>
    <col min="3558" max="3800" width="9.15234375" style="4"/>
    <col min="3801" max="3801" width="4.53515625" style="4" customWidth="1"/>
    <col min="3802" max="3802" width="1" style="4" customWidth="1"/>
    <col min="3803" max="3803" width="18" style="4" customWidth="1"/>
    <col min="3804" max="3804" width="1.53515625" style="4" customWidth="1"/>
    <col min="3805" max="3805" width="12.53515625" style="4" customWidth="1"/>
    <col min="3806" max="3806" width="1.53515625" style="4" customWidth="1"/>
    <col min="3807" max="3807" width="9.53515625" style="4" customWidth="1"/>
    <col min="3808" max="3808" width="1.53515625" style="4" customWidth="1"/>
    <col min="3809" max="3809" width="11.53515625" style="4" customWidth="1"/>
    <col min="3810" max="3810" width="1.53515625" style="4" customWidth="1"/>
    <col min="3811" max="3811" width="10.3828125" style="4" customWidth="1"/>
    <col min="3812" max="3812" width="2" style="4" customWidth="1"/>
    <col min="3813" max="3813" width="9.53515625" style="4" customWidth="1"/>
    <col min="3814" max="4056" width="9.15234375" style="4"/>
    <col min="4057" max="4057" width="4.53515625" style="4" customWidth="1"/>
    <col min="4058" max="4058" width="1" style="4" customWidth="1"/>
    <col min="4059" max="4059" width="18" style="4" customWidth="1"/>
    <col min="4060" max="4060" width="1.53515625" style="4" customWidth="1"/>
    <col min="4061" max="4061" width="12.53515625" style="4" customWidth="1"/>
    <col min="4062" max="4062" width="1.53515625" style="4" customWidth="1"/>
    <col min="4063" max="4063" width="9.53515625" style="4" customWidth="1"/>
    <col min="4064" max="4064" width="1.53515625" style="4" customWidth="1"/>
    <col min="4065" max="4065" width="11.53515625" style="4" customWidth="1"/>
    <col min="4066" max="4066" width="1.53515625" style="4" customWidth="1"/>
    <col min="4067" max="4067" width="10.3828125" style="4" customWidth="1"/>
    <col min="4068" max="4068" width="2" style="4" customWidth="1"/>
    <col min="4069" max="4069" width="9.53515625" style="4" customWidth="1"/>
    <col min="4070" max="4312" width="9.15234375" style="4"/>
    <col min="4313" max="4313" width="4.53515625" style="4" customWidth="1"/>
    <col min="4314" max="4314" width="1" style="4" customWidth="1"/>
    <col min="4315" max="4315" width="18" style="4" customWidth="1"/>
    <col min="4316" max="4316" width="1.53515625" style="4" customWidth="1"/>
    <col min="4317" max="4317" width="12.53515625" style="4" customWidth="1"/>
    <col min="4318" max="4318" width="1.53515625" style="4" customWidth="1"/>
    <col min="4319" max="4319" width="9.53515625" style="4" customWidth="1"/>
    <col min="4320" max="4320" width="1.53515625" style="4" customWidth="1"/>
    <col min="4321" max="4321" width="11.53515625" style="4" customWidth="1"/>
    <col min="4322" max="4322" width="1.53515625" style="4" customWidth="1"/>
    <col min="4323" max="4323" width="10.3828125" style="4" customWidth="1"/>
    <col min="4324" max="4324" width="2" style="4" customWidth="1"/>
    <col min="4325" max="4325" width="9.53515625" style="4" customWidth="1"/>
    <col min="4326" max="4568" width="9.15234375" style="4"/>
    <col min="4569" max="4569" width="4.53515625" style="4" customWidth="1"/>
    <col min="4570" max="4570" width="1" style="4" customWidth="1"/>
    <col min="4571" max="4571" width="18" style="4" customWidth="1"/>
    <col min="4572" max="4572" width="1.53515625" style="4" customWidth="1"/>
    <col min="4573" max="4573" width="12.53515625" style="4" customWidth="1"/>
    <col min="4574" max="4574" width="1.53515625" style="4" customWidth="1"/>
    <col min="4575" max="4575" width="9.53515625" style="4" customWidth="1"/>
    <col min="4576" max="4576" width="1.53515625" style="4" customWidth="1"/>
    <col min="4577" max="4577" width="11.53515625" style="4" customWidth="1"/>
    <col min="4578" max="4578" width="1.53515625" style="4" customWidth="1"/>
    <col min="4579" max="4579" width="10.3828125" style="4" customWidth="1"/>
    <col min="4580" max="4580" width="2" style="4" customWidth="1"/>
    <col min="4581" max="4581" width="9.53515625" style="4" customWidth="1"/>
    <col min="4582" max="4824" width="9.15234375" style="4"/>
    <col min="4825" max="4825" width="4.53515625" style="4" customWidth="1"/>
    <col min="4826" max="4826" width="1" style="4" customWidth="1"/>
    <col min="4827" max="4827" width="18" style="4" customWidth="1"/>
    <col min="4828" max="4828" width="1.53515625" style="4" customWidth="1"/>
    <col min="4829" max="4829" width="12.53515625" style="4" customWidth="1"/>
    <col min="4830" max="4830" width="1.53515625" style="4" customWidth="1"/>
    <col min="4831" max="4831" width="9.53515625" style="4" customWidth="1"/>
    <col min="4832" max="4832" width="1.53515625" style="4" customWidth="1"/>
    <col min="4833" max="4833" width="11.53515625" style="4" customWidth="1"/>
    <col min="4834" max="4834" width="1.53515625" style="4" customWidth="1"/>
    <col min="4835" max="4835" width="10.3828125" style="4" customWidth="1"/>
    <col min="4836" max="4836" width="2" style="4" customWidth="1"/>
    <col min="4837" max="4837" width="9.53515625" style="4" customWidth="1"/>
    <col min="4838" max="5080" width="9.15234375" style="4"/>
    <col min="5081" max="5081" width="4.53515625" style="4" customWidth="1"/>
    <col min="5082" max="5082" width="1" style="4" customWidth="1"/>
    <col min="5083" max="5083" width="18" style="4" customWidth="1"/>
    <col min="5084" max="5084" width="1.53515625" style="4" customWidth="1"/>
    <col min="5085" max="5085" width="12.53515625" style="4" customWidth="1"/>
    <col min="5086" max="5086" width="1.53515625" style="4" customWidth="1"/>
    <col min="5087" max="5087" width="9.53515625" style="4" customWidth="1"/>
    <col min="5088" max="5088" width="1.53515625" style="4" customWidth="1"/>
    <col min="5089" max="5089" width="11.53515625" style="4" customWidth="1"/>
    <col min="5090" max="5090" width="1.53515625" style="4" customWidth="1"/>
    <col min="5091" max="5091" width="10.3828125" style="4" customWidth="1"/>
    <col min="5092" max="5092" width="2" style="4" customWidth="1"/>
    <col min="5093" max="5093" width="9.53515625" style="4" customWidth="1"/>
    <col min="5094" max="5336" width="9.15234375" style="4"/>
    <col min="5337" max="5337" width="4.53515625" style="4" customWidth="1"/>
    <col min="5338" max="5338" width="1" style="4" customWidth="1"/>
    <col min="5339" max="5339" width="18" style="4" customWidth="1"/>
    <col min="5340" max="5340" width="1.53515625" style="4" customWidth="1"/>
    <col min="5341" max="5341" width="12.53515625" style="4" customWidth="1"/>
    <col min="5342" max="5342" width="1.53515625" style="4" customWidth="1"/>
    <col min="5343" max="5343" width="9.53515625" style="4" customWidth="1"/>
    <col min="5344" max="5344" width="1.53515625" style="4" customWidth="1"/>
    <col min="5345" max="5345" width="11.53515625" style="4" customWidth="1"/>
    <col min="5346" max="5346" width="1.53515625" style="4" customWidth="1"/>
    <col min="5347" max="5347" width="10.3828125" style="4" customWidth="1"/>
    <col min="5348" max="5348" width="2" style="4" customWidth="1"/>
    <col min="5349" max="5349" width="9.53515625" style="4" customWidth="1"/>
    <col min="5350" max="5592" width="9.15234375" style="4"/>
    <col min="5593" max="5593" width="4.53515625" style="4" customWidth="1"/>
    <col min="5594" max="5594" width="1" style="4" customWidth="1"/>
    <col min="5595" max="5595" width="18" style="4" customWidth="1"/>
    <col min="5596" max="5596" width="1.53515625" style="4" customWidth="1"/>
    <col min="5597" max="5597" width="12.53515625" style="4" customWidth="1"/>
    <col min="5598" max="5598" width="1.53515625" style="4" customWidth="1"/>
    <col min="5599" max="5599" width="9.53515625" style="4" customWidth="1"/>
    <col min="5600" max="5600" width="1.53515625" style="4" customWidth="1"/>
    <col min="5601" max="5601" width="11.53515625" style="4" customWidth="1"/>
    <col min="5602" max="5602" width="1.53515625" style="4" customWidth="1"/>
    <col min="5603" max="5603" width="10.3828125" style="4" customWidth="1"/>
    <col min="5604" max="5604" width="2" style="4" customWidth="1"/>
    <col min="5605" max="5605" width="9.53515625" style="4" customWidth="1"/>
    <col min="5606" max="5848" width="9.15234375" style="4"/>
    <col min="5849" max="5849" width="4.53515625" style="4" customWidth="1"/>
    <col min="5850" max="5850" width="1" style="4" customWidth="1"/>
    <col min="5851" max="5851" width="18" style="4" customWidth="1"/>
    <col min="5852" max="5852" width="1.53515625" style="4" customWidth="1"/>
    <col min="5853" max="5853" width="12.53515625" style="4" customWidth="1"/>
    <col min="5854" max="5854" width="1.53515625" style="4" customWidth="1"/>
    <col min="5855" max="5855" width="9.53515625" style="4" customWidth="1"/>
    <col min="5856" max="5856" width="1.53515625" style="4" customWidth="1"/>
    <col min="5857" max="5857" width="11.53515625" style="4" customWidth="1"/>
    <col min="5858" max="5858" width="1.53515625" style="4" customWidth="1"/>
    <col min="5859" max="5859" width="10.3828125" style="4" customWidth="1"/>
    <col min="5860" max="5860" width="2" style="4" customWidth="1"/>
    <col min="5861" max="5861" width="9.53515625" style="4" customWidth="1"/>
    <col min="5862" max="6104" width="9.15234375" style="4"/>
    <col min="6105" max="6105" width="4.53515625" style="4" customWidth="1"/>
    <col min="6106" max="6106" width="1" style="4" customWidth="1"/>
    <col min="6107" max="6107" width="18" style="4" customWidth="1"/>
    <col min="6108" max="6108" width="1.53515625" style="4" customWidth="1"/>
    <col min="6109" max="6109" width="12.53515625" style="4" customWidth="1"/>
    <col min="6110" max="6110" width="1.53515625" style="4" customWidth="1"/>
    <col min="6111" max="6111" width="9.53515625" style="4" customWidth="1"/>
    <col min="6112" max="6112" width="1.53515625" style="4" customWidth="1"/>
    <col min="6113" max="6113" width="11.53515625" style="4" customWidth="1"/>
    <col min="6114" max="6114" width="1.53515625" style="4" customWidth="1"/>
    <col min="6115" max="6115" width="10.3828125" style="4" customWidth="1"/>
    <col min="6116" max="6116" width="2" style="4" customWidth="1"/>
    <col min="6117" max="6117" width="9.53515625" style="4" customWidth="1"/>
    <col min="6118" max="6360" width="9.15234375" style="4"/>
    <col min="6361" max="6361" width="4.53515625" style="4" customWidth="1"/>
    <col min="6362" max="6362" width="1" style="4" customWidth="1"/>
    <col min="6363" max="6363" width="18" style="4" customWidth="1"/>
    <col min="6364" max="6364" width="1.53515625" style="4" customWidth="1"/>
    <col min="6365" max="6365" width="12.53515625" style="4" customWidth="1"/>
    <col min="6366" max="6366" width="1.53515625" style="4" customWidth="1"/>
    <col min="6367" max="6367" width="9.53515625" style="4" customWidth="1"/>
    <col min="6368" max="6368" width="1.53515625" style="4" customWidth="1"/>
    <col min="6369" max="6369" width="11.53515625" style="4" customWidth="1"/>
    <col min="6370" max="6370" width="1.53515625" style="4" customWidth="1"/>
    <col min="6371" max="6371" width="10.3828125" style="4" customWidth="1"/>
    <col min="6372" max="6372" width="2" style="4" customWidth="1"/>
    <col min="6373" max="6373" width="9.53515625" style="4" customWidth="1"/>
    <col min="6374" max="6616" width="9.15234375" style="4"/>
    <col min="6617" max="6617" width="4.53515625" style="4" customWidth="1"/>
    <col min="6618" max="6618" width="1" style="4" customWidth="1"/>
    <col min="6619" max="6619" width="18" style="4" customWidth="1"/>
    <col min="6620" max="6620" width="1.53515625" style="4" customWidth="1"/>
    <col min="6621" max="6621" width="12.53515625" style="4" customWidth="1"/>
    <col min="6622" max="6622" width="1.53515625" style="4" customWidth="1"/>
    <col min="6623" max="6623" width="9.53515625" style="4" customWidth="1"/>
    <col min="6624" max="6624" width="1.53515625" style="4" customWidth="1"/>
    <col min="6625" max="6625" width="11.53515625" style="4" customWidth="1"/>
    <col min="6626" max="6626" width="1.53515625" style="4" customWidth="1"/>
    <col min="6627" max="6627" width="10.3828125" style="4" customWidth="1"/>
    <col min="6628" max="6628" width="2" style="4" customWidth="1"/>
    <col min="6629" max="6629" width="9.53515625" style="4" customWidth="1"/>
    <col min="6630" max="6872" width="9.15234375" style="4"/>
    <col min="6873" max="6873" width="4.53515625" style="4" customWidth="1"/>
    <col min="6874" max="6874" width="1" style="4" customWidth="1"/>
    <col min="6875" max="6875" width="18" style="4" customWidth="1"/>
    <col min="6876" max="6876" width="1.53515625" style="4" customWidth="1"/>
    <col min="6877" max="6877" width="12.53515625" style="4" customWidth="1"/>
    <col min="6878" max="6878" width="1.53515625" style="4" customWidth="1"/>
    <col min="6879" max="6879" width="9.53515625" style="4" customWidth="1"/>
    <col min="6880" max="6880" width="1.53515625" style="4" customWidth="1"/>
    <col min="6881" max="6881" width="11.53515625" style="4" customWidth="1"/>
    <col min="6882" max="6882" width="1.53515625" style="4" customWidth="1"/>
    <col min="6883" max="6883" width="10.3828125" style="4" customWidth="1"/>
    <col min="6884" max="6884" width="2" style="4" customWidth="1"/>
    <col min="6885" max="6885" width="9.53515625" style="4" customWidth="1"/>
    <col min="6886" max="7128" width="9.15234375" style="4"/>
    <col min="7129" max="7129" width="4.53515625" style="4" customWidth="1"/>
    <col min="7130" max="7130" width="1" style="4" customWidth="1"/>
    <col min="7131" max="7131" width="18" style="4" customWidth="1"/>
    <col min="7132" max="7132" width="1.53515625" style="4" customWidth="1"/>
    <col min="7133" max="7133" width="12.53515625" style="4" customWidth="1"/>
    <col min="7134" max="7134" width="1.53515625" style="4" customWidth="1"/>
    <col min="7135" max="7135" width="9.53515625" style="4" customWidth="1"/>
    <col min="7136" max="7136" width="1.53515625" style="4" customWidth="1"/>
    <col min="7137" max="7137" width="11.53515625" style="4" customWidth="1"/>
    <col min="7138" max="7138" width="1.53515625" style="4" customWidth="1"/>
    <col min="7139" max="7139" width="10.3828125" style="4" customWidth="1"/>
    <col min="7140" max="7140" width="2" style="4" customWidth="1"/>
    <col min="7141" max="7141" width="9.53515625" style="4" customWidth="1"/>
    <col min="7142" max="7384" width="9.15234375" style="4"/>
    <col min="7385" max="7385" width="4.53515625" style="4" customWidth="1"/>
    <col min="7386" max="7386" width="1" style="4" customWidth="1"/>
    <col min="7387" max="7387" width="18" style="4" customWidth="1"/>
    <col min="7388" max="7388" width="1.53515625" style="4" customWidth="1"/>
    <col min="7389" max="7389" width="12.53515625" style="4" customWidth="1"/>
    <col min="7390" max="7390" width="1.53515625" style="4" customWidth="1"/>
    <col min="7391" max="7391" width="9.53515625" style="4" customWidth="1"/>
    <col min="7392" max="7392" width="1.53515625" style="4" customWidth="1"/>
    <col min="7393" max="7393" width="11.53515625" style="4" customWidth="1"/>
    <col min="7394" max="7394" width="1.53515625" style="4" customWidth="1"/>
    <col min="7395" max="7395" width="10.3828125" style="4" customWidth="1"/>
    <col min="7396" max="7396" width="2" style="4" customWidth="1"/>
    <col min="7397" max="7397" width="9.53515625" style="4" customWidth="1"/>
    <col min="7398" max="7640" width="9.15234375" style="4"/>
    <col min="7641" max="7641" width="4.53515625" style="4" customWidth="1"/>
    <col min="7642" max="7642" width="1" style="4" customWidth="1"/>
    <col min="7643" max="7643" width="18" style="4" customWidth="1"/>
    <col min="7644" max="7644" width="1.53515625" style="4" customWidth="1"/>
    <col min="7645" max="7645" width="12.53515625" style="4" customWidth="1"/>
    <col min="7646" max="7646" width="1.53515625" style="4" customWidth="1"/>
    <col min="7647" max="7647" width="9.53515625" style="4" customWidth="1"/>
    <col min="7648" max="7648" width="1.53515625" style="4" customWidth="1"/>
    <col min="7649" max="7649" width="11.53515625" style="4" customWidth="1"/>
    <col min="7650" max="7650" width="1.53515625" style="4" customWidth="1"/>
    <col min="7651" max="7651" width="10.3828125" style="4" customWidth="1"/>
    <col min="7652" max="7652" width="2" style="4" customWidth="1"/>
    <col min="7653" max="7653" width="9.53515625" style="4" customWidth="1"/>
    <col min="7654" max="7896" width="9.15234375" style="4"/>
    <col min="7897" max="7897" width="4.53515625" style="4" customWidth="1"/>
    <col min="7898" max="7898" width="1" style="4" customWidth="1"/>
    <col min="7899" max="7899" width="18" style="4" customWidth="1"/>
    <col min="7900" max="7900" width="1.53515625" style="4" customWidth="1"/>
    <col min="7901" max="7901" width="12.53515625" style="4" customWidth="1"/>
    <col min="7902" max="7902" width="1.53515625" style="4" customWidth="1"/>
    <col min="7903" max="7903" width="9.53515625" style="4" customWidth="1"/>
    <col min="7904" max="7904" width="1.53515625" style="4" customWidth="1"/>
    <col min="7905" max="7905" width="11.53515625" style="4" customWidth="1"/>
    <col min="7906" max="7906" width="1.53515625" style="4" customWidth="1"/>
    <col min="7907" max="7907" width="10.3828125" style="4" customWidth="1"/>
    <col min="7908" max="7908" width="2" style="4" customWidth="1"/>
    <col min="7909" max="7909" width="9.53515625" style="4" customWidth="1"/>
    <col min="7910" max="8152" width="9.15234375" style="4"/>
    <col min="8153" max="8153" width="4.53515625" style="4" customWidth="1"/>
    <col min="8154" max="8154" width="1" style="4" customWidth="1"/>
    <col min="8155" max="8155" width="18" style="4" customWidth="1"/>
    <col min="8156" max="8156" width="1.53515625" style="4" customWidth="1"/>
    <col min="8157" max="8157" width="12.53515625" style="4" customWidth="1"/>
    <col min="8158" max="8158" width="1.53515625" style="4" customWidth="1"/>
    <col min="8159" max="8159" width="9.53515625" style="4" customWidth="1"/>
    <col min="8160" max="8160" width="1.53515625" style="4" customWidth="1"/>
    <col min="8161" max="8161" width="11.53515625" style="4" customWidth="1"/>
    <col min="8162" max="8162" width="1.53515625" style="4" customWidth="1"/>
    <col min="8163" max="8163" width="10.3828125" style="4" customWidth="1"/>
    <col min="8164" max="8164" width="2" style="4" customWidth="1"/>
    <col min="8165" max="8165" width="9.53515625" style="4" customWidth="1"/>
    <col min="8166" max="8408" width="9.15234375" style="4"/>
    <col min="8409" max="8409" width="4.53515625" style="4" customWidth="1"/>
    <col min="8410" max="8410" width="1" style="4" customWidth="1"/>
    <col min="8411" max="8411" width="18" style="4" customWidth="1"/>
    <col min="8412" max="8412" width="1.53515625" style="4" customWidth="1"/>
    <col min="8413" max="8413" width="12.53515625" style="4" customWidth="1"/>
    <col min="8414" max="8414" width="1.53515625" style="4" customWidth="1"/>
    <col min="8415" max="8415" width="9.53515625" style="4" customWidth="1"/>
    <col min="8416" max="8416" width="1.53515625" style="4" customWidth="1"/>
    <col min="8417" max="8417" width="11.53515625" style="4" customWidth="1"/>
    <col min="8418" max="8418" width="1.53515625" style="4" customWidth="1"/>
    <col min="8419" max="8419" width="10.3828125" style="4" customWidth="1"/>
    <col min="8420" max="8420" width="2" style="4" customWidth="1"/>
    <col min="8421" max="8421" width="9.53515625" style="4" customWidth="1"/>
    <col min="8422" max="8664" width="9.15234375" style="4"/>
    <col min="8665" max="8665" width="4.53515625" style="4" customWidth="1"/>
    <col min="8666" max="8666" width="1" style="4" customWidth="1"/>
    <col min="8667" max="8667" width="18" style="4" customWidth="1"/>
    <col min="8668" max="8668" width="1.53515625" style="4" customWidth="1"/>
    <col min="8669" max="8669" width="12.53515625" style="4" customWidth="1"/>
    <col min="8670" max="8670" width="1.53515625" style="4" customWidth="1"/>
    <col min="8671" max="8671" width="9.53515625" style="4" customWidth="1"/>
    <col min="8672" max="8672" width="1.53515625" style="4" customWidth="1"/>
    <col min="8673" max="8673" width="11.53515625" style="4" customWidth="1"/>
    <col min="8674" max="8674" width="1.53515625" style="4" customWidth="1"/>
    <col min="8675" max="8675" width="10.3828125" style="4" customWidth="1"/>
    <col min="8676" max="8676" width="2" style="4" customWidth="1"/>
    <col min="8677" max="8677" width="9.53515625" style="4" customWidth="1"/>
    <col min="8678" max="8920" width="9.15234375" style="4"/>
    <col min="8921" max="8921" width="4.53515625" style="4" customWidth="1"/>
    <col min="8922" max="8922" width="1" style="4" customWidth="1"/>
    <col min="8923" max="8923" width="18" style="4" customWidth="1"/>
    <col min="8924" max="8924" width="1.53515625" style="4" customWidth="1"/>
    <col min="8925" max="8925" width="12.53515625" style="4" customWidth="1"/>
    <col min="8926" max="8926" width="1.53515625" style="4" customWidth="1"/>
    <col min="8927" max="8927" width="9.53515625" style="4" customWidth="1"/>
    <col min="8928" max="8928" width="1.53515625" style="4" customWidth="1"/>
    <col min="8929" max="8929" width="11.53515625" style="4" customWidth="1"/>
    <col min="8930" max="8930" width="1.53515625" style="4" customWidth="1"/>
    <col min="8931" max="8931" width="10.3828125" style="4" customWidth="1"/>
    <col min="8932" max="8932" width="2" style="4" customWidth="1"/>
    <col min="8933" max="8933" width="9.53515625" style="4" customWidth="1"/>
    <col min="8934" max="9176" width="9.15234375" style="4"/>
    <col min="9177" max="9177" width="4.53515625" style="4" customWidth="1"/>
    <col min="9178" max="9178" width="1" style="4" customWidth="1"/>
    <col min="9179" max="9179" width="18" style="4" customWidth="1"/>
    <col min="9180" max="9180" width="1.53515625" style="4" customWidth="1"/>
    <col min="9181" max="9181" width="12.53515625" style="4" customWidth="1"/>
    <col min="9182" max="9182" width="1.53515625" style="4" customWidth="1"/>
    <col min="9183" max="9183" width="9.53515625" style="4" customWidth="1"/>
    <col min="9184" max="9184" width="1.53515625" style="4" customWidth="1"/>
    <col min="9185" max="9185" width="11.53515625" style="4" customWidth="1"/>
    <col min="9186" max="9186" width="1.53515625" style="4" customWidth="1"/>
    <col min="9187" max="9187" width="10.3828125" style="4" customWidth="1"/>
    <col min="9188" max="9188" width="2" style="4" customWidth="1"/>
    <col min="9189" max="9189" width="9.53515625" style="4" customWidth="1"/>
    <col min="9190" max="9432" width="9.15234375" style="4"/>
    <col min="9433" max="9433" width="4.53515625" style="4" customWidth="1"/>
    <col min="9434" max="9434" width="1" style="4" customWidth="1"/>
    <col min="9435" max="9435" width="18" style="4" customWidth="1"/>
    <col min="9436" max="9436" width="1.53515625" style="4" customWidth="1"/>
    <col min="9437" max="9437" width="12.53515625" style="4" customWidth="1"/>
    <col min="9438" max="9438" width="1.53515625" style="4" customWidth="1"/>
    <col min="9439" max="9439" width="9.53515625" style="4" customWidth="1"/>
    <col min="9440" max="9440" width="1.53515625" style="4" customWidth="1"/>
    <col min="9441" max="9441" width="11.53515625" style="4" customWidth="1"/>
    <col min="9442" max="9442" width="1.53515625" style="4" customWidth="1"/>
    <col min="9443" max="9443" width="10.3828125" style="4" customWidth="1"/>
    <col min="9444" max="9444" width="2" style="4" customWidth="1"/>
    <col min="9445" max="9445" width="9.53515625" style="4" customWidth="1"/>
    <col min="9446" max="9688" width="9.15234375" style="4"/>
    <col min="9689" max="9689" width="4.53515625" style="4" customWidth="1"/>
    <col min="9690" max="9690" width="1" style="4" customWidth="1"/>
    <col min="9691" max="9691" width="18" style="4" customWidth="1"/>
    <col min="9692" max="9692" width="1.53515625" style="4" customWidth="1"/>
    <col min="9693" max="9693" width="12.53515625" style="4" customWidth="1"/>
    <col min="9694" max="9694" width="1.53515625" style="4" customWidth="1"/>
    <col min="9695" max="9695" width="9.53515625" style="4" customWidth="1"/>
    <col min="9696" max="9696" width="1.53515625" style="4" customWidth="1"/>
    <col min="9697" max="9697" width="11.53515625" style="4" customWidth="1"/>
    <col min="9698" max="9698" width="1.53515625" style="4" customWidth="1"/>
    <col min="9699" max="9699" width="10.3828125" style="4" customWidth="1"/>
    <col min="9700" max="9700" width="2" style="4" customWidth="1"/>
    <col min="9701" max="9701" width="9.53515625" style="4" customWidth="1"/>
    <col min="9702" max="9944" width="9.15234375" style="4"/>
    <col min="9945" max="9945" width="4.53515625" style="4" customWidth="1"/>
    <col min="9946" max="9946" width="1" style="4" customWidth="1"/>
    <col min="9947" max="9947" width="18" style="4" customWidth="1"/>
    <col min="9948" max="9948" width="1.53515625" style="4" customWidth="1"/>
    <col min="9949" max="9949" width="12.53515625" style="4" customWidth="1"/>
    <col min="9950" max="9950" width="1.53515625" style="4" customWidth="1"/>
    <col min="9951" max="9951" width="9.53515625" style="4" customWidth="1"/>
    <col min="9952" max="9952" width="1.53515625" style="4" customWidth="1"/>
    <col min="9953" max="9953" width="11.53515625" style="4" customWidth="1"/>
    <col min="9954" max="9954" width="1.53515625" style="4" customWidth="1"/>
    <col min="9955" max="9955" width="10.3828125" style="4" customWidth="1"/>
    <col min="9956" max="9956" width="2" style="4" customWidth="1"/>
    <col min="9957" max="9957" width="9.53515625" style="4" customWidth="1"/>
    <col min="9958" max="10200" width="9.15234375" style="4"/>
    <col min="10201" max="10201" width="4.53515625" style="4" customWidth="1"/>
    <col min="10202" max="10202" width="1" style="4" customWidth="1"/>
    <col min="10203" max="10203" width="18" style="4" customWidth="1"/>
    <col min="10204" max="10204" width="1.53515625" style="4" customWidth="1"/>
    <col min="10205" max="10205" width="12.53515625" style="4" customWidth="1"/>
    <col min="10206" max="10206" width="1.53515625" style="4" customWidth="1"/>
    <col min="10207" max="10207" width="9.53515625" style="4" customWidth="1"/>
    <col min="10208" max="10208" width="1.53515625" style="4" customWidth="1"/>
    <col min="10209" max="10209" width="11.53515625" style="4" customWidth="1"/>
    <col min="10210" max="10210" width="1.53515625" style="4" customWidth="1"/>
    <col min="10211" max="10211" width="10.3828125" style="4" customWidth="1"/>
    <col min="10212" max="10212" width="2" style="4" customWidth="1"/>
    <col min="10213" max="10213" width="9.53515625" style="4" customWidth="1"/>
    <col min="10214" max="10456" width="9.15234375" style="4"/>
    <col min="10457" max="10457" width="4.53515625" style="4" customWidth="1"/>
    <col min="10458" max="10458" width="1" style="4" customWidth="1"/>
    <col min="10459" max="10459" width="18" style="4" customWidth="1"/>
    <col min="10460" max="10460" width="1.53515625" style="4" customWidth="1"/>
    <col min="10461" max="10461" width="12.53515625" style="4" customWidth="1"/>
    <col min="10462" max="10462" width="1.53515625" style="4" customWidth="1"/>
    <col min="10463" max="10463" width="9.53515625" style="4" customWidth="1"/>
    <col min="10464" max="10464" width="1.53515625" style="4" customWidth="1"/>
    <col min="10465" max="10465" width="11.53515625" style="4" customWidth="1"/>
    <col min="10466" max="10466" width="1.53515625" style="4" customWidth="1"/>
    <col min="10467" max="10467" width="10.3828125" style="4" customWidth="1"/>
    <col min="10468" max="10468" width="2" style="4" customWidth="1"/>
    <col min="10469" max="10469" width="9.53515625" style="4" customWidth="1"/>
    <col min="10470" max="10712" width="9.15234375" style="4"/>
    <col min="10713" max="10713" width="4.53515625" style="4" customWidth="1"/>
    <col min="10714" max="10714" width="1" style="4" customWidth="1"/>
    <col min="10715" max="10715" width="18" style="4" customWidth="1"/>
    <col min="10716" max="10716" width="1.53515625" style="4" customWidth="1"/>
    <col min="10717" max="10717" width="12.53515625" style="4" customWidth="1"/>
    <col min="10718" max="10718" width="1.53515625" style="4" customWidth="1"/>
    <col min="10719" max="10719" width="9.53515625" style="4" customWidth="1"/>
    <col min="10720" max="10720" width="1.53515625" style="4" customWidth="1"/>
    <col min="10721" max="10721" width="11.53515625" style="4" customWidth="1"/>
    <col min="10722" max="10722" width="1.53515625" style="4" customWidth="1"/>
    <col min="10723" max="10723" width="10.3828125" style="4" customWidth="1"/>
    <col min="10724" max="10724" width="2" style="4" customWidth="1"/>
    <col min="10725" max="10725" width="9.53515625" style="4" customWidth="1"/>
    <col min="10726" max="10968" width="9.15234375" style="4"/>
    <col min="10969" max="10969" width="4.53515625" style="4" customWidth="1"/>
    <col min="10970" max="10970" width="1" style="4" customWidth="1"/>
    <col min="10971" max="10971" width="18" style="4" customWidth="1"/>
    <col min="10972" max="10972" width="1.53515625" style="4" customWidth="1"/>
    <col min="10973" max="10973" width="12.53515625" style="4" customWidth="1"/>
    <col min="10974" max="10974" width="1.53515625" style="4" customWidth="1"/>
    <col min="10975" max="10975" width="9.53515625" style="4" customWidth="1"/>
    <col min="10976" max="10976" width="1.53515625" style="4" customWidth="1"/>
    <col min="10977" max="10977" width="11.53515625" style="4" customWidth="1"/>
    <col min="10978" max="10978" width="1.53515625" style="4" customWidth="1"/>
    <col min="10979" max="10979" width="10.3828125" style="4" customWidth="1"/>
    <col min="10980" max="10980" width="2" style="4" customWidth="1"/>
    <col min="10981" max="10981" width="9.53515625" style="4" customWidth="1"/>
    <col min="10982" max="11224" width="9.15234375" style="4"/>
    <col min="11225" max="11225" width="4.53515625" style="4" customWidth="1"/>
    <col min="11226" max="11226" width="1" style="4" customWidth="1"/>
    <col min="11227" max="11227" width="18" style="4" customWidth="1"/>
    <col min="11228" max="11228" width="1.53515625" style="4" customWidth="1"/>
    <col min="11229" max="11229" width="12.53515625" style="4" customWidth="1"/>
    <col min="11230" max="11230" width="1.53515625" style="4" customWidth="1"/>
    <col min="11231" max="11231" width="9.53515625" style="4" customWidth="1"/>
    <col min="11232" max="11232" width="1.53515625" style="4" customWidth="1"/>
    <col min="11233" max="11233" width="11.53515625" style="4" customWidth="1"/>
    <col min="11234" max="11234" width="1.53515625" style="4" customWidth="1"/>
    <col min="11235" max="11235" width="10.3828125" style="4" customWidth="1"/>
    <col min="11236" max="11236" width="2" style="4" customWidth="1"/>
    <col min="11237" max="11237" width="9.53515625" style="4" customWidth="1"/>
    <col min="11238" max="11480" width="9.15234375" style="4"/>
    <col min="11481" max="11481" width="4.53515625" style="4" customWidth="1"/>
    <col min="11482" max="11482" width="1" style="4" customWidth="1"/>
    <col min="11483" max="11483" width="18" style="4" customWidth="1"/>
    <col min="11484" max="11484" width="1.53515625" style="4" customWidth="1"/>
    <col min="11485" max="11485" width="12.53515625" style="4" customWidth="1"/>
    <col min="11486" max="11486" width="1.53515625" style="4" customWidth="1"/>
    <col min="11487" max="11487" width="9.53515625" style="4" customWidth="1"/>
    <col min="11488" max="11488" width="1.53515625" style="4" customWidth="1"/>
    <col min="11489" max="11489" width="11.53515625" style="4" customWidth="1"/>
    <col min="11490" max="11490" width="1.53515625" style="4" customWidth="1"/>
    <col min="11491" max="11491" width="10.3828125" style="4" customWidth="1"/>
    <col min="11492" max="11492" width="2" style="4" customWidth="1"/>
    <col min="11493" max="11493" width="9.53515625" style="4" customWidth="1"/>
    <col min="11494" max="11736" width="9.15234375" style="4"/>
    <col min="11737" max="11737" width="4.53515625" style="4" customWidth="1"/>
    <col min="11738" max="11738" width="1" style="4" customWidth="1"/>
    <col min="11739" max="11739" width="18" style="4" customWidth="1"/>
    <col min="11740" max="11740" width="1.53515625" style="4" customWidth="1"/>
    <col min="11741" max="11741" width="12.53515625" style="4" customWidth="1"/>
    <col min="11742" max="11742" width="1.53515625" style="4" customWidth="1"/>
    <col min="11743" max="11743" width="9.53515625" style="4" customWidth="1"/>
    <col min="11744" max="11744" width="1.53515625" style="4" customWidth="1"/>
    <col min="11745" max="11745" width="11.53515625" style="4" customWidth="1"/>
    <col min="11746" max="11746" width="1.53515625" style="4" customWidth="1"/>
    <col min="11747" max="11747" width="10.3828125" style="4" customWidth="1"/>
    <col min="11748" max="11748" width="2" style="4" customWidth="1"/>
    <col min="11749" max="11749" width="9.53515625" style="4" customWidth="1"/>
    <col min="11750" max="11992" width="9.15234375" style="4"/>
    <col min="11993" max="11993" width="4.53515625" style="4" customWidth="1"/>
    <col min="11994" max="11994" width="1" style="4" customWidth="1"/>
    <col min="11995" max="11995" width="18" style="4" customWidth="1"/>
    <col min="11996" max="11996" width="1.53515625" style="4" customWidth="1"/>
    <col min="11997" max="11997" width="12.53515625" style="4" customWidth="1"/>
    <col min="11998" max="11998" width="1.53515625" style="4" customWidth="1"/>
    <col min="11999" max="11999" width="9.53515625" style="4" customWidth="1"/>
    <col min="12000" max="12000" width="1.53515625" style="4" customWidth="1"/>
    <col min="12001" max="12001" width="11.53515625" style="4" customWidth="1"/>
    <col min="12002" max="12002" width="1.53515625" style="4" customWidth="1"/>
    <col min="12003" max="12003" width="10.3828125" style="4" customWidth="1"/>
    <col min="12004" max="12004" width="2" style="4" customWidth="1"/>
    <col min="12005" max="12005" width="9.53515625" style="4" customWidth="1"/>
    <col min="12006" max="12248" width="9.15234375" style="4"/>
    <col min="12249" max="12249" width="4.53515625" style="4" customWidth="1"/>
    <col min="12250" max="12250" width="1" style="4" customWidth="1"/>
    <col min="12251" max="12251" width="18" style="4" customWidth="1"/>
    <col min="12252" max="12252" width="1.53515625" style="4" customWidth="1"/>
    <col min="12253" max="12253" width="12.53515625" style="4" customWidth="1"/>
    <col min="12254" max="12254" width="1.53515625" style="4" customWidth="1"/>
    <col min="12255" max="12255" width="9.53515625" style="4" customWidth="1"/>
    <col min="12256" max="12256" width="1.53515625" style="4" customWidth="1"/>
    <col min="12257" max="12257" width="11.53515625" style="4" customWidth="1"/>
    <col min="12258" max="12258" width="1.53515625" style="4" customWidth="1"/>
    <col min="12259" max="12259" width="10.3828125" style="4" customWidth="1"/>
    <col min="12260" max="12260" width="2" style="4" customWidth="1"/>
    <col min="12261" max="12261" width="9.53515625" style="4" customWidth="1"/>
    <col min="12262" max="12504" width="9.15234375" style="4"/>
    <col min="12505" max="12505" width="4.53515625" style="4" customWidth="1"/>
    <col min="12506" max="12506" width="1" style="4" customWidth="1"/>
    <col min="12507" max="12507" width="18" style="4" customWidth="1"/>
    <col min="12508" max="12508" width="1.53515625" style="4" customWidth="1"/>
    <col min="12509" max="12509" width="12.53515625" style="4" customWidth="1"/>
    <col min="12510" max="12510" width="1.53515625" style="4" customWidth="1"/>
    <col min="12511" max="12511" width="9.53515625" style="4" customWidth="1"/>
    <col min="12512" max="12512" width="1.53515625" style="4" customWidth="1"/>
    <col min="12513" max="12513" width="11.53515625" style="4" customWidth="1"/>
    <col min="12514" max="12514" width="1.53515625" style="4" customWidth="1"/>
    <col min="12515" max="12515" width="10.3828125" style="4" customWidth="1"/>
    <col min="12516" max="12516" width="2" style="4" customWidth="1"/>
    <col min="12517" max="12517" width="9.53515625" style="4" customWidth="1"/>
    <col min="12518" max="12760" width="9.15234375" style="4"/>
    <col min="12761" max="12761" width="4.53515625" style="4" customWidth="1"/>
    <col min="12762" max="12762" width="1" style="4" customWidth="1"/>
    <col min="12763" max="12763" width="18" style="4" customWidth="1"/>
    <col min="12764" max="12764" width="1.53515625" style="4" customWidth="1"/>
    <col min="12765" max="12765" width="12.53515625" style="4" customWidth="1"/>
    <col min="12766" max="12766" width="1.53515625" style="4" customWidth="1"/>
    <col min="12767" max="12767" width="9.53515625" style="4" customWidth="1"/>
    <col min="12768" max="12768" width="1.53515625" style="4" customWidth="1"/>
    <col min="12769" max="12769" width="11.53515625" style="4" customWidth="1"/>
    <col min="12770" max="12770" width="1.53515625" style="4" customWidth="1"/>
    <col min="12771" max="12771" width="10.3828125" style="4" customWidth="1"/>
    <col min="12772" max="12772" width="2" style="4" customWidth="1"/>
    <col min="12773" max="12773" width="9.53515625" style="4" customWidth="1"/>
    <col min="12774" max="13016" width="9.15234375" style="4"/>
    <col min="13017" max="13017" width="4.53515625" style="4" customWidth="1"/>
    <col min="13018" max="13018" width="1" style="4" customWidth="1"/>
    <col min="13019" max="13019" width="18" style="4" customWidth="1"/>
    <col min="13020" max="13020" width="1.53515625" style="4" customWidth="1"/>
    <col min="13021" max="13021" width="12.53515625" style="4" customWidth="1"/>
    <col min="13022" max="13022" width="1.53515625" style="4" customWidth="1"/>
    <col min="13023" max="13023" width="9.53515625" style="4" customWidth="1"/>
    <col min="13024" max="13024" width="1.53515625" style="4" customWidth="1"/>
    <col min="13025" max="13025" width="11.53515625" style="4" customWidth="1"/>
    <col min="13026" max="13026" width="1.53515625" style="4" customWidth="1"/>
    <col min="13027" max="13027" width="10.3828125" style="4" customWidth="1"/>
    <col min="13028" max="13028" width="2" style="4" customWidth="1"/>
    <col min="13029" max="13029" width="9.53515625" style="4" customWidth="1"/>
    <col min="13030" max="13272" width="9.15234375" style="4"/>
    <col min="13273" max="13273" width="4.53515625" style="4" customWidth="1"/>
    <col min="13274" max="13274" width="1" style="4" customWidth="1"/>
    <col min="13275" max="13275" width="18" style="4" customWidth="1"/>
    <col min="13276" max="13276" width="1.53515625" style="4" customWidth="1"/>
    <col min="13277" max="13277" width="12.53515625" style="4" customWidth="1"/>
    <col min="13278" max="13278" width="1.53515625" style="4" customWidth="1"/>
    <col min="13279" max="13279" width="9.53515625" style="4" customWidth="1"/>
    <col min="13280" max="13280" width="1.53515625" style="4" customWidth="1"/>
    <col min="13281" max="13281" width="11.53515625" style="4" customWidth="1"/>
    <col min="13282" max="13282" width="1.53515625" style="4" customWidth="1"/>
    <col min="13283" max="13283" width="10.3828125" style="4" customWidth="1"/>
    <col min="13284" max="13284" width="2" style="4" customWidth="1"/>
    <col min="13285" max="13285" width="9.53515625" style="4" customWidth="1"/>
    <col min="13286" max="13528" width="9.15234375" style="4"/>
    <col min="13529" max="13529" width="4.53515625" style="4" customWidth="1"/>
    <col min="13530" max="13530" width="1" style="4" customWidth="1"/>
    <col min="13531" max="13531" width="18" style="4" customWidth="1"/>
    <col min="13532" max="13532" width="1.53515625" style="4" customWidth="1"/>
    <col min="13533" max="13533" width="12.53515625" style="4" customWidth="1"/>
    <col min="13534" max="13534" width="1.53515625" style="4" customWidth="1"/>
    <col min="13535" max="13535" width="9.53515625" style="4" customWidth="1"/>
    <col min="13536" max="13536" width="1.53515625" style="4" customWidth="1"/>
    <col min="13537" max="13537" width="11.53515625" style="4" customWidth="1"/>
    <col min="13538" max="13538" width="1.53515625" style="4" customWidth="1"/>
    <col min="13539" max="13539" width="10.3828125" style="4" customWidth="1"/>
    <col min="13540" max="13540" width="2" style="4" customWidth="1"/>
    <col min="13541" max="13541" width="9.53515625" style="4" customWidth="1"/>
    <col min="13542" max="13784" width="9.15234375" style="4"/>
    <col min="13785" max="13785" width="4.53515625" style="4" customWidth="1"/>
    <col min="13786" max="13786" width="1" style="4" customWidth="1"/>
    <col min="13787" max="13787" width="18" style="4" customWidth="1"/>
    <col min="13788" max="13788" width="1.53515625" style="4" customWidth="1"/>
    <col min="13789" max="13789" width="12.53515625" style="4" customWidth="1"/>
    <col min="13790" max="13790" width="1.53515625" style="4" customWidth="1"/>
    <col min="13791" max="13791" width="9.53515625" style="4" customWidth="1"/>
    <col min="13792" max="13792" width="1.53515625" style="4" customWidth="1"/>
    <col min="13793" max="13793" width="11.53515625" style="4" customWidth="1"/>
    <col min="13794" max="13794" width="1.53515625" style="4" customWidth="1"/>
    <col min="13795" max="13795" width="10.3828125" style="4" customWidth="1"/>
    <col min="13796" max="13796" width="2" style="4" customWidth="1"/>
    <col min="13797" max="13797" width="9.53515625" style="4" customWidth="1"/>
    <col min="13798" max="14040" width="9.15234375" style="4"/>
    <col min="14041" max="14041" width="4.53515625" style="4" customWidth="1"/>
    <col min="14042" max="14042" width="1" style="4" customWidth="1"/>
    <col min="14043" max="14043" width="18" style="4" customWidth="1"/>
    <col min="14044" max="14044" width="1.53515625" style="4" customWidth="1"/>
    <col min="14045" max="14045" width="12.53515625" style="4" customWidth="1"/>
    <col min="14046" max="14046" width="1.53515625" style="4" customWidth="1"/>
    <col min="14047" max="14047" width="9.53515625" style="4" customWidth="1"/>
    <col min="14048" max="14048" width="1.53515625" style="4" customWidth="1"/>
    <col min="14049" max="14049" width="11.53515625" style="4" customWidth="1"/>
    <col min="14050" max="14050" width="1.53515625" style="4" customWidth="1"/>
    <col min="14051" max="14051" width="10.3828125" style="4" customWidth="1"/>
    <col min="14052" max="14052" width="2" style="4" customWidth="1"/>
    <col min="14053" max="14053" width="9.53515625" style="4" customWidth="1"/>
    <col min="14054" max="14296" width="9.15234375" style="4"/>
    <col min="14297" max="14297" width="4.53515625" style="4" customWidth="1"/>
    <col min="14298" max="14298" width="1" style="4" customWidth="1"/>
    <col min="14299" max="14299" width="18" style="4" customWidth="1"/>
    <col min="14300" max="14300" width="1.53515625" style="4" customWidth="1"/>
    <col min="14301" max="14301" width="12.53515625" style="4" customWidth="1"/>
    <col min="14302" max="14302" width="1.53515625" style="4" customWidth="1"/>
    <col min="14303" max="14303" width="9.53515625" style="4" customWidth="1"/>
    <col min="14304" max="14304" width="1.53515625" style="4" customWidth="1"/>
    <col min="14305" max="14305" width="11.53515625" style="4" customWidth="1"/>
    <col min="14306" max="14306" width="1.53515625" style="4" customWidth="1"/>
    <col min="14307" max="14307" width="10.3828125" style="4" customWidth="1"/>
    <col min="14308" max="14308" width="2" style="4" customWidth="1"/>
    <col min="14309" max="14309" width="9.53515625" style="4" customWidth="1"/>
    <col min="14310" max="14552" width="9.15234375" style="4"/>
    <col min="14553" max="14553" width="4.53515625" style="4" customWidth="1"/>
    <col min="14554" max="14554" width="1" style="4" customWidth="1"/>
    <col min="14555" max="14555" width="18" style="4" customWidth="1"/>
    <col min="14556" max="14556" width="1.53515625" style="4" customWidth="1"/>
    <col min="14557" max="14557" width="12.53515625" style="4" customWidth="1"/>
    <col min="14558" max="14558" width="1.53515625" style="4" customWidth="1"/>
    <col min="14559" max="14559" width="9.53515625" style="4" customWidth="1"/>
    <col min="14560" max="14560" width="1.53515625" style="4" customWidth="1"/>
    <col min="14561" max="14561" width="11.53515625" style="4" customWidth="1"/>
    <col min="14562" max="14562" width="1.53515625" style="4" customWidth="1"/>
    <col min="14563" max="14563" width="10.3828125" style="4" customWidth="1"/>
    <col min="14564" max="14564" width="2" style="4" customWidth="1"/>
    <col min="14565" max="14565" width="9.53515625" style="4" customWidth="1"/>
    <col min="14566" max="14808" width="9.15234375" style="4"/>
    <col min="14809" max="14809" width="4.53515625" style="4" customWidth="1"/>
    <col min="14810" max="14810" width="1" style="4" customWidth="1"/>
    <col min="14811" max="14811" width="18" style="4" customWidth="1"/>
    <col min="14812" max="14812" width="1.53515625" style="4" customWidth="1"/>
    <col min="14813" max="14813" width="12.53515625" style="4" customWidth="1"/>
    <col min="14814" max="14814" width="1.53515625" style="4" customWidth="1"/>
    <col min="14815" max="14815" width="9.53515625" style="4" customWidth="1"/>
    <col min="14816" max="14816" width="1.53515625" style="4" customWidth="1"/>
    <col min="14817" max="14817" width="11.53515625" style="4" customWidth="1"/>
    <col min="14818" max="14818" width="1.53515625" style="4" customWidth="1"/>
    <col min="14819" max="14819" width="10.3828125" style="4" customWidth="1"/>
    <col min="14820" max="14820" width="2" style="4" customWidth="1"/>
    <col min="14821" max="14821" width="9.53515625" style="4" customWidth="1"/>
    <col min="14822" max="15064" width="9.15234375" style="4"/>
    <col min="15065" max="15065" width="4.53515625" style="4" customWidth="1"/>
    <col min="15066" max="15066" width="1" style="4" customWidth="1"/>
    <col min="15067" max="15067" width="18" style="4" customWidth="1"/>
    <col min="15068" max="15068" width="1.53515625" style="4" customWidth="1"/>
    <col min="15069" max="15069" width="12.53515625" style="4" customWidth="1"/>
    <col min="15070" max="15070" width="1.53515625" style="4" customWidth="1"/>
    <col min="15071" max="15071" width="9.53515625" style="4" customWidth="1"/>
    <col min="15072" max="15072" width="1.53515625" style="4" customWidth="1"/>
    <col min="15073" max="15073" width="11.53515625" style="4" customWidth="1"/>
    <col min="15074" max="15074" width="1.53515625" style="4" customWidth="1"/>
    <col min="15075" max="15075" width="10.3828125" style="4" customWidth="1"/>
    <col min="15076" max="15076" width="2" style="4" customWidth="1"/>
    <col min="15077" max="15077" width="9.53515625" style="4" customWidth="1"/>
    <col min="15078" max="15320" width="9.15234375" style="4"/>
    <col min="15321" max="15321" width="4.53515625" style="4" customWidth="1"/>
    <col min="15322" max="15322" width="1" style="4" customWidth="1"/>
    <col min="15323" max="15323" width="18" style="4" customWidth="1"/>
    <col min="15324" max="15324" width="1.53515625" style="4" customWidth="1"/>
    <col min="15325" max="15325" width="12.53515625" style="4" customWidth="1"/>
    <col min="15326" max="15326" width="1.53515625" style="4" customWidth="1"/>
    <col min="15327" max="15327" width="9.53515625" style="4" customWidth="1"/>
    <col min="15328" max="15328" width="1.53515625" style="4" customWidth="1"/>
    <col min="15329" max="15329" width="11.53515625" style="4" customWidth="1"/>
    <col min="15330" max="15330" width="1.53515625" style="4" customWidth="1"/>
    <col min="15331" max="15331" width="10.3828125" style="4" customWidth="1"/>
    <col min="15332" max="15332" width="2" style="4" customWidth="1"/>
    <col min="15333" max="15333" width="9.53515625" style="4" customWidth="1"/>
    <col min="15334" max="15576" width="9.15234375" style="4"/>
    <col min="15577" max="15577" width="4.53515625" style="4" customWidth="1"/>
    <col min="15578" max="15578" width="1" style="4" customWidth="1"/>
    <col min="15579" max="15579" width="18" style="4" customWidth="1"/>
    <col min="15580" max="15580" width="1.53515625" style="4" customWidth="1"/>
    <col min="15581" max="15581" width="12.53515625" style="4" customWidth="1"/>
    <col min="15582" max="15582" width="1.53515625" style="4" customWidth="1"/>
    <col min="15583" max="15583" width="9.53515625" style="4" customWidth="1"/>
    <col min="15584" max="15584" width="1.53515625" style="4" customWidth="1"/>
    <col min="15585" max="15585" width="11.53515625" style="4" customWidth="1"/>
    <col min="15586" max="15586" width="1.53515625" style="4" customWidth="1"/>
    <col min="15587" max="15587" width="10.3828125" style="4" customWidth="1"/>
    <col min="15588" max="15588" width="2" style="4" customWidth="1"/>
    <col min="15589" max="15589" width="9.53515625" style="4" customWidth="1"/>
    <col min="15590" max="15832" width="9.15234375" style="4"/>
    <col min="15833" max="15833" width="4.53515625" style="4" customWidth="1"/>
    <col min="15834" max="15834" width="1" style="4" customWidth="1"/>
    <col min="15835" max="15835" width="18" style="4" customWidth="1"/>
    <col min="15836" max="15836" width="1.53515625" style="4" customWidth="1"/>
    <col min="15837" max="15837" width="12.53515625" style="4" customWidth="1"/>
    <col min="15838" max="15838" width="1.53515625" style="4" customWidth="1"/>
    <col min="15839" max="15839" width="9.53515625" style="4" customWidth="1"/>
    <col min="15840" max="15840" width="1.53515625" style="4" customWidth="1"/>
    <col min="15841" max="15841" width="11.53515625" style="4" customWidth="1"/>
    <col min="15842" max="15842" width="1.53515625" style="4" customWidth="1"/>
    <col min="15843" max="15843" width="10.3828125" style="4" customWidth="1"/>
    <col min="15844" max="15844" width="2" style="4" customWidth="1"/>
    <col min="15845" max="15845" width="9.53515625" style="4" customWidth="1"/>
    <col min="15846" max="16088" width="9.15234375" style="4"/>
    <col min="16089" max="16089" width="4.53515625" style="4" customWidth="1"/>
    <col min="16090" max="16090" width="1" style="4" customWidth="1"/>
    <col min="16091" max="16091" width="18" style="4" customWidth="1"/>
    <col min="16092" max="16092" width="1.53515625" style="4" customWidth="1"/>
    <col min="16093" max="16093" width="12.53515625" style="4" customWidth="1"/>
    <col min="16094" max="16094" width="1.53515625" style="4" customWidth="1"/>
    <col min="16095" max="16095" width="9.53515625" style="4" customWidth="1"/>
    <col min="16096" max="16096" width="1.53515625" style="4" customWidth="1"/>
    <col min="16097" max="16097" width="11.53515625" style="4" customWidth="1"/>
    <col min="16098" max="16098" width="1.53515625" style="4" customWidth="1"/>
    <col min="16099" max="16099" width="10.3828125" style="4" customWidth="1"/>
    <col min="16100" max="16100" width="2" style="4" customWidth="1"/>
    <col min="16101" max="16101" width="9.53515625" style="4" customWidth="1"/>
    <col min="16102" max="16359" width="9.15234375" style="4"/>
    <col min="16360" max="16384" width="8.53515625" style="4" customWidth="1"/>
  </cols>
  <sheetData>
    <row r="2" spans="2:26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spans="2:26" x14ac:dyDescent="0.3">
      <c r="B3" s="1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spans="2:26" x14ac:dyDescent="0.3">
      <c r="B4" s="77"/>
      <c r="C4" s="77"/>
      <c r="D4" s="77"/>
      <c r="E4" s="77"/>
      <c r="F4" s="78"/>
      <c r="G4" s="77"/>
      <c r="H4" s="78"/>
      <c r="I4" s="77"/>
      <c r="J4" s="78"/>
      <c r="K4" s="78"/>
      <c r="L4" s="78"/>
      <c r="M4" s="78"/>
      <c r="N4" s="77"/>
      <c r="O4" s="77"/>
      <c r="P4" s="77"/>
      <c r="Q4" s="77"/>
      <c r="R4" s="77"/>
      <c r="S4" s="77"/>
      <c r="T4" s="77"/>
      <c r="U4" s="77"/>
      <c r="V4" s="77"/>
      <c r="W4" s="5"/>
      <c r="X4" s="77"/>
      <c r="Y4" s="5"/>
    </row>
    <row r="5" spans="2:26" ht="13.2" customHeight="1" x14ac:dyDescent="0.3">
      <c r="B5" s="78"/>
      <c r="C5" s="78"/>
      <c r="D5" s="78"/>
      <c r="E5" s="78"/>
      <c r="F5" s="77"/>
      <c r="G5" s="78"/>
      <c r="H5" s="77"/>
      <c r="I5" s="78"/>
      <c r="J5" s="79" t="s">
        <v>2</v>
      </c>
      <c r="K5" s="79"/>
      <c r="L5" s="78"/>
      <c r="M5" s="78"/>
      <c r="N5" s="78"/>
      <c r="O5" s="122" t="s">
        <v>3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2:26" s="6" customFormat="1" ht="39" customHeight="1" x14ac:dyDescent="0.3">
      <c r="B6" s="80" t="s">
        <v>4</v>
      </c>
      <c r="C6" s="80"/>
      <c r="D6" s="80"/>
      <c r="E6" s="80"/>
      <c r="F6" s="81" t="s">
        <v>5</v>
      </c>
      <c r="G6" s="80"/>
      <c r="H6" s="6" t="s">
        <v>6</v>
      </c>
      <c r="I6" s="80"/>
      <c r="J6" s="6" t="s">
        <v>7</v>
      </c>
      <c r="K6" s="6" t="s">
        <v>8</v>
      </c>
      <c r="L6" s="80"/>
      <c r="M6" s="6" t="s">
        <v>9</v>
      </c>
      <c r="N6" s="80"/>
      <c r="O6" s="80" t="s">
        <v>10</v>
      </c>
      <c r="P6" s="80"/>
      <c r="Q6" s="6" t="s">
        <v>11</v>
      </c>
      <c r="R6" s="80"/>
      <c r="S6" s="6" t="s">
        <v>7</v>
      </c>
      <c r="T6" s="80"/>
      <c r="U6" s="6" t="s">
        <v>12</v>
      </c>
      <c r="V6" s="80"/>
      <c r="W6" s="80" t="s">
        <v>13</v>
      </c>
      <c r="X6" s="80"/>
      <c r="Y6" s="80" t="s">
        <v>14</v>
      </c>
      <c r="Z6" s="80"/>
    </row>
    <row r="7" spans="2:26" ht="14.15" x14ac:dyDescent="0.3">
      <c r="B7" s="82" t="s">
        <v>15</v>
      </c>
      <c r="C7" s="83"/>
      <c r="D7" s="84" t="s">
        <v>16</v>
      </c>
      <c r="E7" s="81"/>
      <c r="F7" s="82" t="s">
        <v>17</v>
      </c>
      <c r="G7" s="81"/>
      <c r="H7" s="82" t="s">
        <v>18</v>
      </c>
      <c r="I7" s="81"/>
      <c r="J7" s="82" t="s">
        <v>19</v>
      </c>
      <c r="K7" s="82" t="s">
        <v>20</v>
      </c>
      <c r="L7" s="81"/>
      <c r="M7" s="82" t="s">
        <v>19</v>
      </c>
      <c r="N7" s="81"/>
      <c r="O7" s="82" t="s">
        <v>19</v>
      </c>
      <c r="P7" s="81"/>
      <c r="Q7" s="82" t="s">
        <v>19</v>
      </c>
      <c r="R7" s="81"/>
      <c r="S7" s="82" t="s">
        <v>19</v>
      </c>
      <c r="T7" s="81"/>
      <c r="U7" s="82" t="s">
        <v>20</v>
      </c>
      <c r="V7" s="81"/>
      <c r="W7" s="82" t="s">
        <v>21</v>
      </c>
      <c r="X7" s="81"/>
      <c r="Y7" s="82" t="s">
        <v>22</v>
      </c>
      <c r="Z7" s="81"/>
    </row>
    <row r="8" spans="2:26" x14ac:dyDescent="0.3">
      <c r="B8" s="81"/>
      <c r="C8" s="83"/>
      <c r="D8" s="83"/>
      <c r="E8" s="81"/>
      <c r="F8" s="81"/>
      <c r="G8" s="81"/>
      <c r="H8" s="81" t="s">
        <v>23</v>
      </c>
      <c r="I8" s="81"/>
      <c r="J8" s="81" t="s">
        <v>24</v>
      </c>
      <c r="K8" s="81" t="s">
        <v>25</v>
      </c>
      <c r="L8" s="81"/>
      <c r="M8" s="81" t="s">
        <v>26</v>
      </c>
      <c r="N8" s="81"/>
      <c r="O8" s="81" t="s">
        <v>27</v>
      </c>
      <c r="P8" s="81"/>
      <c r="Q8" s="81" t="s">
        <v>28</v>
      </c>
      <c r="R8" s="81"/>
      <c r="S8" s="85" t="s">
        <v>29</v>
      </c>
      <c r="T8" s="81"/>
      <c r="U8" s="85" t="s">
        <v>30</v>
      </c>
      <c r="V8" s="81"/>
      <c r="W8" s="85" t="s">
        <v>31</v>
      </c>
      <c r="X8" s="81"/>
      <c r="Y8" s="85" t="s">
        <v>32</v>
      </c>
      <c r="Z8" s="81"/>
    </row>
    <row r="9" spans="2:26" x14ac:dyDescent="0.3">
      <c r="B9" s="81"/>
      <c r="C9" s="83"/>
      <c r="D9" s="83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5"/>
      <c r="T9" s="81"/>
      <c r="U9" s="85"/>
      <c r="V9" s="81"/>
      <c r="W9" s="85"/>
      <c r="X9" s="81"/>
      <c r="Y9" s="85"/>
      <c r="Z9" s="81"/>
    </row>
    <row r="10" spans="2:26" x14ac:dyDescent="0.3">
      <c r="B10" s="81"/>
      <c r="C10" s="83"/>
      <c r="D10" s="3" t="s">
        <v>33</v>
      </c>
      <c r="E10" s="81"/>
      <c r="F10" s="7"/>
      <c r="G10" s="81"/>
      <c r="H10" s="7"/>
      <c r="I10" s="81"/>
      <c r="J10" s="7"/>
      <c r="K10" s="81"/>
      <c r="L10" s="81"/>
      <c r="M10" s="7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2:26" x14ac:dyDescent="0.3">
      <c r="B11" s="81"/>
      <c r="C11" s="83"/>
      <c r="D11" s="3" t="s">
        <v>34</v>
      </c>
      <c r="E11" s="81"/>
      <c r="F11" s="7"/>
      <c r="G11" s="81"/>
      <c r="H11" s="7"/>
      <c r="I11" s="81"/>
      <c r="J11" s="7"/>
      <c r="K11" s="81"/>
      <c r="L11" s="81"/>
      <c r="M11" s="8"/>
      <c r="N11" s="81"/>
      <c r="O11" s="9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2:26" x14ac:dyDescent="0.3">
      <c r="B12" s="81">
        <v>1</v>
      </c>
      <c r="C12" s="83"/>
      <c r="D12" s="10" t="s">
        <v>35</v>
      </c>
      <c r="E12" s="81"/>
      <c r="F12" s="11" t="s">
        <v>36</v>
      </c>
      <c r="G12" s="81"/>
      <c r="H12" s="12">
        <v>25957058</v>
      </c>
      <c r="I12" s="86"/>
      <c r="J12" s="12">
        <f>$H12*K12/1000</f>
        <v>641658.47375999996</v>
      </c>
      <c r="K12" s="87">
        <v>24.72</v>
      </c>
      <c r="L12" s="88"/>
      <c r="M12" s="12">
        <f>J12-O12</f>
        <v>-167845.66226927401</v>
      </c>
      <c r="N12" s="13"/>
      <c r="O12" s="12">
        <v>809504.13602927397</v>
      </c>
      <c r="P12" s="13"/>
      <c r="Q12" s="12">
        <f>S12-O12</f>
        <v>-167845.66226927401</v>
      </c>
      <c r="R12" s="13"/>
      <c r="S12" s="12">
        <f>$H12*U12/1000</f>
        <v>641658.47375999996</v>
      </c>
      <c r="T12" s="13"/>
      <c r="U12" s="87">
        <v>24.72</v>
      </c>
      <c r="V12" s="13"/>
      <c r="W12" s="14">
        <f>S12/O12</f>
        <v>0.79265620174273665</v>
      </c>
      <c r="X12" s="13"/>
      <c r="Y12" s="15">
        <f t="shared" ref="Y12" si="0">U12/K12-1</f>
        <v>0</v>
      </c>
    </row>
    <row r="13" spans="2:26" x14ac:dyDescent="0.3">
      <c r="B13" s="81"/>
      <c r="C13" s="83"/>
      <c r="D13" s="10" t="s">
        <v>37</v>
      </c>
      <c r="E13" s="81"/>
      <c r="F13" s="11"/>
      <c r="G13" s="81"/>
      <c r="H13" s="12"/>
      <c r="I13" s="86"/>
      <c r="J13" s="12"/>
      <c r="K13" s="33"/>
      <c r="L13" s="88"/>
      <c r="M13" s="12"/>
      <c r="N13" s="13"/>
      <c r="O13" s="12"/>
      <c r="P13" s="13"/>
      <c r="Q13" s="12"/>
      <c r="R13" s="13"/>
      <c r="S13" s="12"/>
      <c r="T13" s="13"/>
      <c r="U13" s="33"/>
      <c r="V13" s="13"/>
      <c r="W13" s="14"/>
      <c r="X13" s="13"/>
      <c r="Y13" s="16"/>
    </row>
    <row r="14" spans="2:26" x14ac:dyDescent="0.3">
      <c r="B14" s="81">
        <f>MAX(B$12:B13)+1</f>
        <v>2</v>
      </c>
      <c r="C14" s="83"/>
      <c r="D14" s="18" t="s">
        <v>38</v>
      </c>
      <c r="E14" s="81"/>
      <c r="F14" s="11" t="s">
        <v>39</v>
      </c>
      <c r="G14" s="81"/>
      <c r="H14" s="12">
        <v>712504.72543658817</v>
      </c>
      <c r="I14" s="86"/>
      <c r="J14" s="12">
        <f>$H14*K14/100</f>
        <v>83266.152233421453</v>
      </c>
      <c r="K14" s="33">
        <v>11.686400000000001</v>
      </c>
      <c r="L14" s="88"/>
      <c r="M14" s="12">
        <f t="shared" ref="M14:M17" si="1">J14-O14</f>
        <v>28785.745755097458</v>
      </c>
      <c r="N14" s="13"/>
      <c r="O14" s="12">
        <v>54480.406478323996</v>
      </c>
      <c r="P14" s="13"/>
      <c r="Q14" s="12">
        <f t="shared" ref="Q14:Q17" si="2">S14-O14</f>
        <v>26049.219897540803</v>
      </c>
      <c r="R14" s="13"/>
      <c r="S14" s="12">
        <f>$H14*U14/100</f>
        <v>80529.626375864798</v>
      </c>
      <c r="T14" s="13"/>
      <c r="U14" s="33">
        <v>11.302328742664853</v>
      </c>
      <c r="V14" s="13"/>
      <c r="W14" s="14"/>
      <c r="X14" s="13"/>
      <c r="Y14" s="15"/>
    </row>
    <row r="15" spans="2:26" x14ac:dyDescent="0.3">
      <c r="B15" s="81">
        <f>MAX(B$12:B14)+1</f>
        <v>3</v>
      </c>
      <c r="C15" s="83"/>
      <c r="D15" s="18" t="s">
        <v>40</v>
      </c>
      <c r="E15" s="81"/>
      <c r="F15" s="11" t="s">
        <v>39</v>
      </c>
      <c r="G15" s="81"/>
      <c r="H15" s="12">
        <v>1022924.1636396735</v>
      </c>
      <c r="I15" s="86"/>
      <c r="J15" s="12">
        <f>$H15*K15/100</f>
        <v>112511.42875872768</v>
      </c>
      <c r="K15" s="33">
        <v>10.999000000000001</v>
      </c>
      <c r="L15" s="88"/>
      <c r="M15" s="12">
        <f t="shared" si="1"/>
        <v>39839.97168216735</v>
      </c>
      <c r="N15" s="13"/>
      <c r="O15" s="12">
        <v>72671.457076560328</v>
      </c>
      <c r="P15" s="13"/>
      <c r="Q15" s="12">
        <f t="shared" si="2"/>
        <v>34702.586854700974</v>
      </c>
      <c r="R15" s="13"/>
      <c r="S15" s="12">
        <f>$H15*U15/100</f>
        <v>107374.0439312613</v>
      </c>
      <c r="T15" s="13"/>
      <c r="U15" s="33">
        <v>10.496774614181854</v>
      </c>
      <c r="V15" s="13"/>
      <c r="W15" s="14"/>
      <c r="X15" s="13"/>
      <c r="Y15" s="15"/>
    </row>
    <row r="16" spans="2:26" x14ac:dyDescent="0.3">
      <c r="B16" s="81">
        <f>MAX(B$12:B15)+1</f>
        <v>4</v>
      </c>
      <c r="C16" s="83"/>
      <c r="D16" s="18" t="s">
        <v>41</v>
      </c>
      <c r="E16" s="81"/>
      <c r="F16" s="11" t="s">
        <v>39</v>
      </c>
      <c r="G16" s="81"/>
      <c r="H16" s="12">
        <v>1109755.6772268531</v>
      </c>
      <c r="I16" s="86"/>
      <c r="J16" s="12">
        <f>$H16*K16/100</f>
        <v>116089.32188334667</v>
      </c>
      <c r="K16" s="33">
        <v>10.460800000000001</v>
      </c>
      <c r="L16" s="88"/>
      <c r="M16" s="12">
        <f t="shared" si="1"/>
        <v>41959.304265117345</v>
      </c>
      <c r="N16" s="13"/>
      <c r="O16" s="12">
        <v>74130.017618229322</v>
      </c>
      <c r="P16" s="13"/>
      <c r="Q16" s="12">
        <f t="shared" si="2"/>
        <v>35358.412514815253</v>
      </c>
      <c r="R16" s="13"/>
      <c r="S16" s="12">
        <f>$H16*U16/100</f>
        <v>109488.43013304457</v>
      </c>
      <c r="T16" s="13"/>
      <c r="U16" s="33">
        <v>9.8659941444627783</v>
      </c>
      <c r="V16" s="13"/>
      <c r="W16" s="14"/>
      <c r="X16" s="13"/>
      <c r="Y16" s="15"/>
    </row>
    <row r="17" spans="2:26" x14ac:dyDescent="0.3">
      <c r="B17" s="81">
        <f>MAX(B$12:B16)+1</f>
        <v>5</v>
      </c>
      <c r="C17" s="83"/>
      <c r="D17" s="18" t="s">
        <v>42</v>
      </c>
      <c r="E17" s="81"/>
      <c r="F17" s="11" t="s">
        <v>39</v>
      </c>
      <c r="G17" s="81"/>
      <c r="H17" s="12">
        <v>2166403.060431628</v>
      </c>
      <c r="I17" s="86"/>
      <c r="J17" s="12">
        <f>$H17*K17/100</f>
        <v>217931.48226718005</v>
      </c>
      <c r="K17" s="33">
        <v>10.0596</v>
      </c>
      <c r="L17" s="88"/>
      <c r="M17" s="12">
        <f t="shared" si="1"/>
        <v>80073.119916070631</v>
      </c>
      <c r="N17" s="13"/>
      <c r="O17" s="12">
        <v>137858.36235110942</v>
      </c>
      <c r="P17" s="13"/>
      <c r="Q17" s="12">
        <f t="shared" si="2"/>
        <v>65692.500438280113</v>
      </c>
      <c r="R17" s="13"/>
      <c r="S17" s="12">
        <f>$H17*U17/100</f>
        <v>203550.86278938953</v>
      </c>
      <c r="T17" s="13"/>
      <c r="U17" s="33">
        <v>9.3957983399836333</v>
      </c>
      <c r="V17" s="13"/>
      <c r="W17" s="14"/>
      <c r="X17" s="13"/>
      <c r="Y17" s="15"/>
    </row>
    <row r="18" spans="2:26" x14ac:dyDescent="0.3">
      <c r="B18" s="81">
        <f>MAX(B$12:B17)+1</f>
        <v>6</v>
      </c>
      <c r="C18" s="83"/>
      <c r="D18" s="10" t="s">
        <v>37</v>
      </c>
      <c r="E18" s="81"/>
      <c r="F18" s="11"/>
      <c r="G18" s="81"/>
      <c r="H18" s="89">
        <f>SUM(H14:H17)</f>
        <v>5011587.6267347429</v>
      </c>
      <c r="I18" s="86"/>
      <c r="J18" s="89">
        <f>SUM(J14:J17)</f>
        <v>529798.38514267583</v>
      </c>
      <c r="K18" s="19">
        <f>J18/$H18*100</f>
        <v>10.571468057675396</v>
      </c>
      <c r="L18" s="88"/>
      <c r="M18" s="89">
        <f>SUM(M14:M17)</f>
        <v>190658.14161845279</v>
      </c>
      <c r="N18" s="13"/>
      <c r="O18" s="89">
        <f>SUM(O14:O17)</f>
        <v>339140.2435242231</v>
      </c>
      <c r="P18" s="13"/>
      <c r="Q18" s="89">
        <f>SUM(Q14:Q17)</f>
        <v>161802.71970533713</v>
      </c>
      <c r="R18" s="13"/>
      <c r="S18" s="89">
        <f>SUM(S14:S17)</f>
        <v>500942.96322956018</v>
      </c>
      <c r="T18" s="13"/>
      <c r="U18" s="19">
        <f>S18/$H18*100</f>
        <v>9.9956939904080908</v>
      </c>
      <c r="V18" s="13"/>
      <c r="W18" s="90">
        <f>S18/O18</f>
        <v>1.4770967845748459</v>
      </c>
      <c r="X18" s="13"/>
      <c r="Y18" s="20">
        <f>U18/K18-1</f>
        <v>-5.4464911034685093E-2</v>
      </c>
    </row>
    <row r="19" spans="2:26" x14ac:dyDescent="0.3">
      <c r="B19" s="81"/>
      <c r="C19" s="83"/>
      <c r="D19" s="10"/>
      <c r="E19" s="81"/>
      <c r="F19" s="11"/>
      <c r="G19" s="81"/>
      <c r="H19" s="12"/>
      <c r="I19" s="86"/>
      <c r="J19" s="12"/>
      <c r="K19" s="33"/>
      <c r="L19" s="88"/>
      <c r="M19" s="12"/>
      <c r="N19" s="13"/>
      <c r="O19" s="12"/>
      <c r="P19" s="13"/>
      <c r="Q19" s="12"/>
      <c r="R19" s="13"/>
      <c r="S19" s="12"/>
      <c r="T19" s="13"/>
      <c r="U19" s="33"/>
      <c r="V19" s="13"/>
      <c r="W19" s="14"/>
      <c r="X19" s="13"/>
      <c r="Y19" s="16"/>
    </row>
    <row r="20" spans="2:26" x14ac:dyDescent="0.3">
      <c r="B20" s="81">
        <f>MAX(B$12:B19)+1</f>
        <v>7</v>
      </c>
      <c r="C20" s="83"/>
      <c r="D20" s="10" t="s">
        <v>43</v>
      </c>
      <c r="E20" s="81"/>
      <c r="F20" s="11"/>
      <c r="G20" s="81"/>
      <c r="H20" s="89">
        <f>H18</f>
        <v>5011587.6267347429</v>
      </c>
      <c r="I20" s="86"/>
      <c r="J20" s="89">
        <f>J12+J18</f>
        <v>1171456.8589026758</v>
      </c>
      <c r="K20" s="19">
        <f>J20/$H20*100</f>
        <v>23.374965103941094</v>
      </c>
      <c r="L20" s="88"/>
      <c r="M20" s="89">
        <f>M12+M18</f>
        <v>22812.479349178786</v>
      </c>
      <c r="N20" s="13"/>
      <c r="O20" s="89">
        <f>O12+O18</f>
        <v>1148644.3795534971</v>
      </c>
      <c r="P20" s="13"/>
      <c r="Q20" s="89">
        <f>Q12+Q18</f>
        <v>-6042.942563936871</v>
      </c>
      <c r="R20" s="13"/>
      <c r="S20" s="89">
        <f>S12+S18</f>
        <v>1142601.4369895603</v>
      </c>
      <c r="T20" s="13"/>
      <c r="U20" s="19">
        <f>S20/$H20*100</f>
        <v>22.79919103667379</v>
      </c>
      <c r="V20" s="13"/>
      <c r="W20" s="90">
        <f>S20/O20</f>
        <v>0.99473906574436399</v>
      </c>
      <c r="X20" s="13"/>
      <c r="Y20" s="20">
        <f>U20/K20-1</f>
        <v>-2.4632082431225832E-2</v>
      </c>
    </row>
    <row r="21" spans="2:26" x14ac:dyDescent="0.3">
      <c r="E21" s="81"/>
      <c r="F21" s="11"/>
      <c r="G21" s="81"/>
      <c r="H21" s="12"/>
      <c r="I21" s="86"/>
      <c r="J21" s="12"/>
      <c r="K21" s="33"/>
      <c r="L21" s="88"/>
      <c r="M21" s="12"/>
      <c r="N21" s="13"/>
      <c r="O21" s="12"/>
      <c r="P21" s="13"/>
      <c r="Q21" s="12"/>
      <c r="R21" s="13"/>
      <c r="S21" s="12"/>
      <c r="T21" s="13"/>
      <c r="U21" s="33"/>
      <c r="V21" s="13"/>
      <c r="W21" s="14"/>
      <c r="X21" s="13"/>
      <c r="Y21" s="15"/>
    </row>
    <row r="22" spans="2:26" x14ac:dyDescent="0.3">
      <c r="B22" s="81"/>
      <c r="C22" s="83"/>
      <c r="D22" s="10" t="s">
        <v>44</v>
      </c>
      <c r="E22" s="81"/>
      <c r="F22" s="91"/>
      <c r="G22" s="81"/>
      <c r="H22" s="12"/>
      <c r="I22" s="86"/>
      <c r="J22" s="12"/>
      <c r="K22" s="33"/>
      <c r="L22" s="88"/>
      <c r="M22" s="12"/>
      <c r="N22" s="13"/>
      <c r="O22" s="12"/>
      <c r="P22" s="13"/>
      <c r="Q22" s="12"/>
      <c r="R22" s="13"/>
      <c r="S22" s="12"/>
      <c r="T22" s="13"/>
      <c r="U22" s="22"/>
      <c r="V22" s="13"/>
      <c r="W22" s="14"/>
      <c r="X22" s="13"/>
      <c r="Y22" s="23"/>
    </row>
    <row r="23" spans="2:26" x14ac:dyDescent="0.3">
      <c r="B23" s="81">
        <f>MAX(B$12:B22)+1</f>
        <v>8</v>
      </c>
      <c r="C23" s="83"/>
      <c r="D23" s="18" t="s">
        <v>45</v>
      </c>
      <c r="E23" s="81"/>
      <c r="F23" s="91" t="s">
        <v>39</v>
      </c>
      <c r="G23" s="81"/>
      <c r="H23" s="12">
        <v>4926335.0754972538</v>
      </c>
      <c r="I23" s="86"/>
      <c r="J23" s="12">
        <f>$H23*K23/100</f>
        <v>240434.70969471897</v>
      </c>
      <c r="K23" s="33">
        <v>4.8806000000000003</v>
      </c>
      <c r="L23" s="88"/>
      <c r="M23" s="12">
        <f t="shared" ref="M23:M26" si="3">J23-O23</f>
        <v>128895.23917986108</v>
      </c>
      <c r="N23" s="13"/>
      <c r="O23" s="12">
        <f>S23</f>
        <v>111539.47051485789</v>
      </c>
      <c r="P23" s="13"/>
      <c r="Q23" s="12">
        <f t="shared" ref="Q23:Q26" si="4">S23-O23</f>
        <v>0</v>
      </c>
      <c r="R23" s="13"/>
      <c r="S23" s="12">
        <f>$H23*U23/100</f>
        <v>111539.47051485789</v>
      </c>
      <c r="T23" s="13"/>
      <c r="U23" s="33">
        <v>2.2641470546661777</v>
      </c>
      <c r="V23" s="13"/>
      <c r="W23" s="92"/>
      <c r="X23" s="13"/>
      <c r="Y23" s="15"/>
    </row>
    <row r="24" spans="2:26" x14ac:dyDescent="0.3">
      <c r="B24" s="81">
        <f>MAX(B$12:B23)+1</f>
        <v>9</v>
      </c>
      <c r="C24" s="83"/>
      <c r="D24" s="18" t="s">
        <v>46</v>
      </c>
      <c r="E24" s="81"/>
      <c r="F24" s="91" t="s">
        <v>39</v>
      </c>
      <c r="G24" s="81"/>
      <c r="H24" s="12">
        <v>70111.872093691025</v>
      </c>
      <c r="I24" s="86"/>
      <c r="J24" s="12">
        <f>$H24*K24/100</f>
        <v>659.05159768069552</v>
      </c>
      <c r="K24" s="33">
        <v>0.94</v>
      </c>
      <c r="L24" s="88"/>
      <c r="M24" s="12">
        <f t="shared" si="3"/>
        <v>-928.38428929992756</v>
      </c>
      <c r="N24" s="88"/>
      <c r="O24" s="12">
        <f t="shared" ref="O24:O25" si="5">S24</f>
        <v>1587.4358869806231</v>
      </c>
      <c r="P24" s="88"/>
      <c r="Q24" s="12">
        <f t="shared" si="4"/>
        <v>0</v>
      </c>
      <c r="R24" s="88"/>
      <c r="S24" s="12">
        <f>$H24*U24/100</f>
        <v>1587.4358869806231</v>
      </c>
      <c r="T24" s="88"/>
      <c r="U24" s="33">
        <v>2.2641470546661777</v>
      </c>
      <c r="V24" s="88"/>
      <c r="W24" s="92"/>
      <c r="X24" s="88"/>
      <c r="Y24" s="15"/>
      <c r="Z24" s="81"/>
    </row>
    <row r="25" spans="2:26" x14ac:dyDescent="0.3">
      <c r="B25" s="81">
        <f>MAX(B$12:B24)+1</f>
        <v>10</v>
      </c>
      <c r="C25" s="83"/>
      <c r="D25" s="18" t="s">
        <v>47</v>
      </c>
      <c r="E25" s="81"/>
      <c r="F25" s="91" t="s">
        <v>39</v>
      </c>
      <c r="G25" s="81"/>
      <c r="H25" s="12">
        <v>15030.747007081285</v>
      </c>
      <c r="I25" s="86"/>
      <c r="J25" s="12">
        <f>$H25*K25/100</f>
        <v>733.59063842760918</v>
      </c>
      <c r="K25" s="33">
        <v>4.8806000000000003</v>
      </c>
      <c r="L25" s="88"/>
      <c r="M25" s="12">
        <f t="shared" si="3"/>
        <v>3.689665456108969</v>
      </c>
      <c r="N25" s="88"/>
      <c r="O25" s="12">
        <f t="shared" si="5"/>
        <v>729.90097297150021</v>
      </c>
      <c r="P25" s="88"/>
      <c r="Q25" s="12">
        <f t="shared" si="4"/>
        <v>0</v>
      </c>
      <c r="R25" s="88"/>
      <c r="S25" s="12">
        <f>$H25*U25/100</f>
        <v>729.90097297150021</v>
      </c>
      <c r="T25" s="88"/>
      <c r="U25" s="33">
        <v>4.8560525476719771</v>
      </c>
      <c r="V25" s="88"/>
      <c r="W25" s="92"/>
      <c r="X25" s="88"/>
      <c r="Y25" s="15"/>
      <c r="Z25" s="81"/>
    </row>
    <row r="26" spans="2:26" x14ac:dyDescent="0.3">
      <c r="B26" s="81">
        <f>MAX(B$12:B25)+1</f>
        <v>11</v>
      </c>
      <c r="C26" s="83"/>
      <c r="D26" s="18" t="s">
        <v>48</v>
      </c>
      <c r="E26" s="81"/>
      <c r="F26" s="91" t="s">
        <v>39</v>
      </c>
      <c r="G26" s="81"/>
      <c r="H26" s="12">
        <f>H18-SUM(H23:H25)</f>
        <v>109.93213671632111</v>
      </c>
      <c r="I26" s="86"/>
      <c r="J26" s="12">
        <f>$H26*K26/100</f>
        <v>0</v>
      </c>
      <c r="K26" s="33">
        <v>0</v>
      </c>
      <c r="L26" s="88"/>
      <c r="M26" s="12">
        <f t="shared" si="3"/>
        <v>-2.4890252355941804</v>
      </c>
      <c r="N26" s="88"/>
      <c r="O26" s="12">
        <f>S26</f>
        <v>2.4890252355941804</v>
      </c>
      <c r="P26" s="88"/>
      <c r="Q26" s="12">
        <f t="shared" si="4"/>
        <v>0</v>
      </c>
      <c r="R26" s="88"/>
      <c r="S26" s="12">
        <f>$H26*U26/100</f>
        <v>2.4890252355941804</v>
      </c>
      <c r="T26" s="88"/>
      <c r="U26" s="33">
        <v>2.2641470546661777</v>
      </c>
      <c r="V26" s="88"/>
      <c r="W26" s="14"/>
      <c r="X26" s="88"/>
      <c r="Y26" s="15"/>
      <c r="Z26" s="81"/>
    </row>
    <row r="27" spans="2:26" x14ac:dyDescent="0.3">
      <c r="B27" s="81">
        <f>MAX(B$12:B26)+1</f>
        <v>12</v>
      </c>
      <c r="C27" s="83"/>
      <c r="D27" s="10" t="s">
        <v>44</v>
      </c>
      <c r="E27" s="81"/>
      <c r="F27" s="11"/>
      <c r="G27" s="81"/>
      <c r="H27" s="89">
        <f>SUM(H23:H26)</f>
        <v>5011587.6267347429</v>
      </c>
      <c r="I27" s="86"/>
      <c r="J27" s="89">
        <f>SUM(J23:J26)</f>
        <v>241827.35193082728</v>
      </c>
      <c r="K27" s="19">
        <f>J27/$H27*100</f>
        <v>4.8253641349255991</v>
      </c>
      <c r="L27" s="88"/>
      <c r="M27" s="89">
        <f>SUM(M23:M26)</f>
        <v>127968.05553078167</v>
      </c>
      <c r="N27" s="13"/>
      <c r="O27" s="89">
        <f>SUM(O23:O26)</f>
        <v>113859.29640004561</v>
      </c>
      <c r="P27" s="13"/>
      <c r="Q27" s="89">
        <f>SUM(Q23:Q26)</f>
        <v>0</v>
      </c>
      <c r="R27" s="13"/>
      <c r="S27" s="89">
        <f>SUM(S23:S26)</f>
        <v>113859.29640004561</v>
      </c>
      <c r="T27" s="13"/>
      <c r="U27" s="19">
        <f>S27/$H27*100</f>
        <v>2.2719206942058334</v>
      </c>
      <c r="V27" s="13"/>
      <c r="W27" s="90">
        <f>S27/O27</f>
        <v>1</v>
      </c>
      <c r="X27" s="13"/>
      <c r="Y27" s="20">
        <f>U27/K27-1</f>
        <v>-0.52917114010902244</v>
      </c>
    </row>
    <row r="28" spans="2:26" x14ac:dyDescent="0.3"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24"/>
    </row>
    <row r="29" spans="2:26" x14ac:dyDescent="0.3">
      <c r="B29" s="81">
        <f>MAX(B$12:B28)+1</f>
        <v>13</v>
      </c>
      <c r="C29" s="83"/>
      <c r="D29" s="10" t="s">
        <v>49</v>
      </c>
      <c r="E29" s="81"/>
      <c r="F29" s="11" t="s">
        <v>39</v>
      </c>
      <c r="G29" s="81"/>
      <c r="H29" s="12">
        <f>H23</f>
        <v>4926335.0754972538</v>
      </c>
      <c r="I29" s="86"/>
      <c r="J29" s="12">
        <f>$H29*K29/100</f>
        <v>516408.00062407507</v>
      </c>
      <c r="K29" s="33">
        <v>10.4826</v>
      </c>
      <c r="L29" s="88"/>
      <c r="M29" s="12">
        <f>J29-O29</f>
        <v>-155308.68308191281</v>
      </c>
      <c r="N29" s="13"/>
      <c r="O29" s="12">
        <v>671716.68370598787</v>
      </c>
      <c r="P29" s="13"/>
      <c r="Q29" s="12">
        <f>ROUND(S29-O29,0)</f>
        <v>0</v>
      </c>
      <c r="R29" s="13"/>
      <c r="S29" s="12">
        <f>$H29*U29/100</f>
        <v>671716.84322950931</v>
      </c>
      <c r="T29" s="13"/>
      <c r="U29" s="33">
        <v>13.635224420086928</v>
      </c>
      <c r="V29" s="13"/>
      <c r="W29" s="14">
        <f>S29/O29</f>
        <v>1.0000002374863173</v>
      </c>
      <c r="X29" s="13"/>
      <c r="Y29" s="15">
        <f>U29/K29-1</f>
        <v>0.30074832771325122</v>
      </c>
    </row>
    <row r="30" spans="2:26" x14ac:dyDescent="0.3">
      <c r="B30" s="81"/>
      <c r="C30" s="83"/>
      <c r="D30" s="10"/>
      <c r="E30" s="81"/>
      <c r="F30" s="11"/>
      <c r="G30" s="81"/>
      <c r="H30" s="12"/>
      <c r="I30" s="86"/>
      <c r="J30" s="12"/>
      <c r="K30" s="33"/>
      <c r="L30" s="88"/>
      <c r="M30" s="12"/>
      <c r="N30" s="13"/>
      <c r="O30" s="12"/>
      <c r="P30" s="13"/>
      <c r="Q30" s="12"/>
      <c r="R30" s="13"/>
      <c r="S30" s="12"/>
      <c r="T30" s="13"/>
      <c r="U30" s="33"/>
      <c r="V30" s="13"/>
      <c r="W30" s="14"/>
      <c r="X30" s="13"/>
      <c r="Y30" s="15"/>
    </row>
    <row r="31" spans="2:26" ht="12.9" thickBot="1" x14ac:dyDescent="0.35">
      <c r="B31" s="81">
        <f>MAX(B$12:B30)+1</f>
        <v>14</v>
      </c>
      <c r="C31" s="83"/>
      <c r="D31" s="10" t="s">
        <v>50</v>
      </c>
      <c r="E31" s="81"/>
      <c r="F31" s="11"/>
      <c r="G31" s="81"/>
      <c r="H31" s="93">
        <f>H18</f>
        <v>5011587.6267347429</v>
      </c>
      <c r="I31" s="86"/>
      <c r="J31" s="93">
        <f>J20+J27+J29</f>
        <v>1929692.2114575782</v>
      </c>
      <c r="K31" s="25">
        <f>J31/$H31*100</f>
        <v>38.504608822231702</v>
      </c>
      <c r="L31" s="88"/>
      <c r="M31" s="93">
        <f>M20+M27+M29</f>
        <v>-4528.1482019523392</v>
      </c>
      <c r="N31" s="13"/>
      <c r="O31" s="93">
        <f>O20+O27+O29</f>
        <v>1934220.3596595305</v>
      </c>
      <c r="P31" s="13"/>
      <c r="Q31" s="93">
        <f>Q20+Q27+Q29</f>
        <v>-6042.942563936871</v>
      </c>
      <c r="R31" s="13"/>
      <c r="S31" s="93">
        <f>S20+S27+S29 -0.08</f>
        <v>1928177.4966191151</v>
      </c>
      <c r="T31" s="13"/>
      <c r="U31" s="25">
        <f>S31/$H31*100</f>
        <v>38.474384570930923</v>
      </c>
      <c r="V31" s="13"/>
      <c r="W31" s="94">
        <f>S31/O31</f>
        <v>0.99687581458325714</v>
      </c>
      <c r="X31" s="13"/>
      <c r="Y31" s="26">
        <f>U31/K31-1</f>
        <v>-7.8495152204560714E-4</v>
      </c>
    </row>
    <row r="32" spans="2:26" ht="12.9" thickTop="1" x14ac:dyDescent="0.3">
      <c r="B32" s="81"/>
      <c r="C32" s="83"/>
      <c r="E32" s="81"/>
      <c r="F32" s="91"/>
      <c r="G32" s="81"/>
      <c r="H32" s="88"/>
      <c r="I32" s="86"/>
      <c r="J32" s="88"/>
      <c r="K32" s="22"/>
      <c r="L32" s="88"/>
      <c r="M32" s="88"/>
      <c r="N32" s="13"/>
      <c r="O32" s="88"/>
      <c r="P32" s="13"/>
      <c r="Q32" s="88"/>
      <c r="R32" s="13"/>
      <c r="S32" s="88"/>
      <c r="T32" s="13"/>
      <c r="U32" s="22"/>
      <c r="V32" s="13"/>
      <c r="W32" s="92"/>
      <c r="X32" s="13"/>
      <c r="Y32" s="23"/>
    </row>
    <row r="33" spans="2:26" x14ac:dyDescent="0.3">
      <c r="B33" s="81"/>
      <c r="C33" s="83"/>
      <c r="D33" s="3" t="s">
        <v>51</v>
      </c>
      <c r="E33" s="81"/>
      <c r="F33" s="7"/>
      <c r="G33" s="81"/>
      <c r="H33" s="27"/>
      <c r="I33" s="86"/>
      <c r="J33" s="27"/>
      <c r="K33" s="86"/>
      <c r="L33" s="86"/>
      <c r="M33" s="28"/>
      <c r="N33" s="86"/>
      <c r="O33" s="29"/>
      <c r="P33" s="86"/>
      <c r="Q33" s="86"/>
      <c r="R33" s="86"/>
      <c r="S33" s="86"/>
      <c r="T33" s="86"/>
      <c r="U33" s="86"/>
      <c r="V33" s="86"/>
      <c r="W33" s="86"/>
      <c r="X33" s="86"/>
      <c r="Y33" s="95"/>
      <c r="Z33" s="81"/>
    </row>
    <row r="34" spans="2:26" x14ac:dyDescent="0.3">
      <c r="B34" s="81">
        <f>MAX(B$12:B33)+1</f>
        <v>15</v>
      </c>
      <c r="C34" s="83"/>
      <c r="D34" s="10" t="s">
        <v>35</v>
      </c>
      <c r="E34" s="81"/>
      <c r="F34" s="11" t="s">
        <v>36</v>
      </c>
      <c r="G34" s="81"/>
      <c r="H34" s="12">
        <v>2075693</v>
      </c>
      <c r="I34" s="86"/>
      <c r="J34" s="12">
        <f>$H34*K34/1000</f>
        <v>163232.49752</v>
      </c>
      <c r="K34" s="87">
        <v>78.64</v>
      </c>
      <c r="L34" s="88"/>
      <c r="M34" s="12">
        <f>J34-O34</f>
        <v>49344.285517809476</v>
      </c>
      <c r="N34" s="13"/>
      <c r="O34" s="12">
        <v>113888.21200219053</v>
      </c>
      <c r="P34" s="13"/>
      <c r="Q34" s="12">
        <f>S34-O34</f>
        <v>49344.285517809476</v>
      </c>
      <c r="R34" s="13"/>
      <c r="S34" s="12">
        <f>$H34*U34/1000</f>
        <v>163232.49752</v>
      </c>
      <c r="T34" s="13"/>
      <c r="U34" s="87">
        <v>78.64</v>
      </c>
      <c r="V34" s="13"/>
      <c r="W34" s="14">
        <f>S34/O34</f>
        <v>1.4332694723213355</v>
      </c>
      <c r="X34" s="13"/>
      <c r="Y34" s="15">
        <f t="shared" ref="Y34" si="6">U34/K34-1</f>
        <v>0</v>
      </c>
      <c r="Z34" s="81"/>
    </row>
    <row r="35" spans="2:26" x14ac:dyDescent="0.3">
      <c r="B35" s="81"/>
      <c r="C35" s="83"/>
      <c r="D35" s="10" t="s">
        <v>37</v>
      </c>
      <c r="E35" s="81"/>
      <c r="F35" s="11"/>
      <c r="G35" s="81"/>
      <c r="H35" s="12"/>
      <c r="I35" s="86"/>
      <c r="J35" s="12"/>
      <c r="K35" s="33"/>
      <c r="L35" s="88"/>
      <c r="M35" s="12"/>
      <c r="N35" s="13"/>
      <c r="O35" s="12"/>
      <c r="P35" s="13"/>
      <c r="Q35" s="12"/>
      <c r="R35" s="13"/>
      <c r="S35" s="12"/>
      <c r="T35" s="13"/>
      <c r="U35" s="33"/>
      <c r="V35" s="13"/>
      <c r="W35" s="14"/>
      <c r="X35" s="13"/>
      <c r="Y35" s="15"/>
      <c r="Z35" s="81"/>
    </row>
    <row r="36" spans="2:26" x14ac:dyDescent="0.3">
      <c r="B36" s="81">
        <f>MAX(B$12:B35)+1</f>
        <v>16</v>
      </c>
      <c r="C36" s="83"/>
      <c r="D36" s="18" t="s">
        <v>52</v>
      </c>
      <c r="E36" s="81"/>
      <c r="F36" s="11" t="s">
        <v>39</v>
      </c>
      <c r="G36" s="81"/>
      <c r="H36" s="12">
        <v>581366.01608913206</v>
      </c>
      <c r="I36" s="86"/>
      <c r="J36" s="12">
        <f t="shared" ref="J36:J41" si="7">$H36*K36/100</f>
        <v>68216.906961882662</v>
      </c>
      <c r="K36" s="33">
        <v>11.7339</v>
      </c>
      <c r="L36" s="88"/>
      <c r="M36" s="12">
        <f t="shared" ref="M36:M41" si="8">J36-O36</f>
        <v>1979.0393777094723</v>
      </c>
      <c r="N36" s="13"/>
      <c r="O36" s="12">
        <v>66237.867584173189</v>
      </c>
      <c r="P36" s="13"/>
      <c r="Q36" s="12">
        <f t="shared" ref="Q36:Q41" si="9">S36-O36</f>
        <v>-11686.846243108856</v>
      </c>
      <c r="R36" s="13"/>
      <c r="S36" s="12">
        <f t="shared" ref="S36:S41" si="10">$H36*U36/100</f>
        <v>54551.021341064334</v>
      </c>
      <c r="T36" s="13"/>
      <c r="U36" s="33">
        <v>9.3832490774109587</v>
      </c>
      <c r="V36" s="13"/>
      <c r="W36" s="14"/>
      <c r="X36" s="13"/>
      <c r="Y36" s="15"/>
      <c r="Z36" s="81"/>
    </row>
    <row r="37" spans="2:26" x14ac:dyDescent="0.3">
      <c r="B37" s="81">
        <f>MAX(B$12:B36)+1</f>
        <v>17</v>
      </c>
      <c r="C37" s="83"/>
      <c r="D37" s="18" t="s">
        <v>53</v>
      </c>
      <c r="E37" s="81"/>
      <c r="F37" s="11" t="s">
        <v>39</v>
      </c>
      <c r="G37" s="81"/>
      <c r="H37" s="12">
        <v>654833.14152139914</v>
      </c>
      <c r="I37" s="86"/>
      <c r="J37" s="12">
        <f t="shared" si="7"/>
        <v>61312.027040648602</v>
      </c>
      <c r="K37" s="33">
        <v>9.3629999999999995</v>
      </c>
      <c r="L37" s="88"/>
      <c r="M37" s="12">
        <f t="shared" si="8"/>
        <v>4835.354435840527</v>
      </c>
      <c r="N37" s="13"/>
      <c r="O37" s="12">
        <v>56476.672604808075</v>
      </c>
      <c r="P37" s="13"/>
      <c r="Q37" s="12">
        <f t="shared" si="9"/>
        <v>-9819.1656391787765</v>
      </c>
      <c r="R37" s="13"/>
      <c r="S37" s="12">
        <f t="shared" si="10"/>
        <v>46657.506965629298</v>
      </c>
      <c r="T37" s="13"/>
      <c r="U37" s="33">
        <v>7.1250985949226866</v>
      </c>
      <c r="V37" s="13"/>
      <c r="W37" s="14"/>
      <c r="X37" s="13"/>
      <c r="Y37" s="15"/>
      <c r="Z37" s="81"/>
    </row>
    <row r="38" spans="2:26" x14ac:dyDescent="0.3">
      <c r="B38" s="81">
        <f>MAX(B$12:B37)+1</f>
        <v>18</v>
      </c>
      <c r="D38" s="18" t="s">
        <v>54</v>
      </c>
      <c r="F38" s="11" t="s">
        <v>39</v>
      </c>
      <c r="H38" s="12">
        <v>1156632.1092895225</v>
      </c>
      <c r="I38" s="17"/>
      <c r="J38" s="12">
        <f t="shared" si="7"/>
        <v>89091.901482244066</v>
      </c>
      <c r="K38" s="33">
        <v>7.7027000000000001</v>
      </c>
      <c r="L38" s="17"/>
      <c r="M38" s="12">
        <f t="shared" si="8"/>
        <v>11763.279206118706</v>
      </c>
      <c r="N38" s="17"/>
      <c r="O38" s="12">
        <v>77328.622276125359</v>
      </c>
      <c r="P38" s="17"/>
      <c r="Q38" s="12">
        <f t="shared" si="9"/>
        <v>-13206.895239738573</v>
      </c>
      <c r="R38" s="17"/>
      <c r="S38" s="12">
        <f t="shared" si="10"/>
        <v>64121.727036386786</v>
      </c>
      <c r="T38" s="17"/>
      <c r="U38" s="33">
        <v>5.5438307929886586</v>
      </c>
      <c r="V38" s="17"/>
      <c r="W38" s="17"/>
      <c r="X38" s="17"/>
      <c r="Y38" s="24"/>
      <c r="Z38" s="81"/>
    </row>
    <row r="39" spans="2:26" x14ac:dyDescent="0.3">
      <c r="B39" s="81">
        <f>MAX(B$12:B38)+1</f>
        <v>19</v>
      </c>
      <c r="D39" s="18" t="s">
        <v>55</v>
      </c>
      <c r="F39" s="11" t="s">
        <v>39</v>
      </c>
      <c r="H39" s="12">
        <v>751680.94105884049</v>
      </c>
      <c r="I39" s="17"/>
      <c r="J39" s="12">
        <f t="shared" si="7"/>
        <v>49881.547248664654</v>
      </c>
      <c r="K39" s="33">
        <v>6.6360000000000001</v>
      </c>
      <c r="L39" s="17"/>
      <c r="M39" s="12">
        <f t="shared" si="8"/>
        <v>8991.2000324108958</v>
      </c>
      <c r="N39" s="17"/>
      <c r="O39" s="12">
        <v>40890.347216253758</v>
      </c>
      <c r="P39" s="17"/>
      <c r="Q39" s="12">
        <f t="shared" si="9"/>
        <v>-6855.6205686080648</v>
      </c>
      <c r="R39" s="17"/>
      <c r="S39" s="12">
        <f t="shared" si="10"/>
        <v>34034.726647645693</v>
      </c>
      <c r="T39" s="17"/>
      <c r="U39" s="33">
        <v>4.5278155648995639</v>
      </c>
      <c r="V39" s="17"/>
      <c r="W39" s="17"/>
      <c r="X39" s="17"/>
      <c r="Y39" s="24"/>
      <c r="Z39" s="81"/>
    </row>
    <row r="40" spans="2:26" x14ac:dyDescent="0.3">
      <c r="B40" s="81">
        <f>MAX(B$12:B39)+1</f>
        <v>20</v>
      </c>
      <c r="C40" s="83"/>
      <c r="D40" s="18" t="s">
        <v>56</v>
      </c>
      <c r="E40" s="81"/>
      <c r="F40" s="11" t="s">
        <v>39</v>
      </c>
      <c r="G40" s="81"/>
      <c r="H40" s="12">
        <v>714347.32692564209</v>
      </c>
      <c r="I40" s="86"/>
      <c r="J40" s="12">
        <f t="shared" si="7"/>
        <v>44018.082285158067</v>
      </c>
      <c r="K40" s="33">
        <v>6.1619999999999999</v>
      </c>
      <c r="L40" s="88"/>
      <c r="M40" s="12">
        <f t="shared" si="8"/>
        <v>9112.978112434379</v>
      </c>
      <c r="N40" s="13"/>
      <c r="O40" s="12">
        <v>34905.104172723688</v>
      </c>
      <c r="P40" s="13"/>
      <c r="Q40" s="12">
        <f t="shared" si="9"/>
        <v>-5785.7090140572836</v>
      </c>
      <c r="R40" s="13"/>
      <c r="S40" s="12">
        <f t="shared" si="10"/>
        <v>29119.395158666404</v>
      </c>
      <c r="T40" s="13"/>
      <c r="U40" s="33">
        <v>4.0763637044725032</v>
      </c>
      <c r="V40" s="13"/>
      <c r="W40" s="14"/>
      <c r="X40" s="13"/>
      <c r="Y40" s="15"/>
      <c r="Z40" s="81"/>
    </row>
    <row r="41" spans="2:26" x14ac:dyDescent="0.3">
      <c r="B41" s="81">
        <f>MAX(B$12:B40)+1</f>
        <v>21</v>
      </c>
      <c r="C41" s="83"/>
      <c r="D41" s="18" t="s">
        <v>57</v>
      </c>
      <c r="E41" s="81"/>
      <c r="F41" s="11" t="s">
        <v>39</v>
      </c>
      <c r="G41" s="81"/>
      <c r="H41" s="12">
        <v>940380.33721585828</v>
      </c>
      <c r="I41" s="86"/>
      <c r="J41" s="12">
        <f t="shared" si="7"/>
        <v>56827.18377795432</v>
      </c>
      <c r="K41" s="33">
        <v>6.0430000000000001</v>
      </c>
      <c r="L41" s="88"/>
      <c r="M41" s="12">
        <f t="shared" si="8"/>
        <v>12184.701432480273</v>
      </c>
      <c r="N41" s="13"/>
      <c r="O41" s="12">
        <v>44642.482345474047</v>
      </c>
      <c r="P41" s="13"/>
      <c r="Q41" s="12">
        <f t="shared" si="9"/>
        <v>-7375.2816772229271</v>
      </c>
      <c r="R41" s="13"/>
      <c r="S41" s="12">
        <f t="shared" si="10"/>
        <v>37267.20066825112</v>
      </c>
      <c r="T41" s="13"/>
      <c r="U41" s="33">
        <v>3.9629923333559316</v>
      </c>
      <c r="V41" s="13"/>
      <c r="W41" s="14"/>
      <c r="X41" s="13"/>
      <c r="Y41" s="15"/>
      <c r="Z41" s="81"/>
    </row>
    <row r="42" spans="2:26" x14ac:dyDescent="0.3">
      <c r="B42" s="81">
        <f>MAX(B$12:B41)+1</f>
        <v>22</v>
      </c>
      <c r="C42" s="83"/>
      <c r="D42" s="10" t="s">
        <v>37</v>
      </c>
      <c r="E42" s="81"/>
      <c r="F42" s="11"/>
      <c r="G42" s="81"/>
      <c r="H42" s="89">
        <f>SUM(H36:H41)</f>
        <v>4799239.8721003952</v>
      </c>
      <c r="I42" s="86"/>
      <c r="J42" s="89">
        <f>SUM(J36:J41)</f>
        <v>369347.64879655233</v>
      </c>
      <c r="K42" s="19">
        <f>J42/$H42*100</f>
        <v>7.6959614155503075</v>
      </c>
      <c r="L42" s="88"/>
      <c r="M42" s="89">
        <f>SUM(M36:M41)</f>
        <v>48866.552596994254</v>
      </c>
      <c r="N42" s="13"/>
      <c r="O42" s="89">
        <f>SUM(O36:O41)</f>
        <v>320481.09619955812</v>
      </c>
      <c r="P42" s="13"/>
      <c r="Q42" s="89">
        <f>SUM(Q36:Q41)</f>
        <v>-54729.51838191448</v>
      </c>
      <c r="R42" s="13"/>
      <c r="S42" s="89">
        <f>SUM(S36:S41)</f>
        <v>265751.57781764364</v>
      </c>
      <c r="T42" s="13"/>
      <c r="U42" s="19">
        <f>S42/$H42*100</f>
        <v>5.5373681020310626</v>
      </c>
      <c r="V42" s="13"/>
      <c r="W42" s="90">
        <f>S42/O42</f>
        <v>0.82922699956119927</v>
      </c>
      <c r="X42" s="13"/>
      <c r="Y42" s="20">
        <f>U42/K42-1</f>
        <v>-0.28048390538414525</v>
      </c>
      <c r="Z42" s="81"/>
    </row>
    <row r="43" spans="2:26" x14ac:dyDescent="0.3">
      <c r="B43" s="81"/>
      <c r="C43" s="83"/>
      <c r="D43" s="10"/>
      <c r="E43" s="81"/>
      <c r="F43" s="11"/>
      <c r="G43" s="81"/>
      <c r="H43" s="12"/>
      <c r="I43" s="86"/>
      <c r="J43" s="12"/>
      <c r="K43" s="33"/>
      <c r="L43" s="88"/>
      <c r="M43" s="12"/>
      <c r="N43" s="13"/>
      <c r="O43" s="12"/>
      <c r="P43" s="13"/>
      <c r="Q43" s="12"/>
      <c r="R43" s="13"/>
      <c r="S43" s="12"/>
      <c r="T43" s="13"/>
      <c r="U43" s="33"/>
      <c r="V43" s="13"/>
      <c r="W43" s="14"/>
      <c r="X43" s="13"/>
      <c r="Y43" s="15"/>
      <c r="Z43" s="81"/>
    </row>
    <row r="44" spans="2:26" x14ac:dyDescent="0.3">
      <c r="B44" s="81">
        <f>MAX(B$12:B43)+1</f>
        <v>23</v>
      </c>
      <c r="C44" s="83"/>
      <c r="D44" s="10" t="s">
        <v>43</v>
      </c>
      <c r="E44" s="81"/>
      <c r="F44" s="11"/>
      <c r="G44" s="81"/>
      <c r="H44" s="89">
        <f>H42</f>
        <v>4799239.8721003952</v>
      </c>
      <c r="I44" s="86"/>
      <c r="J44" s="89">
        <f>J34+J42</f>
        <v>532580.1463165523</v>
      </c>
      <c r="K44" s="19">
        <f>J44/$H44*100</f>
        <v>11.097177063655868</v>
      </c>
      <c r="L44" s="88"/>
      <c r="M44" s="89">
        <f>M34+M42</f>
        <v>98210.83811480373</v>
      </c>
      <c r="N44" s="13"/>
      <c r="O44" s="89">
        <f>O34+O42</f>
        <v>434369.30820174864</v>
      </c>
      <c r="P44" s="13"/>
      <c r="Q44" s="89">
        <f>Q34+Q42</f>
        <v>-5385.2328641050044</v>
      </c>
      <c r="R44" s="13"/>
      <c r="S44" s="89">
        <f>S34+S42</f>
        <v>428984.07533764362</v>
      </c>
      <c r="T44" s="13"/>
      <c r="U44" s="19">
        <f>S44/$H44*100</f>
        <v>8.9385837501366243</v>
      </c>
      <c r="V44" s="13"/>
      <c r="W44" s="90">
        <f>S44/O44</f>
        <v>0.98760217915395676</v>
      </c>
      <c r="X44" s="13"/>
      <c r="Y44" s="20">
        <f>U44/K44-1</f>
        <v>-0.1945173354572135</v>
      </c>
      <c r="Z44" s="81"/>
    </row>
    <row r="45" spans="2:26" x14ac:dyDescent="0.3">
      <c r="E45" s="81"/>
      <c r="F45" s="11"/>
      <c r="G45" s="81"/>
      <c r="H45" s="12"/>
      <c r="I45" s="86"/>
      <c r="J45" s="12"/>
      <c r="K45" s="33"/>
      <c r="L45" s="88"/>
      <c r="M45" s="12"/>
      <c r="N45" s="13"/>
      <c r="O45" s="12"/>
      <c r="P45" s="13"/>
      <c r="Q45" s="12"/>
      <c r="R45" s="13"/>
      <c r="S45" s="12"/>
      <c r="T45" s="13"/>
      <c r="U45" s="33"/>
      <c r="V45" s="13"/>
      <c r="W45" s="14"/>
      <c r="X45" s="13"/>
      <c r="Y45" s="15"/>
      <c r="Z45" s="81"/>
    </row>
    <row r="46" spans="2:26" x14ac:dyDescent="0.3">
      <c r="B46" s="81"/>
      <c r="C46" s="83"/>
      <c r="D46" s="10" t="s">
        <v>44</v>
      </c>
      <c r="E46" s="81"/>
      <c r="F46" s="91"/>
      <c r="G46" s="81"/>
      <c r="H46" s="12"/>
      <c r="I46" s="86"/>
      <c r="J46" s="12"/>
      <c r="K46" s="33"/>
      <c r="L46" s="88"/>
      <c r="M46" s="12"/>
      <c r="N46" s="13"/>
      <c r="O46" s="12"/>
      <c r="P46" s="13"/>
      <c r="Q46" s="12"/>
      <c r="R46" s="13"/>
      <c r="S46" s="12"/>
      <c r="T46" s="13"/>
      <c r="U46" s="22"/>
      <c r="V46" s="13"/>
      <c r="W46" s="14"/>
      <c r="X46" s="13"/>
      <c r="Y46" s="30"/>
      <c r="Z46" s="81"/>
    </row>
    <row r="47" spans="2:26" x14ac:dyDescent="0.3">
      <c r="B47" s="81">
        <f>MAX(B$12:B46)+1</f>
        <v>24</v>
      </c>
      <c r="C47" s="83"/>
      <c r="D47" s="18" t="s">
        <v>45</v>
      </c>
      <c r="E47" s="81"/>
      <c r="F47" s="91" t="s">
        <v>39</v>
      </c>
      <c r="G47" s="81"/>
      <c r="H47" s="12">
        <v>2974410.3609594423</v>
      </c>
      <c r="I47" s="86"/>
      <c r="J47" s="12">
        <f>$H47*K47/100</f>
        <v>145169.07207698654</v>
      </c>
      <c r="K47" s="33">
        <v>4.8806000000000003</v>
      </c>
      <c r="L47" s="88"/>
      <c r="M47" s="12">
        <f t="shared" ref="M47:M50" si="11">J47-O47</f>
        <v>81070.933396062275</v>
      </c>
      <c r="N47" s="13"/>
      <c r="O47" s="12">
        <f>S47</f>
        <v>64098.138680924269</v>
      </c>
      <c r="P47" s="13"/>
      <c r="Q47" s="12">
        <f t="shared" ref="Q47:Q50" si="12">S47-O47</f>
        <v>0</v>
      </c>
      <c r="R47" s="13"/>
      <c r="S47" s="12">
        <f>$H47*U47/100</f>
        <v>64098.138680924269</v>
      </c>
      <c r="T47" s="13"/>
      <c r="U47" s="33">
        <v>2.1549863973795604</v>
      </c>
      <c r="V47" s="13"/>
      <c r="W47" s="92"/>
      <c r="X47" s="13"/>
      <c r="Y47" s="31"/>
      <c r="Z47" s="81"/>
    </row>
    <row r="48" spans="2:26" x14ac:dyDescent="0.3">
      <c r="B48" s="81">
        <f>MAX(B$12:B47)+1</f>
        <v>25</v>
      </c>
      <c r="C48" s="83"/>
      <c r="D48" s="18" t="s">
        <v>46</v>
      </c>
      <c r="E48" s="81"/>
      <c r="F48" s="91" t="s">
        <v>39</v>
      </c>
      <c r="G48" s="81"/>
      <c r="H48" s="12">
        <v>1595783.9460776143</v>
      </c>
      <c r="I48" s="86"/>
      <c r="J48" s="12">
        <f>$H48*K48/100</f>
        <v>15000.369093129575</v>
      </c>
      <c r="K48" s="33">
        <v>0.94</v>
      </c>
      <c r="L48" s="88"/>
      <c r="M48" s="12">
        <f t="shared" si="11"/>
        <v>-19388.557876409792</v>
      </c>
      <c r="N48" s="88"/>
      <c r="O48" s="12">
        <f t="shared" ref="O48:O49" si="13">S48</f>
        <v>34388.926969539367</v>
      </c>
      <c r="P48" s="88"/>
      <c r="Q48" s="12">
        <f t="shared" si="12"/>
        <v>0</v>
      </c>
      <c r="R48" s="88"/>
      <c r="S48" s="12">
        <f>$H48*U48/100</f>
        <v>34388.926969539367</v>
      </c>
      <c r="T48" s="88"/>
      <c r="U48" s="33">
        <v>2.1549863973795604</v>
      </c>
      <c r="V48" s="88"/>
      <c r="W48" s="92"/>
      <c r="X48" s="88"/>
      <c r="Y48" s="31"/>
      <c r="Z48" s="81"/>
    </row>
    <row r="49" spans="2:26" x14ac:dyDescent="0.3">
      <c r="B49" s="81">
        <f>MAX(B$12:B48)+1</f>
        <v>26</v>
      </c>
      <c r="C49" s="83"/>
      <c r="D49" s="18" t="s">
        <v>47</v>
      </c>
      <c r="E49" s="81"/>
      <c r="F49" s="91" t="s">
        <v>39</v>
      </c>
      <c r="G49" s="81"/>
      <c r="H49" s="12">
        <v>177307.50962919183</v>
      </c>
      <c r="I49" s="86"/>
      <c r="J49" s="12">
        <f>$H49*K49/100</f>
        <v>8653.6703149623372</v>
      </c>
      <c r="K49" s="33">
        <v>4.8806000000000003</v>
      </c>
      <c r="L49" s="88"/>
      <c r="M49" s="12">
        <f t="shared" si="11"/>
        <v>237.07451932998993</v>
      </c>
      <c r="N49" s="88"/>
      <c r="O49" s="12">
        <f t="shared" si="13"/>
        <v>8416.5957956323473</v>
      </c>
      <c r="P49" s="88"/>
      <c r="Q49" s="12">
        <f t="shared" si="12"/>
        <v>0</v>
      </c>
      <c r="R49" s="88"/>
      <c r="S49" s="12">
        <f>$H49*U49/100</f>
        <v>8416.5957956323473</v>
      </c>
      <c r="T49" s="88"/>
      <c r="U49" s="33">
        <v>4.7468918903853599</v>
      </c>
      <c r="V49" s="88"/>
      <c r="W49" s="92"/>
      <c r="X49" s="88"/>
      <c r="Y49" s="31"/>
      <c r="Z49" s="81"/>
    </row>
    <row r="50" spans="2:26" x14ac:dyDescent="0.3">
      <c r="B50" s="81">
        <f>MAX(B$12:B49)+1</f>
        <v>27</v>
      </c>
      <c r="C50" s="83"/>
      <c r="D50" s="18" t="s">
        <v>48</v>
      </c>
      <c r="E50" s="81"/>
      <c r="F50" s="91" t="s">
        <v>39</v>
      </c>
      <c r="G50" s="81"/>
      <c r="H50" s="12">
        <f>H42-SUM(H47:H49)</f>
        <v>51738.055434146896</v>
      </c>
      <c r="I50" s="86"/>
      <c r="J50" s="12">
        <f>$H50*K50/100</f>
        <v>0</v>
      </c>
      <c r="K50" s="33">
        <v>0</v>
      </c>
      <c r="L50" s="88"/>
      <c r="M50" s="12">
        <f t="shared" si="11"/>
        <v>-1114.9480568745621</v>
      </c>
      <c r="N50" s="88"/>
      <c r="O50" s="12">
        <f>S50</f>
        <v>1114.9480568745621</v>
      </c>
      <c r="P50" s="88"/>
      <c r="Q50" s="12">
        <f t="shared" si="12"/>
        <v>0</v>
      </c>
      <c r="R50" s="88"/>
      <c r="S50" s="12">
        <f>$H50*U50/100</f>
        <v>1114.9480568745621</v>
      </c>
      <c r="T50" s="88"/>
      <c r="U50" s="33">
        <v>2.1549863973795604</v>
      </c>
      <c r="V50" s="88"/>
      <c r="W50" s="14"/>
      <c r="X50" s="88"/>
      <c r="Y50" s="31"/>
      <c r="Z50" s="81"/>
    </row>
    <row r="51" spans="2:26" x14ac:dyDescent="0.3">
      <c r="B51" s="81">
        <f>MAX(B$12:B50)+1</f>
        <v>28</v>
      </c>
      <c r="C51" s="83"/>
      <c r="D51" s="10" t="s">
        <v>44</v>
      </c>
      <c r="E51" s="81"/>
      <c r="F51" s="11"/>
      <c r="G51" s="81"/>
      <c r="H51" s="89">
        <f>SUM(H47:H50)</f>
        <v>4799239.8721003952</v>
      </c>
      <c r="I51" s="86"/>
      <c r="J51" s="89">
        <f>SUM(J47:J50)</f>
        <v>168823.11148507847</v>
      </c>
      <c r="K51" s="19">
        <f>J51/$H51*100</f>
        <v>3.5177052196641454</v>
      </c>
      <c r="L51" s="88"/>
      <c r="M51" s="89">
        <f>SUM(M47:M50)</f>
        <v>60804.501982107911</v>
      </c>
      <c r="N51" s="13"/>
      <c r="O51" s="89">
        <f>SUM(O47:O50)</f>
        <v>108018.60950297053</v>
      </c>
      <c r="P51" s="13"/>
      <c r="Q51" s="89">
        <f>SUM(Q47:Q50)</f>
        <v>0</v>
      </c>
      <c r="R51" s="13"/>
      <c r="S51" s="89">
        <f>SUM(S47:S50)</f>
        <v>108018.60950297053</v>
      </c>
      <c r="T51" s="13"/>
      <c r="U51" s="19">
        <f>S51/$H51*100</f>
        <v>2.2507441257712339</v>
      </c>
      <c r="V51" s="13"/>
      <c r="W51" s="90">
        <f>S51/O51</f>
        <v>1</v>
      </c>
      <c r="X51" s="13"/>
      <c r="Y51" s="20">
        <f>U51/K51-1</f>
        <v>-0.36016693121712884</v>
      </c>
      <c r="Z51" s="81"/>
    </row>
    <row r="52" spans="2:26" x14ac:dyDescent="0.3"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24"/>
      <c r="Z52" s="81"/>
    </row>
    <row r="53" spans="2:26" x14ac:dyDescent="0.3">
      <c r="B53" s="81">
        <f>MAX(B$12:B52)+1</f>
        <v>29</v>
      </c>
      <c r="C53" s="83"/>
      <c r="D53" s="10" t="s">
        <v>49</v>
      </c>
      <c r="E53" s="81"/>
      <c r="F53" s="11" t="s">
        <v>39</v>
      </c>
      <c r="G53" s="81"/>
      <c r="H53" s="12">
        <f>H47</f>
        <v>2974410.3609594423</v>
      </c>
      <c r="I53" s="86"/>
      <c r="J53" s="12">
        <f>$H53*K53/100</f>
        <v>312506.42457420385</v>
      </c>
      <c r="K53" s="33">
        <v>10.506500000000001</v>
      </c>
      <c r="L53" s="88"/>
      <c r="M53" s="12">
        <f>J53-O53</f>
        <v>-93061.103316933732</v>
      </c>
      <c r="N53" s="13"/>
      <c r="O53" s="12">
        <f>S53</f>
        <v>405567.52789113758</v>
      </c>
      <c r="P53" s="13"/>
      <c r="Q53" s="12">
        <f>S53-O53</f>
        <v>0</v>
      </c>
      <c r="R53" s="13"/>
      <c r="S53" s="12">
        <f>$H53*U53/100</f>
        <v>405567.52789113758</v>
      </c>
      <c r="T53" s="13"/>
      <c r="U53" s="33">
        <v>13.635224420086928</v>
      </c>
      <c r="V53" s="13"/>
      <c r="W53" s="14">
        <f>S53/O53</f>
        <v>1</v>
      </c>
      <c r="X53" s="13"/>
      <c r="Y53" s="15">
        <f>U53/K53-1</f>
        <v>0.29778940846970237</v>
      </c>
      <c r="Z53" s="81"/>
    </row>
    <row r="54" spans="2:26" x14ac:dyDescent="0.3">
      <c r="B54" s="81"/>
      <c r="C54" s="83"/>
      <c r="D54" s="10"/>
      <c r="E54" s="81"/>
      <c r="F54" s="11"/>
      <c r="G54" s="81"/>
      <c r="H54" s="12"/>
      <c r="I54" s="86"/>
      <c r="J54" s="12"/>
      <c r="K54" s="33"/>
      <c r="L54" s="88"/>
      <c r="M54" s="12"/>
      <c r="N54" s="13"/>
      <c r="O54" s="12"/>
      <c r="P54" s="13"/>
      <c r="Q54" s="12"/>
      <c r="R54" s="13"/>
      <c r="S54" s="12"/>
      <c r="T54" s="13"/>
      <c r="U54" s="33"/>
      <c r="V54" s="13"/>
      <c r="W54" s="14"/>
      <c r="X54" s="13"/>
      <c r="Y54" s="15"/>
      <c r="Z54" s="81"/>
    </row>
    <row r="55" spans="2:26" ht="12.9" thickBot="1" x14ac:dyDescent="0.35">
      <c r="B55" s="81">
        <f>MAX(B$12:B54)+1</f>
        <v>30</v>
      </c>
      <c r="C55" s="83"/>
      <c r="D55" s="10" t="s">
        <v>58</v>
      </c>
      <c r="E55" s="81"/>
      <c r="F55" s="11"/>
      <c r="G55" s="81"/>
      <c r="H55" s="93">
        <f>H42</f>
        <v>4799239.8721003952</v>
      </c>
      <c r="I55" s="86"/>
      <c r="J55" s="93">
        <f>J44+J51+J53</f>
        <v>1013909.6823758346</v>
      </c>
      <c r="K55" s="25">
        <f>J55/$H55*100</f>
        <v>21.126463969222179</v>
      </c>
      <c r="L55" s="88"/>
      <c r="M55" s="93">
        <f>M44+M51+M53</f>
        <v>65954.236779977917</v>
      </c>
      <c r="N55" s="13"/>
      <c r="O55" s="93">
        <f>O44+O51+O53</f>
        <v>947955.44559585676</v>
      </c>
      <c r="P55" s="13"/>
      <c r="Q55" s="93">
        <f>Q44+Q51+Q53</f>
        <v>-5385.2328641050044</v>
      </c>
      <c r="R55" s="13"/>
      <c r="S55" s="93">
        <f>S44+S51+S53</f>
        <v>942570.21273175185</v>
      </c>
      <c r="T55" s="13"/>
      <c r="U55" s="25">
        <f>S55/$H55*100</f>
        <v>19.63998962025698</v>
      </c>
      <c r="V55" s="13"/>
      <c r="W55" s="94">
        <f>S55/O55</f>
        <v>0.99431910762354458</v>
      </c>
      <c r="X55" s="13"/>
      <c r="Y55" s="26">
        <f>U55/K55-1</f>
        <v>-7.0360773631155227E-2</v>
      </c>
      <c r="Z55" s="81"/>
    </row>
    <row r="56" spans="2:26" ht="12.9" thickTop="1" x14ac:dyDescent="0.3"/>
    <row r="57" spans="2:26" x14ac:dyDescent="0.3">
      <c r="B57" s="1" t="s">
        <v>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3"/>
    </row>
    <row r="58" spans="2:26" x14ac:dyDescent="0.3">
      <c r="B58" s="1" t="s">
        <v>59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6" x14ac:dyDescent="0.3"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6" x14ac:dyDescent="0.3">
      <c r="B60" s="78"/>
      <c r="C60" s="78"/>
      <c r="D60" s="78"/>
      <c r="E60" s="78"/>
      <c r="F60" s="77"/>
      <c r="G60" s="78"/>
      <c r="H60" s="77"/>
      <c r="I60" s="78"/>
      <c r="J60" s="79" t="s">
        <v>2</v>
      </c>
      <c r="K60" s="79"/>
      <c r="L60" s="78"/>
      <c r="M60" s="78"/>
      <c r="N60" s="78"/>
      <c r="O60" s="122" t="s">
        <v>3</v>
      </c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2:26" s="6" customFormat="1" ht="39" customHeight="1" x14ac:dyDescent="0.3">
      <c r="B61" s="80" t="s">
        <v>4</v>
      </c>
      <c r="C61" s="80"/>
      <c r="D61" s="80"/>
      <c r="E61" s="80"/>
      <c r="F61" s="81" t="s">
        <v>5</v>
      </c>
      <c r="G61" s="80"/>
      <c r="H61" s="6" t="s">
        <v>6</v>
      </c>
      <c r="I61" s="80"/>
      <c r="J61" s="6" t="s">
        <v>7</v>
      </c>
      <c r="K61" s="6" t="s">
        <v>8</v>
      </c>
      <c r="L61" s="80"/>
      <c r="M61" s="6" t="s">
        <v>9</v>
      </c>
      <c r="N61" s="80"/>
      <c r="O61" s="80" t="s">
        <v>10</v>
      </c>
      <c r="P61" s="80"/>
      <c r="Q61" s="6" t="s">
        <v>11</v>
      </c>
      <c r="R61" s="80"/>
      <c r="S61" s="6" t="s">
        <v>7</v>
      </c>
      <c r="T61" s="80"/>
      <c r="U61" s="6" t="s">
        <v>12</v>
      </c>
      <c r="V61" s="80"/>
      <c r="W61" s="80" t="s">
        <v>13</v>
      </c>
      <c r="X61" s="80"/>
      <c r="Y61" s="80" t="s">
        <v>14</v>
      </c>
      <c r="Z61" s="80"/>
    </row>
    <row r="62" spans="2:26" ht="14.15" x14ac:dyDescent="0.3">
      <c r="B62" s="82" t="s">
        <v>15</v>
      </c>
      <c r="C62" s="83"/>
      <c r="D62" s="84" t="s">
        <v>16</v>
      </c>
      <c r="E62" s="81"/>
      <c r="F62" s="82" t="s">
        <v>17</v>
      </c>
      <c r="G62" s="81"/>
      <c r="H62" s="82" t="s">
        <v>18</v>
      </c>
      <c r="I62" s="81"/>
      <c r="J62" s="82" t="s">
        <v>19</v>
      </c>
      <c r="K62" s="82" t="s">
        <v>20</v>
      </c>
      <c r="L62" s="81"/>
      <c r="M62" s="82" t="s">
        <v>19</v>
      </c>
      <c r="N62" s="81"/>
      <c r="O62" s="82" t="s">
        <v>19</v>
      </c>
      <c r="P62" s="81"/>
      <c r="Q62" s="82" t="s">
        <v>19</v>
      </c>
      <c r="R62" s="81"/>
      <c r="S62" s="82" t="s">
        <v>19</v>
      </c>
      <c r="T62" s="81"/>
      <c r="U62" s="82" t="s">
        <v>20</v>
      </c>
      <c r="V62" s="81"/>
      <c r="W62" s="82" t="s">
        <v>21</v>
      </c>
      <c r="X62" s="81"/>
      <c r="Y62" s="82" t="s">
        <v>22</v>
      </c>
      <c r="Z62" s="81"/>
    </row>
    <row r="63" spans="2:26" x14ac:dyDescent="0.3">
      <c r="B63" s="81"/>
      <c r="C63" s="83"/>
      <c r="D63" s="83"/>
      <c r="E63" s="81"/>
      <c r="F63" s="81"/>
      <c r="G63" s="81"/>
      <c r="H63" s="81" t="s">
        <v>23</v>
      </c>
      <c r="I63" s="81"/>
      <c r="J63" s="81" t="s">
        <v>24</v>
      </c>
      <c r="K63" s="81" t="s">
        <v>25</v>
      </c>
      <c r="L63" s="81"/>
      <c r="M63" s="81" t="s">
        <v>26</v>
      </c>
      <c r="N63" s="81"/>
      <c r="O63" s="81" t="s">
        <v>27</v>
      </c>
      <c r="P63" s="81"/>
      <c r="Q63" s="81" t="s">
        <v>28</v>
      </c>
      <c r="R63" s="81"/>
      <c r="S63" s="85" t="s">
        <v>29</v>
      </c>
      <c r="T63" s="81"/>
      <c r="U63" s="85" t="s">
        <v>30</v>
      </c>
      <c r="V63" s="81"/>
      <c r="W63" s="85" t="s">
        <v>31</v>
      </c>
      <c r="X63" s="81"/>
      <c r="Y63" s="85" t="s">
        <v>32</v>
      </c>
      <c r="Z63" s="81"/>
    </row>
    <row r="64" spans="2:26" x14ac:dyDescent="0.3">
      <c r="B64" s="81"/>
      <c r="C64" s="83"/>
      <c r="D64" s="83"/>
      <c r="E64" s="81"/>
      <c r="F64" s="96"/>
      <c r="G64" s="81"/>
      <c r="H64" s="96"/>
      <c r="I64" s="81"/>
      <c r="J64" s="96"/>
      <c r="K64" s="32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2:26" x14ac:dyDescent="0.3">
      <c r="B65" s="81"/>
      <c r="C65" s="83"/>
      <c r="D65" s="3" t="s">
        <v>60</v>
      </c>
      <c r="E65" s="81"/>
      <c r="F65" s="7"/>
      <c r="G65" s="81"/>
      <c r="H65" s="7"/>
      <c r="I65" s="81"/>
      <c r="J65" s="7"/>
      <c r="K65" s="81"/>
      <c r="L65" s="81"/>
      <c r="M65" s="8"/>
      <c r="N65" s="81"/>
      <c r="O65" s="9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2:26" x14ac:dyDescent="0.3">
      <c r="B66" s="81">
        <f>MAX(B$12:B65)+1</f>
        <v>31</v>
      </c>
      <c r="C66" s="83"/>
      <c r="D66" s="10" t="s">
        <v>35</v>
      </c>
      <c r="E66" s="81"/>
      <c r="F66" s="11" t="s">
        <v>36</v>
      </c>
      <c r="G66" s="81"/>
      <c r="H66" s="12">
        <v>168</v>
      </c>
      <c r="I66" s="86"/>
      <c r="J66" s="12">
        <f>$H66*K66/1000</f>
        <v>23.027759999999997</v>
      </c>
      <c r="K66" s="87">
        <v>137.07</v>
      </c>
      <c r="L66" s="88"/>
      <c r="M66" s="12">
        <f t="shared" ref="M66:M68" si="14">J66-O66</f>
        <v>-434.44694339183235</v>
      </c>
      <c r="N66" s="13"/>
      <c r="O66" s="12">
        <v>457.47470339183235</v>
      </c>
      <c r="P66" s="13"/>
      <c r="Q66" s="12">
        <f t="shared" ref="Q66:Q68" si="15">S66-O66</f>
        <v>-434.44694339183235</v>
      </c>
      <c r="R66" s="13"/>
      <c r="S66" s="12">
        <f>$H66*U66/1000</f>
        <v>23.027759999999997</v>
      </c>
      <c r="T66" s="13"/>
      <c r="U66" s="87">
        <v>137.07</v>
      </c>
      <c r="V66" s="13"/>
      <c r="W66" s="14">
        <f>S66/O66</f>
        <v>5.0336684912338107E-2</v>
      </c>
      <c r="X66" s="13"/>
      <c r="Y66" s="15">
        <f t="shared" ref="Y66:Y68" si="16">U66/K66-1</f>
        <v>0</v>
      </c>
    </row>
    <row r="67" spans="2:26" x14ac:dyDescent="0.3">
      <c r="B67" s="81">
        <f>MAX(B$66:B66)+1</f>
        <v>32</v>
      </c>
      <c r="C67" s="83"/>
      <c r="D67" s="10" t="s">
        <v>61</v>
      </c>
      <c r="E67" s="81"/>
      <c r="F67" s="11" t="s">
        <v>62</v>
      </c>
      <c r="G67" s="81"/>
      <c r="H67" s="12">
        <v>4503.3599999999997</v>
      </c>
      <c r="I67" s="86"/>
      <c r="J67" s="12">
        <f>$H67*K67/100</f>
        <v>1832.0163849600001</v>
      </c>
      <c r="K67" s="33">
        <v>40.681100000000001</v>
      </c>
      <c r="L67" s="88"/>
      <c r="M67" s="12">
        <f t="shared" si="14"/>
        <v>678.98417074482563</v>
      </c>
      <c r="N67" s="13"/>
      <c r="O67" s="12">
        <v>1153.0322142151745</v>
      </c>
      <c r="P67" s="13"/>
      <c r="Q67" s="12">
        <f t="shared" si="15"/>
        <v>415.43856517834593</v>
      </c>
      <c r="R67" s="13"/>
      <c r="S67" s="12">
        <f>$H67*U67/100</f>
        <v>1568.4707793935204</v>
      </c>
      <c r="T67" s="13"/>
      <c r="U67" s="33">
        <v>34.828900629608128</v>
      </c>
      <c r="V67" s="13"/>
      <c r="W67" s="14">
        <f>S67/O67</f>
        <v>1.3603009179245866</v>
      </c>
      <c r="X67" s="13"/>
      <c r="Y67" s="15">
        <f t="shared" si="16"/>
        <v>-0.14385548498914413</v>
      </c>
    </row>
    <row r="68" spans="2:26" x14ac:dyDescent="0.3">
      <c r="B68" s="81">
        <f>MAX(B$66:B67)+1</f>
        <v>33</v>
      </c>
      <c r="C68" s="83"/>
      <c r="D68" s="10" t="s">
        <v>37</v>
      </c>
      <c r="E68" s="81"/>
      <c r="F68" s="11" t="s">
        <v>39</v>
      </c>
      <c r="G68" s="81"/>
      <c r="H68" s="12">
        <v>27429.148000000001</v>
      </c>
      <c r="I68" s="86"/>
      <c r="J68" s="12">
        <f>$H68*K68/100</f>
        <v>749.94033546799994</v>
      </c>
      <c r="K68" s="33">
        <v>2.7340999999999998</v>
      </c>
      <c r="L68" s="88"/>
      <c r="M68" s="12">
        <f t="shared" si="14"/>
        <v>660.11205510964589</v>
      </c>
      <c r="N68" s="13"/>
      <c r="O68" s="12">
        <f>S68</f>
        <v>89.828280358354093</v>
      </c>
      <c r="P68" s="13"/>
      <c r="Q68" s="12">
        <f t="shared" si="15"/>
        <v>0</v>
      </c>
      <c r="R68" s="13"/>
      <c r="S68" s="12">
        <f>$H68*U68/100</f>
        <v>89.828280358354093</v>
      </c>
      <c r="T68" s="13"/>
      <c r="U68" s="33">
        <v>0.32749205465060049</v>
      </c>
      <c r="V68" s="13"/>
      <c r="W68" s="14">
        <f>S68/O68</f>
        <v>1</v>
      </c>
      <c r="X68" s="13"/>
      <c r="Y68" s="15">
        <f t="shared" si="16"/>
        <v>-0.88021943065337749</v>
      </c>
    </row>
    <row r="69" spans="2:26" x14ac:dyDescent="0.3">
      <c r="B69" s="81">
        <f>MAX(B$66:B68)+1</f>
        <v>34</v>
      </c>
      <c r="C69" s="83"/>
      <c r="D69" s="10" t="s">
        <v>43</v>
      </c>
      <c r="E69" s="81"/>
      <c r="F69" s="11"/>
      <c r="G69" s="81"/>
      <c r="H69" s="89">
        <f>H68</f>
        <v>27429.148000000001</v>
      </c>
      <c r="I69" s="86"/>
      <c r="J69" s="89">
        <f>SUM(J66:J68)</f>
        <v>2604.9844804280001</v>
      </c>
      <c r="K69" s="19">
        <f>J69/$H69*100</f>
        <v>9.4971396137714521</v>
      </c>
      <c r="L69" s="88"/>
      <c r="M69" s="89">
        <f>SUM(M66:M68)</f>
        <v>904.64928246263912</v>
      </c>
      <c r="N69" s="13"/>
      <c r="O69" s="89">
        <f>SUM(O66:O68)</f>
        <v>1700.335197965361</v>
      </c>
      <c r="P69" s="13"/>
      <c r="Q69" s="89">
        <f>SUM(Q66:Q68)</f>
        <v>-19.008378213486424</v>
      </c>
      <c r="R69" s="13"/>
      <c r="S69" s="89">
        <f>SUM(S66:S68)</f>
        <v>1681.3268197518744</v>
      </c>
      <c r="T69" s="13"/>
      <c r="U69" s="19">
        <f>S69/$H69*100</f>
        <v>6.129708512097694</v>
      </c>
      <c r="V69" s="13"/>
      <c r="W69" s="90">
        <f>S69/O69</f>
        <v>0.98882080531166316</v>
      </c>
      <c r="X69" s="13"/>
      <c r="Y69" s="20">
        <f>U69/K69-1</f>
        <v>-0.35457319136287835</v>
      </c>
    </row>
    <row r="70" spans="2:26" x14ac:dyDescent="0.3">
      <c r="E70" s="81"/>
      <c r="F70" s="11"/>
      <c r="G70" s="81"/>
      <c r="H70" s="12"/>
      <c r="I70" s="86"/>
      <c r="J70" s="12"/>
      <c r="K70" s="33"/>
      <c r="L70" s="88"/>
      <c r="M70" s="12"/>
      <c r="N70" s="13"/>
      <c r="O70" s="12"/>
      <c r="P70" s="13"/>
      <c r="Q70" s="12"/>
      <c r="R70" s="13"/>
      <c r="S70" s="12"/>
      <c r="T70" s="13"/>
      <c r="U70" s="33"/>
      <c r="V70" s="13"/>
      <c r="W70" s="14"/>
      <c r="X70" s="13"/>
      <c r="Y70" s="15"/>
    </row>
    <row r="71" spans="2:26" x14ac:dyDescent="0.3">
      <c r="B71" s="81"/>
      <c r="C71" s="83"/>
      <c r="D71" s="10" t="s">
        <v>44</v>
      </c>
      <c r="E71" s="81"/>
      <c r="F71" s="91"/>
      <c r="G71" s="81"/>
      <c r="H71" s="12"/>
      <c r="I71" s="86"/>
      <c r="J71" s="12"/>
      <c r="K71" s="33"/>
      <c r="L71" s="88"/>
      <c r="M71" s="12"/>
      <c r="N71" s="13"/>
      <c r="O71" s="12"/>
      <c r="P71" s="13"/>
      <c r="Q71" s="12"/>
      <c r="R71" s="13"/>
      <c r="S71" s="12"/>
      <c r="T71" s="13"/>
      <c r="U71" s="22"/>
      <c r="V71" s="13"/>
      <c r="W71" s="14"/>
      <c r="X71" s="13"/>
      <c r="Y71" s="23"/>
    </row>
    <row r="72" spans="2:26" x14ac:dyDescent="0.3">
      <c r="B72" s="81">
        <f>MAX(B$66:B71)+1</f>
        <v>35</v>
      </c>
      <c r="C72" s="83"/>
      <c r="D72" s="18" t="s">
        <v>45</v>
      </c>
      <c r="E72" s="81"/>
      <c r="F72" s="91" t="s">
        <v>39</v>
      </c>
      <c r="G72" s="81"/>
      <c r="H72" s="12">
        <v>14756.638999999999</v>
      </c>
      <c r="I72" s="86"/>
      <c r="J72" s="12">
        <f>$H72*K72/100</f>
        <v>720.21252303400001</v>
      </c>
      <c r="K72" s="33">
        <v>4.8806000000000003</v>
      </c>
      <c r="L72" s="88"/>
      <c r="M72" s="12">
        <f t="shared" ref="M72:M75" si="17">J72-O72</f>
        <v>484.79866926760309</v>
      </c>
      <c r="N72" s="13"/>
      <c r="O72" s="12">
        <f>S72</f>
        <v>235.41385376639693</v>
      </c>
      <c r="P72" s="13"/>
      <c r="Q72" s="12">
        <f t="shared" ref="Q72:Q75" si="18">S72-O72</f>
        <v>0</v>
      </c>
      <c r="R72" s="13"/>
      <c r="S72" s="12">
        <f>$H72*U72/100</f>
        <v>235.41385376639693</v>
      </c>
      <c r="T72" s="13"/>
      <c r="U72" s="33">
        <v>1.5953080763607279</v>
      </c>
      <c r="V72" s="13"/>
      <c r="W72" s="92"/>
      <c r="X72" s="13"/>
      <c r="Y72" s="15"/>
    </row>
    <row r="73" spans="2:26" x14ac:dyDescent="0.3">
      <c r="B73" s="81">
        <f>MAX(B$66:B72)+1</f>
        <v>36</v>
      </c>
      <c r="C73" s="83"/>
      <c r="D73" s="18" t="s">
        <v>46</v>
      </c>
      <c r="E73" s="81"/>
      <c r="F73" s="91" t="s">
        <v>39</v>
      </c>
      <c r="G73" s="81"/>
      <c r="H73" s="12">
        <v>10804.124</v>
      </c>
      <c r="I73" s="86"/>
      <c r="J73" s="12">
        <f>$H73*K73/100</f>
        <v>101.55876559999999</v>
      </c>
      <c r="K73" s="33">
        <v>0.94</v>
      </c>
      <c r="L73" s="88"/>
      <c r="M73" s="12">
        <f t="shared" si="17"/>
        <v>-70.800297152027724</v>
      </c>
      <c r="N73" s="88"/>
      <c r="O73" s="12">
        <f t="shared" ref="O73:O74" si="19">S73</f>
        <v>172.35906275202771</v>
      </c>
      <c r="P73" s="88"/>
      <c r="Q73" s="12">
        <f t="shared" si="18"/>
        <v>0</v>
      </c>
      <c r="R73" s="88"/>
      <c r="S73" s="12">
        <f>$H73*U73/100</f>
        <v>172.35906275202771</v>
      </c>
      <c r="T73" s="88"/>
      <c r="U73" s="33">
        <v>1.5953080763607279</v>
      </c>
      <c r="V73" s="88"/>
      <c r="W73" s="92"/>
      <c r="X73" s="88"/>
      <c r="Y73" s="15"/>
      <c r="Z73" s="81"/>
    </row>
    <row r="74" spans="2:26" x14ac:dyDescent="0.3">
      <c r="B74" s="81">
        <f>MAX(B$66:B73)+1</f>
        <v>37</v>
      </c>
      <c r="C74" s="83"/>
      <c r="D74" s="18" t="s">
        <v>47</v>
      </c>
      <c r="E74" s="81"/>
      <c r="F74" s="91" t="s">
        <v>39</v>
      </c>
      <c r="G74" s="81"/>
      <c r="H74" s="12">
        <v>0</v>
      </c>
      <c r="I74" s="86"/>
      <c r="J74" s="12">
        <f>$H74*K74/100</f>
        <v>0</v>
      </c>
      <c r="K74" s="33">
        <v>4.8806000000000003</v>
      </c>
      <c r="L74" s="88"/>
      <c r="M74" s="12">
        <f t="shared" si="17"/>
        <v>0</v>
      </c>
      <c r="N74" s="88"/>
      <c r="O74" s="12">
        <f t="shared" si="19"/>
        <v>0</v>
      </c>
      <c r="P74" s="88"/>
      <c r="Q74" s="12">
        <f t="shared" si="18"/>
        <v>0</v>
      </c>
      <c r="R74" s="88"/>
      <c r="S74" s="12">
        <f>$H74*U74/100</f>
        <v>0</v>
      </c>
      <c r="T74" s="88"/>
      <c r="U74" s="33">
        <v>4.1872135693665271</v>
      </c>
      <c r="V74" s="88"/>
      <c r="W74" s="92"/>
      <c r="X74" s="88"/>
      <c r="Y74" s="15"/>
      <c r="Z74" s="81"/>
    </row>
    <row r="75" spans="2:26" x14ac:dyDescent="0.3">
      <c r="B75" s="81">
        <f>MAX(B$66:B74)+1</f>
        <v>38</v>
      </c>
      <c r="C75" s="83"/>
      <c r="D75" s="18" t="s">
        <v>48</v>
      </c>
      <c r="E75" s="81"/>
      <c r="F75" s="91" t="s">
        <v>39</v>
      </c>
      <c r="G75" s="81"/>
      <c r="H75" s="12">
        <f>H69-SUM(H72:H74)</f>
        <v>1868.385000000002</v>
      </c>
      <c r="I75" s="86"/>
      <c r="J75" s="12">
        <f>$H75*K75/100</f>
        <v>0</v>
      </c>
      <c r="K75" s="33">
        <v>0</v>
      </c>
      <c r="L75" s="88"/>
      <c r="M75" s="12">
        <f t="shared" si="17"/>
        <v>-29.80649680251242</v>
      </c>
      <c r="N75" s="88"/>
      <c r="O75" s="12">
        <f>S75</f>
        <v>29.80649680251242</v>
      </c>
      <c r="P75" s="88"/>
      <c r="Q75" s="12">
        <f t="shared" si="18"/>
        <v>0</v>
      </c>
      <c r="R75" s="88"/>
      <c r="S75" s="12">
        <f>$H75*U75/100</f>
        <v>29.80649680251242</v>
      </c>
      <c r="T75" s="88"/>
      <c r="U75" s="33">
        <v>1.5953080763607279</v>
      </c>
      <c r="V75" s="88"/>
      <c r="W75" s="14"/>
      <c r="X75" s="88"/>
      <c r="Y75" s="15"/>
      <c r="Z75" s="81"/>
    </row>
    <row r="76" spans="2:26" x14ac:dyDescent="0.3">
      <c r="B76" s="81">
        <f>MAX(B$66:B75)+1</f>
        <v>39</v>
      </c>
      <c r="C76" s="83"/>
      <c r="D76" s="10" t="s">
        <v>44</v>
      </c>
      <c r="E76" s="81"/>
      <c r="F76" s="11"/>
      <c r="G76" s="81"/>
      <c r="H76" s="89">
        <f>SUM(H72:H75)</f>
        <v>27429.148000000001</v>
      </c>
      <c r="I76" s="86"/>
      <c r="J76" s="89">
        <f>SUM(J72:J75)</f>
        <v>821.77128863400003</v>
      </c>
      <c r="K76" s="19">
        <f>J76/$H76*100</f>
        <v>2.995978178520164</v>
      </c>
      <c r="L76" s="88"/>
      <c r="M76" s="89">
        <f>SUM(M72:M75)</f>
        <v>384.19187531306295</v>
      </c>
      <c r="N76" s="13"/>
      <c r="O76" s="89">
        <f>SUM(O72:O75)</f>
        <v>437.57941332093702</v>
      </c>
      <c r="P76" s="13"/>
      <c r="Q76" s="89">
        <f>SUM(Q72:Q75)</f>
        <v>0</v>
      </c>
      <c r="R76" s="13"/>
      <c r="S76" s="89">
        <f>SUM(S72:S75)</f>
        <v>437.57941332093702</v>
      </c>
      <c r="T76" s="13"/>
      <c r="U76" s="19">
        <f>S76/$H76*100</f>
        <v>1.5953080763607277</v>
      </c>
      <c r="V76" s="13"/>
      <c r="W76" s="90">
        <f>S76/O76</f>
        <v>1</v>
      </c>
      <c r="X76" s="13"/>
      <c r="Y76" s="20">
        <f>U76/K76-1</f>
        <v>-0.46751679040976346</v>
      </c>
    </row>
    <row r="77" spans="2:26" x14ac:dyDescent="0.3"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24"/>
    </row>
    <row r="78" spans="2:26" x14ac:dyDescent="0.3">
      <c r="B78" s="81">
        <f>MAX(B$66:B77)+1</f>
        <v>40</v>
      </c>
      <c r="C78" s="83"/>
      <c r="D78" s="10" t="s">
        <v>49</v>
      </c>
      <c r="E78" s="81"/>
      <c r="F78" s="11" t="s">
        <v>39</v>
      </c>
      <c r="G78" s="81"/>
      <c r="H78" s="12">
        <f>H72</f>
        <v>14756.638999999999</v>
      </c>
      <c r="I78" s="86"/>
      <c r="J78" s="12">
        <f>$H78*K78/100</f>
        <v>1550.406276535</v>
      </c>
      <c r="K78" s="33">
        <v>10.506500000000001</v>
      </c>
      <c r="L78" s="88"/>
      <c r="M78" s="12">
        <f>J78-O78</f>
        <v>-461.6945679770713</v>
      </c>
      <c r="N78" s="13"/>
      <c r="O78" s="12">
        <f>S78</f>
        <v>2012.1008445120713</v>
      </c>
      <c r="P78" s="13"/>
      <c r="Q78" s="12">
        <f>S78-O78</f>
        <v>0</v>
      </c>
      <c r="R78" s="13"/>
      <c r="S78" s="12">
        <f>$H78*U78/100</f>
        <v>2012.1008445120713</v>
      </c>
      <c r="T78" s="13"/>
      <c r="U78" s="33">
        <v>13.635224420086928</v>
      </c>
      <c r="V78" s="13"/>
      <c r="W78" s="14">
        <f>S78/O78</f>
        <v>1</v>
      </c>
      <c r="X78" s="13"/>
      <c r="Y78" s="15">
        <f>U78/K78-1</f>
        <v>0.29778940846970237</v>
      </c>
    </row>
    <row r="79" spans="2:26" x14ac:dyDescent="0.3">
      <c r="B79" s="81"/>
      <c r="C79" s="83"/>
      <c r="D79" s="10"/>
      <c r="E79" s="81"/>
      <c r="F79" s="11"/>
      <c r="G79" s="81"/>
      <c r="H79" s="12"/>
      <c r="I79" s="86"/>
      <c r="J79" s="12"/>
      <c r="K79" s="33"/>
      <c r="L79" s="88"/>
      <c r="M79" s="12"/>
      <c r="N79" s="13"/>
      <c r="O79" s="12"/>
      <c r="P79" s="13"/>
      <c r="Q79" s="12"/>
      <c r="R79" s="13"/>
      <c r="S79" s="12"/>
      <c r="T79" s="13"/>
      <c r="U79" s="33"/>
      <c r="V79" s="13"/>
      <c r="W79" s="14"/>
      <c r="X79" s="13"/>
      <c r="Y79" s="15"/>
    </row>
    <row r="80" spans="2:26" ht="12.9" thickBot="1" x14ac:dyDescent="0.35">
      <c r="B80" s="81">
        <f>MAX(B$66:B79)+1</f>
        <v>41</v>
      </c>
      <c r="C80" s="83"/>
      <c r="D80" s="10" t="s">
        <v>63</v>
      </c>
      <c r="E80" s="81"/>
      <c r="F80" s="11"/>
      <c r="G80" s="81"/>
      <c r="H80" s="93">
        <f>H69</f>
        <v>27429.148000000001</v>
      </c>
      <c r="I80" s="86"/>
      <c r="J80" s="93">
        <f>J69+J76+J78</f>
        <v>4977.1620455970005</v>
      </c>
      <c r="K80" s="25">
        <f>J80/$H80*100</f>
        <v>18.145521857248355</v>
      </c>
      <c r="L80" s="88"/>
      <c r="M80" s="93">
        <f>M69+M76+M78</f>
        <v>827.14658979863066</v>
      </c>
      <c r="N80" s="13"/>
      <c r="O80" s="93">
        <f>O69+O76+O78</f>
        <v>4150.0154557983697</v>
      </c>
      <c r="P80" s="13"/>
      <c r="Q80" s="93">
        <f>Q69+Q76+Q78</f>
        <v>-19.008378213486424</v>
      </c>
      <c r="R80" s="13"/>
      <c r="S80" s="93">
        <f>S69+S76+S78</f>
        <v>4131.0070775848826</v>
      </c>
      <c r="T80" s="13"/>
      <c r="U80" s="25">
        <f>S80/$H80*100</f>
        <v>15.060646716350368</v>
      </c>
      <c r="V80" s="13"/>
      <c r="W80" s="94">
        <f>S80/O80</f>
        <v>0.99541968495878042</v>
      </c>
      <c r="X80" s="13"/>
      <c r="Y80" s="26">
        <f>U80/K80-1</f>
        <v>-0.17000751839306905</v>
      </c>
    </row>
    <row r="81" spans="2:26" ht="12.9" thickTop="1" x14ac:dyDescent="0.3"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24"/>
    </row>
    <row r="82" spans="2:26" x14ac:dyDescent="0.3">
      <c r="B82" s="81"/>
      <c r="C82" s="83"/>
      <c r="D82" s="3" t="s">
        <v>64</v>
      </c>
      <c r="E82" s="81"/>
      <c r="F82" s="7"/>
      <c r="G82" s="81"/>
      <c r="H82" s="27"/>
      <c r="I82" s="86"/>
      <c r="J82" s="27"/>
      <c r="K82" s="86"/>
      <c r="L82" s="86"/>
      <c r="M82" s="28"/>
      <c r="N82" s="86"/>
      <c r="O82" s="29"/>
      <c r="P82" s="86"/>
      <c r="Q82" s="86"/>
      <c r="R82" s="86"/>
      <c r="S82" s="86"/>
      <c r="T82" s="86"/>
      <c r="U82" s="86"/>
      <c r="V82" s="86"/>
      <c r="W82" s="86"/>
      <c r="X82" s="86"/>
      <c r="Y82" s="95"/>
      <c r="Z82" s="81"/>
    </row>
    <row r="83" spans="2:26" x14ac:dyDescent="0.3">
      <c r="B83" s="81">
        <f>MAX(B$66:B82)+1</f>
        <v>42</v>
      </c>
      <c r="C83" s="83"/>
      <c r="D83" s="10" t="s">
        <v>35</v>
      </c>
      <c r="E83" s="81"/>
      <c r="F83" s="11" t="s">
        <v>36</v>
      </c>
      <c r="G83" s="81"/>
      <c r="H83" s="12">
        <v>4992</v>
      </c>
      <c r="I83" s="86"/>
      <c r="J83" s="12">
        <f>$H83*K83/1000</f>
        <v>3294.0710399999998</v>
      </c>
      <c r="K83" s="87">
        <v>659.87</v>
      </c>
      <c r="L83" s="88"/>
      <c r="M83" s="12">
        <f t="shared" ref="M83:M84" si="20">J83-O83</f>
        <v>-9683.2015508571712</v>
      </c>
      <c r="N83" s="13"/>
      <c r="O83" s="12">
        <v>12977.27259085717</v>
      </c>
      <c r="P83" s="13"/>
      <c r="Q83" s="12">
        <f t="shared" ref="Q83:Q84" si="21">S83-O83</f>
        <v>-9683.2015508571712</v>
      </c>
      <c r="R83" s="13"/>
      <c r="S83" s="12">
        <f>$H83*U83/1000</f>
        <v>3294.0710399999998</v>
      </c>
      <c r="T83" s="13"/>
      <c r="U83" s="87">
        <v>659.87</v>
      </c>
      <c r="V83" s="13"/>
      <c r="W83" s="14">
        <f>S83/O83</f>
        <v>0.25383384813236948</v>
      </c>
      <c r="X83" s="13"/>
      <c r="Y83" s="15">
        <f t="shared" ref="Y83:Y84" si="22">U83/K83-1</f>
        <v>0</v>
      </c>
    </row>
    <row r="84" spans="2:26" x14ac:dyDescent="0.3">
      <c r="B84" s="81">
        <f>MAX(B$66:B83)+1</f>
        <v>43</v>
      </c>
      <c r="C84" s="83"/>
      <c r="D84" s="10" t="s">
        <v>61</v>
      </c>
      <c r="E84" s="81"/>
      <c r="F84" s="11" t="s">
        <v>62</v>
      </c>
      <c r="G84" s="81"/>
      <c r="H84" s="12">
        <v>75653.868000000002</v>
      </c>
      <c r="I84" s="86"/>
      <c r="J84" s="12">
        <f>$H84*K84/100</f>
        <v>19729.545274116001</v>
      </c>
      <c r="K84" s="33">
        <v>26.078700000000001</v>
      </c>
      <c r="L84" s="88"/>
      <c r="M84" s="12">
        <f t="shared" si="20"/>
        <v>-6319.5714788970909</v>
      </c>
      <c r="N84" s="13"/>
      <c r="O84" s="12">
        <v>26049.116753013092</v>
      </c>
      <c r="P84" s="13"/>
      <c r="Q84" s="12">
        <f t="shared" si="21"/>
        <v>9064.8311755685136</v>
      </c>
      <c r="R84" s="13"/>
      <c r="S84" s="12">
        <f>$H84*U84/100</f>
        <v>35113.947928581605</v>
      </c>
      <c r="T84" s="13"/>
      <c r="U84" s="33">
        <v>46.413949288860692</v>
      </c>
      <c r="V84" s="13"/>
      <c r="W84" s="14">
        <f>S84/O84</f>
        <v>1.347989963019379</v>
      </c>
      <c r="X84" s="13"/>
      <c r="Y84" s="15">
        <f t="shared" si="22"/>
        <v>0.77976468492910644</v>
      </c>
    </row>
    <row r="85" spans="2:26" x14ac:dyDescent="0.3">
      <c r="B85" s="81"/>
      <c r="C85" s="83"/>
      <c r="D85" s="10" t="s">
        <v>37</v>
      </c>
      <c r="E85" s="81"/>
      <c r="F85" s="11"/>
      <c r="G85" s="81"/>
      <c r="H85" s="12"/>
      <c r="I85" s="86"/>
      <c r="J85" s="12"/>
      <c r="K85" s="33"/>
      <c r="L85" s="88"/>
      <c r="M85" s="12"/>
      <c r="N85" s="13"/>
      <c r="O85" s="12"/>
      <c r="P85" s="13"/>
      <c r="Q85" s="12"/>
      <c r="R85" s="13"/>
      <c r="S85" s="12"/>
      <c r="T85" s="13"/>
      <c r="U85" s="33"/>
      <c r="V85" s="13"/>
      <c r="W85" s="14"/>
      <c r="X85" s="13"/>
      <c r="Y85" s="15"/>
      <c r="Z85" s="81"/>
    </row>
    <row r="86" spans="2:26" x14ac:dyDescent="0.3">
      <c r="B86" s="81">
        <f>MAX(B$66:B85)+1</f>
        <v>44</v>
      </c>
      <c r="C86" s="83"/>
      <c r="D86" s="18" t="s">
        <v>65</v>
      </c>
      <c r="E86" s="81"/>
      <c r="F86" s="11" t="s">
        <v>39</v>
      </c>
      <c r="G86" s="81"/>
      <c r="H86" s="12">
        <v>897522.08799999999</v>
      </c>
      <c r="I86" s="86"/>
      <c r="J86" s="12">
        <f>$H86*K86/100</f>
        <v>11295.31547748</v>
      </c>
      <c r="K86" s="33">
        <v>1.2585000000000002</v>
      </c>
      <c r="L86" s="88"/>
      <c r="M86" s="12">
        <f t="shared" ref="M86:M87" si="23">J86-O86</f>
        <v>8788.2308148214743</v>
      </c>
      <c r="N86" s="13"/>
      <c r="O86" s="12">
        <f t="shared" ref="O86:O87" si="24">S86</f>
        <v>2507.0846626585267</v>
      </c>
      <c r="P86" s="13"/>
      <c r="Q86" s="12">
        <f t="shared" ref="Q86:Q87" si="25">S86-O86</f>
        <v>0</v>
      </c>
      <c r="R86" s="13"/>
      <c r="S86" s="12">
        <f>$H86*U86/100</f>
        <v>2507.0846626585267</v>
      </c>
      <c r="T86" s="13"/>
      <c r="U86" s="33">
        <v>0.27933403491441722</v>
      </c>
      <c r="V86" s="13"/>
      <c r="W86" s="14"/>
      <c r="X86" s="13"/>
      <c r="Y86" s="15"/>
      <c r="Z86" s="81"/>
    </row>
    <row r="87" spans="2:26" x14ac:dyDescent="0.3">
      <c r="B87" s="81">
        <f>MAX(B$66:B86)+1</f>
        <v>45</v>
      </c>
      <c r="C87" s="83"/>
      <c r="D87" s="18" t="s">
        <v>66</v>
      </c>
      <c r="E87" s="81"/>
      <c r="F87" s="11" t="s">
        <v>39</v>
      </c>
      <c r="G87" s="81"/>
      <c r="H87" s="12">
        <v>170759.079</v>
      </c>
      <c r="I87" s="86"/>
      <c r="J87" s="12">
        <f>$H87*K87/100</f>
        <v>1854.4435979399996</v>
      </c>
      <c r="K87" s="33">
        <v>1.0859999999999999</v>
      </c>
      <c r="L87" s="88"/>
      <c r="M87" s="12">
        <f t="shared" si="23"/>
        <v>1377.4553725866022</v>
      </c>
      <c r="N87" s="13"/>
      <c r="O87" s="12">
        <f t="shared" si="24"/>
        <v>476.9882253533973</v>
      </c>
      <c r="P87" s="13"/>
      <c r="Q87" s="12">
        <f t="shared" si="25"/>
        <v>0</v>
      </c>
      <c r="R87" s="13"/>
      <c r="S87" s="12">
        <f>$H87*U87/100</f>
        <v>476.9882253533973</v>
      </c>
      <c r="T87" s="13"/>
      <c r="U87" s="33">
        <v>0.27933403491441722</v>
      </c>
      <c r="V87" s="13"/>
      <c r="W87" s="14"/>
      <c r="X87" s="13"/>
      <c r="Y87" s="15"/>
      <c r="Z87" s="81"/>
    </row>
    <row r="88" spans="2:26" x14ac:dyDescent="0.3">
      <c r="B88" s="81">
        <f>MAX(B$66:B87)+1</f>
        <v>46</v>
      </c>
      <c r="C88" s="83"/>
      <c r="D88" s="10" t="s">
        <v>37</v>
      </c>
      <c r="E88" s="81"/>
      <c r="F88" s="11"/>
      <c r="G88" s="81"/>
      <c r="H88" s="89">
        <f>SUM(H86:H87)</f>
        <v>1068281.1669999999</v>
      </c>
      <c r="I88" s="86"/>
      <c r="J88" s="89">
        <f>SUM(J86:J87)</f>
        <v>13149.759075419999</v>
      </c>
      <c r="K88" s="19">
        <f>J88/$H88*100</f>
        <v>1.2309267898401508</v>
      </c>
      <c r="L88" s="88"/>
      <c r="M88" s="89">
        <f>SUM(M86:M87)</f>
        <v>10165.686187408077</v>
      </c>
      <c r="N88" s="13"/>
      <c r="O88" s="89">
        <f>SUM(O86:O87)</f>
        <v>2984.0728880119241</v>
      </c>
      <c r="P88" s="13"/>
      <c r="Q88" s="89">
        <f>SUM(Q86:Q87)</f>
        <v>0</v>
      </c>
      <c r="R88" s="13"/>
      <c r="S88" s="89">
        <f>SUM(S86:S87)</f>
        <v>2984.0728880119241</v>
      </c>
      <c r="T88" s="13"/>
      <c r="U88" s="19">
        <f>S88/$H88*100</f>
        <v>0.27933403491441727</v>
      </c>
      <c r="V88" s="13"/>
      <c r="W88" s="90">
        <f>S88/O88</f>
        <v>1</v>
      </c>
      <c r="X88" s="13"/>
      <c r="Y88" s="20">
        <f>U88/K88-1</f>
        <v>-0.77307014745313019</v>
      </c>
    </row>
    <row r="89" spans="2:26" x14ac:dyDescent="0.3">
      <c r="B89" s="81"/>
      <c r="C89" s="83"/>
      <c r="D89" s="10"/>
      <c r="E89" s="81"/>
      <c r="F89" s="11"/>
      <c r="G89" s="81"/>
      <c r="H89" s="12"/>
      <c r="I89" s="86"/>
      <c r="J89" s="12"/>
      <c r="K89" s="33"/>
      <c r="L89" s="88"/>
      <c r="M89" s="12"/>
      <c r="N89" s="13"/>
      <c r="O89" s="12"/>
      <c r="P89" s="13"/>
      <c r="Q89" s="12"/>
      <c r="R89" s="13"/>
      <c r="S89" s="12"/>
      <c r="T89" s="13"/>
      <c r="U89" s="33"/>
      <c r="V89" s="13"/>
      <c r="W89" s="14"/>
      <c r="X89" s="13"/>
      <c r="Y89" s="15"/>
    </row>
    <row r="90" spans="2:26" x14ac:dyDescent="0.3">
      <c r="B90" s="81">
        <f>MAX(B$66:B89)+1</f>
        <v>47</v>
      </c>
      <c r="C90" s="83"/>
      <c r="D90" s="10" t="s">
        <v>43</v>
      </c>
      <c r="E90" s="81"/>
      <c r="F90" s="11"/>
      <c r="G90" s="81"/>
      <c r="H90" s="89">
        <f>H88</f>
        <v>1068281.1669999999</v>
      </c>
      <c r="I90" s="86"/>
      <c r="J90" s="89">
        <f>SUM(J83:J84,J88)</f>
        <v>36173.375389535999</v>
      </c>
      <c r="K90" s="19">
        <f>J90/$H90*100</f>
        <v>3.3861287184458999</v>
      </c>
      <c r="L90" s="88"/>
      <c r="M90" s="89">
        <f>SUM(M83:M84,M88)</f>
        <v>-5837.0868423461852</v>
      </c>
      <c r="N90" s="13"/>
      <c r="O90" s="89">
        <f>SUM(O83:O84,O88)</f>
        <v>42010.462231882193</v>
      </c>
      <c r="P90" s="13"/>
      <c r="Q90" s="89">
        <f>SUM(Q83:Q84,Q88)</f>
        <v>-618.37037528865767</v>
      </c>
      <c r="R90" s="13"/>
      <c r="S90" s="89">
        <f>SUM(S83:S84,S88)</f>
        <v>41392.091856593528</v>
      </c>
      <c r="T90" s="13"/>
      <c r="U90" s="19">
        <f>S90/$H90*100</f>
        <v>3.8746439734431384</v>
      </c>
      <c r="V90" s="13"/>
      <c r="W90" s="90">
        <f>S90/O90</f>
        <v>0.98528056244952766</v>
      </c>
      <c r="X90" s="13"/>
      <c r="Y90" s="20">
        <f>U90/K90-1</f>
        <v>0.14426954661707247</v>
      </c>
    </row>
    <row r="91" spans="2:26" x14ac:dyDescent="0.3">
      <c r="E91" s="81"/>
      <c r="F91" s="11"/>
      <c r="G91" s="81"/>
      <c r="H91" s="12"/>
      <c r="I91" s="86"/>
      <c r="J91" s="12"/>
      <c r="K91" s="33"/>
      <c r="L91" s="88"/>
      <c r="M91" s="12"/>
      <c r="N91" s="13"/>
      <c r="O91" s="12"/>
      <c r="P91" s="13"/>
      <c r="Q91" s="12"/>
      <c r="R91" s="13"/>
      <c r="S91" s="12"/>
      <c r="T91" s="13"/>
      <c r="U91" s="33"/>
      <c r="V91" s="13"/>
      <c r="W91" s="14"/>
      <c r="X91" s="13"/>
      <c r="Y91" s="15"/>
    </row>
    <row r="92" spans="2:26" x14ac:dyDescent="0.3">
      <c r="B92" s="81"/>
      <c r="C92" s="83"/>
      <c r="D92" s="10" t="s">
        <v>44</v>
      </c>
      <c r="E92" s="81"/>
      <c r="F92" s="91"/>
      <c r="G92" s="81"/>
      <c r="H92" s="12"/>
      <c r="I92" s="86"/>
      <c r="J92" s="12"/>
      <c r="K92" s="33"/>
      <c r="L92" s="88"/>
      <c r="M92" s="12"/>
      <c r="N92" s="13"/>
      <c r="O92" s="12"/>
      <c r="P92" s="13"/>
      <c r="Q92" s="12"/>
      <c r="R92" s="13"/>
      <c r="S92" s="12"/>
      <c r="T92" s="13"/>
      <c r="U92" s="22"/>
      <c r="V92" s="13"/>
      <c r="W92" s="14"/>
      <c r="X92" s="13"/>
      <c r="Y92" s="23"/>
    </row>
    <row r="93" spans="2:26" x14ac:dyDescent="0.3">
      <c r="B93" s="81">
        <f>MAX(B$66:B92)+1</f>
        <v>48</v>
      </c>
      <c r="C93" s="83"/>
      <c r="D93" s="18" t="s">
        <v>45</v>
      </c>
      <c r="E93" s="81"/>
      <c r="F93" s="91" t="s">
        <v>39</v>
      </c>
      <c r="G93" s="81"/>
      <c r="H93" s="12">
        <v>102196.917</v>
      </c>
      <c r="I93" s="86"/>
      <c r="J93" s="12">
        <f>$H93*K93/100</f>
        <v>4987.822731102</v>
      </c>
      <c r="K93" s="33">
        <v>4.8806000000000003</v>
      </c>
      <c r="L93" s="88"/>
      <c r="M93" s="12">
        <f t="shared" ref="M93:M96" si="26">J93-O93</f>
        <v>3509.6281657549116</v>
      </c>
      <c r="N93" s="13"/>
      <c r="O93" s="12">
        <f>S93</f>
        <v>1478.1945653470884</v>
      </c>
      <c r="P93" s="13"/>
      <c r="Q93" s="12">
        <f t="shared" ref="Q93:Q96" si="27">S93-O93</f>
        <v>0</v>
      </c>
      <c r="R93" s="13"/>
      <c r="S93" s="12">
        <f>$H93*U93/100</f>
        <v>1478.1945653470884</v>
      </c>
      <c r="T93" s="13"/>
      <c r="U93" s="33">
        <v>1.4464179632220104</v>
      </c>
      <c r="V93" s="13"/>
      <c r="W93" s="92"/>
      <c r="X93" s="13"/>
      <c r="Y93" s="15"/>
    </row>
    <row r="94" spans="2:26" x14ac:dyDescent="0.3">
      <c r="B94" s="81">
        <f>MAX(B$66:B93)+1</f>
        <v>49</v>
      </c>
      <c r="C94" s="83"/>
      <c r="D94" s="18" t="s">
        <v>46</v>
      </c>
      <c r="E94" s="81"/>
      <c r="F94" s="91" t="s">
        <v>39</v>
      </c>
      <c r="G94" s="81"/>
      <c r="H94" s="12">
        <v>927920.70200000005</v>
      </c>
      <c r="I94" s="86"/>
      <c r="J94" s="12">
        <f>$H94*K94/100</f>
        <v>8722.4545987999991</v>
      </c>
      <c r="K94" s="33">
        <v>0.94</v>
      </c>
      <c r="L94" s="88"/>
      <c r="M94" s="12">
        <f t="shared" si="26"/>
        <v>-4699.1571193837826</v>
      </c>
      <c r="N94" s="88"/>
      <c r="O94" s="12">
        <f t="shared" ref="O94:O95" si="28">S94</f>
        <v>13421.611718183782</v>
      </c>
      <c r="P94" s="88"/>
      <c r="Q94" s="12">
        <f t="shared" si="27"/>
        <v>0</v>
      </c>
      <c r="R94" s="88"/>
      <c r="S94" s="12">
        <f>$H94*U94/100</f>
        <v>13421.611718183782</v>
      </c>
      <c r="T94" s="88"/>
      <c r="U94" s="33">
        <v>1.4464179632220104</v>
      </c>
      <c r="V94" s="88"/>
      <c r="W94" s="92"/>
      <c r="X94" s="88"/>
      <c r="Y94" s="15"/>
      <c r="Z94" s="81"/>
    </row>
    <row r="95" spans="2:26" x14ac:dyDescent="0.3">
      <c r="B95" s="81">
        <f>MAX(B$66:B94)+1</f>
        <v>50</v>
      </c>
      <c r="C95" s="83"/>
      <c r="D95" s="18" t="s">
        <v>47</v>
      </c>
      <c r="E95" s="81"/>
      <c r="F95" s="91" t="s">
        <v>39</v>
      </c>
      <c r="G95" s="81"/>
      <c r="H95" s="12">
        <v>11179.351999999999</v>
      </c>
      <c r="I95" s="86"/>
      <c r="J95" s="12">
        <f>$H95*K95/100</f>
        <v>545.61945371199999</v>
      </c>
      <c r="K95" s="33">
        <v>4.8806000000000003</v>
      </c>
      <c r="L95" s="88"/>
      <c r="M95" s="12">
        <f t="shared" si="26"/>
        <v>94.161059641727206</v>
      </c>
      <c r="N95" s="88"/>
      <c r="O95" s="12">
        <f t="shared" si="28"/>
        <v>451.45839407027279</v>
      </c>
      <c r="P95" s="88"/>
      <c r="Q95" s="12">
        <f t="shared" si="27"/>
        <v>0</v>
      </c>
      <c r="R95" s="88"/>
      <c r="S95" s="12">
        <f>$H95*U95/100</f>
        <v>451.45839407027279</v>
      </c>
      <c r="T95" s="88"/>
      <c r="U95" s="33">
        <v>4.0383234562278103</v>
      </c>
      <c r="V95" s="88"/>
      <c r="W95" s="92"/>
      <c r="X95" s="88"/>
      <c r="Y95" s="15"/>
      <c r="Z95" s="81"/>
    </row>
    <row r="96" spans="2:26" x14ac:dyDescent="0.3">
      <c r="B96" s="81">
        <f>MAX(B$66:B95)+1</f>
        <v>51</v>
      </c>
      <c r="C96" s="83"/>
      <c r="D96" s="18" t="s">
        <v>48</v>
      </c>
      <c r="E96" s="81"/>
      <c r="F96" s="91" t="s">
        <v>39</v>
      </c>
      <c r="G96" s="81"/>
      <c r="H96" s="12">
        <f>H90-SUM(H93:H95)</f>
        <v>26984.19599999988</v>
      </c>
      <c r="I96" s="86"/>
      <c r="J96" s="12">
        <f>$H96*K96/100</f>
        <v>0</v>
      </c>
      <c r="K96" s="33">
        <v>0</v>
      </c>
      <c r="L96" s="88"/>
      <c r="M96" s="12">
        <f t="shared" si="26"/>
        <v>-390.30425817503345</v>
      </c>
      <c r="N96" s="88"/>
      <c r="O96" s="12">
        <f>S96</f>
        <v>390.30425817503345</v>
      </c>
      <c r="P96" s="88"/>
      <c r="Q96" s="12">
        <f t="shared" si="27"/>
        <v>0</v>
      </c>
      <c r="R96" s="88"/>
      <c r="S96" s="12">
        <f>$H96*U96/100</f>
        <v>390.30425817503345</v>
      </c>
      <c r="T96" s="88"/>
      <c r="U96" s="33">
        <v>1.4464179632220104</v>
      </c>
      <c r="V96" s="88"/>
      <c r="W96" s="14"/>
      <c r="X96" s="88"/>
      <c r="Y96" s="15"/>
      <c r="Z96" s="81"/>
    </row>
    <row r="97" spans="2:26" x14ac:dyDescent="0.3">
      <c r="B97" s="81">
        <f>MAX(B$66:B96)+1</f>
        <v>52</v>
      </c>
      <c r="C97" s="83"/>
      <c r="D97" s="10" t="s">
        <v>44</v>
      </c>
      <c r="E97" s="81"/>
      <c r="F97" s="11"/>
      <c r="G97" s="81"/>
      <c r="H97" s="89">
        <f>SUM(H93:H96)</f>
        <v>1068281.1669999999</v>
      </c>
      <c r="I97" s="86"/>
      <c r="J97" s="89">
        <f>SUM(J93:J96)</f>
        <v>14255.896783614</v>
      </c>
      <c r="K97" s="19">
        <f>J97/$H97*100</f>
        <v>1.3344704768734355</v>
      </c>
      <c r="L97" s="88"/>
      <c r="M97" s="89">
        <f>SUM(M93:M96)</f>
        <v>-1485.6721521621773</v>
      </c>
      <c r="N97" s="13"/>
      <c r="O97" s="89">
        <f>SUM(O93:O96)</f>
        <v>15741.568935776177</v>
      </c>
      <c r="P97" s="13"/>
      <c r="Q97" s="89">
        <f>SUM(Q93:Q96)</f>
        <v>0</v>
      </c>
      <c r="R97" s="13"/>
      <c r="S97" s="89">
        <f>SUM(S93:S96)</f>
        <v>15741.568935776177</v>
      </c>
      <c r="T97" s="13"/>
      <c r="U97" s="19">
        <f>S97/$H97*100</f>
        <v>1.4735417436949143</v>
      </c>
      <c r="V97" s="13"/>
      <c r="W97" s="90">
        <f>S97/O97</f>
        <v>1</v>
      </c>
      <c r="X97" s="13"/>
      <c r="Y97" s="20">
        <f>U97/K97-1</f>
        <v>0.10421456992238043</v>
      </c>
    </row>
    <row r="98" spans="2:26" x14ac:dyDescent="0.3"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24"/>
    </row>
    <row r="99" spans="2:26" x14ac:dyDescent="0.3">
      <c r="B99" s="81">
        <f>MAX(B$66:B98)+1</f>
        <v>53</v>
      </c>
      <c r="C99" s="83"/>
      <c r="D99" s="10" t="s">
        <v>49</v>
      </c>
      <c r="E99" s="81"/>
      <c r="F99" s="11" t="s">
        <v>39</v>
      </c>
      <c r="G99" s="81"/>
      <c r="H99" s="12">
        <f>H93</f>
        <v>102196.917</v>
      </c>
      <c r="I99" s="86"/>
      <c r="J99" s="12">
        <f>$H99*K99/100</f>
        <v>10672.935026895</v>
      </c>
      <c r="K99" s="33">
        <v>10.4435</v>
      </c>
      <c r="L99" s="88"/>
      <c r="M99" s="12">
        <f>J99-O99</f>
        <v>-3261.8439564649707</v>
      </c>
      <c r="N99" s="13"/>
      <c r="O99" s="12">
        <f>S99</f>
        <v>13934.778983359971</v>
      </c>
      <c r="P99" s="13"/>
      <c r="Q99" s="12">
        <f>S99-O99</f>
        <v>0</v>
      </c>
      <c r="R99" s="13"/>
      <c r="S99" s="12">
        <f>$H99*U99/100</f>
        <v>13934.778983359971</v>
      </c>
      <c r="T99" s="13"/>
      <c r="U99" s="33">
        <v>13.635224420086928</v>
      </c>
      <c r="V99" s="13"/>
      <c r="W99" s="14">
        <f>S99/O99</f>
        <v>1</v>
      </c>
      <c r="X99" s="13"/>
      <c r="Y99" s="15">
        <f>U99/K99-1</f>
        <v>0.30561827166054756</v>
      </c>
    </row>
    <row r="100" spans="2:26" x14ac:dyDescent="0.3">
      <c r="B100" s="81"/>
      <c r="C100" s="83"/>
      <c r="D100" s="10"/>
      <c r="E100" s="81"/>
      <c r="F100" s="11"/>
      <c r="G100" s="81"/>
      <c r="H100" s="12"/>
      <c r="I100" s="86"/>
      <c r="J100" s="12"/>
      <c r="K100" s="33"/>
      <c r="L100" s="88"/>
      <c r="M100" s="12"/>
      <c r="N100" s="13"/>
      <c r="O100" s="12"/>
      <c r="P100" s="13"/>
      <c r="Q100" s="12"/>
      <c r="R100" s="13"/>
      <c r="S100" s="12"/>
      <c r="T100" s="13"/>
      <c r="U100" s="33"/>
      <c r="V100" s="13"/>
      <c r="W100" s="14"/>
      <c r="X100" s="13"/>
      <c r="Y100" s="15"/>
    </row>
    <row r="101" spans="2:26" ht="12.9" thickBot="1" x14ac:dyDescent="0.35">
      <c r="B101" s="81">
        <f>MAX(B$66:B100)+1</f>
        <v>54</v>
      </c>
      <c r="C101" s="83"/>
      <c r="D101" s="10" t="s">
        <v>67</v>
      </c>
      <c r="E101" s="81"/>
      <c r="F101" s="11"/>
      <c r="G101" s="81"/>
      <c r="H101" s="93">
        <f>H90</f>
        <v>1068281.1669999999</v>
      </c>
      <c r="I101" s="86"/>
      <c r="J101" s="93">
        <f>J90+J97+J99</f>
        <v>61102.207200044999</v>
      </c>
      <c r="K101" s="25">
        <f>J101/$H101*100</f>
        <v>5.7196746594003196</v>
      </c>
      <c r="L101" s="88"/>
      <c r="M101" s="93">
        <f>M90+M97+M99</f>
        <v>-10584.602950973334</v>
      </c>
      <c r="N101" s="13"/>
      <c r="O101" s="93">
        <f>O90+O97+O99</f>
        <v>71686.810151018333</v>
      </c>
      <c r="P101" s="13"/>
      <c r="Q101" s="93">
        <f>Q90+Q97+Q99</f>
        <v>-618.37037528865767</v>
      </c>
      <c r="R101" s="13"/>
      <c r="S101" s="93">
        <f>S90+S97+S99</f>
        <v>71068.439775729668</v>
      </c>
      <c r="T101" s="13"/>
      <c r="U101" s="25">
        <f>S101/$H101*100</f>
        <v>6.6525968978099259</v>
      </c>
      <c r="V101" s="13"/>
      <c r="W101" s="94">
        <f>S101/O101</f>
        <v>0.99137400068456139</v>
      </c>
      <c r="X101" s="13"/>
      <c r="Y101" s="26">
        <f>U101/K101-1</f>
        <v>0.16310757061616132</v>
      </c>
    </row>
    <row r="102" spans="2:26" ht="12.9" thickTop="1" x14ac:dyDescent="0.3"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2:26" x14ac:dyDescent="0.3">
      <c r="B103" s="81"/>
      <c r="C103" s="83"/>
      <c r="D103" s="3" t="s">
        <v>68</v>
      </c>
      <c r="E103" s="81"/>
      <c r="F103" s="7"/>
      <c r="G103" s="81"/>
      <c r="H103" s="27"/>
      <c r="I103" s="86"/>
      <c r="J103" s="27"/>
      <c r="K103" s="86"/>
      <c r="L103" s="86"/>
      <c r="M103" s="28"/>
      <c r="N103" s="86"/>
      <c r="O103" s="29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1"/>
    </row>
    <row r="104" spans="2:26" x14ac:dyDescent="0.3">
      <c r="B104" s="81">
        <f>MAX(B$66:B103)+1</f>
        <v>55</v>
      </c>
      <c r="C104" s="83"/>
      <c r="D104" s="10" t="s">
        <v>35</v>
      </c>
      <c r="E104" s="81"/>
      <c r="F104" s="11" t="s">
        <v>36</v>
      </c>
      <c r="G104" s="81"/>
      <c r="H104" s="12">
        <v>264</v>
      </c>
      <c r="I104" s="86"/>
      <c r="J104" s="12">
        <f>$H104*K104/1000</f>
        <v>184.66008000000002</v>
      </c>
      <c r="K104" s="87">
        <v>699.47</v>
      </c>
      <c r="L104" s="88"/>
      <c r="M104" s="12">
        <f t="shared" ref="M104:M105" si="29">J104-O104</f>
        <v>-783.4840977743437</v>
      </c>
      <c r="N104" s="13"/>
      <c r="O104" s="12">
        <v>968.14417777434369</v>
      </c>
      <c r="P104" s="13"/>
      <c r="Q104" s="12">
        <f t="shared" ref="Q104:Q105" si="30">S104-O104</f>
        <v>-783.4840977743437</v>
      </c>
      <c r="R104" s="13"/>
      <c r="S104" s="12">
        <f>$H104*U104/1000</f>
        <v>184.66008000000002</v>
      </c>
      <c r="T104" s="13"/>
      <c r="U104" s="87">
        <v>699.47</v>
      </c>
      <c r="V104" s="13"/>
      <c r="W104" s="14">
        <f>S104/O104</f>
        <v>0.19073613645491636</v>
      </c>
      <c r="X104" s="13"/>
      <c r="Y104" s="15">
        <f>U104/K104-1</f>
        <v>0</v>
      </c>
    </row>
    <row r="105" spans="2:26" x14ac:dyDescent="0.3">
      <c r="B105" s="81">
        <f>MAX(B$104:B104)+1</f>
        <v>56</v>
      </c>
      <c r="C105" s="83"/>
      <c r="D105" s="10" t="s">
        <v>61</v>
      </c>
      <c r="E105" s="81"/>
      <c r="F105" s="11" t="s">
        <v>62</v>
      </c>
      <c r="G105" s="81"/>
      <c r="H105" s="12">
        <v>14480.82</v>
      </c>
      <c r="I105" s="86"/>
      <c r="J105" s="12">
        <f>$H105*K105/100</f>
        <v>4033.7337767399999</v>
      </c>
      <c r="K105" s="33">
        <v>27.855699999999999</v>
      </c>
      <c r="L105" s="88"/>
      <c r="M105" s="12">
        <f t="shared" si="29"/>
        <v>-796.50795195371893</v>
      </c>
      <c r="N105" s="13"/>
      <c r="O105" s="12">
        <v>4830.2417286937189</v>
      </c>
      <c r="P105" s="13"/>
      <c r="Q105" s="12">
        <f t="shared" si="30"/>
        <v>653.52767613792548</v>
      </c>
      <c r="R105" s="13"/>
      <c r="S105" s="12">
        <f>$H105*U105/100</f>
        <v>5483.7694048316444</v>
      </c>
      <c r="T105" s="13"/>
      <c r="U105" s="33">
        <v>37.86919114270907</v>
      </c>
      <c r="V105" s="13"/>
      <c r="W105" s="14">
        <f>S105/O105</f>
        <v>1.1352991657240856</v>
      </c>
      <c r="X105" s="13"/>
      <c r="Y105" s="15">
        <f>U105/K105-1</f>
        <v>0.35947727548433783</v>
      </c>
    </row>
    <row r="106" spans="2:26" x14ac:dyDescent="0.3">
      <c r="B106" s="81"/>
      <c r="C106" s="83"/>
      <c r="D106" s="10" t="s">
        <v>37</v>
      </c>
      <c r="E106" s="81"/>
      <c r="F106" s="11"/>
      <c r="G106" s="81"/>
      <c r="H106" s="12"/>
      <c r="I106" s="86"/>
      <c r="J106" s="12"/>
      <c r="K106" s="33"/>
      <c r="L106" s="88"/>
      <c r="M106" s="12"/>
      <c r="N106" s="13"/>
      <c r="O106" s="12"/>
      <c r="P106" s="13"/>
      <c r="Q106" s="12"/>
      <c r="R106" s="13"/>
      <c r="S106" s="12"/>
      <c r="T106" s="13"/>
      <c r="U106" s="33"/>
      <c r="V106" s="13"/>
      <c r="W106" s="14"/>
      <c r="X106" s="13"/>
      <c r="Y106" s="16"/>
      <c r="Z106" s="81"/>
    </row>
    <row r="107" spans="2:26" x14ac:dyDescent="0.3">
      <c r="B107" s="81">
        <f>MAX(B$104:B106)+1</f>
        <v>57</v>
      </c>
      <c r="C107" s="83"/>
      <c r="D107" s="18" t="s">
        <v>65</v>
      </c>
      <c r="E107" s="81"/>
      <c r="F107" s="11" t="s">
        <v>39</v>
      </c>
      <c r="G107" s="81"/>
      <c r="H107" s="12">
        <v>144905.005</v>
      </c>
      <c r="I107" s="86"/>
      <c r="J107" s="12">
        <f>$H107*K107/100</f>
        <v>855.95386453499998</v>
      </c>
      <c r="K107" s="33">
        <v>0.5907</v>
      </c>
      <c r="L107" s="88"/>
      <c r="M107" s="12">
        <f t="shared" ref="M107:M108" si="31">J107-O107</f>
        <v>588.02952394770386</v>
      </c>
      <c r="N107" s="13"/>
      <c r="O107" s="12">
        <f t="shared" ref="O107:O108" si="32">S107</f>
        <v>267.92434058729606</v>
      </c>
      <c r="P107" s="13"/>
      <c r="Q107" s="12">
        <f t="shared" ref="Q107:Q108" si="33">S107-O107</f>
        <v>0</v>
      </c>
      <c r="R107" s="13"/>
      <c r="S107" s="12">
        <f>$H107*U107/100</f>
        <v>267.92434058729606</v>
      </c>
      <c r="T107" s="13"/>
      <c r="U107" s="33">
        <v>0.1848965400382796</v>
      </c>
      <c r="V107" s="13"/>
      <c r="W107" s="14"/>
      <c r="X107" s="13"/>
      <c r="Y107" s="16"/>
      <c r="Z107" s="81"/>
    </row>
    <row r="108" spans="2:26" x14ac:dyDescent="0.3">
      <c r="B108" s="81">
        <f>MAX(B$104:B107)+1</f>
        <v>58</v>
      </c>
      <c r="C108" s="83"/>
      <c r="D108" s="18" t="s">
        <v>66</v>
      </c>
      <c r="E108" s="81"/>
      <c r="F108" s="11" t="s">
        <v>39</v>
      </c>
      <c r="G108" s="81"/>
      <c r="H108" s="12">
        <v>236967.948</v>
      </c>
      <c r="I108" s="86"/>
      <c r="J108" s="12">
        <f>$H108*K108/100</f>
        <v>1150.4793875400001</v>
      </c>
      <c r="K108" s="33">
        <v>0.48550000000000004</v>
      </c>
      <c r="L108" s="88"/>
      <c r="M108" s="12">
        <f t="shared" si="31"/>
        <v>712.33385068829045</v>
      </c>
      <c r="N108" s="13"/>
      <c r="O108" s="12">
        <f t="shared" si="32"/>
        <v>438.14553685170961</v>
      </c>
      <c r="P108" s="13"/>
      <c r="Q108" s="12">
        <f t="shared" si="33"/>
        <v>0</v>
      </c>
      <c r="R108" s="13"/>
      <c r="S108" s="12">
        <f>$H108*U108/100</f>
        <v>438.14553685170961</v>
      </c>
      <c r="T108" s="13"/>
      <c r="U108" s="33">
        <v>0.1848965400382796</v>
      </c>
      <c r="V108" s="13"/>
      <c r="W108" s="14"/>
      <c r="X108" s="13"/>
      <c r="Y108" s="16"/>
      <c r="Z108" s="81"/>
    </row>
    <row r="109" spans="2:26" x14ac:dyDescent="0.3">
      <c r="B109" s="81">
        <f>MAX(B$104:B108)+1</f>
        <v>59</v>
      </c>
      <c r="C109" s="83"/>
      <c r="D109" s="10" t="s">
        <v>37</v>
      </c>
      <c r="E109" s="81"/>
      <c r="F109" s="11"/>
      <c r="G109" s="81"/>
      <c r="H109" s="89">
        <f>SUM(H107:H108)</f>
        <v>381872.95299999998</v>
      </c>
      <c r="I109" s="86"/>
      <c r="J109" s="89">
        <f>SUM(J107:J108)</f>
        <v>2006.4332520749999</v>
      </c>
      <c r="K109" s="19">
        <f>J109/$H109*100</f>
        <v>0.52541905267509226</v>
      </c>
      <c r="L109" s="88"/>
      <c r="M109" s="89">
        <f>SUM(M107:M108)</f>
        <v>1300.3633746359942</v>
      </c>
      <c r="N109" s="13"/>
      <c r="O109" s="89">
        <f>SUM(O107:O108)</f>
        <v>706.06987743900572</v>
      </c>
      <c r="P109" s="13"/>
      <c r="Q109" s="89">
        <f>SUM(Q107:Q108)</f>
        <v>0</v>
      </c>
      <c r="R109" s="13"/>
      <c r="S109" s="89">
        <f>SUM(S107:S108)</f>
        <v>706.06987743900572</v>
      </c>
      <c r="T109" s="13"/>
      <c r="U109" s="19">
        <f>S109/$H109*100</f>
        <v>0.18489654003827963</v>
      </c>
      <c r="V109" s="13"/>
      <c r="W109" s="90">
        <f>S109/O109</f>
        <v>1</v>
      </c>
      <c r="X109" s="13"/>
      <c r="Y109" s="20">
        <f>U109/K109-1</f>
        <v>-0.64809700162773565</v>
      </c>
    </row>
    <row r="110" spans="2:26" x14ac:dyDescent="0.3">
      <c r="B110" s="81"/>
      <c r="C110" s="83"/>
      <c r="D110" s="10"/>
      <c r="E110" s="81"/>
      <c r="F110" s="11"/>
      <c r="G110" s="81"/>
      <c r="H110" s="12"/>
      <c r="I110" s="86"/>
      <c r="J110" s="12"/>
      <c r="K110" s="33"/>
      <c r="L110" s="88"/>
      <c r="M110" s="12"/>
      <c r="N110" s="13"/>
      <c r="O110" s="12"/>
      <c r="P110" s="13"/>
      <c r="Q110" s="12"/>
      <c r="R110" s="13"/>
      <c r="S110" s="12"/>
      <c r="T110" s="13"/>
      <c r="U110" s="33"/>
      <c r="V110" s="13"/>
      <c r="W110" s="14"/>
      <c r="X110" s="13"/>
      <c r="Y110" s="16"/>
    </row>
    <row r="111" spans="2:26" x14ac:dyDescent="0.3">
      <c r="B111" s="81">
        <f>MAX(B$104:B110)+1</f>
        <v>60</v>
      </c>
      <c r="C111" s="83"/>
      <c r="D111" s="10" t="s">
        <v>43</v>
      </c>
      <c r="E111" s="81"/>
      <c r="F111" s="11"/>
      <c r="G111" s="81"/>
      <c r="H111" s="89">
        <f>H109</f>
        <v>381872.95299999998</v>
      </c>
      <c r="I111" s="86"/>
      <c r="J111" s="89">
        <f>SUM(J104:J105,J109)</f>
        <v>6224.8271088149995</v>
      </c>
      <c r="K111" s="19">
        <f>J111/$H111*100</f>
        <v>1.6300780298559141</v>
      </c>
      <c r="L111" s="88"/>
      <c r="M111" s="89">
        <f>SUM(M104:M105,M109)</f>
        <v>-279.62867509206853</v>
      </c>
      <c r="N111" s="13"/>
      <c r="O111" s="89">
        <f>SUM(O104:O105,O109)</f>
        <v>6504.4557839070685</v>
      </c>
      <c r="P111" s="13"/>
      <c r="Q111" s="89">
        <f>SUM(Q104:Q105,Q109)</f>
        <v>-129.95642163641821</v>
      </c>
      <c r="R111" s="13"/>
      <c r="S111" s="89">
        <f>SUM(S104:S105,S109)</f>
        <v>6374.4993622706497</v>
      </c>
      <c r="T111" s="13"/>
      <c r="U111" s="19">
        <f>S111/$H111*100</f>
        <v>1.6692722834106162</v>
      </c>
      <c r="V111" s="13"/>
      <c r="W111" s="90">
        <f>S111/O111</f>
        <v>0.98002040048331962</v>
      </c>
      <c r="X111" s="13"/>
      <c r="Y111" s="20">
        <f>U111/K111-1</f>
        <v>2.4044403296550554E-2</v>
      </c>
    </row>
    <row r="112" spans="2:26" x14ac:dyDescent="0.3">
      <c r="E112" s="81"/>
      <c r="F112" s="11"/>
      <c r="G112" s="81"/>
      <c r="H112" s="12"/>
      <c r="I112" s="86"/>
      <c r="J112" s="12"/>
      <c r="K112" s="33"/>
      <c r="L112" s="88"/>
      <c r="M112" s="12"/>
      <c r="N112" s="13"/>
      <c r="O112" s="12"/>
      <c r="P112" s="13"/>
      <c r="Q112" s="12"/>
      <c r="R112" s="13"/>
      <c r="S112" s="12"/>
      <c r="T112" s="13"/>
      <c r="U112" s="33"/>
      <c r="V112" s="13"/>
      <c r="W112" s="14"/>
      <c r="X112" s="13"/>
      <c r="Y112" s="15"/>
    </row>
    <row r="113" spans="2:26" x14ac:dyDescent="0.3">
      <c r="B113" s="81"/>
      <c r="C113" s="83"/>
      <c r="D113" s="10" t="s">
        <v>44</v>
      </c>
      <c r="E113" s="81"/>
      <c r="F113" s="91"/>
      <c r="G113" s="81"/>
      <c r="H113" s="12"/>
      <c r="I113" s="86"/>
      <c r="J113" s="12"/>
      <c r="K113" s="33"/>
      <c r="L113" s="88"/>
      <c r="M113" s="12"/>
      <c r="N113" s="13"/>
      <c r="O113" s="12"/>
      <c r="P113" s="13"/>
      <c r="Q113" s="12"/>
      <c r="R113" s="13"/>
      <c r="S113" s="12"/>
      <c r="T113" s="13"/>
      <c r="U113" s="22"/>
      <c r="V113" s="13"/>
      <c r="W113" s="14"/>
      <c r="X113" s="13"/>
      <c r="Y113" s="23"/>
    </row>
    <row r="114" spans="2:26" x14ac:dyDescent="0.3">
      <c r="B114" s="81">
        <f>MAX(B$104:B113)+1</f>
        <v>61</v>
      </c>
      <c r="C114" s="83"/>
      <c r="D114" s="18" t="s">
        <v>45</v>
      </c>
      <c r="E114" s="81"/>
      <c r="F114" s="91" t="s">
        <v>39</v>
      </c>
      <c r="G114" s="81"/>
      <c r="H114" s="12">
        <v>1651.1379999999999</v>
      </c>
      <c r="I114" s="86"/>
      <c r="J114" s="12">
        <f>$H114*K114/100</f>
        <v>80.585441227999993</v>
      </c>
      <c r="K114" s="33">
        <v>4.8806000000000003</v>
      </c>
      <c r="L114" s="88"/>
      <c r="M114" s="12">
        <f t="shared" ref="M114:M117" si="34">J114-O114</f>
        <v>61.84008418262701</v>
      </c>
      <c r="N114" s="13"/>
      <c r="O114" s="12">
        <f>S114</f>
        <v>18.745357045372987</v>
      </c>
      <c r="P114" s="13"/>
      <c r="Q114" s="12">
        <f t="shared" ref="Q114:Q117" si="35">S114-O114</f>
        <v>0</v>
      </c>
      <c r="R114" s="13"/>
      <c r="S114" s="12">
        <f>$H114*U114/100</f>
        <v>18.745357045372987</v>
      </c>
      <c r="T114" s="13"/>
      <c r="U114" s="33">
        <v>1.1352992327336049</v>
      </c>
      <c r="V114" s="13"/>
      <c r="W114" s="92"/>
      <c r="X114" s="13"/>
      <c r="Y114" s="15"/>
    </row>
    <row r="115" spans="2:26" x14ac:dyDescent="0.3">
      <c r="B115" s="81">
        <f>MAX(B$104:B114)+1</f>
        <v>62</v>
      </c>
      <c r="C115" s="83"/>
      <c r="D115" s="18" t="s">
        <v>46</v>
      </c>
      <c r="E115" s="81"/>
      <c r="F115" s="91" t="s">
        <v>39</v>
      </c>
      <c r="G115" s="81"/>
      <c r="H115" s="12">
        <v>241077.16699999999</v>
      </c>
      <c r="I115" s="86"/>
      <c r="J115" s="12">
        <f>$H115*K115/100</f>
        <v>2266.1253697999996</v>
      </c>
      <c r="K115" s="33">
        <v>0.94</v>
      </c>
      <c r="L115" s="88"/>
      <c r="M115" s="12">
        <f t="shared" si="34"/>
        <v>-470.82185744691151</v>
      </c>
      <c r="N115" s="88"/>
      <c r="O115" s="12">
        <f t="shared" ref="O115:O116" si="36">S115</f>
        <v>2736.9472272469111</v>
      </c>
      <c r="P115" s="88"/>
      <c r="Q115" s="12">
        <f t="shared" si="35"/>
        <v>0</v>
      </c>
      <c r="R115" s="88"/>
      <c r="S115" s="12">
        <f>$H115*U115/100</f>
        <v>2736.9472272469111</v>
      </c>
      <c r="T115" s="88"/>
      <c r="U115" s="33">
        <v>1.1352992327336049</v>
      </c>
      <c r="V115" s="88"/>
      <c r="W115" s="92"/>
      <c r="X115" s="88"/>
      <c r="Y115" s="15"/>
      <c r="Z115" s="81"/>
    </row>
    <row r="116" spans="2:26" x14ac:dyDescent="0.3">
      <c r="B116" s="81">
        <f>MAX(B$104:B115)+1</f>
        <v>63</v>
      </c>
      <c r="C116" s="83"/>
      <c r="D116" s="18" t="s">
        <v>47</v>
      </c>
      <c r="E116" s="81"/>
      <c r="F116" s="91" t="s">
        <v>39</v>
      </c>
      <c r="G116" s="81"/>
      <c r="H116" s="12">
        <v>0</v>
      </c>
      <c r="I116" s="86"/>
      <c r="J116" s="12">
        <f>$H116*K116/100</f>
        <v>0</v>
      </c>
      <c r="K116" s="33">
        <v>4.8806000000000003</v>
      </c>
      <c r="L116" s="88"/>
      <c r="M116" s="12">
        <f t="shared" si="34"/>
        <v>0</v>
      </c>
      <c r="N116" s="88"/>
      <c r="O116" s="12">
        <f t="shared" si="36"/>
        <v>0</v>
      </c>
      <c r="P116" s="88"/>
      <c r="Q116" s="12">
        <f t="shared" si="35"/>
        <v>0</v>
      </c>
      <c r="R116" s="88"/>
      <c r="S116" s="12">
        <f>$H116*U116/100</f>
        <v>0</v>
      </c>
      <c r="T116" s="88"/>
      <c r="U116" s="33">
        <v>3.7272047257394041</v>
      </c>
      <c r="V116" s="88"/>
      <c r="W116" s="92"/>
      <c r="X116" s="88"/>
      <c r="Y116" s="15"/>
      <c r="Z116" s="81"/>
    </row>
    <row r="117" spans="2:26" x14ac:dyDescent="0.3">
      <c r="B117" s="81">
        <f>MAX(B$104:B116)+1</f>
        <v>64</v>
      </c>
      <c r="C117" s="83"/>
      <c r="D117" s="18" t="s">
        <v>48</v>
      </c>
      <c r="E117" s="81"/>
      <c r="F117" s="91" t="s">
        <v>39</v>
      </c>
      <c r="G117" s="81"/>
      <c r="H117" s="12">
        <f>H111-SUM(H114:H116)</f>
        <v>139144.64799999999</v>
      </c>
      <c r="I117" s="86"/>
      <c r="J117" s="12">
        <f>$H117*K117/100</f>
        <v>0</v>
      </c>
      <c r="K117" s="33">
        <v>0</v>
      </c>
      <c r="L117" s="88"/>
      <c r="M117" s="12">
        <f t="shared" si="34"/>
        <v>-1579.708121133875</v>
      </c>
      <c r="N117" s="88"/>
      <c r="O117" s="12">
        <f>S117</f>
        <v>1579.708121133875</v>
      </c>
      <c r="P117" s="88"/>
      <c r="Q117" s="12">
        <f t="shared" si="35"/>
        <v>0</v>
      </c>
      <c r="R117" s="88"/>
      <c r="S117" s="12">
        <f>$H117*U117/100</f>
        <v>1579.708121133875</v>
      </c>
      <c r="T117" s="88"/>
      <c r="U117" s="33">
        <v>1.1352992327336049</v>
      </c>
      <c r="V117" s="88"/>
      <c r="W117" s="14"/>
      <c r="X117" s="88"/>
      <c r="Y117" s="15"/>
      <c r="Z117" s="81"/>
    </row>
    <row r="118" spans="2:26" x14ac:dyDescent="0.3">
      <c r="B118" s="81">
        <f>MAX(B$104:B117)+1</f>
        <v>65</v>
      </c>
      <c r="C118" s="83"/>
      <c r="D118" s="10" t="s">
        <v>44</v>
      </c>
      <c r="E118" s="81"/>
      <c r="F118" s="11"/>
      <c r="G118" s="81"/>
      <c r="H118" s="89">
        <f>SUM(H114:H117)</f>
        <v>381872.95299999998</v>
      </c>
      <c r="I118" s="86"/>
      <c r="J118" s="89">
        <f>SUM(J114:J117)</f>
        <v>2346.7108110279996</v>
      </c>
      <c r="K118" s="19">
        <f>J118/$H118*100</f>
        <v>0.61452658340744015</v>
      </c>
      <c r="L118" s="88"/>
      <c r="M118" s="89">
        <f>SUM(M114:M117)</f>
        <v>-1988.6898943981596</v>
      </c>
      <c r="N118" s="13"/>
      <c r="O118" s="89">
        <f>SUM(O114:O117)</f>
        <v>4335.4007054261592</v>
      </c>
      <c r="P118" s="13"/>
      <c r="Q118" s="89">
        <f>SUM(Q114:Q117)</f>
        <v>0</v>
      </c>
      <c r="R118" s="13"/>
      <c r="S118" s="89">
        <f>SUM(S114:S117)</f>
        <v>4335.4007054261592</v>
      </c>
      <c r="T118" s="13"/>
      <c r="U118" s="19">
        <f>S118/$H118*100</f>
        <v>1.1352992327336049</v>
      </c>
      <c r="V118" s="13"/>
      <c r="W118" s="90">
        <f>S118/O118</f>
        <v>1</v>
      </c>
      <c r="X118" s="13"/>
      <c r="Y118" s="20">
        <f>U118/K118-1</f>
        <v>0.84743713842056012</v>
      </c>
    </row>
    <row r="119" spans="2:26" x14ac:dyDescent="0.3"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24"/>
    </row>
    <row r="120" spans="2:26" x14ac:dyDescent="0.3">
      <c r="B120" s="81">
        <f>MAX(B$104:B119)+1</f>
        <v>66</v>
      </c>
      <c r="C120" s="83"/>
      <c r="D120" s="10" t="s">
        <v>49</v>
      </c>
      <c r="E120" s="81"/>
      <c r="F120" s="11" t="s">
        <v>39</v>
      </c>
      <c r="G120" s="81"/>
      <c r="H120" s="12">
        <f>H114</f>
        <v>1651.1379999999999</v>
      </c>
      <c r="I120" s="86"/>
      <c r="J120" s="12">
        <f>$H120*K120/100</f>
        <v>172.43659703</v>
      </c>
      <c r="K120" s="33">
        <v>10.4435</v>
      </c>
      <c r="L120" s="88"/>
      <c r="M120" s="12">
        <f>J120-O120</f>
        <v>-52.699774755334886</v>
      </c>
      <c r="N120" s="13"/>
      <c r="O120" s="12">
        <f>S120</f>
        <v>225.13637178533489</v>
      </c>
      <c r="P120" s="13"/>
      <c r="Q120" s="12">
        <f>S120-O120</f>
        <v>0</v>
      </c>
      <c r="R120" s="13"/>
      <c r="S120" s="12">
        <f>$H120*U120/100</f>
        <v>225.13637178533489</v>
      </c>
      <c r="T120" s="13"/>
      <c r="U120" s="33">
        <v>13.635224420086928</v>
      </c>
      <c r="V120" s="13"/>
      <c r="W120" s="14">
        <f>S120/O120</f>
        <v>1</v>
      </c>
      <c r="X120" s="13"/>
      <c r="Y120" s="15">
        <f>U120/K120-1</f>
        <v>0.30561827166054756</v>
      </c>
    </row>
    <row r="121" spans="2:26" x14ac:dyDescent="0.3">
      <c r="B121" s="81"/>
      <c r="C121" s="83"/>
      <c r="D121" s="10"/>
      <c r="E121" s="81"/>
      <c r="F121" s="11"/>
      <c r="G121" s="81"/>
      <c r="H121" s="12"/>
      <c r="I121" s="86"/>
      <c r="J121" s="12"/>
      <c r="K121" s="33"/>
      <c r="L121" s="88"/>
      <c r="M121" s="12"/>
      <c r="N121" s="13"/>
      <c r="O121" s="12"/>
      <c r="P121" s="13"/>
      <c r="Q121" s="12"/>
      <c r="R121" s="13"/>
      <c r="S121" s="12"/>
      <c r="T121" s="13"/>
      <c r="U121" s="33"/>
      <c r="V121" s="13"/>
      <c r="W121" s="14"/>
      <c r="X121" s="13"/>
      <c r="Y121" s="15"/>
    </row>
    <row r="122" spans="2:26" ht="12.9" thickBot="1" x14ac:dyDescent="0.35">
      <c r="B122" s="81">
        <f>MAX(B$104:B121)+1</f>
        <v>67</v>
      </c>
      <c r="C122" s="83"/>
      <c r="D122" s="10" t="s">
        <v>69</v>
      </c>
      <c r="E122" s="81"/>
      <c r="F122" s="11"/>
      <c r="G122" s="81"/>
      <c r="H122" s="93">
        <f>H111</f>
        <v>381872.95299999998</v>
      </c>
      <c r="I122" s="86"/>
      <c r="J122" s="93">
        <f>J111+J118+J120</f>
        <v>8743.9745168729987</v>
      </c>
      <c r="K122" s="25">
        <f>J122/$H122*100</f>
        <v>2.2897601016726101</v>
      </c>
      <c r="L122" s="88"/>
      <c r="M122" s="93">
        <f>M111+M118+M120</f>
        <v>-2321.0183442455632</v>
      </c>
      <c r="N122" s="13"/>
      <c r="O122" s="93">
        <f>O111+O118+O120</f>
        <v>11064.992861118562</v>
      </c>
      <c r="P122" s="13"/>
      <c r="Q122" s="93">
        <f>Q111+Q118+Q120</f>
        <v>-129.95642163641821</v>
      </c>
      <c r="R122" s="13"/>
      <c r="S122" s="93">
        <f>S111+S118+S120</f>
        <v>10935.036439482144</v>
      </c>
      <c r="T122" s="13"/>
      <c r="U122" s="25">
        <f>S122/$H122*100</f>
        <v>2.8635273468771025</v>
      </c>
      <c r="V122" s="13"/>
      <c r="W122" s="94">
        <f>S122/O122</f>
        <v>0.98825517347660718</v>
      </c>
      <c r="X122" s="13"/>
      <c r="Y122" s="26">
        <f>U122/K122-1</f>
        <v>0.25057963268089534</v>
      </c>
    </row>
    <row r="123" spans="2:26" ht="12.9" thickTop="1" x14ac:dyDescent="0.3"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24"/>
    </row>
    <row r="124" spans="2:26" x14ac:dyDescent="0.3">
      <c r="B124" s="1" t="s">
        <v>0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2:26" x14ac:dyDescent="0.3">
      <c r="B125" s="1" t="s">
        <v>59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2:26" x14ac:dyDescent="0.3"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2:26" x14ac:dyDescent="0.3">
      <c r="B127" s="78"/>
      <c r="C127" s="78"/>
      <c r="D127" s="78"/>
      <c r="E127" s="78"/>
      <c r="F127" s="77"/>
      <c r="G127" s="78"/>
      <c r="H127" s="77"/>
      <c r="I127" s="78"/>
      <c r="J127" s="79" t="s">
        <v>2</v>
      </c>
      <c r="K127" s="79"/>
      <c r="L127" s="78"/>
      <c r="M127" s="78"/>
      <c r="N127" s="78"/>
      <c r="O127" s="122" t="s">
        <v>3</v>
      </c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</row>
    <row r="128" spans="2:26" ht="37.299999999999997" x14ac:dyDescent="0.3">
      <c r="B128" s="80" t="s">
        <v>4</v>
      </c>
      <c r="C128" s="80"/>
      <c r="D128" s="80"/>
      <c r="E128" s="80"/>
      <c r="F128" s="81" t="s">
        <v>5</v>
      </c>
      <c r="G128" s="80"/>
      <c r="H128" s="6" t="s">
        <v>6</v>
      </c>
      <c r="I128" s="80"/>
      <c r="J128" s="6" t="s">
        <v>7</v>
      </c>
      <c r="K128" s="6" t="s">
        <v>8</v>
      </c>
      <c r="L128" s="80"/>
      <c r="M128" s="6" t="s">
        <v>9</v>
      </c>
      <c r="N128" s="80"/>
      <c r="O128" s="80" t="s">
        <v>10</v>
      </c>
      <c r="P128" s="80"/>
      <c r="Q128" s="6" t="s">
        <v>11</v>
      </c>
      <c r="R128" s="80"/>
      <c r="S128" s="6" t="s">
        <v>7</v>
      </c>
      <c r="T128" s="80"/>
      <c r="U128" s="6" t="s">
        <v>12</v>
      </c>
      <c r="V128" s="80"/>
      <c r="W128" s="80" t="s">
        <v>13</v>
      </c>
      <c r="X128" s="80"/>
      <c r="Y128" s="80" t="s">
        <v>14</v>
      </c>
    </row>
    <row r="129" spans="2:26" ht="14.15" x14ac:dyDescent="0.3">
      <c r="B129" s="82" t="s">
        <v>15</v>
      </c>
      <c r="C129" s="83"/>
      <c r="D129" s="84" t="s">
        <v>16</v>
      </c>
      <c r="E129" s="81"/>
      <c r="F129" s="82" t="s">
        <v>17</v>
      </c>
      <c r="G129" s="81"/>
      <c r="H129" s="82" t="s">
        <v>18</v>
      </c>
      <c r="I129" s="81"/>
      <c r="J129" s="82" t="s">
        <v>19</v>
      </c>
      <c r="K129" s="82" t="s">
        <v>20</v>
      </c>
      <c r="L129" s="81"/>
      <c r="M129" s="82" t="s">
        <v>19</v>
      </c>
      <c r="N129" s="81"/>
      <c r="O129" s="82" t="s">
        <v>19</v>
      </c>
      <c r="P129" s="81"/>
      <c r="Q129" s="82" t="s">
        <v>19</v>
      </c>
      <c r="R129" s="81"/>
      <c r="S129" s="82" t="s">
        <v>19</v>
      </c>
      <c r="T129" s="81"/>
      <c r="U129" s="82" t="s">
        <v>20</v>
      </c>
      <c r="V129" s="81"/>
      <c r="W129" s="82" t="s">
        <v>21</v>
      </c>
      <c r="X129" s="81"/>
      <c r="Y129" s="82" t="s">
        <v>22</v>
      </c>
    </row>
    <row r="130" spans="2:26" x14ac:dyDescent="0.3">
      <c r="B130" s="81"/>
      <c r="C130" s="83"/>
      <c r="D130" s="83"/>
      <c r="E130" s="81"/>
      <c r="F130" s="81"/>
      <c r="G130" s="81"/>
      <c r="H130" s="81" t="s">
        <v>23</v>
      </c>
      <c r="I130" s="81"/>
      <c r="J130" s="81" t="s">
        <v>24</v>
      </c>
      <c r="K130" s="81" t="s">
        <v>25</v>
      </c>
      <c r="L130" s="81"/>
      <c r="M130" s="81" t="s">
        <v>26</v>
      </c>
      <c r="N130" s="81"/>
      <c r="O130" s="81" t="s">
        <v>27</v>
      </c>
      <c r="P130" s="81"/>
      <c r="Q130" s="81" t="s">
        <v>28</v>
      </c>
      <c r="R130" s="81"/>
      <c r="S130" s="85" t="s">
        <v>29</v>
      </c>
      <c r="T130" s="81"/>
      <c r="U130" s="85" t="s">
        <v>30</v>
      </c>
      <c r="V130" s="81"/>
      <c r="W130" s="85" t="s">
        <v>31</v>
      </c>
      <c r="X130" s="81"/>
      <c r="Y130" s="85" t="s">
        <v>32</v>
      </c>
    </row>
    <row r="131" spans="2:26" x14ac:dyDescent="0.3"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24"/>
    </row>
    <row r="132" spans="2:26" x14ac:dyDescent="0.3">
      <c r="B132" s="81"/>
      <c r="C132" s="83"/>
      <c r="D132" s="3" t="s">
        <v>70</v>
      </c>
      <c r="E132" s="81"/>
      <c r="F132" s="7"/>
      <c r="G132" s="81"/>
      <c r="H132" s="27"/>
      <c r="I132" s="86"/>
      <c r="J132" s="27"/>
      <c r="K132" s="86"/>
      <c r="L132" s="86"/>
      <c r="M132" s="28"/>
      <c r="N132" s="86"/>
      <c r="O132" s="29"/>
      <c r="P132" s="86"/>
      <c r="Q132" s="86"/>
      <c r="R132" s="86"/>
      <c r="S132" s="86"/>
      <c r="T132" s="86"/>
      <c r="U132" s="86"/>
      <c r="V132" s="86"/>
      <c r="W132" s="86"/>
      <c r="X132" s="86"/>
      <c r="Y132" s="95"/>
      <c r="Z132" s="81"/>
    </row>
    <row r="133" spans="2:26" x14ac:dyDescent="0.3">
      <c r="B133" s="81">
        <f>MAX(B$104:B132)+1</f>
        <v>68</v>
      </c>
      <c r="C133" s="83"/>
      <c r="D133" s="10" t="s">
        <v>35</v>
      </c>
      <c r="E133" s="81"/>
      <c r="F133" s="11" t="s">
        <v>36</v>
      </c>
      <c r="G133" s="81"/>
      <c r="H133" s="12">
        <v>48</v>
      </c>
      <c r="I133" s="86"/>
      <c r="J133" s="12">
        <f>$H133*K133/1000</f>
        <v>26.96256</v>
      </c>
      <c r="K133" s="87">
        <v>561.72</v>
      </c>
      <c r="L133" s="88"/>
      <c r="M133" s="12">
        <f t="shared" ref="M133:M134" si="37">J133-O133</f>
        <v>-917.75990909954828</v>
      </c>
      <c r="N133" s="13"/>
      <c r="O133" s="12">
        <v>944.72246909954833</v>
      </c>
      <c r="P133" s="13"/>
      <c r="Q133" s="12">
        <f t="shared" ref="Q133:Q134" si="38">S133-O133</f>
        <v>-917.75990909954828</v>
      </c>
      <c r="R133" s="13"/>
      <c r="S133" s="12">
        <f>$H133*U133/1000</f>
        <v>26.96256</v>
      </c>
      <c r="T133" s="13"/>
      <c r="U133" s="87">
        <v>561.72</v>
      </c>
      <c r="V133" s="13"/>
      <c r="W133" s="14">
        <f>S133/O133</f>
        <v>2.8540191306870327E-2</v>
      </c>
      <c r="X133" s="13"/>
      <c r="Y133" s="15">
        <f t="shared" ref="Y133:Y134" si="39">U133/K133-1</f>
        <v>0</v>
      </c>
    </row>
    <row r="134" spans="2:26" x14ac:dyDescent="0.3">
      <c r="B134" s="81">
        <f>MAX(B$104:B133)+1</f>
        <v>69</v>
      </c>
      <c r="C134" s="83"/>
      <c r="D134" s="10" t="s">
        <v>61</v>
      </c>
      <c r="E134" s="81"/>
      <c r="F134" s="11" t="s">
        <v>62</v>
      </c>
      <c r="G134" s="81"/>
      <c r="H134" s="12">
        <v>111124.284</v>
      </c>
      <c r="I134" s="86"/>
      <c r="J134" s="12">
        <f>$H134*K134/100</f>
        <v>12799.739528256001</v>
      </c>
      <c r="K134" s="33">
        <v>11.5184</v>
      </c>
      <c r="L134" s="88"/>
      <c r="M134" s="12">
        <f t="shared" si="37"/>
        <v>-396.44390522516187</v>
      </c>
      <c r="N134" s="13"/>
      <c r="O134" s="12">
        <v>13196.183433481163</v>
      </c>
      <c r="P134" s="13"/>
      <c r="Q134" s="12">
        <f t="shared" si="38"/>
        <v>924.00046040587222</v>
      </c>
      <c r="R134" s="13"/>
      <c r="S134" s="12">
        <f>$H134*U134/100</f>
        <v>14120.183893887035</v>
      </c>
      <c r="T134" s="13"/>
      <c r="U134" s="33">
        <v>12.706659053827547</v>
      </c>
      <c r="V134" s="13"/>
      <c r="W134" s="14">
        <f>S134/O134</f>
        <v>1.0700202801108016</v>
      </c>
      <c r="X134" s="13"/>
      <c r="Y134" s="15">
        <f t="shared" si="39"/>
        <v>0.10316181534132762</v>
      </c>
    </row>
    <row r="135" spans="2:26" x14ac:dyDescent="0.3">
      <c r="B135" s="81">
        <f>MAX(B$104:B134)+1</f>
        <v>70</v>
      </c>
      <c r="C135" s="83"/>
      <c r="D135" s="10" t="s">
        <v>43</v>
      </c>
      <c r="E135" s="81"/>
      <c r="F135" s="11" t="s">
        <v>39</v>
      </c>
      <c r="G135" s="81"/>
      <c r="H135" s="89">
        <v>824970.7141199999</v>
      </c>
      <c r="I135" s="86"/>
      <c r="J135" s="89">
        <f>SUM(J133:J134)</f>
        <v>12826.702088256001</v>
      </c>
      <c r="K135" s="19">
        <f>J135/$H135*100</f>
        <v>1.5548069608674902</v>
      </c>
      <c r="L135" s="88"/>
      <c r="M135" s="89">
        <f>SUM(M133:M134)</f>
        <v>-1314.20381432471</v>
      </c>
      <c r="N135" s="13"/>
      <c r="O135" s="89">
        <f>SUM(O133:O134)</f>
        <v>14140.905902580711</v>
      </c>
      <c r="P135" s="13"/>
      <c r="Q135" s="89">
        <f>SUM(Q133:Q134)</f>
        <v>6.2405513063239368</v>
      </c>
      <c r="R135" s="13"/>
      <c r="S135" s="89">
        <f>SUM(S133:S134)</f>
        <v>14147.146453887035</v>
      </c>
      <c r="T135" s="13"/>
      <c r="U135" s="19">
        <f>S135/$H135*100</f>
        <v>1.7148665051677454</v>
      </c>
      <c r="V135" s="13"/>
      <c r="W135" s="90">
        <f>S135/O135</f>
        <v>1.0004413119887308</v>
      </c>
      <c r="X135" s="13"/>
      <c r="Y135" s="20">
        <f>U135/K135-1</f>
        <v>0.10294496251222829</v>
      </c>
    </row>
    <row r="136" spans="2:26" x14ac:dyDescent="0.3">
      <c r="E136" s="81"/>
      <c r="F136" s="11"/>
      <c r="G136" s="81"/>
      <c r="H136" s="12"/>
      <c r="I136" s="86"/>
      <c r="J136" s="12"/>
      <c r="K136" s="33"/>
      <c r="L136" s="88"/>
      <c r="M136" s="12"/>
      <c r="N136" s="13"/>
      <c r="O136" s="12"/>
      <c r="P136" s="13"/>
      <c r="Q136" s="12"/>
      <c r="R136" s="13"/>
      <c r="S136" s="12"/>
      <c r="T136" s="13"/>
      <c r="U136" s="33"/>
      <c r="V136" s="13"/>
      <c r="W136" s="14"/>
      <c r="X136" s="13"/>
      <c r="Y136" s="15"/>
    </row>
    <row r="137" spans="2:26" x14ac:dyDescent="0.3">
      <c r="B137" s="81">
        <f>MAX(B$104:B136)+1</f>
        <v>71</v>
      </c>
      <c r="C137" s="83"/>
      <c r="D137" s="10" t="s">
        <v>71</v>
      </c>
      <c r="E137" s="81"/>
      <c r="F137" s="11"/>
      <c r="G137" s="81"/>
      <c r="H137" s="12"/>
      <c r="I137" s="86"/>
      <c r="J137" s="12">
        <v>493.21062000000006</v>
      </c>
      <c r="K137" s="97">
        <v>1.098E-2</v>
      </c>
      <c r="L137" s="88"/>
      <c r="M137" s="12">
        <f>J137-O137</f>
        <v>296.2313723578032</v>
      </c>
      <c r="N137" s="13"/>
      <c r="O137" s="12">
        <v>196.97924764219687</v>
      </c>
      <c r="P137" s="13"/>
      <c r="Q137" s="12">
        <f>S137-O137</f>
        <v>-6.2405513063255569</v>
      </c>
      <c r="R137" s="13"/>
      <c r="S137" s="12">
        <v>190.73869633587131</v>
      </c>
      <c r="T137" s="13"/>
      <c r="U137" s="97">
        <v>4.2462810021565781E-3</v>
      </c>
      <c r="V137" s="13"/>
      <c r="W137" s="14">
        <f>S137/O137</f>
        <v>0.96831873722220119</v>
      </c>
      <c r="X137" s="13"/>
      <c r="Y137" s="15">
        <f>U137/K137-1</f>
        <v>-0.61327131127900025</v>
      </c>
    </row>
    <row r="138" spans="2:26" x14ac:dyDescent="0.3">
      <c r="B138" s="81"/>
      <c r="C138" s="83"/>
      <c r="D138" s="10"/>
      <c r="E138" s="81"/>
      <c r="F138" s="11"/>
      <c r="G138" s="81"/>
      <c r="H138" s="12"/>
      <c r="I138" s="86"/>
      <c r="J138" s="12"/>
      <c r="K138" s="33"/>
      <c r="L138" s="88"/>
      <c r="M138" s="12"/>
      <c r="N138" s="13"/>
      <c r="O138" s="12"/>
      <c r="P138" s="13"/>
      <c r="Q138" s="12"/>
      <c r="R138" s="13"/>
      <c r="S138" s="12"/>
      <c r="T138" s="13"/>
      <c r="U138" s="33"/>
      <c r="V138" s="13"/>
      <c r="W138" s="14"/>
      <c r="X138" s="13"/>
      <c r="Y138" s="15"/>
    </row>
    <row r="139" spans="2:26" ht="12.9" thickBot="1" x14ac:dyDescent="0.35">
      <c r="B139" s="81">
        <f>MAX(B$104:B138)+1</f>
        <v>72</v>
      </c>
      <c r="C139" s="83"/>
      <c r="D139" s="10" t="s">
        <v>72</v>
      </c>
      <c r="E139" s="81"/>
      <c r="F139" s="11"/>
      <c r="G139" s="81"/>
      <c r="H139" s="93">
        <f>H135</f>
        <v>824970.7141199999</v>
      </c>
      <c r="I139" s="86"/>
      <c r="J139" s="93">
        <f>J135+J137</f>
        <v>13319.912708256001</v>
      </c>
      <c r="K139" s="25">
        <f>J139/$H139*100</f>
        <v>1.614592188580223</v>
      </c>
      <c r="L139" s="88"/>
      <c r="M139" s="93">
        <f>M135+M137</f>
        <v>-1017.9724419669069</v>
      </c>
      <c r="N139" s="13"/>
      <c r="O139" s="93">
        <f>O135+O137</f>
        <v>14337.885150222908</v>
      </c>
      <c r="P139" s="13"/>
      <c r="Q139" s="93">
        <f>ROUND(Q135+Q137,0)</f>
        <v>0</v>
      </c>
      <c r="R139" s="13"/>
      <c r="S139" s="93">
        <f>S135+S137</f>
        <v>14337.885150222906</v>
      </c>
      <c r="T139" s="13"/>
      <c r="U139" s="25">
        <f>S139/$H139*100</f>
        <v>1.7379871678859768</v>
      </c>
      <c r="V139" s="13"/>
      <c r="W139" s="94">
        <f>S139/O139</f>
        <v>0.99999999999999989</v>
      </c>
      <c r="X139" s="13"/>
      <c r="Y139" s="26">
        <f>U139/K139-1</f>
        <v>7.6424858350305769E-2</v>
      </c>
    </row>
    <row r="140" spans="2:26" ht="12.9" thickTop="1" x14ac:dyDescent="0.3">
      <c r="B140" s="81"/>
      <c r="C140" s="83"/>
      <c r="D140" s="10"/>
      <c r="E140" s="81"/>
      <c r="F140" s="11"/>
      <c r="G140" s="81"/>
      <c r="H140" s="88"/>
      <c r="I140" s="86"/>
      <c r="J140" s="88"/>
      <c r="K140" s="33"/>
      <c r="L140" s="88"/>
      <c r="M140" s="88"/>
      <c r="N140" s="13"/>
      <c r="O140" s="88"/>
      <c r="P140" s="13"/>
      <c r="Q140" s="88"/>
      <c r="R140" s="13"/>
      <c r="S140" s="88"/>
      <c r="T140" s="13"/>
      <c r="U140" s="33"/>
      <c r="V140" s="13"/>
      <c r="W140" s="92"/>
      <c r="X140" s="13"/>
      <c r="Y140" s="16"/>
    </row>
    <row r="141" spans="2:26" x14ac:dyDescent="0.3">
      <c r="B141" s="81"/>
      <c r="C141" s="83"/>
      <c r="D141" s="3" t="s">
        <v>73</v>
      </c>
      <c r="E141" s="81"/>
      <c r="F141" s="7"/>
      <c r="G141" s="81"/>
      <c r="H141" s="27"/>
      <c r="I141" s="86"/>
      <c r="J141" s="27"/>
      <c r="K141" s="86"/>
      <c r="L141" s="86"/>
      <c r="M141" s="28"/>
      <c r="N141" s="86"/>
      <c r="O141" s="29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1"/>
    </row>
    <row r="142" spans="2:26" x14ac:dyDescent="0.3">
      <c r="B142" s="81">
        <f>MAX(B$66:B141)+1</f>
        <v>73</v>
      </c>
      <c r="C142" s="83"/>
      <c r="D142" s="10" t="s">
        <v>35</v>
      </c>
      <c r="E142" s="81"/>
      <c r="F142" s="11" t="s">
        <v>36</v>
      </c>
      <c r="G142" s="81"/>
      <c r="H142" s="12">
        <v>492</v>
      </c>
      <c r="I142" s="86"/>
      <c r="J142" s="12">
        <f>$H142*K142/1000</f>
        <v>63.610679999999995</v>
      </c>
      <c r="K142" s="87">
        <v>129.29</v>
      </c>
      <c r="L142" s="88"/>
      <c r="M142" s="12">
        <f>J142-O142</f>
        <v>-1492.8021081247625</v>
      </c>
      <c r="N142" s="13"/>
      <c r="O142" s="12">
        <v>1556.4127881247625</v>
      </c>
      <c r="P142" s="13"/>
      <c r="Q142" s="12">
        <f>S142-O142</f>
        <v>-1492.8021081247625</v>
      </c>
      <c r="R142" s="13"/>
      <c r="S142" s="12">
        <f>$H142*U142/1000</f>
        <v>63.610679999999995</v>
      </c>
      <c r="T142" s="13"/>
      <c r="U142" s="87">
        <v>129.29</v>
      </c>
      <c r="V142" s="13"/>
      <c r="W142" s="14">
        <f>S142/O142</f>
        <v>4.0870057407226178E-2</v>
      </c>
      <c r="X142" s="13"/>
      <c r="Y142" s="15">
        <f t="shared" ref="Y142" si="40">U142/K142-1</f>
        <v>0</v>
      </c>
    </row>
    <row r="143" spans="2:26" x14ac:dyDescent="0.3">
      <c r="B143" s="81"/>
      <c r="C143" s="83"/>
      <c r="D143" s="10" t="s">
        <v>74</v>
      </c>
      <c r="E143" s="81"/>
      <c r="F143" s="11"/>
      <c r="G143" s="81"/>
      <c r="H143" s="12"/>
      <c r="I143" s="86"/>
      <c r="J143" s="12"/>
      <c r="K143" s="33"/>
      <c r="L143" s="88"/>
      <c r="M143" s="12"/>
      <c r="N143" s="13"/>
      <c r="O143" s="12"/>
      <c r="P143" s="13"/>
      <c r="Q143" s="12"/>
      <c r="R143" s="13"/>
      <c r="S143" s="12"/>
      <c r="T143" s="13"/>
      <c r="U143" s="33"/>
      <c r="V143" s="13"/>
      <c r="W143" s="14"/>
      <c r="X143" s="13"/>
      <c r="Y143" s="31"/>
    </row>
    <row r="144" spans="2:26" x14ac:dyDescent="0.3">
      <c r="B144" s="81"/>
      <c r="C144" s="83"/>
      <c r="D144" s="10" t="s">
        <v>37</v>
      </c>
      <c r="E144" s="81"/>
      <c r="F144" s="11"/>
      <c r="G144" s="81"/>
      <c r="H144" s="12"/>
      <c r="I144" s="86"/>
      <c r="J144" s="12"/>
      <c r="K144" s="33"/>
      <c r="L144" s="88"/>
      <c r="M144" s="12"/>
      <c r="N144" s="13"/>
      <c r="O144" s="12"/>
      <c r="P144" s="13"/>
      <c r="Q144" s="12"/>
      <c r="R144" s="13"/>
      <c r="S144" s="12"/>
      <c r="T144" s="13"/>
      <c r="U144" s="33"/>
      <c r="V144" s="13"/>
      <c r="W144" s="14"/>
      <c r="X144" s="13"/>
      <c r="Y144" s="31"/>
      <c r="Z144" s="81"/>
    </row>
    <row r="145" spans="2:26" x14ac:dyDescent="0.3">
      <c r="B145" s="81">
        <f>MAX(B$142:B144)+1</f>
        <v>74</v>
      </c>
      <c r="C145" s="83"/>
      <c r="D145" s="45" t="s">
        <v>75</v>
      </c>
      <c r="E145" s="81"/>
      <c r="F145" s="11" t="s">
        <v>39</v>
      </c>
      <c r="G145" s="81"/>
      <c r="H145" s="12">
        <v>402.14400000000001</v>
      </c>
      <c r="I145" s="86"/>
      <c r="J145" s="12">
        <f>$H145*K145/100</f>
        <v>40.905283391999994</v>
      </c>
      <c r="K145" s="33">
        <v>10.171799999999999</v>
      </c>
      <c r="L145" s="88"/>
      <c r="M145" s="12">
        <f t="shared" ref="M145:M147" si="41">J145-O145</f>
        <v>10.873350967140777</v>
      </c>
      <c r="N145" s="13"/>
      <c r="O145" s="12">
        <v>30.031932424859217</v>
      </c>
      <c r="P145" s="13"/>
      <c r="Q145" s="12">
        <f t="shared" ref="Q145:Q147" si="42">S145-O145</f>
        <v>32.658326178160436</v>
      </c>
      <c r="R145" s="13"/>
      <c r="S145" s="12">
        <f>$H145*U145/100</f>
        <v>62.690258603019657</v>
      </c>
      <c r="T145" s="13"/>
      <c r="U145" s="33">
        <v>15.589007570178756</v>
      </c>
      <c r="V145" s="13"/>
      <c r="W145" s="14"/>
      <c r="X145" s="13"/>
      <c r="Y145" s="31"/>
      <c r="Z145" s="81"/>
    </row>
    <row r="146" spans="2:26" x14ac:dyDescent="0.3">
      <c r="B146" s="81">
        <f>MAX(B$142:B145)+1</f>
        <v>75</v>
      </c>
      <c r="C146" s="83"/>
      <c r="D146" s="45" t="s">
        <v>76</v>
      </c>
      <c r="E146" s="81"/>
      <c r="F146" s="11" t="s">
        <v>39</v>
      </c>
      <c r="G146" s="81"/>
      <c r="H146" s="12">
        <v>846.84799999999996</v>
      </c>
      <c r="I146" s="86"/>
      <c r="J146" s="12">
        <f>$H146*K146/100</f>
        <v>73.299775487999995</v>
      </c>
      <c r="K146" s="33">
        <v>8.6555999999999997</v>
      </c>
      <c r="L146" s="88"/>
      <c r="M146" s="12">
        <f t="shared" si="41"/>
        <v>19.445770936880969</v>
      </c>
      <c r="N146" s="13"/>
      <c r="O146" s="12">
        <v>53.854004551119026</v>
      </c>
      <c r="P146" s="13"/>
      <c r="Q146" s="12">
        <f t="shared" si="42"/>
        <v>58.338852917488047</v>
      </c>
      <c r="R146" s="13"/>
      <c r="S146" s="12">
        <f>$H146*U146/100</f>
        <v>112.19285746860707</v>
      </c>
      <c r="T146" s="13"/>
      <c r="U146" s="33">
        <v>13.2482874693696</v>
      </c>
      <c r="V146" s="13"/>
      <c r="W146" s="14"/>
      <c r="X146" s="13"/>
      <c r="Y146" s="31"/>
      <c r="Z146" s="81"/>
    </row>
    <row r="147" spans="2:26" x14ac:dyDescent="0.3">
      <c r="B147" s="81">
        <f>MAX(B$142:B146)+1</f>
        <v>76</v>
      </c>
      <c r="C147" s="83"/>
      <c r="D147" s="45" t="s">
        <v>77</v>
      </c>
      <c r="E147" s="81"/>
      <c r="F147" s="11" t="s">
        <v>39</v>
      </c>
      <c r="G147" s="81"/>
      <c r="H147" s="12">
        <v>2136.3440000000001</v>
      </c>
      <c r="I147" s="86"/>
      <c r="J147" s="12">
        <f>$H147*K147/100</f>
        <v>172.07610016800001</v>
      </c>
      <c r="K147" s="33">
        <v>8.0547000000000004</v>
      </c>
      <c r="L147" s="88"/>
      <c r="M147" s="12">
        <f t="shared" si="41"/>
        <v>45.603207778645398</v>
      </c>
      <c r="N147" s="13"/>
      <c r="O147" s="12">
        <v>126.47289238935461</v>
      </c>
      <c r="P147" s="13"/>
      <c r="Q147" s="12">
        <f t="shared" si="42"/>
        <v>136.74132375311643</v>
      </c>
      <c r="R147" s="13"/>
      <c r="S147" s="12">
        <f>$H147*U147/100</f>
        <v>263.21421614247106</v>
      </c>
      <c r="T147" s="13"/>
      <c r="U147" s="33">
        <v>12.320778682762281</v>
      </c>
      <c r="V147" s="13"/>
      <c r="W147" s="14"/>
      <c r="X147" s="13"/>
      <c r="Y147" s="31"/>
      <c r="Z147" s="81"/>
    </row>
    <row r="148" spans="2:26" x14ac:dyDescent="0.3">
      <c r="B148" s="81">
        <f>MAX(B$142:B147)+1</f>
        <v>77</v>
      </c>
      <c r="C148" s="83"/>
      <c r="D148" s="10" t="s">
        <v>37</v>
      </c>
      <c r="E148" s="81"/>
      <c r="F148" s="11"/>
      <c r="G148" s="81"/>
      <c r="H148" s="89">
        <f>SUM(H145:H147)</f>
        <v>3385.3360000000002</v>
      </c>
      <c r="I148" s="86"/>
      <c r="J148" s="89">
        <f>SUM(J145:J147)</f>
        <v>286.28115904800001</v>
      </c>
      <c r="K148" s="19">
        <f>J148/$H148*100</f>
        <v>8.4565065047605312</v>
      </c>
      <c r="L148" s="88"/>
      <c r="M148" s="89">
        <f>SUM(M145:M147)</f>
        <v>75.92232968266714</v>
      </c>
      <c r="N148" s="13"/>
      <c r="O148" s="89">
        <f>SUM(O145:O147)</f>
        <v>210.35882936533284</v>
      </c>
      <c r="P148" s="13"/>
      <c r="Q148" s="89">
        <f>SUM(Q145:Q147)</f>
        <v>227.73850284876491</v>
      </c>
      <c r="R148" s="13"/>
      <c r="S148" s="89">
        <f>SUM(S145:S147)</f>
        <v>438.09733221409778</v>
      </c>
      <c r="T148" s="13"/>
      <c r="U148" s="19">
        <f>S148/$H148*100</f>
        <v>12.941029552579057</v>
      </c>
      <c r="V148" s="13"/>
      <c r="W148" s="90">
        <f>S148/O148</f>
        <v>2.0826191776017571</v>
      </c>
      <c r="X148" s="13"/>
      <c r="Y148" s="20">
        <f>U148/K148-1</f>
        <v>0.53030445199728682</v>
      </c>
    </row>
    <row r="149" spans="2:26" x14ac:dyDescent="0.3">
      <c r="B149" s="81"/>
      <c r="C149" s="83"/>
      <c r="D149" s="10"/>
      <c r="E149" s="81"/>
      <c r="F149" s="11"/>
      <c r="G149" s="81"/>
      <c r="H149" s="12"/>
      <c r="I149" s="86"/>
      <c r="J149" s="12"/>
      <c r="K149" s="33"/>
      <c r="L149" s="88"/>
      <c r="M149" s="12"/>
      <c r="N149" s="13"/>
      <c r="O149" s="12"/>
      <c r="P149" s="13"/>
      <c r="Q149" s="12"/>
      <c r="R149" s="13"/>
      <c r="S149" s="12"/>
      <c r="T149" s="13"/>
      <c r="U149" s="33"/>
      <c r="V149" s="13"/>
      <c r="W149" s="14"/>
      <c r="X149" s="13"/>
      <c r="Y149" s="31"/>
    </row>
    <row r="150" spans="2:26" x14ac:dyDescent="0.3">
      <c r="B150" s="81"/>
      <c r="C150" s="83"/>
      <c r="D150" s="10" t="s">
        <v>78</v>
      </c>
      <c r="E150" s="81"/>
      <c r="F150" s="11"/>
      <c r="G150" s="81"/>
      <c r="H150" s="12"/>
      <c r="I150" s="86"/>
      <c r="J150" s="12"/>
      <c r="K150" s="33"/>
      <c r="L150" s="88"/>
      <c r="M150" s="12"/>
      <c r="N150" s="13"/>
      <c r="O150" s="12"/>
      <c r="P150" s="13"/>
      <c r="Q150" s="12"/>
      <c r="R150" s="13"/>
      <c r="S150" s="12"/>
      <c r="T150" s="13"/>
      <c r="U150" s="33"/>
      <c r="V150" s="13"/>
      <c r="W150" s="14"/>
      <c r="X150" s="13"/>
      <c r="Y150" s="31"/>
    </row>
    <row r="151" spans="2:26" x14ac:dyDescent="0.3">
      <c r="B151" s="81"/>
      <c r="C151" s="83"/>
      <c r="D151" s="10" t="s">
        <v>37</v>
      </c>
      <c r="E151" s="81"/>
      <c r="F151" s="11"/>
      <c r="G151" s="81"/>
      <c r="H151" s="12"/>
      <c r="I151" s="86"/>
      <c r="J151" s="12"/>
      <c r="K151" s="33"/>
      <c r="L151" s="88"/>
      <c r="M151" s="12"/>
      <c r="N151" s="13"/>
      <c r="O151" s="12"/>
      <c r="P151" s="13"/>
      <c r="Q151" s="12"/>
      <c r="R151" s="13"/>
      <c r="S151" s="12"/>
      <c r="T151" s="13"/>
      <c r="U151" s="33"/>
      <c r="V151" s="13"/>
      <c r="W151" s="14"/>
      <c r="X151" s="13"/>
      <c r="Y151" s="31"/>
      <c r="Z151" s="81"/>
    </row>
    <row r="152" spans="2:26" x14ac:dyDescent="0.3">
      <c r="B152" s="81">
        <f>MAX(B$142:B151)+1</f>
        <v>78</v>
      </c>
      <c r="C152" s="83"/>
      <c r="D152" s="45" t="s">
        <v>75</v>
      </c>
      <c r="E152" s="81"/>
      <c r="F152" s="11" t="s">
        <v>39</v>
      </c>
      <c r="G152" s="81"/>
      <c r="H152" s="12">
        <v>3705.44</v>
      </c>
      <c r="I152" s="86"/>
      <c r="J152" s="12">
        <f>$H152*K152/100</f>
        <v>160.44184656000002</v>
      </c>
      <c r="K152" s="33">
        <v>4.3299000000000003</v>
      </c>
      <c r="L152" s="88"/>
      <c r="M152" s="12">
        <f t="shared" ref="M152:M154" si="43">J152-O152</f>
        <v>41.974232787578899</v>
      </c>
      <c r="N152" s="13"/>
      <c r="O152" s="12">
        <v>118.46761377242112</v>
      </c>
      <c r="P152" s="13"/>
      <c r="Q152" s="12">
        <f t="shared" ref="Q152:Q154" si="44">S152-O152</f>
        <v>125.03754385576786</v>
      </c>
      <c r="R152" s="13"/>
      <c r="S152" s="12">
        <f>$H152*U152/100</f>
        <v>243.50515762818898</v>
      </c>
      <c r="T152" s="13"/>
      <c r="U152" s="33">
        <v>6.5715585093319273</v>
      </c>
      <c r="V152" s="13"/>
      <c r="W152" s="14"/>
      <c r="X152" s="13"/>
      <c r="Y152" s="31"/>
      <c r="Z152" s="81"/>
    </row>
    <row r="153" spans="2:26" x14ac:dyDescent="0.3">
      <c r="B153" s="81">
        <f>MAX(B$142:B152)+1</f>
        <v>79</v>
      </c>
      <c r="C153" s="83"/>
      <c r="D153" s="45" t="s">
        <v>76</v>
      </c>
      <c r="E153" s="81"/>
      <c r="F153" s="11" t="s">
        <v>39</v>
      </c>
      <c r="G153" s="81"/>
      <c r="H153" s="12">
        <v>7201.058</v>
      </c>
      <c r="I153" s="86"/>
      <c r="J153" s="12">
        <f>$H153*K153/100</f>
        <v>250.02793481800003</v>
      </c>
      <c r="K153" s="33">
        <v>3.4721000000000002</v>
      </c>
      <c r="L153" s="88"/>
      <c r="M153" s="12">
        <f t="shared" si="43"/>
        <v>64.958866564455775</v>
      </c>
      <c r="N153" s="13"/>
      <c r="O153" s="12">
        <v>185.06906825354426</v>
      </c>
      <c r="P153" s="13"/>
      <c r="Q153" s="12">
        <f t="shared" si="44"/>
        <v>192.80607639859269</v>
      </c>
      <c r="R153" s="13"/>
      <c r="S153" s="12">
        <f>$H153*U153/100</f>
        <v>377.87514465213695</v>
      </c>
      <c r="T153" s="13"/>
      <c r="U153" s="33">
        <v>5.2474948077370982</v>
      </c>
      <c r="V153" s="13"/>
      <c r="W153" s="14"/>
      <c r="X153" s="13"/>
      <c r="Y153" s="31"/>
      <c r="Z153" s="81"/>
    </row>
    <row r="154" spans="2:26" x14ac:dyDescent="0.3">
      <c r="B154" s="81">
        <f>MAX(B$142:B153)+1</f>
        <v>80</v>
      </c>
      <c r="C154" s="83"/>
      <c r="D154" s="45" t="s">
        <v>77</v>
      </c>
      <c r="E154" s="81"/>
      <c r="F154" s="11" t="s">
        <v>39</v>
      </c>
      <c r="G154" s="81"/>
      <c r="H154" s="12">
        <v>38354.665000000001</v>
      </c>
      <c r="I154" s="86"/>
      <c r="J154" s="12">
        <f>$H154*K154/100</f>
        <v>1230.95461851</v>
      </c>
      <c r="K154" s="33">
        <v>3.2094</v>
      </c>
      <c r="L154" s="88"/>
      <c r="M154" s="12">
        <f t="shared" si="43"/>
        <v>318.89222191973158</v>
      </c>
      <c r="N154" s="13"/>
      <c r="O154" s="12">
        <v>912.06239659026846</v>
      </c>
      <c r="P154" s="13"/>
      <c r="Q154" s="12">
        <f t="shared" si="44"/>
        <v>945.06527670923174</v>
      </c>
      <c r="R154" s="13"/>
      <c r="S154" s="12">
        <f>$H154*U154/100</f>
        <v>1857.1276732995002</v>
      </c>
      <c r="T154" s="13"/>
      <c r="U154" s="33">
        <v>4.8419864266823875</v>
      </c>
      <c r="V154" s="13"/>
      <c r="W154" s="14"/>
      <c r="X154" s="13"/>
      <c r="Y154" s="31"/>
      <c r="Z154" s="81"/>
    </row>
    <row r="155" spans="2:26" x14ac:dyDescent="0.3">
      <c r="B155" s="81">
        <f>MAX(B$142:B154)+1</f>
        <v>81</v>
      </c>
      <c r="C155" s="83"/>
      <c r="D155" s="10" t="s">
        <v>37</v>
      </c>
      <c r="E155" s="81"/>
      <c r="F155" s="11"/>
      <c r="G155" s="81"/>
      <c r="H155" s="89">
        <f>SUM(H152:H154)</f>
        <v>49261.163</v>
      </c>
      <c r="I155" s="86"/>
      <c r="J155" s="89">
        <f>SUM(J152:J154)</f>
        <v>1641.4243998880002</v>
      </c>
      <c r="K155" s="19">
        <f>J155/$H155*100</f>
        <v>3.3320861707792</v>
      </c>
      <c r="L155" s="88"/>
      <c r="M155" s="89">
        <f>SUM(M152:M154)</f>
        <v>425.82532127176626</v>
      </c>
      <c r="N155" s="13"/>
      <c r="O155" s="89">
        <f>SUM(O152:O154)</f>
        <v>1215.5990786162338</v>
      </c>
      <c r="P155" s="13"/>
      <c r="Q155" s="89">
        <f>SUM(Q152:Q154)</f>
        <v>1262.9088969635923</v>
      </c>
      <c r="R155" s="13"/>
      <c r="S155" s="89">
        <f>SUM(S152:S154)</f>
        <v>2478.5079755798261</v>
      </c>
      <c r="T155" s="13"/>
      <c r="U155" s="19">
        <f>S155/$H155*100</f>
        <v>5.031363095466963</v>
      </c>
      <c r="V155" s="13"/>
      <c r="W155" s="90">
        <f>S155/O155</f>
        <v>2.0389189323845271</v>
      </c>
      <c r="X155" s="13"/>
      <c r="Y155" s="20">
        <f>U155/K155-1</f>
        <v>0.50997388350565709</v>
      </c>
    </row>
    <row r="156" spans="2:26" x14ac:dyDescent="0.3">
      <c r="B156" s="81"/>
      <c r="C156" s="83"/>
      <c r="D156" s="10"/>
      <c r="E156" s="81"/>
      <c r="F156" s="11"/>
      <c r="G156" s="81"/>
      <c r="H156" s="12"/>
      <c r="I156" s="86"/>
      <c r="J156" s="12"/>
      <c r="K156" s="33"/>
      <c r="L156" s="88"/>
      <c r="M156" s="12"/>
      <c r="N156" s="13"/>
      <c r="O156" s="12"/>
      <c r="P156" s="13"/>
      <c r="Q156" s="12"/>
      <c r="R156" s="13"/>
      <c r="S156" s="12"/>
      <c r="T156" s="13"/>
      <c r="U156" s="33"/>
      <c r="V156" s="13"/>
      <c r="W156" s="14"/>
      <c r="X156" s="13"/>
      <c r="Y156" s="31"/>
    </row>
    <row r="157" spans="2:26" x14ac:dyDescent="0.3">
      <c r="B157" s="81">
        <f>MAX(B$142:B156)+1</f>
        <v>82</v>
      </c>
      <c r="C157" s="83"/>
      <c r="D157" s="10" t="s">
        <v>79</v>
      </c>
      <c r="E157" s="81"/>
      <c r="F157" s="11"/>
      <c r="G157" s="81"/>
      <c r="H157" s="12"/>
      <c r="I157" s="86"/>
      <c r="J157" s="12">
        <v>-443.52872445205486</v>
      </c>
      <c r="K157" s="33"/>
      <c r="L157" s="88"/>
      <c r="M157" s="12"/>
      <c r="N157" s="13"/>
      <c r="O157" s="12">
        <f>S157</f>
        <v>0</v>
      </c>
      <c r="P157" s="13"/>
      <c r="Q157" s="12"/>
      <c r="R157" s="13"/>
      <c r="S157" s="12">
        <v>0</v>
      </c>
      <c r="T157" s="13"/>
      <c r="U157" s="12"/>
      <c r="V157" s="13"/>
      <c r="W157" s="14"/>
      <c r="X157" s="13"/>
      <c r="Y157" s="15"/>
    </row>
    <row r="158" spans="2:26" x14ac:dyDescent="0.3">
      <c r="B158" s="81"/>
      <c r="C158" s="83"/>
      <c r="D158" s="10"/>
      <c r="E158" s="81"/>
      <c r="F158" s="11"/>
      <c r="G158" s="81"/>
      <c r="H158" s="12"/>
      <c r="I158" s="86"/>
      <c r="J158" s="12"/>
      <c r="K158" s="33"/>
      <c r="L158" s="88"/>
      <c r="M158" s="12"/>
      <c r="N158" s="13"/>
      <c r="O158" s="12"/>
      <c r="P158" s="13"/>
      <c r="Q158" s="12"/>
      <c r="R158" s="13"/>
      <c r="S158" s="12"/>
      <c r="T158" s="13"/>
      <c r="U158" s="33"/>
      <c r="V158" s="13"/>
      <c r="W158" s="14"/>
      <c r="X158" s="13"/>
      <c r="Y158" s="31"/>
    </row>
    <row r="159" spans="2:26" x14ac:dyDescent="0.3">
      <c r="B159" s="81">
        <f>MAX(B$142:B158)+1</f>
        <v>83</v>
      </c>
      <c r="C159" s="83"/>
      <c r="D159" s="10" t="s">
        <v>43</v>
      </c>
      <c r="E159" s="81"/>
      <c r="F159" s="11"/>
      <c r="G159" s="81"/>
      <c r="H159" s="89">
        <f>H148+H155</f>
        <v>52646.499000000003</v>
      </c>
      <c r="I159" s="86"/>
      <c r="J159" s="89">
        <f>SUM(J142,J148,J155,J157)</f>
        <v>1547.7875144839454</v>
      </c>
      <c r="K159" s="19">
        <f>J159/$H159*100</f>
        <v>2.9399628539097069</v>
      </c>
      <c r="L159" s="88"/>
      <c r="M159" s="89">
        <f>SUM(M142,M148,M155,M157)</f>
        <v>-991.0544571703291</v>
      </c>
      <c r="N159" s="13"/>
      <c r="O159" s="89">
        <f>SUM(O142,O148,O155,O157)</f>
        <v>2982.370696106329</v>
      </c>
      <c r="P159" s="13"/>
      <c r="Q159" s="89">
        <f>SUM(Q142,Q148,Q155,Q157)</f>
        <v>-2.1547083124053188</v>
      </c>
      <c r="R159" s="13"/>
      <c r="S159" s="89">
        <f>SUM(S142,S148,S155,S157)</f>
        <v>2980.2159877939239</v>
      </c>
      <c r="T159" s="13"/>
      <c r="U159" s="19">
        <f>S159/$H159*100</f>
        <v>5.6608056459631317</v>
      </c>
      <c r="V159" s="13"/>
      <c r="W159" s="90">
        <f>S159/O159</f>
        <v>0.99927751827926081</v>
      </c>
      <c r="X159" s="13"/>
      <c r="Y159" s="20">
        <f>U159/K159-1</f>
        <v>0.92546842502962745</v>
      </c>
    </row>
    <row r="160" spans="2:26" x14ac:dyDescent="0.3">
      <c r="E160" s="81"/>
      <c r="F160" s="11"/>
      <c r="G160" s="81"/>
      <c r="H160" s="12"/>
      <c r="I160" s="86"/>
      <c r="J160" s="12"/>
      <c r="K160" s="33"/>
      <c r="L160" s="88"/>
      <c r="M160" s="12"/>
      <c r="N160" s="13"/>
      <c r="O160" s="12"/>
      <c r="P160" s="13"/>
      <c r="Q160" s="12"/>
      <c r="R160" s="13"/>
      <c r="S160" s="12"/>
      <c r="T160" s="13"/>
      <c r="U160" s="33"/>
      <c r="V160" s="13"/>
      <c r="W160" s="14"/>
      <c r="X160" s="13"/>
      <c r="Y160" s="15"/>
    </row>
    <row r="161" spans="2:26" x14ac:dyDescent="0.3">
      <c r="B161" s="81"/>
      <c r="C161" s="83"/>
      <c r="D161" s="10" t="s">
        <v>44</v>
      </c>
      <c r="E161" s="81"/>
      <c r="F161" s="91"/>
      <c r="G161" s="81"/>
      <c r="H161" s="12"/>
      <c r="I161" s="86"/>
      <c r="J161" s="12"/>
      <c r="K161" s="33"/>
      <c r="L161" s="88"/>
      <c r="M161" s="12"/>
      <c r="N161" s="13"/>
      <c r="O161" s="12"/>
      <c r="P161" s="13"/>
      <c r="Q161" s="12"/>
      <c r="R161" s="13"/>
      <c r="S161" s="12"/>
      <c r="T161" s="13"/>
      <c r="U161" s="22"/>
      <c r="V161" s="13"/>
      <c r="W161" s="14"/>
      <c r="X161" s="13"/>
      <c r="Y161" s="23"/>
    </row>
    <row r="162" spans="2:26" x14ac:dyDescent="0.3">
      <c r="B162" s="81">
        <f>MAX(B$142:B161)+1</f>
        <v>84</v>
      </c>
      <c r="C162" s="83"/>
      <c r="D162" s="18" t="s">
        <v>45</v>
      </c>
      <c r="E162" s="81"/>
      <c r="F162" s="91" t="s">
        <v>39</v>
      </c>
      <c r="G162" s="81"/>
      <c r="H162" s="12">
        <v>4391.5119999999997</v>
      </c>
      <c r="I162" s="86"/>
      <c r="J162" s="12">
        <f>$H162*K162/100</f>
        <v>214.332134672</v>
      </c>
      <c r="K162" s="33">
        <v>4.8806000000000003</v>
      </c>
      <c r="L162" s="88"/>
      <c r="M162" s="12">
        <f t="shared" ref="M162:M165" si="45">J162-O162</f>
        <v>166.04715495882931</v>
      </c>
      <c r="N162" s="13"/>
      <c r="O162" s="12">
        <f>S162</f>
        <v>48.284979713170678</v>
      </c>
      <c r="P162" s="13"/>
      <c r="Q162" s="12">
        <f t="shared" ref="Q162:Q165" si="46">S162-O162</f>
        <v>0</v>
      </c>
      <c r="R162" s="13"/>
      <c r="S162" s="12">
        <f>$H162*U162/100</f>
        <v>48.284979713170678</v>
      </c>
      <c r="T162" s="13"/>
      <c r="U162" s="33">
        <v>1.0995069514365594</v>
      </c>
      <c r="V162" s="13"/>
      <c r="W162" s="92"/>
      <c r="X162" s="13"/>
      <c r="Y162" s="15"/>
    </row>
    <row r="163" spans="2:26" x14ac:dyDescent="0.3">
      <c r="B163" s="81">
        <f>MAX(B$142:B162)+1</f>
        <v>85</v>
      </c>
      <c r="C163" s="83"/>
      <c r="D163" s="18" t="s">
        <v>46</v>
      </c>
      <c r="E163" s="81"/>
      <c r="F163" s="91" t="s">
        <v>39</v>
      </c>
      <c r="G163" s="81"/>
      <c r="H163" s="12">
        <v>48254.987000000001</v>
      </c>
      <c r="I163" s="86"/>
      <c r="J163" s="12">
        <f>$H163*K163/100</f>
        <v>453.59687780000002</v>
      </c>
      <c r="K163" s="33">
        <v>0.94</v>
      </c>
      <c r="L163" s="88"/>
      <c r="M163" s="12">
        <f t="shared" si="45"/>
        <v>-76.970058679808062</v>
      </c>
      <c r="N163" s="88"/>
      <c r="O163" s="12">
        <f t="shared" ref="O163:O164" si="47">S163</f>
        <v>530.56693647980808</v>
      </c>
      <c r="P163" s="88"/>
      <c r="Q163" s="12">
        <f t="shared" si="46"/>
        <v>0</v>
      </c>
      <c r="R163" s="88"/>
      <c r="S163" s="12">
        <f>$H163*U163/100</f>
        <v>530.56693647980808</v>
      </c>
      <c r="T163" s="88"/>
      <c r="U163" s="33">
        <v>1.0995069514365594</v>
      </c>
      <c r="V163" s="88"/>
      <c r="W163" s="92"/>
      <c r="X163" s="88"/>
      <c r="Y163" s="15"/>
      <c r="Z163" s="81"/>
    </row>
    <row r="164" spans="2:26" x14ac:dyDescent="0.3">
      <c r="B164" s="81">
        <f>MAX(B$142:B163)+1</f>
        <v>86</v>
      </c>
      <c r="C164" s="83"/>
      <c r="D164" s="18" t="s">
        <v>47</v>
      </c>
      <c r="E164" s="81"/>
      <c r="F164" s="91" t="s">
        <v>39</v>
      </c>
      <c r="G164" s="81"/>
      <c r="H164" s="12">
        <v>0</v>
      </c>
      <c r="I164" s="86"/>
      <c r="J164" s="12">
        <f>$H164*K164/100</f>
        <v>0</v>
      </c>
      <c r="K164" s="33">
        <v>4.8806000000000003</v>
      </c>
      <c r="L164" s="88"/>
      <c r="M164" s="12">
        <f t="shared" si="45"/>
        <v>0</v>
      </c>
      <c r="N164" s="88"/>
      <c r="O164" s="12">
        <f t="shared" si="47"/>
        <v>0</v>
      </c>
      <c r="P164" s="88"/>
      <c r="Q164" s="12">
        <f t="shared" si="46"/>
        <v>0</v>
      </c>
      <c r="R164" s="88"/>
      <c r="S164" s="12">
        <f>$H164*U164/100</f>
        <v>0</v>
      </c>
      <c r="T164" s="88"/>
      <c r="U164" s="33">
        <v>3.6914124444423591</v>
      </c>
      <c r="V164" s="88"/>
      <c r="W164" s="92"/>
      <c r="X164" s="88"/>
      <c r="Y164" s="15"/>
      <c r="Z164" s="81"/>
    </row>
    <row r="165" spans="2:26" x14ac:dyDescent="0.3">
      <c r="B165" s="81">
        <f>MAX(B$142:B164)+1</f>
        <v>87</v>
      </c>
      <c r="C165" s="83"/>
      <c r="D165" s="18" t="s">
        <v>48</v>
      </c>
      <c r="E165" s="81"/>
      <c r="F165" s="91" t="s">
        <v>39</v>
      </c>
      <c r="G165" s="81"/>
      <c r="H165" s="12">
        <f>H159-SUM(H162:H164)</f>
        <v>0</v>
      </c>
      <c r="I165" s="86"/>
      <c r="J165" s="12">
        <f>$H165*K165/100</f>
        <v>0</v>
      </c>
      <c r="K165" s="33">
        <v>0</v>
      </c>
      <c r="L165" s="88"/>
      <c r="M165" s="12">
        <f t="shared" si="45"/>
        <v>0</v>
      </c>
      <c r="N165" s="88"/>
      <c r="O165" s="12">
        <f>S165</f>
        <v>0</v>
      </c>
      <c r="P165" s="88"/>
      <c r="Q165" s="12">
        <f t="shared" si="46"/>
        <v>0</v>
      </c>
      <c r="R165" s="88"/>
      <c r="S165" s="12">
        <f>$H165*U165/100</f>
        <v>0</v>
      </c>
      <c r="T165" s="88"/>
      <c r="U165" s="33">
        <v>1.0995069514365594</v>
      </c>
      <c r="V165" s="88"/>
      <c r="W165" s="14"/>
      <c r="X165" s="88"/>
      <c r="Y165" s="15"/>
      <c r="Z165" s="81"/>
    </row>
    <row r="166" spans="2:26" x14ac:dyDescent="0.3">
      <c r="B166" s="81">
        <f>MAX(B$142:B165)+1</f>
        <v>88</v>
      </c>
      <c r="C166" s="83"/>
      <c r="D166" s="10" t="s">
        <v>44</v>
      </c>
      <c r="E166" s="81"/>
      <c r="F166" s="11"/>
      <c r="G166" s="81"/>
      <c r="H166" s="89">
        <f>SUM(H162:H165)</f>
        <v>52646.499000000003</v>
      </c>
      <c r="I166" s="86"/>
      <c r="J166" s="89">
        <f>SUM(J162:J165)</f>
        <v>667.92901247200007</v>
      </c>
      <c r="K166" s="19">
        <f>J166/$H166*100</f>
        <v>1.2687054698015152</v>
      </c>
      <c r="L166" s="88"/>
      <c r="M166" s="89">
        <f>SUM(M162:M165)</f>
        <v>89.077096279021248</v>
      </c>
      <c r="N166" s="13"/>
      <c r="O166" s="89">
        <f>SUM(O162:O165)</f>
        <v>578.85191619297871</v>
      </c>
      <c r="P166" s="13"/>
      <c r="Q166" s="89">
        <f>SUM(Q162:Q165)</f>
        <v>0</v>
      </c>
      <c r="R166" s="13"/>
      <c r="S166" s="89">
        <f>SUM(S162:S165)</f>
        <v>578.85191619297871</v>
      </c>
      <c r="T166" s="13"/>
      <c r="U166" s="19">
        <f>S166/$H166*100</f>
        <v>1.0995069514365594</v>
      </c>
      <c r="V166" s="13"/>
      <c r="W166" s="90">
        <f>S166/O166</f>
        <v>1</v>
      </c>
      <c r="X166" s="13"/>
      <c r="Y166" s="20">
        <f>U166/K166-1</f>
        <v>-0.13336311885801699</v>
      </c>
    </row>
    <row r="167" spans="2:26" x14ac:dyDescent="0.3"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24"/>
    </row>
    <row r="168" spans="2:26" x14ac:dyDescent="0.3">
      <c r="B168" s="81">
        <f>MAX(B$142:B167)+1</f>
        <v>89</v>
      </c>
      <c r="C168" s="83"/>
      <c r="D168" s="10" t="s">
        <v>49</v>
      </c>
      <c r="E168" s="81"/>
      <c r="F168" s="11" t="s">
        <v>39</v>
      </c>
      <c r="G168" s="81"/>
      <c r="H168" s="12">
        <f>H162</f>
        <v>4391.5119999999997</v>
      </c>
      <c r="I168" s="86"/>
      <c r="J168" s="12">
        <f>$H168*K168/100</f>
        <v>458.97448516799994</v>
      </c>
      <c r="K168" s="33">
        <v>10.4514</v>
      </c>
      <c r="L168" s="88"/>
      <c r="M168" s="12">
        <f>J168-O168</f>
        <v>-139.81803146704789</v>
      </c>
      <c r="N168" s="13"/>
      <c r="O168" s="12">
        <f>S168</f>
        <v>598.79251663504783</v>
      </c>
      <c r="P168" s="13"/>
      <c r="Q168" s="12">
        <f>S168-O168</f>
        <v>0</v>
      </c>
      <c r="R168" s="13"/>
      <c r="S168" s="12">
        <f>$H168*U168/100</f>
        <v>598.79251663504783</v>
      </c>
      <c r="T168" s="13"/>
      <c r="U168" s="33">
        <v>13.635224420086928</v>
      </c>
      <c r="V168" s="13"/>
      <c r="W168" s="14">
        <f>S168/O168</f>
        <v>1</v>
      </c>
      <c r="X168" s="13"/>
      <c r="Y168" s="15">
        <f>U168/K168-1</f>
        <v>0.3046313814500381</v>
      </c>
    </row>
    <row r="169" spans="2:26" x14ac:dyDescent="0.3">
      <c r="B169" s="81"/>
      <c r="C169" s="83"/>
      <c r="D169" s="10"/>
      <c r="E169" s="81"/>
      <c r="F169" s="11"/>
      <c r="G169" s="81"/>
      <c r="H169" s="12"/>
      <c r="I169" s="86"/>
      <c r="J169" s="12"/>
      <c r="K169" s="33"/>
      <c r="L169" s="88"/>
      <c r="M169" s="12"/>
      <c r="N169" s="13"/>
      <c r="O169" s="12"/>
      <c r="P169" s="13"/>
      <c r="Q169" s="12"/>
      <c r="R169" s="13"/>
      <c r="S169" s="12"/>
      <c r="T169" s="13"/>
      <c r="U169" s="33"/>
      <c r="V169" s="13"/>
      <c r="W169" s="14"/>
      <c r="X169" s="13"/>
      <c r="Y169" s="15"/>
    </row>
    <row r="170" spans="2:26" ht="12.9" thickBot="1" x14ac:dyDescent="0.35">
      <c r="B170" s="81">
        <f>MAX(B$142:B169)+1</f>
        <v>90</v>
      </c>
      <c r="C170" s="83"/>
      <c r="D170" s="10" t="s">
        <v>80</v>
      </c>
      <c r="E170" s="81"/>
      <c r="F170" s="11"/>
      <c r="G170" s="81"/>
      <c r="H170" s="93">
        <f>H159</f>
        <v>52646.499000000003</v>
      </c>
      <c r="I170" s="86"/>
      <c r="J170" s="93">
        <f>SUM(J159,J166,J168)</f>
        <v>2674.6910121239453</v>
      </c>
      <c r="K170" s="25">
        <f>J170/$H170*100</f>
        <v>5.0804727055524532</v>
      </c>
      <c r="L170" s="88"/>
      <c r="M170" s="93">
        <f>SUM(M159,M166,M168)</f>
        <v>-1041.7953923583557</v>
      </c>
      <c r="N170" s="13"/>
      <c r="O170" s="93">
        <f>SUM(O159,O166,O168)</f>
        <v>4160.0151289343557</v>
      </c>
      <c r="P170" s="13"/>
      <c r="Q170" s="93">
        <f>SUM(Q159,Q166,Q168)</f>
        <v>-2.1547083124053188</v>
      </c>
      <c r="R170" s="13"/>
      <c r="S170" s="93">
        <f>SUM(S159,S166,S168)</f>
        <v>4157.8604206219507</v>
      </c>
      <c r="T170" s="13"/>
      <c r="U170" s="25">
        <f>S170/$H170*100</f>
        <v>7.8976959524354129</v>
      </c>
      <c r="V170" s="13"/>
      <c r="W170" s="94">
        <f>S170/O170</f>
        <v>0.99948204315474276</v>
      </c>
      <c r="X170" s="13"/>
      <c r="Y170" s="26">
        <f>U170/K170-1</f>
        <v>0.55451990595363565</v>
      </c>
    </row>
    <row r="171" spans="2:26" ht="12.9" thickTop="1" x14ac:dyDescent="0.3">
      <c r="B171" s="81"/>
      <c r="C171" s="83"/>
      <c r="D171" s="10"/>
      <c r="E171" s="81"/>
      <c r="F171" s="11"/>
      <c r="G171" s="81"/>
      <c r="H171" s="88"/>
      <c r="I171" s="86"/>
      <c r="J171" s="88"/>
      <c r="K171" s="33"/>
      <c r="L171" s="88"/>
      <c r="M171" s="88"/>
      <c r="N171" s="13"/>
      <c r="O171" s="88"/>
      <c r="P171" s="13"/>
      <c r="Q171" s="88"/>
      <c r="R171" s="13"/>
      <c r="S171" s="88"/>
      <c r="T171" s="13"/>
      <c r="U171" s="33"/>
      <c r="V171" s="13"/>
      <c r="W171" s="92"/>
      <c r="X171" s="13"/>
      <c r="Y171" s="15"/>
    </row>
    <row r="172" spans="2:26" x14ac:dyDescent="0.3">
      <c r="B172" s="1" t="s">
        <v>0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2:26" x14ac:dyDescent="0.3">
      <c r="B173" s="123" t="s">
        <v>59</v>
      </c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</row>
    <row r="174" spans="2:26" x14ac:dyDescent="0.3">
      <c r="B174" s="77"/>
      <c r="C174" s="77"/>
      <c r="D174" s="77"/>
      <c r="E174" s="77"/>
      <c r="F174" s="78"/>
      <c r="G174" s="77"/>
      <c r="H174" s="78"/>
      <c r="I174" s="77"/>
      <c r="J174" s="78"/>
      <c r="K174" s="78"/>
      <c r="L174" s="78"/>
      <c r="M174" s="78"/>
      <c r="N174" s="77"/>
      <c r="O174" s="77"/>
      <c r="P174" s="77"/>
      <c r="Q174" s="77"/>
      <c r="R174" s="77"/>
      <c r="S174" s="77"/>
      <c r="T174" s="77"/>
      <c r="U174" s="77"/>
      <c r="V174" s="77"/>
      <c r="W174" s="5"/>
      <c r="X174" s="77"/>
      <c r="Y174" s="5"/>
    </row>
    <row r="175" spans="2:26" x14ac:dyDescent="0.3">
      <c r="B175" s="78"/>
      <c r="C175" s="78"/>
      <c r="D175" s="78"/>
      <c r="E175" s="78"/>
      <c r="F175" s="77"/>
      <c r="G175" s="78"/>
      <c r="H175" s="77"/>
      <c r="I175" s="78"/>
      <c r="J175" s="79" t="s">
        <v>2</v>
      </c>
      <c r="K175" s="79"/>
      <c r="L175" s="78"/>
      <c r="M175" s="78"/>
      <c r="N175" s="78"/>
      <c r="O175" s="122" t="s">
        <v>3</v>
      </c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</row>
    <row r="176" spans="2:26" ht="37.299999999999997" x14ac:dyDescent="0.3">
      <c r="B176" s="80" t="s">
        <v>4</v>
      </c>
      <c r="C176" s="80"/>
      <c r="D176" s="80"/>
      <c r="E176" s="80"/>
      <c r="F176" s="81" t="s">
        <v>5</v>
      </c>
      <c r="G176" s="80"/>
      <c r="H176" s="6" t="s">
        <v>6</v>
      </c>
      <c r="I176" s="80"/>
      <c r="J176" s="6" t="s">
        <v>7</v>
      </c>
      <c r="K176" s="6" t="s">
        <v>8</v>
      </c>
      <c r="L176" s="80"/>
      <c r="M176" s="6" t="s">
        <v>9</v>
      </c>
      <c r="N176" s="80"/>
      <c r="O176" s="80" t="s">
        <v>10</v>
      </c>
      <c r="P176" s="80"/>
      <c r="Q176" s="6" t="s">
        <v>11</v>
      </c>
      <c r="R176" s="80"/>
      <c r="S176" s="6" t="s">
        <v>7</v>
      </c>
      <c r="T176" s="80"/>
      <c r="U176" s="6" t="s">
        <v>12</v>
      </c>
      <c r="V176" s="80"/>
      <c r="W176" s="80" t="s">
        <v>13</v>
      </c>
      <c r="X176" s="80"/>
      <c r="Y176" s="80" t="s">
        <v>14</v>
      </c>
    </row>
    <row r="177" spans="2:26" ht="14.15" x14ac:dyDescent="0.3">
      <c r="B177" s="82" t="s">
        <v>15</v>
      </c>
      <c r="C177" s="83"/>
      <c r="D177" s="84" t="s">
        <v>16</v>
      </c>
      <c r="E177" s="81"/>
      <c r="F177" s="82" t="s">
        <v>17</v>
      </c>
      <c r="G177" s="81"/>
      <c r="H177" s="82" t="s">
        <v>18</v>
      </c>
      <c r="I177" s="81"/>
      <c r="J177" s="82" t="s">
        <v>19</v>
      </c>
      <c r="K177" s="82" t="s">
        <v>20</v>
      </c>
      <c r="L177" s="81"/>
      <c r="M177" s="82" t="s">
        <v>19</v>
      </c>
      <c r="N177" s="81"/>
      <c r="O177" s="82" t="s">
        <v>19</v>
      </c>
      <c r="P177" s="81"/>
      <c r="Q177" s="82" t="s">
        <v>19</v>
      </c>
      <c r="R177" s="81"/>
      <c r="S177" s="82" t="s">
        <v>19</v>
      </c>
      <c r="T177" s="81"/>
      <c r="U177" s="82" t="s">
        <v>20</v>
      </c>
      <c r="V177" s="81"/>
      <c r="W177" s="82" t="s">
        <v>21</v>
      </c>
      <c r="X177" s="81"/>
      <c r="Y177" s="82" t="s">
        <v>22</v>
      </c>
    </row>
    <row r="178" spans="2:26" x14ac:dyDescent="0.3">
      <c r="B178" s="81"/>
      <c r="C178" s="83"/>
      <c r="D178" s="83"/>
      <c r="E178" s="81"/>
      <c r="F178" s="81"/>
      <c r="G178" s="81"/>
      <c r="H178" s="81" t="s">
        <v>23</v>
      </c>
      <c r="I178" s="81"/>
      <c r="J178" s="81" t="s">
        <v>24</v>
      </c>
      <c r="K178" s="81" t="s">
        <v>25</v>
      </c>
      <c r="L178" s="81"/>
      <c r="M178" s="81" t="s">
        <v>26</v>
      </c>
      <c r="N178" s="81"/>
      <c r="O178" s="81" t="s">
        <v>27</v>
      </c>
      <c r="P178" s="81"/>
      <c r="Q178" s="81" t="s">
        <v>28</v>
      </c>
      <c r="R178" s="81"/>
      <c r="S178" s="85" t="s">
        <v>29</v>
      </c>
      <c r="T178" s="81"/>
      <c r="U178" s="85" t="s">
        <v>30</v>
      </c>
      <c r="V178" s="81"/>
      <c r="W178" s="85" t="s">
        <v>31</v>
      </c>
      <c r="X178" s="81"/>
      <c r="Y178" s="85" t="s">
        <v>32</v>
      </c>
    </row>
    <row r="179" spans="2:26" x14ac:dyDescent="0.3"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34"/>
    </row>
    <row r="180" spans="2:26" x14ac:dyDescent="0.3">
      <c r="B180" s="81"/>
      <c r="C180" s="83"/>
      <c r="D180" s="3" t="s">
        <v>81</v>
      </c>
      <c r="E180" s="81"/>
      <c r="F180" s="7"/>
      <c r="G180" s="81"/>
      <c r="H180" s="27"/>
      <c r="I180" s="86"/>
      <c r="J180" s="27"/>
      <c r="K180" s="86"/>
      <c r="L180" s="86"/>
      <c r="M180" s="28"/>
      <c r="N180" s="86"/>
      <c r="O180" s="29"/>
      <c r="P180" s="86"/>
      <c r="Q180" s="86"/>
      <c r="R180" s="86"/>
      <c r="S180" s="86"/>
      <c r="T180" s="86"/>
      <c r="U180" s="86"/>
      <c r="V180" s="86"/>
      <c r="W180" s="86"/>
      <c r="X180" s="86"/>
      <c r="Y180" s="98"/>
      <c r="Z180" s="81"/>
    </row>
    <row r="181" spans="2:26" x14ac:dyDescent="0.3">
      <c r="B181" s="81">
        <f>MAX(B$142:B180)+1</f>
        <v>91</v>
      </c>
      <c r="C181" s="83"/>
      <c r="D181" s="10" t="s">
        <v>35</v>
      </c>
      <c r="E181" s="81"/>
      <c r="F181" s="11" t="s">
        <v>36</v>
      </c>
      <c r="G181" s="81"/>
      <c r="H181" s="12">
        <v>192</v>
      </c>
      <c r="I181" s="86"/>
      <c r="J181" s="12">
        <f>$H181*K181/1000</f>
        <v>26.60352</v>
      </c>
      <c r="K181" s="87">
        <v>138.56</v>
      </c>
      <c r="L181" s="88"/>
      <c r="M181" s="12">
        <f t="shared" ref="M181:M182" si="48">J181-O181</f>
        <v>-349.81949199874725</v>
      </c>
      <c r="N181" s="13"/>
      <c r="O181" s="12">
        <v>376.42301199874726</v>
      </c>
      <c r="P181" s="13"/>
      <c r="Q181" s="12">
        <f t="shared" ref="Q181:Q182" si="49">S181-O181</f>
        <v>-349.81949199874725</v>
      </c>
      <c r="R181" s="13"/>
      <c r="S181" s="12">
        <f>$H181*U181/1000</f>
        <v>26.60352</v>
      </c>
      <c r="T181" s="13"/>
      <c r="U181" s="87">
        <v>138.56</v>
      </c>
      <c r="V181" s="13"/>
      <c r="W181" s="14">
        <f>S181/O181</f>
        <v>7.0674531449975583E-2</v>
      </c>
      <c r="X181" s="13"/>
      <c r="Y181" s="15">
        <f t="shared" ref="Y181:Y182" si="50">U181/K181-1</f>
        <v>0</v>
      </c>
    </row>
    <row r="182" spans="2:26" x14ac:dyDescent="0.3">
      <c r="B182" s="81">
        <f>MAX(B$142:B181)+1</f>
        <v>92</v>
      </c>
      <c r="C182" s="83"/>
      <c r="D182" s="10" t="s">
        <v>61</v>
      </c>
      <c r="E182" s="81"/>
      <c r="F182" s="11" t="s">
        <v>62</v>
      </c>
      <c r="G182" s="81"/>
      <c r="H182" s="12">
        <v>6138.48</v>
      </c>
      <c r="I182" s="86"/>
      <c r="J182" s="12">
        <f>$H182*K182/100</f>
        <v>570.62082383999996</v>
      </c>
      <c r="K182" s="33">
        <v>9.2957999999999998</v>
      </c>
      <c r="L182" s="88"/>
      <c r="M182" s="12">
        <f t="shared" si="48"/>
        <v>108.23144578887229</v>
      </c>
      <c r="N182" s="13"/>
      <c r="O182" s="12">
        <v>462.38937805112766</v>
      </c>
      <c r="P182" s="13"/>
      <c r="Q182" s="12">
        <f t="shared" si="49"/>
        <v>349.81949199874714</v>
      </c>
      <c r="R182" s="13"/>
      <c r="S182" s="12">
        <f>$H182*U182/100</f>
        <v>812.2088700498748</v>
      </c>
      <c r="T182" s="13"/>
      <c r="U182" s="33">
        <v>13.231433026577832</v>
      </c>
      <c r="V182" s="13"/>
      <c r="W182" s="14">
        <f>S182/O182</f>
        <v>1.7565474221600017</v>
      </c>
      <c r="X182" s="13"/>
      <c r="Y182" s="15">
        <f t="shared" si="50"/>
        <v>0.42337754970823727</v>
      </c>
    </row>
    <row r="183" spans="2:26" x14ac:dyDescent="0.3">
      <c r="B183" s="81"/>
      <c r="C183" s="83"/>
      <c r="D183" s="10" t="s">
        <v>37</v>
      </c>
      <c r="E183" s="81"/>
      <c r="F183" s="11"/>
      <c r="G183" s="81"/>
      <c r="H183" s="12"/>
      <c r="I183" s="86"/>
      <c r="J183" s="12"/>
      <c r="K183" s="33"/>
      <c r="L183" s="88"/>
      <c r="M183" s="12"/>
      <c r="N183" s="13"/>
      <c r="O183" s="12"/>
      <c r="P183" s="13"/>
      <c r="Q183" s="12"/>
      <c r="R183" s="13"/>
      <c r="S183" s="12"/>
      <c r="T183" s="13"/>
      <c r="U183" s="33"/>
      <c r="V183" s="13"/>
      <c r="W183" s="14"/>
      <c r="X183" s="13"/>
      <c r="Y183" s="31"/>
      <c r="Z183" s="81"/>
    </row>
    <row r="184" spans="2:26" x14ac:dyDescent="0.3">
      <c r="B184" s="81">
        <f>MAX(B$142:B183)+1</f>
        <v>93</v>
      </c>
      <c r="C184" s="83"/>
      <c r="D184" s="45" t="s">
        <v>75</v>
      </c>
      <c r="E184" s="81"/>
      <c r="F184" s="11" t="s">
        <v>39</v>
      </c>
      <c r="G184" s="81"/>
      <c r="H184" s="12">
        <v>2496.9</v>
      </c>
      <c r="I184" s="86"/>
      <c r="J184" s="12">
        <f>$H184*K184/100</f>
        <v>75.191646599999999</v>
      </c>
      <c r="K184" s="33">
        <v>3.0114000000000001</v>
      </c>
      <c r="L184" s="88"/>
      <c r="M184" s="12">
        <f t="shared" ref="M184:M186" si="51">J184-O184</f>
        <v>70.97904038238093</v>
      </c>
      <c r="N184" s="13"/>
      <c r="O184" s="12">
        <f t="shared" ref="O184:O186" si="52">S184</f>
        <v>4.2126062176190713</v>
      </c>
      <c r="P184" s="13"/>
      <c r="Q184" s="12">
        <f t="shared" ref="Q184:Q186" si="53">S184-O184</f>
        <v>0</v>
      </c>
      <c r="R184" s="13"/>
      <c r="S184" s="12">
        <f>$H184*U184/100</f>
        <v>4.2126062176190713</v>
      </c>
      <c r="T184" s="13"/>
      <c r="U184" s="33">
        <v>0.16871345338696267</v>
      </c>
      <c r="V184" s="13"/>
      <c r="W184" s="14"/>
      <c r="X184" s="13"/>
      <c r="Y184" s="31"/>
      <c r="Z184" s="81"/>
    </row>
    <row r="185" spans="2:26" x14ac:dyDescent="0.3">
      <c r="B185" s="81">
        <f>MAX(B$142:B184)+1</f>
        <v>94</v>
      </c>
      <c r="C185" s="83"/>
      <c r="D185" s="45" t="s">
        <v>76</v>
      </c>
      <c r="E185" s="81"/>
      <c r="F185" s="11" t="s">
        <v>39</v>
      </c>
      <c r="G185" s="81"/>
      <c r="H185" s="12">
        <v>4159.7690000000002</v>
      </c>
      <c r="I185" s="86"/>
      <c r="J185" s="12">
        <f>$H185*K185/100</f>
        <v>125.267283666</v>
      </c>
      <c r="K185" s="33">
        <v>3.0114000000000001</v>
      </c>
      <c r="L185" s="88"/>
      <c r="M185" s="12">
        <f t="shared" si="51"/>
        <v>118.24919373317968</v>
      </c>
      <c r="N185" s="13"/>
      <c r="O185" s="12">
        <f t="shared" si="52"/>
        <v>7.0180899328203239</v>
      </c>
      <c r="P185" s="13"/>
      <c r="Q185" s="12">
        <f t="shared" si="53"/>
        <v>0</v>
      </c>
      <c r="R185" s="13"/>
      <c r="S185" s="12">
        <f>$H185*U185/100</f>
        <v>7.0180899328203239</v>
      </c>
      <c r="T185" s="13"/>
      <c r="U185" s="33">
        <v>0.16871345338696267</v>
      </c>
      <c r="V185" s="13"/>
      <c r="W185" s="14"/>
      <c r="X185" s="13"/>
      <c r="Y185" s="31"/>
      <c r="Z185" s="81"/>
    </row>
    <row r="186" spans="2:26" x14ac:dyDescent="0.3">
      <c r="B186" s="81">
        <f>MAX(B$142:B185)+1</f>
        <v>95</v>
      </c>
      <c r="C186" s="83"/>
      <c r="D186" s="45" t="s">
        <v>77</v>
      </c>
      <c r="E186" s="81"/>
      <c r="F186" s="11" t="s">
        <v>39</v>
      </c>
      <c r="G186" s="81"/>
      <c r="H186" s="12">
        <v>9056.9930000000004</v>
      </c>
      <c r="I186" s="86"/>
      <c r="J186" s="12">
        <f>$H186*K186/100</f>
        <v>272.742287202</v>
      </c>
      <c r="K186" s="33">
        <v>3.0114000000000001</v>
      </c>
      <c r="L186" s="88"/>
      <c r="M186" s="12">
        <f t="shared" si="51"/>
        <v>257.46192153868452</v>
      </c>
      <c r="N186" s="13"/>
      <c r="O186" s="12">
        <f t="shared" si="52"/>
        <v>15.280365663315472</v>
      </c>
      <c r="P186" s="13"/>
      <c r="Q186" s="12">
        <f t="shared" si="53"/>
        <v>0</v>
      </c>
      <c r="R186" s="13"/>
      <c r="S186" s="12">
        <f>$H186*U186/100</f>
        <v>15.280365663315472</v>
      </c>
      <c r="T186" s="13"/>
      <c r="U186" s="33">
        <v>0.16871345338696267</v>
      </c>
      <c r="V186" s="13"/>
      <c r="W186" s="14"/>
      <c r="X186" s="13"/>
      <c r="Y186" s="31"/>
      <c r="Z186" s="81"/>
    </row>
    <row r="187" spans="2:26" x14ac:dyDescent="0.3">
      <c r="B187" s="81">
        <f>MAX(B$142:B186)+1</f>
        <v>96</v>
      </c>
      <c r="C187" s="83"/>
      <c r="D187" s="10" t="s">
        <v>37</v>
      </c>
      <c r="E187" s="81"/>
      <c r="F187" s="11"/>
      <c r="G187" s="81"/>
      <c r="H187" s="89">
        <f>SUM(H184:H186)</f>
        <v>15713.662</v>
      </c>
      <c r="I187" s="86"/>
      <c r="J187" s="89">
        <f>SUM(J184:J186)</f>
        <v>473.20121746799998</v>
      </c>
      <c r="K187" s="19">
        <f>J187/$H187*100</f>
        <v>3.0113999999999996</v>
      </c>
      <c r="L187" s="88"/>
      <c r="M187" s="89">
        <f>SUM(M184:M186)</f>
        <v>446.69015565424513</v>
      </c>
      <c r="N187" s="13"/>
      <c r="O187" s="89">
        <f>SUM(O184:O186)</f>
        <v>26.511061813754868</v>
      </c>
      <c r="P187" s="13"/>
      <c r="Q187" s="89">
        <f>SUM(Q184:Q186)</f>
        <v>0</v>
      </c>
      <c r="R187" s="13"/>
      <c r="S187" s="89">
        <f>SUM(S184:S186)</f>
        <v>26.511061813754868</v>
      </c>
      <c r="T187" s="13"/>
      <c r="U187" s="19">
        <f>S187/$H187*100</f>
        <v>0.16871345338696267</v>
      </c>
      <c r="V187" s="13"/>
      <c r="W187" s="90">
        <f>S187/O187</f>
        <v>1</v>
      </c>
      <c r="X187" s="13"/>
      <c r="Y187" s="20">
        <f>U187/K187-1</f>
        <v>-0.94397507691207982</v>
      </c>
    </row>
    <row r="188" spans="2:26" x14ac:dyDescent="0.3">
      <c r="B188" s="81"/>
      <c r="C188" s="83"/>
      <c r="D188" s="10"/>
      <c r="E188" s="81"/>
      <c r="F188" s="11"/>
      <c r="G188" s="81"/>
      <c r="H188" s="12"/>
      <c r="I188" s="86"/>
      <c r="J188" s="12"/>
      <c r="K188" s="33"/>
      <c r="L188" s="88"/>
      <c r="M188" s="12"/>
      <c r="N188" s="13"/>
      <c r="O188" s="12"/>
      <c r="P188" s="13"/>
      <c r="Q188" s="12"/>
      <c r="R188" s="13"/>
      <c r="S188" s="12"/>
      <c r="T188" s="13"/>
      <c r="U188" s="33"/>
      <c r="V188" s="13"/>
      <c r="W188" s="14"/>
      <c r="X188" s="13"/>
      <c r="Y188" s="31"/>
    </row>
    <row r="189" spans="2:26" x14ac:dyDescent="0.3">
      <c r="B189" s="81">
        <f>MAX(B$142:B188)+1</f>
        <v>97</v>
      </c>
      <c r="C189" s="83"/>
      <c r="D189" s="10" t="s">
        <v>82</v>
      </c>
      <c r="E189" s="81"/>
      <c r="F189" s="11"/>
      <c r="G189" s="81"/>
      <c r="H189" s="12"/>
      <c r="I189" s="86"/>
      <c r="J189" s="12">
        <v>-86.102257534246576</v>
      </c>
      <c r="K189" s="33"/>
      <c r="L189" s="88"/>
      <c r="M189" s="12"/>
      <c r="N189" s="13"/>
      <c r="O189" s="12">
        <f>S189</f>
        <v>0</v>
      </c>
      <c r="P189" s="13"/>
      <c r="Q189" s="12"/>
      <c r="R189" s="13"/>
      <c r="S189" s="12">
        <v>0</v>
      </c>
      <c r="T189" s="13"/>
      <c r="U189" s="12"/>
      <c r="V189" s="13"/>
      <c r="W189" s="14"/>
      <c r="X189" s="13"/>
      <c r="Y189" s="99"/>
    </row>
    <row r="190" spans="2:26" x14ac:dyDescent="0.3">
      <c r="B190" s="81"/>
      <c r="C190" s="83"/>
      <c r="D190" s="10"/>
      <c r="E190" s="81"/>
      <c r="F190" s="11"/>
      <c r="G190" s="81"/>
      <c r="H190" s="12"/>
      <c r="I190" s="86"/>
      <c r="J190" s="12"/>
      <c r="K190" s="33"/>
      <c r="L190" s="88"/>
      <c r="M190" s="12"/>
      <c r="N190" s="13"/>
      <c r="O190" s="12"/>
      <c r="P190" s="13"/>
      <c r="Q190" s="12"/>
      <c r="R190" s="13"/>
      <c r="S190" s="12"/>
      <c r="T190" s="13"/>
      <c r="U190" s="33"/>
      <c r="V190" s="13"/>
      <c r="W190" s="14"/>
      <c r="X190" s="13"/>
      <c r="Y190" s="31"/>
    </row>
    <row r="191" spans="2:26" x14ac:dyDescent="0.3">
      <c r="B191" s="81">
        <f>MAX(B$142:B190)+1</f>
        <v>98</v>
      </c>
      <c r="C191" s="83"/>
      <c r="D191" s="10" t="s">
        <v>43</v>
      </c>
      <c r="E191" s="81"/>
      <c r="F191" s="11"/>
      <c r="G191" s="81"/>
      <c r="H191" s="89">
        <f>H187</f>
        <v>15713.662</v>
      </c>
      <c r="I191" s="86"/>
      <c r="J191" s="89">
        <f>SUM(J181:J182,J187,J189)</f>
        <v>984.32330377375342</v>
      </c>
      <c r="K191" s="19">
        <f>J191/$H191*100</f>
        <v>6.2641241982534259</v>
      </c>
      <c r="L191" s="88"/>
      <c r="M191" s="89">
        <f>SUM(M181:M182,M187,M189)</f>
        <v>205.10210944437017</v>
      </c>
      <c r="N191" s="13"/>
      <c r="O191" s="89">
        <f>SUM(O181:O182,O187,O189)</f>
        <v>865.32345186362977</v>
      </c>
      <c r="P191" s="13"/>
      <c r="Q191" s="89">
        <f>SUM(Q181:Q182,Q187,Q189)</f>
        <v>-1.1368683772161603E-13</v>
      </c>
      <c r="R191" s="13"/>
      <c r="S191" s="89">
        <f>SUM(S181:S182,S187,S189)</f>
        <v>865.32345186362966</v>
      </c>
      <c r="T191" s="13"/>
      <c r="U191" s="19">
        <f>S191/$H191*100</f>
        <v>5.5068223553722202</v>
      </c>
      <c r="V191" s="13"/>
      <c r="W191" s="90">
        <f>S191/O191</f>
        <v>0.99999999999999989</v>
      </c>
      <c r="X191" s="13"/>
      <c r="Y191" s="20">
        <f>U191/K191-1</f>
        <v>-0.12089508747166255</v>
      </c>
    </row>
    <row r="192" spans="2:26" x14ac:dyDescent="0.3">
      <c r="E192" s="81"/>
      <c r="F192" s="11"/>
      <c r="G192" s="81"/>
      <c r="H192" s="12"/>
      <c r="I192" s="86"/>
      <c r="J192" s="12"/>
      <c r="K192" s="33"/>
      <c r="L192" s="88"/>
      <c r="M192" s="12"/>
      <c r="N192" s="13"/>
      <c r="O192" s="12"/>
      <c r="P192" s="13"/>
      <c r="Q192" s="12"/>
      <c r="R192" s="13"/>
      <c r="S192" s="12"/>
      <c r="T192" s="13"/>
      <c r="U192" s="33"/>
      <c r="V192" s="13"/>
      <c r="W192" s="14"/>
      <c r="X192" s="13"/>
      <c r="Y192" s="15"/>
    </row>
    <row r="193" spans="2:26" x14ac:dyDescent="0.3">
      <c r="B193" s="81"/>
      <c r="C193" s="83"/>
      <c r="D193" s="10" t="s">
        <v>44</v>
      </c>
      <c r="E193" s="81"/>
      <c r="F193" s="91"/>
      <c r="G193" s="81"/>
      <c r="H193" s="12"/>
      <c r="I193" s="86"/>
      <c r="J193" s="12"/>
      <c r="K193" s="33"/>
      <c r="L193" s="88"/>
      <c r="M193" s="12"/>
      <c r="N193" s="13"/>
      <c r="O193" s="12"/>
      <c r="P193" s="13"/>
      <c r="Q193" s="12"/>
      <c r="R193" s="13"/>
      <c r="S193" s="12"/>
      <c r="T193" s="13"/>
      <c r="U193" s="22"/>
      <c r="V193" s="13"/>
      <c r="W193" s="14"/>
      <c r="X193" s="13"/>
      <c r="Y193" s="23"/>
    </row>
    <row r="194" spans="2:26" x14ac:dyDescent="0.3">
      <c r="B194" s="81">
        <f>MAX(B$142:B193)+1</f>
        <v>99</v>
      </c>
      <c r="C194" s="83"/>
      <c r="D194" s="18" t="s">
        <v>45</v>
      </c>
      <c r="E194" s="81"/>
      <c r="F194" s="91" t="s">
        <v>39</v>
      </c>
      <c r="G194" s="81"/>
      <c r="H194" s="12">
        <v>573.62400000000002</v>
      </c>
      <c r="I194" s="86"/>
      <c r="J194" s="12">
        <f>$H194*K194/100</f>
        <v>27.996292944</v>
      </c>
      <c r="K194" s="33">
        <v>4.8806000000000003</v>
      </c>
      <c r="L194" s="88"/>
      <c r="M194" s="12">
        <f t="shared" ref="M194:M197" si="54">J194-O194</f>
        <v>21.689257461370303</v>
      </c>
      <c r="N194" s="13"/>
      <c r="O194" s="12">
        <f>S194</f>
        <v>6.3070354826296988</v>
      </c>
      <c r="P194" s="13"/>
      <c r="Q194" s="12">
        <f t="shared" ref="Q194:Q197" si="55">S194-O194</f>
        <v>0</v>
      </c>
      <c r="R194" s="13"/>
      <c r="S194" s="12">
        <f>$H194*U194/100</f>
        <v>6.3070354826296988</v>
      </c>
      <c r="T194" s="13"/>
      <c r="U194" s="33">
        <v>1.0995069039352778</v>
      </c>
      <c r="V194" s="13"/>
      <c r="W194" s="92"/>
      <c r="X194" s="13"/>
      <c r="Y194" s="15"/>
    </row>
    <row r="195" spans="2:26" x14ac:dyDescent="0.3">
      <c r="B195" s="81">
        <f>MAX(B$142:B194)+1</f>
        <v>100</v>
      </c>
      <c r="C195" s="83"/>
      <c r="D195" s="18" t="s">
        <v>46</v>
      </c>
      <c r="E195" s="81"/>
      <c r="F195" s="91" t="s">
        <v>39</v>
      </c>
      <c r="G195" s="81"/>
      <c r="H195" s="12">
        <v>15140.038</v>
      </c>
      <c r="I195" s="86"/>
      <c r="J195" s="12">
        <f>$H195*K195/100</f>
        <v>142.3163572</v>
      </c>
      <c r="K195" s="33">
        <v>0.94</v>
      </c>
      <c r="L195" s="88"/>
      <c r="M195" s="12">
        <f t="shared" si="54"/>
        <v>-24.149405868424566</v>
      </c>
      <c r="N195" s="88"/>
      <c r="O195" s="12">
        <f t="shared" ref="O195:O196" si="56">S195</f>
        <v>166.46576306842456</v>
      </c>
      <c r="P195" s="88"/>
      <c r="Q195" s="12">
        <f t="shared" si="55"/>
        <v>0</v>
      </c>
      <c r="R195" s="88"/>
      <c r="S195" s="12">
        <f>$H195*U195/100</f>
        <v>166.46576306842456</v>
      </c>
      <c r="T195" s="88"/>
      <c r="U195" s="33">
        <v>1.0995069039352778</v>
      </c>
      <c r="V195" s="88"/>
      <c r="W195" s="92"/>
      <c r="X195" s="88"/>
      <c r="Y195" s="15"/>
      <c r="Z195" s="81"/>
    </row>
    <row r="196" spans="2:26" x14ac:dyDescent="0.3">
      <c r="B196" s="81">
        <f>MAX(B$142:B195)+1</f>
        <v>101</v>
      </c>
      <c r="C196" s="83"/>
      <c r="D196" s="18" t="s">
        <v>47</v>
      </c>
      <c r="E196" s="81"/>
      <c r="F196" s="91" t="s">
        <v>39</v>
      </c>
      <c r="G196" s="81"/>
      <c r="H196" s="12">
        <v>0</v>
      </c>
      <c r="I196" s="86"/>
      <c r="J196" s="12">
        <f>$H196*K196/100</f>
        <v>0</v>
      </c>
      <c r="K196" s="33">
        <v>4.8806000000000003</v>
      </c>
      <c r="L196" s="88"/>
      <c r="M196" s="12">
        <f t="shared" si="54"/>
        <v>0</v>
      </c>
      <c r="N196" s="88"/>
      <c r="O196" s="12">
        <f t="shared" si="56"/>
        <v>0</v>
      </c>
      <c r="P196" s="88"/>
      <c r="Q196" s="12">
        <f t="shared" si="55"/>
        <v>0</v>
      </c>
      <c r="R196" s="88"/>
      <c r="S196" s="12">
        <f>$H196*U196/100</f>
        <v>0</v>
      </c>
      <c r="T196" s="88"/>
      <c r="U196" s="33">
        <v>3.691412396941077</v>
      </c>
      <c r="V196" s="88"/>
      <c r="W196" s="92"/>
      <c r="X196" s="88"/>
      <c r="Y196" s="15"/>
      <c r="Z196" s="81"/>
    </row>
    <row r="197" spans="2:26" x14ac:dyDescent="0.3">
      <c r="B197" s="81">
        <f>MAX(B$142:B196)+1</f>
        <v>102</v>
      </c>
      <c r="C197" s="83"/>
      <c r="D197" s="18" t="s">
        <v>48</v>
      </c>
      <c r="E197" s="81"/>
      <c r="F197" s="91" t="s">
        <v>39</v>
      </c>
      <c r="G197" s="81"/>
      <c r="H197" s="12">
        <f>H191-SUM(H194:H196)</f>
        <v>0</v>
      </c>
      <c r="I197" s="86"/>
      <c r="J197" s="12">
        <f>$H197*K197/100</f>
        <v>0</v>
      </c>
      <c r="K197" s="33">
        <v>0</v>
      </c>
      <c r="L197" s="88"/>
      <c r="M197" s="12">
        <f t="shared" si="54"/>
        <v>0</v>
      </c>
      <c r="N197" s="88"/>
      <c r="O197" s="12">
        <f>S197</f>
        <v>0</v>
      </c>
      <c r="P197" s="88"/>
      <c r="Q197" s="12">
        <f t="shared" si="55"/>
        <v>0</v>
      </c>
      <c r="R197" s="88"/>
      <c r="S197" s="12">
        <f>$H197*U197/100</f>
        <v>0</v>
      </c>
      <c r="T197" s="88"/>
      <c r="U197" s="33">
        <v>1.0995069039352778</v>
      </c>
      <c r="V197" s="88"/>
      <c r="W197" s="14"/>
      <c r="X197" s="88"/>
      <c r="Y197" s="15"/>
      <c r="Z197" s="81"/>
    </row>
    <row r="198" spans="2:26" x14ac:dyDescent="0.3">
      <c r="B198" s="81">
        <f>MAX(B$142:B197)+1</f>
        <v>103</v>
      </c>
      <c r="C198" s="83"/>
      <c r="D198" s="10" t="s">
        <v>44</v>
      </c>
      <c r="E198" s="81"/>
      <c r="F198" s="11"/>
      <c r="G198" s="81"/>
      <c r="H198" s="89">
        <f>SUM(H194:H197)</f>
        <v>15713.662</v>
      </c>
      <c r="I198" s="86"/>
      <c r="J198" s="89">
        <f>SUM(J194:J197)</f>
        <v>170.312650144</v>
      </c>
      <c r="K198" s="19">
        <f>J198/$H198*100</f>
        <v>1.0838507926669163</v>
      </c>
      <c r="L198" s="88"/>
      <c r="M198" s="89">
        <f>SUM(M194:M197)</f>
        <v>-2.4601484070542625</v>
      </c>
      <c r="N198" s="13"/>
      <c r="O198" s="89">
        <f>SUM(O194:O197)</f>
        <v>172.77279855105425</v>
      </c>
      <c r="P198" s="13"/>
      <c r="Q198" s="89">
        <f>SUM(Q194:Q197)</f>
        <v>0</v>
      </c>
      <c r="R198" s="13"/>
      <c r="S198" s="89">
        <f>SUM(S194:S197)</f>
        <v>172.77279855105425</v>
      </c>
      <c r="T198" s="13"/>
      <c r="U198" s="19">
        <f>S198/$H198*100</f>
        <v>1.0995069039352778</v>
      </c>
      <c r="V198" s="13"/>
      <c r="W198" s="90">
        <f>S198/O198</f>
        <v>1</v>
      </c>
      <c r="X198" s="13"/>
      <c r="Y198" s="20">
        <f>U198/K198-1</f>
        <v>1.4444895343793673E-2</v>
      </c>
    </row>
    <row r="199" spans="2:26" x14ac:dyDescent="0.3"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24"/>
    </row>
    <row r="200" spans="2:26" x14ac:dyDescent="0.3">
      <c r="B200" s="81">
        <f>MAX(B$142:B199)+1</f>
        <v>104</v>
      </c>
      <c r="C200" s="83"/>
      <c r="D200" s="10" t="s">
        <v>49</v>
      </c>
      <c r="E200" s="81"/>
      <c r="F200" s="11" t="s">
        <v>39</v>
      </c>
      <c r="G200" s="81"/>
      <c r="H200" s="12">
        <f>H194</f>
        <v>573.62400000000002</v>
      </c>
      <c r="I200" s="86"/>
      <c r="J200" s="12">
        <f>$H200*K200/100</f>
        <v>59.929367400000004</v>
      </c>
      <c r="K200" s="33">
        <v>10.4475</v>
      </c>
      <c r="L200" s="88"/>
      <c r="M200" s="12">
        <f>J200-O200</f>
        <v>-18.285552327479436</v>
      </c>
      <c r="N200" s="13"/>
      <c r="O200" s="12">
        <f>S200</f>
        <v>78.21491972747944</v>
      </c>
      <c r="P200" s="13"/>
      <c r="Q200" s="12">
        <f>S200-O200</f>
        <v>0</v>
      </c>
      <c r="R200" s="13"/>
      <c r="S200" s="12">
        <f>$H200*U200/100</f>
        <v>78.21491972747944</v>
      </c>
      <c r="T200" s="13"/>
      <c r="U200" s="33">
        <v>13.635224420086928</v>
      </c>
      <c r="V200" s="13"/>
      <c r="W200" s="14">
        <f>S200/O200</f>
        <v>1</v>
      </c>
      <c r="X200" s="13"/>
      <c r="Y200" s="15">
        <f>U200/K200-1</f>
        <v>0.3051183938824531</v>
      </c>
    </row>
    <row r="201" spans="2:26" x14ac:dyDescent="0.3">
      <c r="B201" s="81"/>
      <c r="C201" s="83"/>
      <c r="D201" s="10"/>
      <c r="E201" s="81"/>
      <c r="F201" s="11"/>
      <c r="G201" s="81"/>
      <c r="H201" s="12"/>
      <c r="I201" s="86"/>
      <c r="J201" s="12"/>
      <c r="K201" s="33"/>
      <c r="L201" s="88"/>
      <c r="M201" s="12"/>
      <c r="N201" s="13"/>
      <c r="O201" s="12"/>
      <c r="P201" s="13"/>
      <c r="Q201" s="12"/>
      <c r="R201" s="13"/>
      <c r="S201" s="12"/>
      <c r="T201" s="13"/>
      <c r="U201" s="33"/>
      <c r="V201" s="13"/>
      <c r="W201" s="14"/>
      <c r="X201" s="13"/>
      <c r="Y201" s="15"/>
    </row>
    <row r="202" spans="2:26" ht="12.9" thickBot="1" x14ac:dyDescent="0.35">
      <c r="B202" s="81">
        <f>MAX(B$142:B201)+1</f>
        <v>105</v>
      </c>
      <c r="C202" s="83"/>
      <c r="D202" s="10" t="s">
        <v>83</v>
      </c>
      <c r="E202" s="81"/>
      <c r="F202" s="11"/>
      <c r="G202" s="81"/>
      <c r="H202" s="93">
        <f>H191</f>
        <v>15713.662</v>
      </c>
      <c r="I202" s="86"/>
      <c r="J202" s="93">
        <f>SUM(J191,J198,J200)</f>
        <v>1214.5653213177534</v>
      </c>
      <c r="K202" s="25">
        <f>J202/$H202*100</f>
        <v>7.7293588300279934</v>
      </c>
      <c r="L202" s="88"/>
      <c r="M202" s="93">
        <f>SUM(M191,M198,M200)</f>
        <v>184.3564087098365</v>
      </c>
      <c r="N202" s="13"/>
      <c r="O202" s="93">
        <f>SUM(O191,O198,O200)</f>
        <v>1116.3111701421633</v>
      </c>
      <c r="P202" s="13"/>
      <c r="Q202" s="93">
        <f>SUM(Q191,Q198,Q200)</f>
        <v>-1.1368683772161603E-13</v>
      </c>
      <c r="R202" s="13"/>
      <c r="S202" s="93">
        <f>SUM(S191,S198,S200)</f>
        <v>1116.3111701421633</v>
      </c>
      <c r="T202" s="13"/>
      <c r="U202" s="25">
        <f>S202/$H202*100</f>
        <v>7.1040803228563991</v>
      </c>
      <c r="V202" s="13"/>
      <c r="W202" s="94">
        <f>S202/O202</f>
        <v>1</v>
      </c>
      <c r="X202" s="13"/>
      <c r="Y202" s="26">
        <f>U202/K202-1</f>
        <v>-8.0896555706850282E-2</v>
      </c>
    </row>
    <row r="203" spans="2:26" ht="12.9" thickTop="1" x14ac:dyDescent="0.3">
      <c r="B203" s="81"/>
      <c r="C203" s="83"/>
      <c r="D203" s="10"/>
      <c r="E203" s="81"/>
      <c r="F203" s="11"/>
      <c r="G203" s="81"/>
      <c r="H203" s="88"/>
      <c r="I203" s="86"/>
      <c r="J203" s="88"/>
      <c r="K203" s="33"/>
      <c r="L203" s="88"/>
      <c r="M203" s="88"/>
      <c r="N203" s="13"/>
      <c r="O203" s="88"/>
      <c r="P203" s="13"/>
      <c r="Q203" s="88"/>
      <c r="R203" s="13"/>
      <c r="S203" s="88"/>
      <c r="T203" s="13"/>
      <c r="U203" s="33"/>
      <c r="V203" s="13"/>
      <c r="W203" s="92"/>
      <c r="X203" s="13"/>
      <c r="Y203" s="16"/>
    </row>
    <row r="204" spans="2:26" x14ac:dyDescent="0.3">
      <c r="B204" s="81"/>
      <c r="C204" s="83"/>
      <c r="D204" s="3" t="s">
        <v>84</v>
      </c>
      <c r="E204" s="81"/>
      <c r="F204" s="7"/>
      <c r="G204" s="81"/>
      <c r="H204" s="27"/>
      <c r="I204" s="86"/>
      <c r="J204" s="27"/>
      <c r="K204" s="86"/>
      <c r="L204" s="86"/>
      <c r="M204" s="28"/>
      <c r="N204" s="86"/>
      <c r="O204" s="29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1"/>
    </row>
    <row r="205" spans="2:26" x14ac:dyDescent="0.3">
      <c r="B205" s="81">
        <f>MAX(B$66:B204)+1</f>
        <v>106</v>
      </c>
      <c r="C205" s="83"/>
      <c r="D205" s="10" t="s">
        <v>35</v>
      </c>
      <c r="E205" s="81"/>
      <c r="F205" s="11" t="s">
        <v>36</v>
      </c>
      <c r="G205" s="81"/>
      <c r="H205" s="12">
        <v>264</v>
      </c>
      <c r="I205" s="86"/>
      <c r="J205" s="12">
        <f>$H205*K205/1000</f>
        <v>82.840560000000011</v>
      </c>
      <c r="K205" s="87">
        <v>313.79000000000002</v>
      </c>
      <c r="L205" s="88"/>
      <c r="M205" s="12">
        <f t="shared" ref="M205:M206" si="57">J205-O205</f>
        <v>-364.5151692084404</v>
      </c>
      <c r="N205" s="13"/>
      <c r="O205" s="12">
        <v>447.35572920844038</v>
      </c>
      <c r="P205" s="13"/>
      <c r="Q205" s="12">
        <f t="shared" ref="Q205:Q206" si="58">S205-O205</f>
        <v>-364.5151692084404</v>
      </c>
      <c r="R205" s="13"/>
      <c r="S205" s="12">
        <f>$H205*U205/1000</f>
        <v>82.840560000000011</v>
      </c>
      <c r="T205" s="13"/>
      <c r="U205" s="87">
        <v>313.79000000000002</v>
      </c>
      <c r="V205" s="13"/>
      <c r="W205" s="14">
        <f>S205/O205</f>
        <v>0.18517826997897099</v>
      </c>
      <c r="X205" s="13"/>
      <c r="Y205" s="15">
        <f t="shared" ref="Y205:Y206" si="59">U205/K205-1</f>
        <v>0</v>
      </c>
    </row>
    <row r="206" spans="2:26" x14ac:dyDescent="0.3">
      <c r="B206" s="81">
        <f>MAX(B$205:B205)+1</f>
        <v>107</v>
      </c>
      <c r="C206" s="83"/>
      <c r="D206" s="10" t="s">
        <v>61</v>
      </c>
      <c r="E206" s="81"/>
      <c r="F206" s="11" t="s">
        <v>62</v>
      </c>
      <c r="G206" s="81"/>
      <c r="H206" s="12">
        <v>30927.768</v>
      </c>
      <c r="I206" s="86"/>
      <c r="J206" s="12">
        <f>$H206*K206/100</f>
        <v>1427.5329875760001</v>
      </c>
      <c r="K206" s="33">
        <v>4.6157000000000004</v>
      </c>
      <c r="L206" s="88"/>
      <c r="M206" s="12">
        <f t="shared" si="57"/>
        <v>647.38829316001124</v>
      </c>
      <c r="N206" s="13"/>
      <c r="O206" s="12">
        <v>780.14469441598885</v>
      </c>
      <c r="P206" s="13"/>
      <c r="Q206" s="12">
        <f t="shared" si="58"/>
        <v>364.51516920844051</v>
      </c>
      <c r="R206" s="13"/>
      <c r="S206" s="12">
        <f>$H206*U206/100</f>
        <v>1144.6598636244294</v>
      </c>
      <c r="T206" s="13"/>
      <c r="U206" s="33">
        <v>3.7010749163160739</v>
      </c>
      <c r="V206" s="13"/>
      <c r="W206" s="14">
        <f>S206/O206</f>
        <v>1.4672404642594079</v>
      </c>
      <c r="X206" s="13"/>
      <c r="Y206" s="15">
        <f t="shared" si="59"/>
        <v>-0.19815522752430326</v>
      </c>
    </row>
    <row r="207" spans="2:26" x14ac:dyDescent="0.3">
      <c r="B207" s="81"/>
      <c r="C207" s="83"/>
      <c r="D207" s="10" t="s">
        <v>37</v>
      </c>
      <c r="E207" s="81"/>
      <c r="F207" s="11"/>
      <c r="G207" s="81"/>
      <c r="H207" s="12"/>
      <c r="I207" s="86"/>
      <c r="J207" s="12"/>
      <c r="K207" s="33"/>
      <c r="L207" s="88"/>
      <c r="M207" s="12"/>
      <c r="N207" s="13"/>
      <c r="O207" s="12"/>
      <c r="P207" s="13"/>
      <c r="Q207" s="12"/>
      <c r="R207" s="13"/>
      <c r="S207" s="12"/>
      <c r="T207" s="13"/>
      <c r="U207" s="33"/>
      <c r="V207" s="13"/>
      <c r="W207" s="14"/>
      <c r="X207" s="13"/>
      <c r="Y207" s="16"/>
      <c r="Z207" s="81"/>
    </row>
    <row r="208" spans="2:26" x14ac:dyDescent="0.3">
      <c r="B208" s="81">
        <f>MAX(B$205:B207)+1</f>
        <v>108</v>
      </c>
      <c r="C208" s="83"/>
      <c r="D208" s="18" t="s">
        <v>65</v>
      </c>
      <c r="E208" s="81"/>
      <c r="F208" s="11" t="s">
        <v>39</v>
      </c>
      <c r="G208" s="81"/>
      <c r="H208" s="12">
        <v>183923.41800000001</v>
      </c>
      <c r="I208" s="86"/>
      <c r="J208" s="12">
        <f>$H208*K208/100</f>
        <v>1176.9259517819999</v>
      </c>
      <c r="K208" s="33">
        <v>0.63989999999999991</v>
      </c>
      <c r="L208" s="88"/>
      <c r="M208" s="12">
        <f t="shared" ref="M208:M209" si="60">J208-O208</f>
        <v>880.25468634350079</v>
      </c>
      <c r="N208" s="13"/>
      <c r="O208" s="12">
        <f t="shared" ref="O208:O209" si="61">S208</f>
        <v>296.67126543849906</v>
      </c>
      <c r="P208" s="13"/>
      <c r="Q208" s="12">
        <f t="shared" ref="Q208:Q209" si="62">S208-O208</f>
        <v>0</v>
      </c>
      <c r="R208" s="13"/>
      <c r="S208" s="12">
        <f>$H208*U208/100</f>
        <v>296.67126543849906</v>
      </c>
      <c r="T208" s="13"/>
      <c r="U208" s="33">
        <v>0.16130151813430255</v>
      </c>
      <c r="V208" s="13"/>
      <c r="W208" s="14"/>
      <c r="X208" s="13"/>
      <c r="Y208" s="16"/>
      <c r="Z208" s="81"/>
    </row>
    <row r="209" spans="2:26" x14ac:dyDescent="0.3">
      <c r="B209" s="81">
        <f>MAX(B$205:B208)+1</f>
        <v>109</v>
      </c>
      <c r="C209" s="83"/>
      <c r="D209" s="18" t="s">
        <v>66</v>
      </c>
      <c r="E209" s="81"/>
      <c r="F209" s="11" t="s">
        <v>39</v>
      </c>
      <c r="G209" s="81"/>
      <c r="H209" s="12">
        <v>139330.31</v>
      </c>
      <c r="I209" s="86"/>
      <c r="J209" s="12">
        <f>$H209*K209/100</f>
        <v>891.57465368999988</v>
      </c>
      <c r="K209" s="33">
        <v>0.63989999999999991</v>
      </c>
      <c r="L209" s="88"/>
      <c r="M209" s="12">
        <f t="shared" si="60"/>
        <v>666.83274843876995</v>
      </c>
      <c r="N209" s="13"/>
      <c r="O209" s="12">
        <f t="shared" si="61"/>
        <v>224.74190525122995</v>
      </c>
      <c r="P209" s="13"/>
      <c r="Q209" s="12">
        <f t="shared" si="62"/>
        <v>0</v>
      </c>
      <c r="R209" s="13"/>
      <c r="S209" s="12">
        <f>$H209*U209/100</f>
        <v>224.74190525122995</v>
      </c>
      <c r="T209" s="13"/>
      <c r="U209" s="33">
        <v>0.16130151813430255</v>
      </c>
      <c r="V209" s="13"/>
      <c r="W209" s="14"/>
      <c r="X209" s="13"/>
      <c r="Y209" s="16"/>
      <c r="Z209" s="81"/>
    </row>
    <row r="210" spans="2:26" x14ac:dyDescent="0.3">
      <c r="B210" s="81">
        <f>MAX(B$205:B209)+1</f>
        <v>110</v>
      </c>
      <c r="C210" s="83"/>
      <c r="D210" s="10" t="s">
        <v>37</v>
      </c>
      <c r="E210" s="81"/>
      <c r="F210" s="11"/>
      <c r="G210" s="81"/>
      <c r="H210" s="89">
        <f>SUM(H208:H209)</f>
        <v>323253.728</v>
      </c>
      <c r="I210" s="86"/>
      <c r="J210" s="89">
        <f>SUM(J208:J209)</f>
        <v>2068.5006054719997</v>
      </c>
      <c r="K210" s="19">
        <f>J210/$H210*100</f>
        <v>0.63989999999999991</v>
      </c>
      <c r="L210" s="88"/>
      <c r="M210" s="89">
        <f>SUM(M208:M209)</f>
        <v>1547.0874347822707</v>
      </c>
      <c r="N210" s="13"/>
      <c r="O210" s="89">
        <f>SUM(O208:O209)</f>
        <v>521.41317068972899</v>
      </c>
      <c r="P210" s="13"/>
      <c r="Q210" s="89">
        <f>SUM(Q208:Q209)</f>
        <v>0</v>
      </c>
      <c r="R210" s="13"/>
      <c r="S210" s="89">
        <f>SUM(S208:S209)</f>
        <v>521.41317068972899</v>
      </c>
      <c r="T210" s="13"/>
      <c r="U210" s="19">
        <f>S210/$H210*100</f>
        <v>0.16130151813430255</v>
      </c>
      <c r="V210" s="13"/>
      <c r="W210" s="90">
        <f>S210/O210</f>
        <v>1</v>
      </c>
      <c r="X210" s="13"/>
      <c r="Y210" s="20">
        <f>U210/K210-1</f>
        <v>-0.74792699150757525</v>
      </c>
    </row>
    <row r="211" spans="2:26" x14ac:dyDescent="0.3">
      <c r="B211" s="81"/>
      <c r="C211" s="83"/>
      <c r="D211" s="10"/>
      <c r="E211" s="81"/>
      <c r="F211" s="11"/>
      <c r="G211" s="81"/>
      <c r="H211" s="12"/>
      <c r="I211" s="86"/>
      <c r="J211" s="12"/>
      <c r="K211" s="33"/>
      <c r="L211" s="88"/>
      <c r="M211" s="12"/>
      <c r="N211" s="13"/>
      <c r="O211" s="12"/>
      <c r="P211" s="13"/>
      <c r="Q211" s="12"/>
      <c r="R211" s="13"/>
      <c r="S211" s="12"/>
      <c r="T211" s="13"/>
      <c r="U211" s="33"/>
      <c r="V211" s="13"/>
      <c r="W211" s="14"/>
      <c r="X211" s="13"/>
      <c r="Y211" s="16"/>
    </row>
    <row r="212" spans="2:26" x14ac:dyDescent="0.3">
      <c r="B212" s="81">
        <f>MAX(B$205:B211)+1</f>
        <v>111</v>
      </c>
      <c r="C212" s="83"/>
      <c r="D212" s="10" t="s">
        <v>82</v>
      </c>
      <c r="E212" s="81"/>
      <c r="F212" s="11"/>
      <c r="G212" s="81"/>
      <c r="H212" s="12"/>
      <c r="I212" s="86"/>
      <c r="J212" s="12">
        <v>-3896.7572690410966</v>
      </c>
      <c r="K212" s="33"/>
      <c r="L212" s="88"/>
      <c r="M212" s="12"/>
      <c r="N212" s="13"/>
      <c r="O212" s="12">
        <f>S212</f>
        <v>0</v>
      </c>
      <c r="P212" s="13"/>
      <c r="Q212" s="12"/>
      <c r="R212" s="13"/>
      <c r="S212" s="12">
        <v>0</v>
      </c>
      <c r="T212" s="13"/>
      <c r="U212" s="12"/>
      <c r="V212" s="13"/>
      <c r="W212" s="14"/>
      <c r="X212" s="13"/>
      <c r="Y212" s="12"/>
    </row>
    <row r="213" spans="2:26" x14ac:dyDescent="0.3">
      <c r="B213" s="81"/>
      <c r="C213" s="83"/>
      <c r="D213" s="10"/>
      <c r="E213" s="81"/>
      <c r="F213" s="11"/>
      <c r="G213" s="81"/>
      <c r="H213" s="12"/>
      <c r="I213" s="86"/>
      <c r="J213" s="12"/>
      <c r="K213" s="33"/>
      <c r="L213" s="88"/>
      <c r="M213" s="12"/>
      <c r="N213" s="13"/>
      <c r="O213" s="12"/>
      <c r="P213" s="13"/>
      <c r="Q213" s="12"/>
      <c r="R213" s="13"/>
      <c r="S213" s="12"/>
      <c r="T213" s="13"/>
      <c r="U213" s="33"/>
      <c r="V213" s="13"/>
      <c r="W213" s="14"/>
      <c r="X213" s="13"/>
      <c r="Y213" s="16"/>
    </row>
    <row r="214" spans="2:26" x14ac:dyDescent="0.3">
      <c r="B214" s="81">
        <f>MAX(B$205:B213)+1</f>
        <v>112</v>
      </c>
      <c r="C214" s="83"/>
      <c r="D214" s="10" t="s">
        <v>43</v>
      </c>
      <c r="E214" s="81"/>
      <c r="F214" s="11"/>
      <c r="G214" s="81"/>
      <c r="H214" s="89">
        <f>H210</f>
        <v>323253.728</v>
      </c>
      <c r="I214" s="86"/>
      <c r="J214" s="89">
        <f>SUM(J205:J206,J210,J212)</f>
        <v>-317.88311599309645</v>
      </c>
      <c r="K214" s="19">
        <f>J214/$H214*100</f>
        <v>-9.8338576931461225E-2</v>
      </c>
      <c r="L214" s="88"/>
      <c r="M214" s="89">
        <f>SUM(M205:M206,M210,M212)</f>
        <v>1829.9605587338415</v>
      </c>
      <c r="N214" s="13"/>
      <c r="O214" s="89">
        <f>SUM(O205:O206,O210,O212)</f>
        <v>1748.9135943141582</v>
      </c>
      <c r="P214" s="13"/>
      <c r="Q214" s="89">
        <f>ROUND( SUM(Q205:Q206,Q210,Q212), 0)</f>
        <v>0</v>
      </c>
      <c r="R214" s="13"/>
      <c r="S214" s="89">
        <f>SUM(S205:S206,S210,S212)</f>
        <v>1748.9135943141584</v>
      </c>
      <c r="T214" s="13"/>
      <c r="U214" s="19">
        <f>S214/$H214*100</f>
        <v>0.5410343154075421</v>
      </c>
      <c r="V214" s="13"/>
      <c r="W214" s="90">
        <f>S214/O214</f>
        <v>1.0000000000000002</v>
      </c>
      <c r="X214" s="13"/>
      <c r="Y214" s="20">
        <f>U214/K214-1</f>
        <v>-6.5017505061581815</v>
      </c>
    </row>
    <row r="215" spans="2:26" x14ac:dyDescent="0.3">
      <c r="E215" s="81"/>
      <c r="F215" s="11"/>
      <c r="G215" s="81"/>
      <c r="H215" s="12"/>
      <c r="I215" s="86"/>
      <c r="J215" s="12"/>
      <c r="K215" s="33"/>
      <c r="L215" s="88"/>
      <c r="M215" s="12"/>
      <c r="N215" s="13"/>
      <c r="O215" s="12"/>
      <c r="P215" s="13"/>
      <c r="Q215" s="12"/>
      <c r="R215" s="13"/>
      <c r="S215" s="12"/>
      <c r="T215" s="13"/>
      <c r="U215" s="33"/>
      <c r="V215" s="13"/>
      <c r="W215" s="14"/>
      <c r="X215" s="13"/>
      <c r="Y215" s="15"/>
    </row>
    <row r="216" spans="2:26" x14ac:dyDescent="0.3">
      <c r="B216" s="81"/>
      <c r="C216" s="83"/>
      <c r="D216" s="10" t="s">
        <v>44</v>
      </c>
      <c r="E216" s="81"/>
      <c r="F216" s="91"/>
      <c r="G216" s="81"/>
      <c r="H216" s="12"/>
      <c r="I216" s="86"/>
      <c r="J216" s="12"/>
      <c r="K216" s="33"/>
      <c r="L216" s="88"/>
      <c r="M216" s="12"/>
      <c r="N216" s="13"/>
      <c r="O216" s="12"/>
      <c r="P216" s="13"/>
      <c r="Q216" s="12"/>
      <c r="R216" s="13"/>
      <c r="S216" s="12"/>
      <c r="T216" s="13"/>
      <c r="U216" s="22"/>
      <c r="V216" s="13"/>
      <c r="W216" s="14"/>
      <c r="X216" s="13"/>
      <c r="Y216" s="23"/>
    </row>
    <row r="217" spans="2:26" x14ac:dyDescent="0.3">
      <c r="B217" s="81">
        <f>MAX(B$205:B216)+1</f>
        <v>113</v>
      </c>
      <c r="C217" s="83"/>
      <c r="D217" s="18" t="s">
        <v>45</v>
      </c>
      <c r="E217" s="81"/>
      <c r="F217" s="91" t="s">
        <v>39</v>
      </c>
      <c r="G217" s="81"/>
      <c r="H217" s="12">
        <v>5360.2020000000002</v>
      </c>
      <c r="I217" s="86"/>
      <c r="J217" s="12">
        <f>$H217*K217/100</f>
        <v>261.61001881200002</v>
      </c>
      <c r="K217" s="33">
        <v>4.8806000000000003</v>
      </c>
      <c r="L217" s="88"/>
      <c r="M217" s="12">
        <f t="shared" ref="M217:M220" si="63">J217-O217</f>
        <v>202.67422109901932</v>
      </c>
      <c r="N217" s="13"/>
      <c r="O217" s="12">
        <f>S217</f>
        <v>58.935797712980701</v>
      </c>
      <c r="P217" s="13"/>
      <c r="Q217" s="12">
        <f t="shared" ref="Q217:Q220" si="64">S217-O217</f>
        <v>0</v>
      </c>
      <c r="R217" s="13"/>
      <c r="S217" s="12">
        <f>$H217*U217/100</f>
        <v>58.935797712980701</v>
      </c>
      <c r="T217" s="13"/>
      <c r="U217" s="33">
        <v>1.0995070281489523</v>
      </c>
      <c r="V217" s="13"/>
      <c r="W217" s="92"/>
      <c r="X217" s="13"/>
      <c r="Y217" s="15"/>
    </row>
    <row r="218" spans="2:26" x14ac:dyDescent="0.3">
      <c r="B218" s="81">
        <f>MAX(B$205:B217)+1</f>
        <v>114</v>
      </c>
      <c r="C218" s="83"/>
      <c r="D218" s="18" t="s">
        <v>46</v>
      </c>
      <c r="E218" s="81"/>
      <c r="F218" s="91" t="s">
        <v>39</v>
      </c>
      <c r="G218" s="81"/>
      <c r="H218" s="12">
        <v>108433.382</v>
      </c>
      <c r="I218" s="86"/>
      <c r="J218" s="12">
        <f>$H218*K218/100</f>
        <v>1019.2737908</v>
      </c>
      <c r="K218" s="33">
        <v>0.94</v>
      </c>
      <c r="L218" s="88"/>
      <c r="M218" s="12">
        <f t="shared" si="63"/>
        <v>-172.95886514960091</v>
      </c>
      <c r="N218" s="88"/>
      <c r="O218" s="12">
        <f t="shared" ref="O218:O219" si="65">S218</f>
        <v>1192.2326559496009</v>
      </c>
      <c r="P218" s="88"/>
      <c r="Q218" s="12">
        <f t="shared" si="64"/>
        <v>0</v>
      </c>
      <c r="R218" s="88"/>
      <c r="S218" s="12">
        <f>$H218*U218/100</f>
        <v>1192.2326559496009</v>
      </c>
      <c r="T218" s="88"/>
      <c r="U218" s="33">
        <v>1.0995070281489523</v>
      </c>
      <c r="V218" s="88"/>
      <c r="W218" s="92"/>
      <c r="X218" s="88"/>
      <c r="Y218" s="15"/>
      <c r="Z218" s="81"/>
    </row>
    <row r="219" spans="2:26" x14ac:dyDescent="0.3">
      <c r="B219" s="81">
        <f>MAX(B$205:B218)+1</f>
        <v>115</v>
      </c>
      <c r="C219" s="83"/>
      <c r="D219" s="18" t="s">
        <v>47</v>
      </c>
      <c r="E219" s="81"/>
      <c r="F219" s="91" t="s">
        <v>39</v>
      </c>
      <c r="G219" s="81"/>
      <c r="H219" s="12">
        <v>0</v>
      </c>
      <c r="I219" s="86"/>
      <c r="J219" s="12">
        <f>$H219*K219/100</f>
        <v>0</v>
      </c>
      <c r="K219" s="33">
        <v>4.8806000000000003</v>
      </c>
      <c r="L219" s="88"/>
      <c r="M219" s="12">
        <f t="shared" si="63"/>
        <v>0</v>
      </c>
      <c r="N219" s="88"/>
      <c r="O219" s="12">
        <f t="shared" si="65"/>
        <v>0</v>
      </c>
      <c r="P219" s="88"/>
      <c r="Q219" s="12">
        <f t="shared" si="64"/>
        <v>0</v>
      </c>
      <c r="R219" s="88"/>
      <c r="S219" s="12">
        <f>$H219*U219/100</f>
        <v>0</v>
      </c>
      <c r="T219" s="88"/>
      <c r="U219" s="33">
        <v>3.6914125211547519</v>
      </c>
      <c r="V219" s="88"/>
      <c r="W219" s="92"/>
      <c r="X219" s="88"/>
      <c r="Y219" s="15"/>
      <c r="Z219" s="81"/>
    </row>
    <row r="220" spans="2:26" x14ac:dyDescent="0.3">
      <c r="B220" s="81">
        <f>MAX(B$205:B219)+1</f>
        <v>116</v>
      </c>
      <c r="C220" s="83"/>
      <c r="D220" s="18" t="s">
        <v>48</v>
      </c>
      <c r="E220" s="81"/>
      <c r="F220" s="91" t="s">
        <v>39</v>
      </c>
      <c r="G220" s="81"/>
      <c r="H220" s="12">
        <f>H214-SUM(H217:H219)</f>
        <v>209460.144</v>
      </c>
      <c r="I220" s="86"/>
      <c r="J220" s="12">
        <f>$H220*K220/100</f>
        <v>0</v>
      </c>
      <c r="K220" s="33">
        <v>0</v>
      </c>
      <c r="L220" s="88"/>
      <c r="M220" s="12">
        <f t="shared" si="63"/>
        <v>-2303.0290044509161</v>
      </c>
      <c r="N220" s="88"/>
      <c r="O220" s="12">
        <f>S220</f>
        <v>2303.0290044509161</v>
      </c>
      <c r="P220" s="88"/>
      <c r="Q220" s="12">
        <f t="shared" si="64"/>
        <v>0</v>
      </c>
      <c r="R220" s="88"/>
      <c r="S220" s="12">
        <f>$H220*U220/100</f>
        <v>2303.0290044509161</v>
      </c>
      <c r="T220" s="88"/>
      <c r="U220" s="33">
        <v>1.0995070281489523</v>
      </c>
      <c r="V220" s="88"/>
      <c r="W220" s="14"/>
      <c r="X220" s="88"/>
      <c r="Y220" s="15"/>
      <c r="Z220" s="81"/>
    </row>
    <row r="221" spans="2:26" x14ac:dyDescent="0.3">
      <c r="B221" s="81">
        <f>MAX(B$205:B220)+1</f>
        <v>117</v>
      </c>
      <c r="C221" s="83"/>
      <c r="D221" s="10" t="s">
        <v>44</v>
      </c>
      <c r="E221" s="81"/>
      <c r="F221" s="11"/>
      <c r="G221" s="81"/>
      <c r="H221" s="89">
        <f>SUM(H217:H220)</f>
        <v>323253.728</v>
      </c>
      <c r="I221" s="86"/>
      <c r="J221" s="89">
        <f>SUM(J217:J220)</f>
        <v>1280.8838096120001</v>
      </c>
      <c r="K221" s="19">
        <f>J221/$H221*100</f>
        <v>0.39624718871362868</v>
      </c>
      <c r="L221" s="88"/>
      <c r="M221" s="89">
        <f>SUM(M217:M220)</f>
        <v>-2273.3136485014975</v>
      </c>
      <c r="N221" s="13"/>
      <c r="O221" s="89">
        <f>SUM(O217:O220)</f>
        <v>3554.1974581134978</v>
      </c>
      <c r="P221" s="13"/>
      <c r="Q221" s="89">
        <f>SUM(Q217:Q220)</f>
        <v>0</v>
      </c>
      <c r="R221" s="13"/>
      <c r="S221" s="89">
        <f>SUM(S217:S220)</f>
        <v>3554.1974581134978</v>
      </c>
      <c r="T221" s="13"/>
      <c r="U221" s="19">
        <f>S221/$H221*100</f>
        <v>1.0995070281489523</v>
      </c>
      <c r="V221" s="13"/>
      <c r="W221" s="90">
        <f>S221/O221</f>
        <v>1</v>
      </c>
      <c r="X221" s="13"/>
      <c r="Y221" s="20">
        <f>U221/K221-1</f>
        <v>1.7748008300535241</v>
      </c>
    </row>
    <row r="222" spans="2:26" x14ac:dyDescent="0.3"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24"/>
    </row>
    <row r="223" spans="2:26" x14ac:dyDescent="0.3">
      <c r="B223" s="81">
        <f>MAX(B$205:B222)+1</f>
        <v>118</v>
      </c>
      <c r="C223" s="83"/>
      <c r="D223" s="10" t="s">
        <v>49</v>
      </c>
      <c r="E223" s="81"/>
      <c r="F223" s="11" t="s">
        <v>39</v>
      </c>
      <c r="G223" s="81"/>
      <c r="H223" s="12">
        <f>H217</f>
        <v>5360.2020000000002</v>
      </c>
      <c r="I223" s="86"/>
      <c r="J223" s="12">
        <f>$H223*K223/100</f>
        <v>559.79269586999999</v>
      </c>
      <c r="K223" s="33">
        <v>10.4435</v>
      </c>
      <c r="L223" s="88"/>
      <c r="M223" s="12">
        <f>J223-O223</f>
        <v>-171.08287619998794</v>
      </c>
      <c r="N223" s="13"/>
      <c r="O223" s="12">
        <f>S223</f>
        <v>730.87557206998792</v>
      </c>
      <c r="P223" s="13"/>
      <c r="Q223" s="12">
        <f>S223-O223</f>
        <v>0</v>
      </c>
      <c r="R223" s="13"/>
      <c r="S223" s="12">
        <f>$H223*U223/100</f>
        <v>730.87557206998792</v>
      </c>
      <c r="T223" s="13"/>
      <c r="U223" s="33">
        <v>13.635224420086928</v>
      </c>
      <c r="V223" s="13"/>
      <c r="W223" s="14">
        <f>S223/O223</f>
        <v>1</v>
      </c>
      <c r="X223" s="13"/>
      <c r="Y223" s="15">
        <f>U223/K223-1</f>
        <v>0.30561827166054756</v>
      </c>
    </row>
    <row r="224" spans="2:26" x14ac:dyDescent="0.3">
      <c r="B224" s="81"/>
      <c r="C224" s="83"/>
      <c r="D224" s="10"/>
      <c r="E224" s="81"/>
      <c r="F224" s="11"/>
      <c r="G224" s="81"/>
      <c r="H224" s="12"/>
      <c r="I224" s="86"/>
      <c r="J224" s="12"/>
      <c r="K224" s="33"/>
      <c r="L224" s="88"/>
      <c r="M224" s="12"/>
      <c r="N224" s="13"/>
      <c r="O224" s="12"/>
      <c r="P224" s="13"/>
      <c r="Q224" s="12"/>
      <c r="R224" s="13"/>
      <c r="S224" s="12"/>
      <c r="T224" s="13"/>
      <c r="U224" s="33"/>
      <c r="V224" s="13"/>
      <c r="W224" s="14"/>
      <c r="X224" s="13"/>
      <c r="Y224" s="15"/>
    </row>
    <row r="225" spans="2:26" ht="12.9" thickBot="1" x14ac:dyDescent="0.35">
      <c r="B225" s="81">
        <f>MAX(B$205:B224)+1</f>
        <v>119</v>
      </c>
      <c r="C225" s="83"/>
      <c r="D225" s="10" t="s">
        <v>85</v>
      </c>
      <c r="E225" s="81"/>
      <c r="F225" s="11"/>
      <c r="G225" s="81"/>
      <c r="H225" s="93">
        <f>H214</f>
        <v>323253.728</v>
      </c>
      <c r="I225" s="86"/>
      <c r="J225" s="93">
        <f>SUM(J214,J221,J223)</f>
        <v>1522.7933894889036</v>
      </c>
      <c r="K225" s="25">
        <f>J225/$H225*100</f>
        <v>0.47108300928517166</v>
      </c>
      <c r="L225" s="88"/>
      <c r="M225" s="93">
        <f>SUM(M214,M221,M223)</f>
        <v>-614.43596596764394</v>
      </c>
      <c r="N225" s="13"/>
      <c r="O225" s="93">
        <f>SUM(O214,O221,O223)</f>
        <v>6033.9866244976438</v>
      </c>
      <c r="P225" s="13"/>
      <c r="Q225" s="93">
        <f>SUM(Q214,Q221,Q223)</f>
        <v>0</v>
      </c>
      <c r="R225" s="13"/>
      <c r="S225" s="93">
        <f>SUM(S214,S221,S223)</f>
        <v>6033.9866244976447</v>
      </c>
      <c r="T225" s="13"/>
      <c r="U225" s="25">
        <f>S225/$H225*100</f>
        <v>1.8666410011202235</v>
      </c>
      <c r="V225" s="13"/>
      <c r="W225" s="94">
        <f>S225/O225</f>
        <v>1.0000000000000002</v>
      </c>
      <c r="X225" s="13"/>
      <c r="Y225" s="26">
        <f>U225/K225-1</f>
        <v>2.9624460325000728</v>
      </c>
    </row>
    <row r="226" spans="2:26" ht="12.9" thickTop="1" x14ac:dyDescent="0.3">
      <c r="B226" s="81"/>
      <c r="C226" s="83"/>
      <c r="D226" s="10"/>
      <c r="E226" s="81"/>
      <c r="F226" s="11"/>
      <c r="G226" s="81"/>
      <c r="H226" s="88"/>
      <c r="I226" s="86"/>
      <c r="J226" s="88"/>
      <c r="K226" s="33"/>
      <c r="L226" s="88"/>
      <c r="M226" s="88"/>
      <c r="N226" s="13"/>
      <c r="O226" s="88"/>
      <c r="P226" s="13"/>
      <c r="Q226" s="88"/>
      <c r="R226" s="13"/>
      <c r="S226" s="88"/>
      <c r="T226" s="13"/>
      <c r="U226" s="33"/>
      <c r="V226" s="13"/>
      <c r="W226" s="92"/>
      <c r="X226" s="13"/>
      <c r="Y226" s="15"/>
    </row>
    <row r="227" spans="2:26" x14ac:dyDescent="0.3">
      <c r="B227" s="81"/>
      <c r="C227" s="83"/>
      <c r="D227" s="3" t="s">
        <v>86</v>
      </c>
      <c r="E227" s="81"/>
      <c r="F227" s="7"/>
      <c r="G227" s="81"/>
      <c r="H227" s="27"/>
      <c r="I227" s="86"/>
      <c r="J227" s="27"/>
      <c r="K227" s="86"/>
      <c r="L227" s="86"/>
      <c r="M227" s="28"/>
      <c r="N227" s="86"/>
      <c r="O227" s="29"/>
      <c r="P227" s="86"/>
      <c r="Q227" s="86"/>
      <c r="R227" s="86"/>
      <c r="S227" s="86"/>
      <c r="T227" s="86"/>
      <c r="U227" s="86"/>
      <c r="V227" s="86"/>
      <c r="W227" s="86"/>
      <c r="X227" s="86"/>
      <c r="Y227" s="95"/>
      <c r="Z227" s="81"/>
    </row>
    <row r="228" spans="2:26" x14ac:dyDescent="0.3">
      <c r="B228" s="81">
        <f>MAX(B$205:B227)+1</f>
        <v>120</v>
      </c>
      <c r="C228" s="83"/>
      <c r="D228" s="10" t="s">
        <v>35</v>
      </c>
      <c r="E228" s="81"/>
      <c r="F228" s="11" t="s">
        <v>36</v>
      </c>
      <c r="G228" s="81"/>
      <c r="H228" s="12">
        <v>12</v>
      </c>
      <c r="I228" s="86"/>
      <c r="J228" s="12">
        <f>$H228*K228/1000</f>
        <v>0</v>
      </c>
      <c r="K228" s="87">
        <v>0</v>
      </c>
      <c r="L228" s="88"/>
      <c r="M228" s="12">
        <f t="shared" ref="M228:M230" si="66">J228-O228</f>
        <v>-23.182438190381877</v>
      </c>
      <c r="N228" s="13"/>
      <c r="O228" s="12">
        <v>23.182438190381877</v>
      </c>
      <c r="P228" s="13"/>
      <c r="Q228" s="12">
        <f t="shared" ref="Q228:Q230" si="67">S228-O228</f>
        <v>-23.182438190381877</v>
      </c>
      <c r="R228" s="13"/>
      <c r="S228" s="12">
        <f>$H228*U228/1000</f>
        <v>0</v>
      </c>
      <c r="T228" s="13"/>
      <c r="U228" s="87">
        <v>0</v>
      </c>
      <c r="V228" s="13"/>
      <c r="W228" s="14">
        <f>S228/O228</f>
        <v>0</v>
      </c>
      <c r="X228" s="13"/>
      <c r="Y228" s="15">
        <v>0</v>
      </c>
    </row>
    <row r="229" spans="2:26" x14ac:dyDescent="0.3">
      <c r="B229" s="81">
        <f>MAX(B$205:B228)+1</f>
        <v>121</v>
      </c>
      <c r="C229" s="83"/>
      <c r="D229" s="10" t="s">
        <v>61</v>
      </c>
      <c r="E229" s="81"/>
      <c r="F229" s="11" t="s">
        <v>62</v>
      </c>
      <c r="G229" s="81"/>
      <c r="H229" s="12">
        <v>15025.2</v>
      </c>
      <c r="I229" s="86"/>
      <c r="J229" s="12">
        <f>$H229*K229/100</f>
        <v>2508.8477952000003</v>
      </c>
      <c r="K229" s="33">
        <v>16.697600000000001</v>
      </c>
      <c r="L229" s="88"/>
      <c r="M229" s="12">
        <f t="shared" si="66"/>
        <v>-2006.1632727970018</v>
      </c>
      <c r="N229" s="13"/>
      <c r="O229" s="12">
        <v>4515.0110679970021</v>
      </c>
      <c r="P229" s="13"/>
      <c r="Q229" s="12">
        <f t="shared" si="67"/>
        <v>-120.19676443674871</v>
      </c>
      <c r="R229" s="13"/>
      <c r="S229" s="12">
        <f>$H229*U229/100</f>
        <v>4394.8143035602534</v>
      </c>
      <c r="T229" s="13"/>
      <c r="U229" s="33">
        <v>29.249622657670137</v>
      </c>
      <c r="V229" s="13"/>
      <c r="W229" s="14">
        <f>S229/O229</f>
        <v>0.97337841200684549</v>
      </c>
      <c r="X229" s="13"/>
      <c r="Y229" s="15">
        <f t="shared" ref="Y229:Y230" si="68">U229/K229-1</f>
        <v>0.75172615571520063</v>
      </c>
    </row>
    <row r="230" spans="2:26" x14ac:dyDescent="0.3">
      <c r="B230" s="81">
        <f>MAX(B$205:B229)+1</f>
        <v>122</v>
      </c>
      <c r="C230" s="83"/>
      <c r="D230" s="10" t="s">
        <v>37</v>
      </c>
      <c r="E230" s="81"/>
      <c r="F230" s="11" t="s">
        <v>39</v>
      </c>
      <c r="G230" s="81"/>
      <c r="H230" s="12">
        <v>188852.1</v>
      </c>
      <c r="I230" s="86"/>
      <c r="J230" s="12">
        <f>$H230*K230/100</f>
        <v>5110.5266781000009</v>
      </c>
      <c r="K230" s="33">
        <v>2.7061000000000002</v>
      </c>
      <c r="L230" s="88"/>
      <c r="M230" s="12">
        <f t="shared" si="66"/>
        <v>4438.2416031747644</v>
      </c>
      <c r="N230" s="13"/>
      <c r="O230" s="12">
        <f t="shared" ref="O230:O231" si="69">S230</f>
        <v>672.2850749252367</v>
      </c>
      <c r="P230" s="13"/>
      <c r="Q230" s="12">
        <f t="shared" si="67"/>
        <v>0</v>
      </c>
      <c r="R230" s="13"/>
      <c r="S230" s="12">
        <f>$H230*U230/100</f>
        <v>672.2850749252367</v>
      </c>
      <c r="T230" s="13"/>
      <c r="U230" s="33">
        <v>0.35598496120786405</v>
      </c>
      <c r="V230" s="13"/>
      <c r="W230" s="14">
        <f>S230/O230</f>
        <v>1</v>
      </c>
      <c r="X230" s="13"/>
      <c r="Y230" s="15">
        <f t="shared" si="68"/>
        <v>-0.8684509215447086</v>
      </c>
    </row>
    <row r="231" spans="2:26" x14ac:dyDescent="0.3">
      <c r="B231" s="81">
        <f>MAX(B$205:B230)+1</f>
        <v>123</v>
      </c>
      <c r="C231" s="83"/>
      <c r="D231" s="10" t="s">
        <v>82</v>
      </c>
      <c r="E231" s="81"/>
      <c r="F231" s="11"/>
      <c r="G231" s="81"/>
      <c r="H231" s="12"/>
      <c r="I231" s="86"/>
      <c r="J231" s="12">
        <v>-260.51260400000007</v>
      </c>
      <c r="K231" s="33"/>
      <c r="L231" s="88"/>
      <c r="M231" s="12"/>
      <c r="N231" s="13"/>
      <c r="O231" s="12">
        <f t="shared" si="69"/>
        <v>0</v>
      </c>
      <c r="P231" s="13"/>
      <c r="Q231" s="12"/>
      <c r="R231" s="13"/>
      <c r="S231" s="12">
        <v>0</v>
      </c>
      <c r="T231" s="13"/>
      <c r="U231" s="12"/>
      <c r="V231" s="13"/>
      <c r="W231" s="14"/>
      <c r="X231" s="13"/>
      <c r="Y231" s="15"/>
    </row>
    <row r="232" spans="2:26" x14ac:dyDescent="0.3">
      <c r="B232" s="81"/>
      <c r="C232" s="83"/>
      <c r="D232" s="10"/>
      <c r="E232" s="81"/>
      <c r="F232" s="11"/>
      <c r="G232" s="81"/>
      <c r="H232" s="12"/>
      <c r="I232" s="86"/>
      <c r="J232" s="12"/>
      <c r="K232" s="33"/>
      <c r="L232" s="88"/>
      <c r="M232" s="12"/>
      <c r="N232" s="13"/>
      <c r="O232" s="12"/>
      <c r="P232" s="13"/>
      <c r="Q232" s="12"/>
      <c r="R232" s="13"/>
      <c r="S232" s="12"/>
      <c r="T232" s="13"/>
      <c r="U232" s="33"/>
      <c r="V232" s="13"/>
      <c r="W232" s="14"/>
      <c r="X232" s="13"/>
      <c r="Y232" s="15"/>
    </row>
    <row r="233" spans="2:26" x14ac:dyDescent="0.3">
      <c r="B233" s="81">
        <f>MAX(B$205:B232)+1</f>
        <v>124</v>
      </c>
      <c r="C233" s="83"/>
      <c r="D233" s="10" t="s">
        <v>43</v>
      </c>
      <c r="E233" s="81"/>
      <c r="F233" s="11"/>
      <c r="G233" s="81"/>
      <c r="H233" s="89">
        <f>H230</f>
        <v>188852.1</v>
      </c>
      <c r="I233" s="86"/>
      <c r="J233" s="89">
        <f>SUM(J228:J231)</f>
        <v>7358.8618693000008</v>
      </c>
      <c r="K233" s="19">
        <f>J233/$H233*100</f>
        <v>3.8966269738594383</v>
      </c>
      <c r="L233" s="88"/>
      <c r="M233" s="89">
        <f>SUM(M228:M231)</f>
        <v>2408.8958921873809</v>
      </c>
      <c r="N233" s="13"/>
      <c r="O233" s="89">
        <f>SUM(O228:O231)</f>
        <v>5210.4785811126203</v>
      </c>
      <c r="P233" s="13"/>
      <c r="Q233" s="89">
        <f>SUM(Q228:Q231)</f>
        <v>-143.37920262713058</v>
      </c>
      <c r="R233" s="13"/>
      <c r="S233" s="89">
        <f>SUM(S228:S231)</f>
        <v>5067.09937848549</v>
      </c>
      <c r="T233" s="13"/>
      <c r="U233" s="19">
        <f>S233/$H233*100</f>
        <v>2.6831045979819605</v>
      </c>
      <c r="V233" s="13"/>
      <c r="W233" s="90">
        <f>S233/O233</f>
        <v>0.9724825272006945</v>
      </c>
      <c r="X233" s="13"/>
      <c r="Y233" s="20">
        <f>U233/K233-1</f>
        <v>-0.31142893174491815</v>
      </c>
    </row>
    <row r="234" spans="2:26" x14ac:dyDescent="0.3">
      <c r="E234" s="81"/>
      <c r="F234" s="11"/>
      <c r="G234" s="81"/>
      <c r="H234" s="12"/>
      <c r="I234" s="86"/>
      <c r="J234" s="12"/>
      <c r="K234" s="33"/>
      <c r="L234" s="88"/>
      <c r="M234" s="12"/>
      <c r="N234" s="13"/>
      <c r="O234" s="12"/>
      <c r="P234" s="13"/>
      <c r="Q234" s="12"/>
      <c r="R234" s="13"/>
      <c r="S234" s="12"/>
      <c r="T234" s="13"/>
      <c r="U234" s="33"/>
      <c r="V234" s="13"/>
      <c r="W234" s="14"/>
      <c r="X234" s="13"/>
      <c r="Y234" s="15"/>
    </row>
    <row r="235" spans="2:26" x14ac:dyDescent="0.3">
      <c r="B235" s="81"/>
      <c r="C235" s="83"/>
      <c r="D235" s="10" t="s">
        <v>44</v>
      </c>
      <c r="E235" s="81"/>
      <c r="F235" s="91"/>
      <c r="G235" s="81"/>
      <c r="H235" s="12"/>
      <c r="I235" s="86"/>
      <c r="J235" s="12"/>
      <c r="K235" s="33"/>
      <c r="L235" s="88"/>
      <c r="M235" s="12"/>
      <c r="N235" s="13"/>
      <c r="O235" s="12"/>
      <c r="P235" s="13"/>
      <c r="Q235" s="12"/>
      <c r="R235" s="13"/>
      <c r="S235" s="12"/>
      <c r="T235" s="13"/>
      <c r="U235" s="22"/>
      <c r="V235" s="13"/>
      <c r="W235" s="14"/>
      <c r="X235" s="13"/>
      <c r="Y235" s="23"/>
    </row>
    <row r="236" spans="2:26" x14ac:dyDescent="0.3">
      <c r="B236" s="81">
        <f>MAX(B$205:B235)+1</f>
        <v>125</v>
      </c>
      <c r="C236" s="83"/>
      <c r="D236" s="18" t="s">
        <v>45</v>
      </c>
      <c r="E236" s="81"/>
      <c r="F236" s="91" t="s">
        <v>39</v>
      </c>
      <c r="G236" s="81"/>
      <c r="H236" s="12">
        <v>140305.60000000001</v>
      </c>
      <c r="I236" s="86"/>
      <c r="J236" s="12">
        <f>$H236*K236/100</f>
        <v>6847.7551136000011</v>
      </c>
      <c r="K236" s="33">
        <v>4.8806000000000003</v>
      </c>
      <c r="L236" s="88"/>
      <c r="M236" s="12">
        <f t="shared" ref="M236:M239" si="70">J236-O236</f>
        <v>4488.3131031236153</v>
      </c>
      <c r="N236" s="13"/>
      <c r="O236" s="12">
        <f>S236</f>
        <v>2359.4420104763863</v>
      </c>
      <c r="P236" s="13"/>
      <c r="Q236" s="12">
        <f t="shared" ref="Q236:Q239" si="71">S236-O236</f>
        <v>0</v>
      </c>
      <c r="R236" s="13"/>
      <c r="S236" s="12">
        <f>$H236*U236/100</f>
        <v>2359.4420104763863</v>
      </c>
      <c r="T236" s="13"/>
      <c r="U236" s="33">
        <v>1.6816449311192043</v>
      </c>
      <c r="V236" s="13"/>
      <c r="W236" s="92"/>
      <c r="X236" s="13"/>
      <c r="Y236" s="15"/>
    </row>
    <row r="237" spans="2:26" x14ac:dyDescent="0.3">
      <c r="B237" s="81">
        <f>MAX(B$205:B236)+1</f>
        <v>126</v>
      </c>
      <c r="C237" s="83"/>
      <c r="D237" s="18" t="s">
        <v>46</v>
      </c>
      <c r="E237" s="81"/>
      <c r="F237" s="91" t="s">
        <v>39</v>
      </c>
      <c r="G237" s="81"/>
      <c r="H237" s="12">
        <v>48544.5</v>
      </c>
      <c r="I237" s="86"/>
      <c r="J237" s="12">
        <f>$H237*K237/100</f>
        <v>456.31829999999997</v>
      </c>
      <c r="K237" s="33">
        <v>0.94</v>
      </c>
      <c r="L237" s="88"/>
      <c r="M237" s="12">
        <f t="shared" si="70"/>
        <v>-360.02782358716223</v>
      </c>
      <c r="N237" s="88"/>
      <c r="O237" s="12">
        <f t="shared" ref="O237:O238" si="72">S237</f>
        <v>816.3461235871622</v>
      </c>
      <c r="P237" s="88"/>
      <c r="Q237" s="12">
        <f t="shared" si="71"/>
        <v>0</v>
      </c>
      <c r="R237" s="88"/>
      <c r="S237" s="12">
        <f>$H237*U237/100</f>
        <v>816.3461235871622</v>
      </c>
      <c r="T237" s="88"/>
      <c r="U237" s="33">
        <v>1.6816449311192043</v>
      </c>
      <c r="V237" s="88"/>
      <c r="W237" s="92"/>
      <c r="X237" s="88"/>
      <c r="Y237" s="15"/>
      <c r="Z237" s="81"/>
    </row>
    <row r="238" spans="2:26" x14ac:dyDescent="0.3">
      <c r="B238" s="81">
        <f>MAX(B$205:B237)+1</f>
        <v>127</v>
      </c>
      <c r="C238" s="83"/>
      <c r="D238" s="18" t="s">
        <v>47</v>
      </c>
      <c r="E238" s="81"/>
      <c r="F238" s="91" t="s">
        <v>39</v>
      </c>
      <c r="G238" s="81"/>
      <c r="H238" s="12">
        <v>2</v>
      </c>
      <c r="I238" s="86"/>
      <c r="J238" s="12">
        <f>$H238*K238/100</f>
        <v>9.7612000000000004E-2</v>
      </c>
      <c r="K238" s="33">
        <v>4.8806000000000003</v>
      </c>
      <c r="L238" s="88"/>
      <c r="M238" s="12">
        <f t="shared" si="70"/>
        <v>1.2140991517499936E-2</v>
      </c>
      <c r="N238" s="88"/>
      <c r="O238" s="12">
        <f t="shared" si="72"/>
        <v>8.5471008482500069E-2</v>
      </c>
      <c r="P238" s="88"/>
      <c r="Q238" s="12">
        <f t="shared" si="71"/>
        <v>0</v>
      </c>
      <c r="R238" s="88"/>
      <c r="S238" s="12">
        <f>$H238*U238/100</f>
        <v>8.5471008482500069E-2</v>
      </c>
      <c r="T238" s="88"/>
      <c r="U238" s="33">
        <v>4.2735504241250037</v>
      </c>
      <c r="V238" s="88"/>
      <c r="W238" s="92"/>
      <c r="X238" s="88"/>
      <c r="Y238" s="15"/>
      <c r="Z238" s="81"/>
    </row>
    <row r="239" spans="2:26" x14ac:dyDescent="0.3">
      <c r="B239" s="81">
        <f>MAX(B$205:B238)+1</f>
        <v>128</v>
      </c>
      <c r="C239" s="83"/>
      <c r="D239" s="18" t="s">
        <v>48</v>
      </c>
      <c r="E239" s="81"/>
      <c r="F239" s="91" t="s">
        <v>39</v>
      </c>
      <c r="G239" s="81"/>
      <c r="H239" s="12">
        <f>H233-SUM(H236:H238)</f>
        <v>0</v>
      </c>
      <c r="I239" s="86"/>
      <c r="J239" s="12">
        <f>$H239*K239/100</f>
        <v>0</v>
      </c>
      <c r="K239" s="33">
        <v>0</v>
      </c>
      <c r="L239" s="88"/>
      <c r="M239" s="12">
        <f t="shared" si="70"/>
        <v>0</v>
      </c>
      <c r="N239" s="88"/>
      <c r="O239" s="12">
        <f>S239</f>
        <v>0</v>
      </c>
      <c r="P239" s="88"/>
      <c r="Q239" s="12">
        <f t="shared" si="71"/>
        <v>0</v>
      </c>
      <c r="R239" s="88"/>
      <c r="S239" s="12">
        <f>$H239*U239/100</f>
        <v>0</v>
      </c>
      <c r="T239" s="88"/>
      <c r="U239" s="33">
        <v>1.6816449311192043</v>
      </c>
      <c r="V239" s="88"/>
      <c r="W239" s="14"/>
      <c r="X239" s="88"/>
      <c r="Y239" s="15"/>
      <c r="Z239" s="81"/>
    </row>
    <row r="240" spans="2:26" x14ac:dyDescent="0.3">
      <c r="B240" s="81">
        <f>MAX(B$205:B239)+1</f>
        <v>129</v>
      </c>
      <c r="C240" s="83"/>
      <c r="D240" s="10" t="s">
        <v>44</v>
      </c>
      <c r="E240" s="81"/>
      <c r="F240" s="11"/>
      <c r="G240" s="81"/>
      <c r="H240" s="89">
        <f>SUM(H236:H239)</f>
        <v>188852.1</v>
      </c>
      <c r="I240" s="86"/>
      <c r="J240" s="89">
        <f>SUM(J236:J239)</f>
        <v>7304.1710256000006</v>
      </c>
      <c r="K240" s="19">
        <f>J240/$H240*100</f>
        <v>3.8676673574717997</v>
      </c>
      <c r="L240" s="88"/>
      <c r="M240" s="89">
        <f>SUM(M236:M239)</f>
        <v>4128.2974205279706</v>
      </c>
      <c r="N240" s="13"/>
      <c r="O240" s="89">
        <f>SUM(O236:O239)</f>
        <v>3175.8736050720308</v>
      </c>
      <c r="P240" s="13"/>
      <c r="Q240" s="89">
        <f>SUM(Q236:Q239)</f>
        <v>0</v>
      </c>
      <c r="R240" s="13"/>
      <c r="S240" s="89">
        <f>SUM(S236:S239)</f>
        <v>3175.8736050720308</v>
      </c>
      <c r="T240" s="13"/>
      <c r="U240" s="19">
        <f>S240/$H240*100</f>
        <v>1.6816723801705304</v>
      </c>
      <c r="V240" s="13"/>
      <c r="W240" s="90">
        <f>S240/O240</f>
        <v>1</v>
      </c>
      <c r="X240" s="13"/>
      <c r="Y240" s="20">
        <f>U240/K240-1</f>
        <v>-0.56519725593211334</v>
      </c>
    </row>
    <row r="241" spans="2:26" x14ac:dyDescent="0.3"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24"/>
    </row>
    <row r="242" spans="2:26" x14ac:dyDescent="0.3">
      <c r="B242" s="81">
        <f>MAX(B$205:B241)+1</f>
        <v>130</v>
      </c>
      <c r="C242" s="83"/>
      <c r="D242" s="10" t="s">
        <v>49</v>
      </c>
      <c r="E242" s="81"/>
      <c r="F242" s="11" t="s">
        <v>39</v>
      </c>
      <c r="G242" s="81"/>
      <c r="H242" s="12">
        <f>H236</f>
        <v>140305.60000000001</v>
      </c>
      <c r="I242" s="86"/>
      <c r="J242" s="12">
        <f>$H242*K242/100</f>
        <v>14652.675030400002</v>
      </c>
      <c r="K242" s="33">
        <v>10.4434</v>
      </c>
      <c r="L242" s="88"/>
      <c r="M242" s="12">
        <f>J242-O242</f>
        <v>-4478.308403549483</v>
      </c>
      <c r="N242" s="13"/>
      <c r="O242" s="12">
        <f>S242</f>
        <v>19130.983433949485</v>
      </c>
      <c r="P242" s="13"/>
      <c r="Q242" s="12">
        <f>S242-O242</f>
        <v>0</v>
      </c>
      <c r="R242" s="13"/>
      <c r="S242" s="12">
        <f>$H242*U242/100</f>
        <v>19130.983433949485</v>
      </c>
      <c r="T242" s="13"/>
      <c r="U242" s="33">
        <v>13.635224420086928</v>
      </c>
      <c r="V242" s="13"/>
      <c r="W242" s="14">
        <f>S242/O242</f>
        <v>1</v>
      </c>
      <c r="X242" s="13"/>
      <c r="Y242" s="15">
        <f>U242/K242-1</f>
        <v>0.30563077351120582</v>
      </c>
    </row>
    <row r="243" spans="2:26" x14ac:dyDescent="0.3">
      <c r="B243" s="81"/>
      <c r="C243" s="83"/>
      <c r="D243" s="10"/>
      <c r="E243" s="81"/>
      <c r="F243" s="11"/>
      <c r="G243" s="81"/>
      <c r="H243" s="12"/>
      <c r="I243" s="86"/>
      <c r="J243" s="12"/>
      <c r="K243" s="33"/>
      <c r="L243" s="88"/>
      <c r="M243" s="12"/>
      <c r="N243" s="13"/>
      <c r="O243" s="12"/>
      <c r="P243" s="13"/>
      <c r="Q243" s="12"/>
      <c r="R243" s="13"/>
      <c r="S243" s="12"/>
      <c r="T243" s="13"/>
      <c r="U243" s="33"/>
      <c r="V243" s="13"/>
      <c r="W243" s="14"/>
      <c r="X243" s="13"/>
      <c r="Y243" s="15"/>
    </row>
    <row r="244" spans="2:26" ht="12.9" thickBot="1" x14ac:dyDescent="0.35">
      <c r="B244" s="81">
        <f>MAX(B$205:B243)+1</f>
        <v>131</v>
      </c>
      <c r="C244" s="83"/>
      <c r="D244" s="10" t="s">
        <v>87</v>
      </c>
      <c r="E244" s="81"/>
      <c r="F244" s="11"/>
      <c r="G244" s="81"/>
      <c r="H244" s="93">
        <f>H233</f>
        <v>188852.1</v>
      </c>
      <c r="I244" s="86"/>
      <c r="J244" s="93">
        <f>SUM(J233,J240,J242)</f>
        <v>29315.707925300005</v>
      </c>
      <c r="K244" s="25">
        <f>J244/$H244*100</f>
        <v>15.523104019123963</v>
      </c>
      <c r="L244" s="88"/>
      <c r="M244" s="93">
        <f>SUM(M233,M240,M242)</f>
        <v>2058.8849091658685</v>
      </c>
      <c r="N244" s="13"/>
      <c r="O244" s="93">
        <f>SUM(O233,O240,O242)</f>
        <v>27517.335620134138</v>
      </c>
      <c r="P244" s="13"/>
      <c r="Q244" s="93">
        <f>SUM(Q233,Q240,Q242)</f>
        <v>-143.37920262713058</v>
      </c>
      <c r="R244" s="13"/>
      <c r="S244" s="93">
        <f>SUM(S233,S240,S242)</f>
        <v>27373.956417507005</v>
      </c>
      <c r="T244" s="13"/>
      <c r="U244" s="25">
        <f>S244/$H244*100</f>
        <v>14.494917672351541</v>
      </c>
      <c r="V244" s="13"/>
      <c r="W244" s="94">
        <f>S244/O244</f>
        <v>0.9947894954436568</v>
      </c>
      <c r="X244" s="13"/>
      <c r="Y244" s="26">
        <f>U244/K244-1</f>
        <v>-6.6235873025506375E-2</v>
      </c>
    </row>
    <row r="245" spans="2:26" ht="12.9" thickTop="1" x14ac:dyDescent="0.3">
      <c r="B245" s="81"/>
      <c r="C245" s="83"/>
      <c r="D245" s="10"/>
      <c r="E245" s="81"/>
      <c r="F245" s="11"/>
      <c r="G245" s="81"/>
      <c r="H245" s="88"/>
      <c r="I245" s="86"/>
      <c r="J245" s="88"/>
      <c r="K245" s="33"/>
      <c r="L245" s="88"/>
      <c r="M245" s="88"/>
      <c r="N245" s="13"/>
      <c r="O245" s="88"/>
      <c r="P245" s="13"/>
      <c r="Q245" s="88"/>
      <c r="R245" s="13"/>
      <c r="S245" s="88"/>
      <c r="T245" s="13"/>
      <c r="U245" s="33"/>
      <c r="V245" s="13"/>
      <c r="W245" s="92"/>
      <c r="X245" s="13"/>
      <c r="Y245" s="15"/>
    </row>
    <row r="246" spans="2:26" x14ac:dyDescent="0.3">
      <c r="B246" s="1" t="s">
        <v>0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2:26" x14ac:dyDescent="0.3">
      <c r="B247" s="123" t="s">
        <v>59</v>
      </c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</row>
    <row r="248" spans="2:26" x14ac:dyDescent="0.3"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</row>
    <row r="249" spans="2:26" x14ac:dyDescent="0.3">
      <c r="B249" s="78"/>
      <c r="C249" s="78"/>
      <c r="D249" s="78"/>
      <c r="E249" s="78"/>
      <c r="F249" s="77"/>
      <c r="G249" s="78"/>
      <c r="H249" s="77"/>
      <c r="I249" s="78"/>
      <c r="J249" s="79" t="s">
        <v>2</v>
      </c>
      <c r="K249" s="79"/>
      <c r="L249" s="78"/>
      <c r="M249" s="78"/>
      <c r="N249" s="78"/>
      <c r="O249" s="122" t="s">
        <v>3</v>
      </c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</row>
    <row r="250" spans="2:26" ht="37.299999999999997" x14ac:dyDescent="0.3">
      <c r="B250" s="80" t="s">
        <v>4</v>
      </c>
      <c r="C250" s="80"/>
      <c r="D250" s="80"/>
      <c r="E250" s="80"/>
      <c r="F250" s="81" t="s">
        <v>5</v>
      </c>
      <c r="G250" s="80"/>
      <c r="H250" s="6" t="s">
        <v>6</v>
      </c>
      <c r="I250" s="80"/>
      <c r="J250" s="6" t="s">
        <v>7</v>
      </c>
      <c r="K250" s="6" t="s">
        <v>8</v>
      </c>
      <c r="L250" s="80"/>
      <c r="M250" s="6" t="s">
        <v>9</v>
      </c>
      <c r="N250" s="80"/>
      <c r="O250" s="80" t="s">
        <v>10</v>
      </c>
      <c r="P250" s="80"/>
      <c r="Q250" s="6" t="s">
        <v>11</v>
      </c>
      <c r="R250" s="80"/>
      <c r="S250" s="6" t="s">
        <v>7</v>
      </c>
      <c r="T250" s="80"/>
      <c r="U250" s="6" t="s">
        <v>12</v>
      </c>
      <c r="V250" s="80"/>
      <c r="W250" s="80" t="s">
        <v>13</v>
      </c>
      <c r="X250" s="80"/>
      <c r="Y250" s="80" t="s">
        <v>14</v>
      </c>
    </row>
    <row r="251" spans="2:26" ht="14.15" x14ac:dyDescent="0.3">
      <c r="B251" s="82" t="s">
        <v>15</v>
      </c>
      <c r="C251" s="83"/>
      <c r="D251" s="84" t="s">
        <v>16</v>
      </c>
      <c r="E251" s="81"/>
      <c r="F251" s="82" t="s">
        <v>17</v>
      </c>
      <c r="G251" s="81"/>
      <c r="H251" s="82" t="s">
        <v>18</v>
      </c>
      <c r="I251" s="81"/>
      <c r="J251" s="82" t="s">
        <v>19</v>
      </c>
      <c r="K251" s="82" t="s">
        <v>20</v>
      </c>
      <c r="L251" s="81"/>
      <c r="M251" s="82" t="s">
        <v>19</v>
      </c>
      <c r="N251" s="81"/>
      <c r="O251" s="82" t="s">
        <v>19</v>
      </c>
      <c r="P251" s="81"/>
      <c r="Q251" s="82" t="s">
        <v>19</v>
      </c>
      <c r="R251" s="81"/>
      <c r="S251" s="82" t="s">
        <v>19</v>
      </c>
      <c r="T251" s="81"/>
      <c r="U251" s="82" t="s">
        <v>20</v>
      </c>
      <c r="V251" s="81"/>
      <c r="W251" s="82" t="s">
        <v>21</v>
      </c>
      <c r="X251" s="81"/>
      <c r="Y251" s="82" t="s">
        <v>22</v>
      </c>
    </row>
    <row r="252" spans="2:26" x14ac:dyDescent="0.3">
      <c r="B252" s="81"/>
      <c r="C252" s="83"/>
      <c r="D252" s="83"/>
      <c r="E252" s="81"/>
      <c r="F252" s="81"/>
      <c r="G252" s="81"/>
      <c r="H252" s="81" t="s">
        <v>23</v>
      </c>
      <c r="I252" s="81"/>
      <c r="J252" s="81" t="s">
        <v>24</v>
      </c>
      <c r="K252" s="81" t="s">
        <v>25</v>
      </c>
      <c r="L252" s="81"/>
      <c r="M252" s="81" t="s">
        <v>26</v>
      </c>
      <c r="N252" s="81"/>
      <c r="O252" s="81" t="s">
        <v>27</v>
      </c>
      <c r="P252" s="81"/>
      <c r="Q252" s="81" t="s">
        <v>28</v>
      </c>
      <c r="R252" s="81"/>
      <c r="S252" s="85" t="s">
        <v>29</v>
      </c>
      <c r="T252" s="81"/>
      <c r="U252" s="85" t="s">
        <v>30</v>
      </c>
      <c r="V252" s="81"/>
      <c r="W252" s="85" t="s">
        <v>31</v>
      </c>
      <c r="X252" s="81"/>
      <c r="Y252" s="85" t="s">
        <v>32</v>
      </c>
    </row>
    <row r="253" spans="2:26" x14ac:dyDescent="0.3"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24"/>
    </row>
    <row r="254" spans="2:26" x14ac:dyDescent="0.3">
      <c r="D254" s="100" t="s">
        <v>88</v>
      </c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 spans="2:26" x14ac:dyDescent="0.3">
      <c r="B255" s="81"/>
      <c r="C255" s="83"/>
      <c r="D255" s="3" t="s">
        <v>89</v>
      </c>
      <c r="E255" s="81"/>
      <c r="F255" s="7"/>
      <c r="G255" s="81"/>
      <c r="H255" s="27"/>
      <c r="I255" s="86"/>
      <c r="J255" s="27"/>
      <c r="K255" s="86"/>
      <c r="L255" s="86"/>
      <c r="M255" s="28"/>
      <c r="N255" s="86"/>
      <c r="O255" s="29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1"/>
    </row>
    <row r="256" spans="2:26" x14ac:dyDescent="0.3">
      <c r="B256" s="81">
        <f>MAX(B$66:B255)+1</f>
        <v>132</v>
      </c>
      <c r="C256" s="83"/>
      <c r="D256" s="10" t="s">
        <v>35</v>
      </c>
      <c r="E256" s="81"/>
      <c r="F256" s="11" t="s">
        <v>36</v>
      </c>
      <c r="G256" s="81"/>
      <c r="H256" s="12">
        <v>4438452</v>
      </c>
      <c r="I256" s="86"/>
      <c r="J256" s="12">
        <f>$H256*K256/1000</f>
        <v>114733.98420000001</v>
      </c>
      <c r="K256" s="87">
        <v>25.85</v>
      </c>
      <c r="L256" s="88"/>
      <c r="M256" s="12">
        <f>J256-O256</f>
        <v>-58937.732876486931</v>
      </c>
      <c r="N256" s="13"/>
      <c r="O256" s="12">
        <v>173671.71707648694</v>
      </c>
      <c r="P256" s="13"/>
      <c r="Q256" s="12">
        <f>S256-O256</f>
        <v>-58937.732876486931</v>
      </c>
      <c r="R256" s="13"/>
      <c r="S256" s="12">
        <f>$H256*U256/1000</f>
        <v>114733.98420000001</v>
      </c>
      <c r="T256" s="13"/>
      <c r="U256" s="87">
        <v>25.85</v>
      </c>
      <c r="V256" s="13"/>
      <c r="W256" s="14">
        <f>S256/O256</f>
        <v>0.66063712693915433</v>
      </c>
      <c r="X256" s="13"/>
      <c r="Y256" s="15">
        <f>U256/K256-1</f>
        <v>0</v>
      </c>
    </row>
    <row r="257" spans="2:25" x14ac:dyDescent="0.3">
      <c r="B257" s="81"/>
      <c r="C257" s="83"/>
      <c r="D257" s="10" t="s">
        <v>37</v>
      </c>
      <c r="E257" s="81"/>
      <c r="F257" s="11"/>
      <c r="G257" s="81"/>
      <c r="H257" s="12"/>
      <c r="I257" s="86"/>
      <c r="J257" s="12"/>
      <c r="K257" s="33"/>
      <c r="L257" s="88"/>
      <c r="M257" s="12"/>
      <c r="N257" s="13"/>
      <c r="O257" s="12"/>
      <c r="P257" s="13"/>
      <c r="Q257" s="12"/>
      <c r="R257" s="13"/>
      <c r="S257" s="12"/>
      <c r="T257" s="13"/>
      <c r="U257" s="33"/>
      <c r="V257" s="13"/>
      <c r="W257" s="14"/>
      <c r="X257" s="13"/>
      <c r="Y257" s="31"/>
    </row>
    <row r="258" spans="2:25" x14ac:dyDescent="0.3">
      <c r="B258" s="81">
        <f>MAX(B$256:B257)+1</f>
        <v>133</v>
      </c>
      <c r="C258" s="83"/>
      <c r="D258" s="52" t="s">
        <v>90</v>
      </c>
      <c r="E258" s="81"/>
      <c r="F258" s="11" t="s">
        <v>39</v>
      </c>
      <c r="G258" s="81"/>
      <c r="H258" s="12">
        <v>300611.92581650428</v>
      </c>
      <c r="I258" s="86"/>
      <c r="J258" s="12">
        <f>$H258*K258/100</f>
        <v>32426.707825900499</v>
      </c>
      <c r="K258" s="33">
        <v>10.786899999999999</v>
      </c>
      <c r="L258" s="88"/>
      <c r="M258" s="12">
        <f t="shared" ref="M258:M262" si="73">J258-O258</f>
        <v>16767.797375587808</v>
      </c>
      <c r="N258" s="13"/>
      <c r="O258" s="12">
        <v>15658.910450312691</v>
      </c>
      <c r="P258" s="13"/>
      <c r="Q258" s="12">
        <f t="shared" ref="Q258:Q262" si="74">S258-O258</f>
        <v>18314.867283958269</v>
      </c>
      <c r="R258" s="13"/>
      <c r="S258" s="12">
        <f>$H258*U258/100</f>
        <v>33973.77773427096</v>
      </c>
      <c r="T258" s="13"/>
      <c r="U258" s="33">
        <v>11.301540230645672</v>
      </c>
      <c r="V258" s="13"/>
      <c r="W258" s="14"/>
      <c r="X258" s="13"/>
      <c r="Y258" s="31"/>
    </row>
    <row r="259" spans="2:25" x14ac:dyDescent="0.3">
      <c r="B259" s="81">
        <f>MAX(B$256:B258)+1</f>
        <v>134</v>
      </c>
      <c r="C259" s="83"/>
      <c r="D259" s="52" t="s">
        <v>91</v>
      </c>
      <c r="E259" s="81"/>
      <c r="F259" s="11" t="s">
        <v>39</v>
      </c>
      <c r="G259" s="81"/>
      <c r="H259" s="12">
        <v>344702.91818927036</v>
      </c>
      <c r="I259" s="86"/>
      <c r="J259" s="12">
        <f>$H259*K259/100</f>
        <v>36255.85293514745</v>
      </c>
      <c r="K259" s="33">
        <v>10.517999999999999</v>
      </c>
      <c r="L259" s="88"/>
      <c r="M259" s="12">
        <f t="shared" si="73"/>
        <v>18740.197659036046</v>
      </c>
      <c r="N259" s="13"/>
      <c r="O259" s="12">
        <v>17515.655276111404</v>
      </c>
      <c r="P259" s="13"/>
      <c r="Q259" s="12">
        <f t="shared" si="74"/>
        <v>20490.68225097036</v>
      </c>
      <c r="R259" s="13"/>
      <c r="S259" s="12">
        <f>$H259*U259/100</f>
        <v>38006.337527081763</v>
      </c>
      <c r="T259" s="13"/>
      <c r="U259" s="33">
        <v>11.025824129000599</v>
      </c>
      <c r="V259" s="13"/>
      <c r="W259" s="14"/>
      <c r="X259" s="13"/>
      <c r="Y259" s="31"/>
    </row>
    <row r="260" spans="2:25" x14ac:dyDescent="0.3">
      <c r="B260" s="81">
        <f>MAX(B$256:B259)+1</f>
        <v>135</v>
      </c>
      <c r="C260" s="83"/>
      <c r="D260" s="52" t="s">
        <v>91</v>
      </c>
      <c r="E260" s="81"/>
      <c r="F260" s="11" t="s">
        <v>39</v>
      </c>
      <c r="G260" s="81"/>
      <c r="H260" s="12">
        <v>130125.43306730554</v>
      </c>
      <c r="I260" s="86"/>
      <c r="J260" s="12">
        <f>$H260*K260/100</f>
        <v>13131.868328853272</v>
      </c>
      <c r="K260" s="33">
        <v>10.091699999999999</v>
      </c>
      <c r="L260" s="88"/>
      <c r="M260" s="12">
        <f t="shared" si="73"/>
        <v>6783.0068851298893</v>
      </c>
      <c r="N260" s="13"/>
      <c r="O260" s="12">
        <v>6348.8614437233828</v>
      </c>
      <c r="P260" s="13"/>
      <c r="Q260" s="12">
        <f t="shared" si="74"/>
        <v>7429.7540195513448</v>
      </c>
      <c r="R260" s="13"/>
      <c r="S260" s="12">
        <f>$H260*U260/100</f>
        <v>13778.615463274728</v>
      </c>
      <c r="T260" s="13"/>
      <c r="U260" s="33">
        <v>10.588718237846658</v>
      </c>
      <c r="V260" s="13"/>
      <c r="W260" s="14"/>
      <c r="X260" s="13"/>
      <c r="Y260" s="31"/>
    </row>
    <row r="261" spans="2:25" x14ac:dyDescent="0.3">
      <c r="B261" s="81">
        <f>MAX(B$256:B260)+1</f>
        <v>136</v>
      </c>
      <c r="C261" s="83"/>
      <c r="D261" s="52" t="s">
        <v>92</v>
      </c>
      <c r="E261" s="81"/>
      <c r="F261" s="11" t="s">
        <v>39</v>
      </c>
      <c r="G261" s="81"/>
      <c r="H261" s="12">
        <v>88916.235473925088</v>
      </c>
      <c r="I261" s="86"/>
      <c r="J261" s="12">
        <f>$H261*K261/100</f>
        <v>8625.4083383835768</v>
      </c>
      <c r="K261" s="33">
        <v>9.7005999999999997</v>
      </c>
      <c r="L261" s="88"/>
      <c r="M261" s="12">
        <f t="shared" si="73"/>
        <v>4452.2185590028512</v>
      </c>
      <c r="N261" s="13"/>
      <c r="O261" s="12">
        <v>4173.1897793807257</v>
      </c>
      <c r="P261" s="13"/>
      <c r="Q261" s="12">
        <f t="shared" si="74"/>
        <v>4885.3336316920704</v>
      </c>
      <c r="R261" s="13"/>
      <c r="S261" s="12">
        <f>$H261*U261/100</f>
        <v>9058.5234110727961</v>
      </c>
      <c r="T261" s="13"/>
      <c r="U261" s="33">
        <v>10.187704599492667</v>
      </c>
      <c r="V261" s="13"/>
      <c r="W261" s="14"/>
      <c r="X261" s="13"/>
      <c r="Y261" s="31"/>
    </row>
    <row r="262" spans="2:25" x14ac:dyDescent="0.3">
      <c r="B262" s="81">
        <f>MAX(B$256:B261)+1</f>
        <v>137</v>
      </c>
      <c r="C262" s="83"/>
      <c r="D262" s="52" t="s">
        <v>93</v>
      </c>
      <c r="E262" s="81"/>
      <c r="F262" s="11" t="s">
        <v>39</v>
      </c>
      <c r="G262" s="81"/>
      <c r="H262" s="12">
        <v>126289.6810021289</v>
      </c>
      <c r="I262" s="86"/>
      <c r="J262" s="12">
        <f>$H262*K262/100</f>
        <v>11842.435966931627</v>
      </c>
      <c r="K262" s="33">
        <v>9.3771999999999984</v>
      </c>
      <c r="L262" s="88"/>
      <c r="M262" s="12">
        <f t="shared" si="73"/>
        <v>6109.021686448039</v>
      </c>
      <c r="N262" s="13"/>
      <c r="O262" s="12">
        <v>5733.4142804835883</v>
      </c>
      <c r="P262" s="13"/>
      <c r="Q262" s="12">
        <f t="shared" si="74"/>
        <v>6713.831843008149</v>
      </c>
      <c r="R262" s="13"/>
      <c r="S262" s="12">
        <f>$H262*U262/100</f>
        <v>12447.246123491737</v>
      </c>
      <c r="T262" s="13"/>
      <c r="U262" s="33">
        <v>9.8561070268931239</v>
      </c>
      <c r="V262" s="13"/>
      <c r="W262" s="14"/>
      <c r="X262" s="13"/>
      <c r="Y262" s="31"/>
    </row>
    <row r="263" spans="2:25" x14ac:dyDescent="0.3">
      <c r="B263" s="81">
        <f>MAX(B$256:B262)+1</f>
        <v>138</v>
      </c>
      <c r="C263" s="83"/>
      <c r="D263" s="10" t="s">
        <v>37</v>
      </c>
      <c r="E263" s="81"/>
      <c r="F263" s="11"/>
      <c r="G263" s="81"/>
      <c r="H263" s="89">
        <f>SUM(H258:H262)</f>
        <v>990646.19354913419</v>
      </c>
      <c r="I263" s="86"/>
      <c r="J263" s="89">
        <f>SUM(J258:J262)</f>
        <v>102282.27339521644</v>
      </c>
      <c r="K263" s="19">
        <f>J263/$H263*100</f>
        <v>10.32480355360528</v>
      </c>
      <c r="L263" s="88"/>
      <c r="M263" s="89">
        <f>SUM(M258:M262)</f>
        <v>52852.24216520464</v>
      </c>
      <c r="N263" s="13"/>
      <c r="O263" s="89">
        <f>SUM(O258:O262)</f>
        <v>49430.031230011795</v>
      </c>
      <c r="P263" s="13"/>
      <c r="Q263" s="89">
        <f>SUM(Q258:Q262)</f>
        <v>57834.469029180189</v>
      </c>
      <c r="R263" s="13"/>
      <c r="S263" s="89">
        <f>SUM(S258:S262)</f>
        <v>107264.50025919198</v>
      </c>
      <c r="T263" s="13"/>
      <c r="U263" s="19">
        <f>S263/$H263*100</f>
        <v>10.827730521519625</v>
      </c>
      <c r="V263" s="13"/>
      <c r="W263" s="90">
        <f>S263/O263</f>
        <v>2.1700269570953776</v>
      </c>
      <c r="X263" s="13"/>
      <c r="Y263" s="20">
        <f>U263/K263-1</f>
        <v>4.8710560477320586E-2</v>
      </c>
    </row>
    <row r="264" spans="2:25" x14ac:dyDescent="0.3">
      <c r="B264" s="81"/>
      <c r="C264" s="83"/>
      <c r="D264" s="10"/>
      <c r="E264" s="81"/>
      <c r="F264" s="11"/>
      <c r="G264" s="81"/>
      <c r="H264" s="12"/>
      <c r="I264" s="86"/>
      <c r="J264" s="12"/>
      <c r="K264" s="33"/>
      <c r="L264" s="88"/>
      <c r="M264" s="12"/>
      <c r="N264" s="13"/>
      <c r="O264" s="12"/>
      <c r="P264" s="13"/>
      <c r="Q264" s="12"/>
      <c r="R264" s="13"/>
      <c r="S264" s="12"/>
      <c r="T264" s="13"/>
      <c r="U264" s="33"/>
      <c r="V264" s="13"/>
      <c r="W264" s="14"/>
      <c r="X264" s="13"/>
      <c r="Y264" s="31"/>
    </row>
    <row r="265" spans="2:25" x14ac:dyDescent="0.3">
      <c r="B265" s="81">
        <f>MAX(B$256:B264)+1</f>
        <v>139</v>
      </c>
      <c r="C265" s="83"/>
      <c r="D265" s="10" t="s">
        <v>43</v>
      </c>
      <c r="E265" s="81"/>
      <c r="F265" s="11"/>
      <c r="G265" s="81"/>
      <c r="H265" s="89">
        <f>H263</f>
        <v>990646.19354913419</v>
      </c>
      <c r="I265" s="86"/>
      <c r="J265" s="89">
        <f>J256+J263</f>
        <v>217016.25759521645</v>
      </c>
      <c r="K265" s="19">
        <f>J265/$H265*100</f>
        <v>21.906535250261662</v>
      </c>
      <c r="L265" s="88"/>
      <c r="M265" s="89">
        <f>M256+M263</f>
        <v>-6085.4907112822912</v>
      </c>
      <c r="N265" s="13"/>
      <c r="O265" s="89">
        <f>O256+O263</f>
        <v>223101.74830649875</v>
      </c>
      <c r="P265" s="13"/>
      <c r="Q265" s="89">
        <f>Q256+Q263</f>
        <v>-1103.2638473067418</v>
      </c>
      <c r="R265" s="13"/>
      <c r="S265" s="89">
        <f>S256+S263</f>
        <v>221998.48445919197</v>
      </c>
      <c r="T265" s="13"/>
      <c r="U265" s="19">
        <f>S265/$H265*100</f>
        <v>22.409462218176003</v>
      </c>
      <c r="V265" s="13"/>
      <c r="W265" s="90">
        <f>S265/O265</f>
        <v>0.995054884797267</v>
      </c>
      <c r="X265" s="13"/>
      <c r="Y265" s="20">
        <f>U265/K265-1</f>
        <v>2.2957850804286029E-2</v>
      </c>
    </row>
    <row r="266" spans="2:25" x14ac:dyDescent="0.3"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24"/>
    </row>
    <row r="267" spans="2:25" x14ac:dyDescent="0.3">
      <c r="B267" s="81"/>
      <c r="C267" s="83"/>
      <c r="D267" s="10" t="s">
        <v>94</v>
      </c>
      <c r="E267" s="81"/>
      <c r="F267" s="11"/>
      <c r="G267" s="81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24"/>
    </row>
    <row r="268" spans="2:25" x14ac:dyDescent="0.3">
      <c r="B268" s="81">
        <f>MAX(B$256:B267)+1</f>
        <v>140</v>
      </c>
      <c r="C268" s="83"/>
      <c r="D268" s="18" t="s">
        <v>95</v>
      </c>
      <c r="E268" s="81"/>
      <c r="F268" s="11" t="s">
        <v>39</v>
      </c>
      <c r="G268" s="81"/>
      <c r="H268" s="12">
        <v>278426.44580863882</v>
      </c>
      <c r="I268" s="86"/>
      <c r="J268" s="12">
        <f>$H268*K268/100</f>
        <v>6248.1678703916632</v>
      </c>
      <c r="K268" s="33">
        <v>2.2441</v>
      </c>
      <c r="L268" s="88"/>
      <c r="M268" s="12">
        <f t="shared" ref="M268:M269" si="75">J268-O268</f>
        <v>2833.282639375172</v>
      </c>
      <c r="N268" s="13"/>
      <c r="O268" s="12">
        <f t="shared" ref="O268:O269" si="76">S268</f>
        <v>3414.8852310164912</v>
      </c>
      <c r="P268" s="13"/>
      <c r="Q268" s="12">
        <f t="shared" ref="Q268:Q269" si="77">S268-O268</f>
        <v>0</v>
      </c>
      <c r="R268" s="13"/>
      <c r="S268" s="12">
        <f>$H268*U268/100</f>
        <v>3414.8852310164912</v>
      </c>
      <c r="T268" s="13"/>
      <c r="U268" s="33">
        <v>1.2264945670295722</v>
      </c>
      <c r="V268" s="13"/>
      <c r="W268" s="14"/>
      <c r="X268" s="13"/>
      <c r="Y268" s="15"/>
    </row>
    <row r="269" spans="2:25" x14ac:dyDescent="0.3">
      <c r="B269" s="81">
        <f>MAX(B$256:B268)+1</f>
        <v>141</v>
      </c>
      <c r="C269" s="83"/>
      <c r="D269" s="18" t="s">
        <v>96</v>
      </c>
      <c r="E269" s="81"/>
      <c r="F269" s="11" t="s">
        <v>39</v>
      </c>
      <c r="G269" s="81"/>
      <c r="H269" s="12">
        <v>712219.74774049548</v>
      </c>
      <c r="I269" s="86"/>
      <c r="J269" s="12">
        <f>$H269*K269/100</f>
        <v>42268.105369155186</v>
      </c>
      <c r="K269" s="33">
        <v>5.9346999999999994</v>
      </c>
      <c r="L269" s="88"/>
      <c r="M269" s="12">
        <f t="shared" si="75"/>
        <v>33009.321106249263</v>
      </c>
      <c r="N269" s="13"/>
      <c r="O269" s="12">
        <f t="shared" si="76"/>
        <v>9258.7842629059269</v>
      </c>
      <c r="P269" s="13"/>
      <c r="Q269" s="12">
        <f t="shared" si="77"/>
        <v>0</v>
      </c>
      <c r="R269" s="13"/>
      <c r="S269" s="12">
        <f>$H269*U269/100</f>
        <v>9258.7842629059269</v>
      </c>
      <c r="T269" s="13"/>
      <c r="U269" s="33">
        <v>1.2999898264937551</v>
      </c>
      <c r="V269" s="13"/>
      <c r="W269" s="14"/>
      <c r="X269" s="13"/>
      <c r="Y269" s="15"/>
    </row>
    <row r="270" spans="2:25" x14ac:dyDescent="0.3">
      <c r="B270" s="81">
        <f>MAX(B$256:B269)+1</f>
        <v>142</v>
      </c>
      <c r="C270" s="83"/>
      <c r="D270" s="10" t="s">
        <v>94</v>
      </c>
      <c r="E270" s="81"/>
      <c r="F270" s="11"/>
      <c r="G270" s="81"/>
      <c r="H270" s="89">
        <f>SUM(H268:H269)</f>
        <v>990646.1935491343</v>
      </c>
      <c r="I270" s="86"/>
      <c r="J270" s="89">
        <f>SUM(J268:J269)</f>
        <v>48516.273239546848</v>
      </c>
      <c r="K270" s="19">
        <f>J270/$H270*100</f>
        <v>4.897437001774593</v>
      </c>
      <c r="L270" s="88"/>
      <c r="M270" s="89">
        <f>SUM(M268:M269)</f>
        <v>35842.603745624438</v>
      </c>
      <c r="N270" s="13"/>
      <c r="O270" s="89">
        <f>SUM(O268:O269)</f>
        <v>12673.669493922418</v>
      </c>
      <c r="P270" s="13"/>
      <c r="Q270" s="89">
        <f>SUM(Q268:Q269)</f>
        <v>0</v>
      </c>
      <c r="R270" s="13"/>
      <c r="S270" s="89">
        <f>SUM(S268:S269)</f>
        <v>12673.669493922418</v>
      </c>
      <c r="T270" s="13"/>
      <c r="U270" s="19">
        <f>S270/$H270*100</f>
        <v>1.2793335881620007</v>
      </c>
      <c r="V270" s="13"/>
      <c r="W270" s="90">
        <f>S270/O270</f>
        <v>1</v>
      </c>
      <c r="X270" s="13"/>
      <c r="Y270" s="20">
        <f>U270/K270-1</f>
        <v>-0.73877487598136893</v>
      </c>
    </row>
    <row r="271" spans="2:25" x14ac:dyDescent="0.3">
      <c r="E271" s="81"/>
      <c r="F271" s="11"/>
      <c r="G271" s="81"/>
      <c r="H271" s="12"/>
      <c r="I271" s="86"/>
      <c r="J271" s="12"/>
      <c r="K271" s="33"/>
      <c r="L271" s="88"/>
      <c r="M271" s="12"/>
      <c r="N271" s="13"/>
      <c r="O271" s="12"/>
      <c r="P271" s="13"/>
      <c r="Q271" s="12"/>
      <c r="R271" s="13"/>
      <c r="S271" s="12"/>
      <c r="T271" s="13"/>
      <c r="U271" s="33"/>
      <c r="V271" s="13"/>
      <c r="W271" s="14"/>
      <c r="X271" s="13"/>
      <c r="Y271" s="15"/>
    </row>
    <row r="272" spans="2:25" x14ac:dyDescent="0.3">
      <c r="B272" s="81"/>
      <c r="C272" s="83"/>
      <c r="D272" s="10" t="s">
        <v>44</v>
      </c>
      <c r="E272" s="81"/>
      <c r="F272" s="91"/>
      <c r="G272" s="81"/>
      <c r="H272" s="12"/>
      <c r="I272" s="86"/>
      <c r="J272" s="12"/>
      <c r="K272" s="33"/>
      <c r="L272" s="88"/>
      <c r="M272" s="12"/>
      <c r="N272" s="13"/>
      <c r="O272" s="12"/>
      <c r="P272" s="13"/>
      <c r="Q272" s="12"/>
      <c r="R272" s="13"/>
      <c r="S272" s="12"/>
      <c r="T272" s="13"/>
      <c r="U272" s="22"/>
      <c r="V272" s="13"/>
      <c r="W272" s="14"/>
      <c r="X272" s="13"/>
      <c r="Y272" s="23"/>
    </row>
    <row r="273" spans="2:26" x14ac:dyDescent="0.3">
      <c r="B273" s="81">
        <f>MAX(B$256:B272)+1</f>
        <v>143</v>
      </c>
      <c r="C273" s="83"/>
      <c r="D273" s="18" t="s">
        <v>97</v>
      </c>
      <c r="E273" s="81"/>
      <c r="F273" s="91" t="s">
        <v>39</v>
      </c>
      <c r="G273" s="81"/>
      <c r="H273" s="12">
        <f>H280</f>
        <v>265628.92992402165</v>
      </c>
      <c r="I273" s="86"/>
      <c r="J273" s="12">
        <f>$H273*K273/100</f>
        <v>8762.8327692635503</v>
      </c>
      <c r="K273" s="33">
        <v>3.2988999999999997</v>
      </c>
      <c r="L273" s="88"/>
      <c r="M273" s="12">
        <f t="shared" ref="M273:M276" si="78">J273-O273</f>
        <v>-5694.7331959914318</v>
      </c>
      <c r="N273" s="13"/>
      <c r="O273" s="12">
        <f>S273</f>
        <v>14457.565965254982</v>
      </c>
      <c r="P273" s="13"/>
      <c r="Q273" s="12">
        <f t="shared" ref="Q273:Q276" si="79">S273-O273</f>
        <v>0</v>
      </c>
      <c r="R273" s="13"/>
      <c r="S273" s="12">
        <f>$H273*U273/100</f>
        <v>14457.565965254982</v>
      </c>
      <c r="T273" s="13"/>
      <c r="U273" s="33">
        <v>5.4427678375959676</v>
      </c>
      <c r="V273" s="13"/>
      <c r="W273" s="92"/>
      <c r="X273" s="13"/>
      <c r="Y273" s="15"/>
    </row>
    <row r="274" spans="2:26" x14ac:dyDescent="0.3">
      <c r="B274" s="81">
        <f>MAX(B$256:B273)+1</f>
        <v>144</v>
      </c>
      <c r="C274" s="83"/>
      <c r="D274" s="18" t="s">
        <v>98</v>
      </c>
      <c r="E274" s="81"/>
      <c r="F274" s="91" t="s">
        <v>39</v>
      </c>
      <c r="G274" s="81"/>
      <c r="H274" s="12">
        <f>H281</f>
        <v>667225.72540909331</v>
      </c>
      <c r="I274" s="86"/>
      <c r="J274" s="12">
        <f>$H274*K274/100</f>
        <v>12900.142175059411</v>
      </c>
      <c r="K274" s="33">
        <v>1.9334000000000002</v>
      </c>
      <c r="L274" s="88"/>
      <c r="M274" s="12">
        <f t="shared" si="78"/>
        <v>-26845.420586389278</v>
      </c>
      <c r="N274" s="13"/>
      <c r="O274" s="12">
        <f>S274</f>
        <v>39745.562761448688</v>
      </c>
      <c r="P274" s="13"/>
      <c r="Q274" s="12">
        <f t="shared" si="79"/>
        <v>0</v>
      </c>
      <c r="R274" s="13"/>
      <c r="S274" s="12">
        <f>$H274*U274/100</f>
        <v>39745.562761448688</v>
      </c>
      <c r="T274" s="13"/>
      <c r="U274" s="33">
        <v>5.956839079770142</v>
      </c>
      <c r="V274" s="13"/>
      <c r="W274" s="92"/>
      <c r="X274" s="13"/>
      <c r="Y274" s="15"/>
    </row>
    <row r="275" spans="2:26" x14ac:dyDescent="0.3">
      <c r="B275" s="81">
        <f>MAX(B$256:B274)+1</f>
        <v>145</v>
      </c>
      <c r="C275" s="83"/>
      <c r="D275" s="18" t="s">
        <v>99</v>
      </c>
      <c r="E275" s="81"/>
      <c r="F275" s="91" t="s">
        <v>39</v>
      </c>
      <c r="G275" s="81"/>
      <c r="H275" s="12">
        <v>12797.515884617114</v>
      </c>
      <c r="I275" s="86"/>
      <c r="J275" s="12">
        <f>$H275*K275/100</f>
        <v>422.17725151763392</v>
      </c>
      <c r="K275" s="33">
        <v>3.2988999999999997</v>
      </c>
      <c r="L275" s="88"/>
      <c r="M275" s="12">
        <f t="shared" si="78"/>
        <v>-274.36182706154153</v>
      </c>
      <c r="N275" s="88"/>
      <c r="O275" s="12">
        <f>S275</f>
        <v>696.53907857917545</v>
      </c>
      <c r="P275" s="88"/>
      <c r="Q275" s="12">
        <f t="shared" si="79"/>
        <v>0</v>
      </c>
      <c r="R275" s="88"/>
      <c r="S275" s="12">
        <f>$H275*U275/100</f>
        <v>696.53907857917545</v>
      </c>
      <c r="T275" s="88"/>
      <c r="U275" s="33">
        <v>5.4427678375959676</v>
      </c>
      <c r="V275" s="88"/>
      <c r="W275" s="92"/>
      <c r="X275" s="88"/>
      <c r="Y275" s="15"/>
      <c r="Z275" s="81"/>
    </row>
    <row r="276" spans="2:26" x14ac:dyDescent="0.3">
      <c r="B276" s="81">
        <f>MAX(B$256:B275)+1</f>
        <v>146</v>
      </c>
      <c r="C276" s="83"/>
      <c r="D276" s="18" t="s">
        <v>100</v>
      </c>
      <c r="E276" s="81"/>
      <c r="F276" s="91" t="s">
        <v>39</v>
      </c>
      <c r="G276" s="81"/>
      <c r="H276" s="12">
        <v>44994.022331402171</v>
      </c>
      <c r="I276" s="86"/>
      <c r="J276" s="12">
        <f>$H276*K276/100</f>
        <v>869.91442775532971</v>
      </c>
      <c r="K276" s="33">
        <v>1.9334000000000002</v>
      </c>
      <c r="L276" s="88"/>
      <c r="M276" s="12">
        <f t="shared" si="78"/>
        <v>-1810.3070780421399</v>
      </c>
      <c r="N276" s="88"/>
      <c r="O276" s="12">
        <f>S276</f>
        <v>2680.2215057974695</v>
      </c>
      <c r="P276" s="88"/>
      <c r="Q276" s="12">
        <f t="shared" si="79"/>
        <v>0</v>
      </c>
      <c r="R276" s="88"/>
      <c r="S276" s="12">
        <f>$H276*U276/100</f>
        <v>2680.2215057974695</v>
      </c>
      <c r="T276" s="88"/>
      <c r="U276" s="33">
        <v>5.956839079770142</v>
      </c>
      <c r="V276" s="88"/>
      <c r="W276" s="92"/>
      <c r="X276" s="88"/>
      <c r="Y276" s="15"/>
      <c r="Z276" s="81"/>
    </row>
    <row r="277" spans="2:26" x14ac:dyDescent="0.3">
      <c r="B277" s="81">
        <f>MAX(B$256:B276)+1</f>
        <v>147</v>
      </c>
      <c r="C277" s="83"/>
      <c r="D277" s="10" t="s">
        <v>44</v>
      </c>
      <c r="E277" s="81"/>
      <c r="F277" s="11"/>
      <c r="G277" s="81"/>
      <c r="H277" s="89">
        <f>SUM(H273:H276)</f>
        <v>990646.1935491343</v>
      </c>
      <c r="I277" s="86"/>
      <c r="J277" s="89">
        <f>SUM(J273:J276)</f>
        <v>22955.066623595925</v>
      </c>
      <c r="K277" s="19">
        <f>J277/$H277*100</f>
        <v>2.3171811261249644</v>
      </c>
      <c r="L277" s="88"/>
      <c r="M277" s="89">
        <f>SUM(M273:M276)</f>
        <v>-34624.822687484389</v>
      </c>
      <c r="N277" s="13"/>
      <c r="O277" s="89">
        <f>SUM(O273:O276)</f>
        <v>57579.889311080311</v>
      </c>
      <c r="P277" s="13"/>
      <c r="Q277" s="89">
        <f>SUM(Q273:Q276)</f>
        <v>0</v>
      </c>
      <c r="R277" s="13"/>
      <c r="S277" s="89">
        <f>SUM(S273:S276)</f>
        <v>57579.889311080311</v>
      </c>
      <c r="T277" s="13"/>
      <c r="U277" s="19">
        <f>S277/$H277*100</f>
        <v>5.8123565896712295</v>
      </c>
      <c r="V277" s="13"/>
      <c r="W277" s="90">
        <f>S277/O277</f>
        <v>1</v>
      </c>
      <c r="X277" s="13"/>
      <c r="Y277" s="20">
        <f>U277/K277-1</f>
        <v>1.5083738703634566</v>
      </c>
    </row>
    <row r="278" spans="2:26" x14ac:dyDescent="0.3"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24"/>
    </row>
    <row r="279" spans="2:26" x14ac:dyDescent="0.3">
      <c r="B279" s="81"/>
      <c r="C279" s="83"/>
      <c r="D279" s="10" t="s">
        <v>49</v>
      </c>
      <c r="E279" s="81"/>
      <c r="F279" s="11"/>
      <c r="G279" s="81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24"/>
    </row>
    <row r="280" spans="2:26" x14ac:dyDescent="0.3">
      <c r="B280" s="81">
        <f>MAX(B$256:B279)+1</f>
        <v>148</v>
      </c>
      <c r="C280" s="83"/>
      <c r="D280" s="18" t="s">
        <v>101</v>
      </c>
      <c r="E280" s="81"/>
      <c r="F280" s="11" t="s">
        <v>39</v>
      </c>
      <c r="G280" s="81"/>
      <c r="H280" s="12">
        <v>265628.92992402165</v>
      </c>
      <c r="I280" s="86"/>
      <c r="J280" s="12">
        <f>$H280*K280/100</f>
        <v>29206.166474076104</v>
      </c>
      <c r="K280" s="33">
        <v>10.995100000000001</v>
      </c>
      <c r="L280" s="88"/>
      <c r="M280" s="12">
        <f t="shared" ref="M280:M281" si="80">J280-O280</f>
        <v>115.01286614064156</v>
      </c>
      <c r="N280" s="13"/>
      <c r="O280" s="12">
        <f t="shared" ref="O280:O281" si="81">S280</f>
        <v>29091.153607935463</v>
      </c>
      <c r="P280" s="13"/>
      <c r="Q280" s="12">
        <f t="shared" ref="Q280:Q281" si="82">S280-O280</f>
        <v>0</v>
      </c>
      <c r="R280" s="13"/>
      <c r="S280" s="12">
        <f>$H280*U280/100</f>
        <v>29091.153607935463</v>
      </c>
      <c r="T280" s="13"/>
      <c r="U280" s="33">
        <v>10.951801679228412</v>
      </c>
      <c r="V280" s="13"/>
      <c r="W280" s="14"/>
      <c r="X280" s="13"/>
      <c r="Y280" s="15"/>
    </row>
    <row r="281" spans="2:26" x14ac:dyDescent="0.3">
      <c r="B281" s="81">
        <f>MAX(B$256:B280)+1</f>
        <v>149</v>
      </c>
      <c r="C281" s="83"/>
      <c r="D281" s="18" t="s">
        <v>102</v>
      </c>
      <c r="E281" s="81"/>
      <c r="F281" s="11" t="s">
        <v>39</v>
      </c>
      <c r="G281" s="81"/>
      <c r="H281" s="12">
        <v>667225.72540909331</v>
      </c>
      <c r="I281" s="86"/>
      <c r="J281" s="12">
        <f>$H281*K281/100</f>
        <v>107654.37856848788</v>
      </c>
      <c r="K281" s="33">
        <v>16.134626479289629</v>
      </c>
      <c r="L281" s="88"/>
      <c r="M281" s="12">
        <f t="shared" si="80"/>
        <v>-1062.6301095848903</v>
      </c>
      <c r="N281" s="13"/>
      <c r="O281" s="12">
        <f t="shared" si="81"/>
        <v>108717.00867807277</v>
      </c>
      <c r="P281" s="13"/>
      <c r="Q281" s="12">
        <f t="shared" si="82"/>
        <v>0</v>
      </c>
      <c r="R281" s="13"/>
      <c r="S281" s="12">
        <f>$H281*U281/100</f>
        <v>108717.00867807277</v>
      </c>
      <c r="T281" s="13"/>
      <c r="U281" s="33">
        <v>16.293887441377588</v>
      </c>
      <c r="V281" s="13"/>
      <c r="W281" s="14"/>
      <c r="X281" s="13"/>
      <c r="Y281" s="15"/>
    </row>
    <row r="282" spans="2:26" x14ac:dyDescent="0.3">
      <c r="B282" s="81">
        <f>MAX(B$256:B281)+1</f>
        <v>150</v>
      </c>
      <c r="C282" s="83"/>
      <c r="D282" s="10" t="s">
        <v>49</v>
      </c>
      <c r="E282" s="81"/>
      <c r="F282" s="11"/>
      <c r="G282" s="81"/>
      <c r="H282" s="89">
        <f>SUM(H280:H281)</f>
        <v>932854.65533311502</v>
      </c>
      <c r="I282" s="86"/>
      <c r="J282" s="89">
        <f>SUM(J280:J281)</f>
        <v>136860.54504256399</v>
      </c>
      <c r="K282" s="19">
        <f>J282/$H282*100</f>
        <v>14.671154210372908</v>
      </c>
      <c r="L282" s="88"/>
      <c r="M282" s="89">
        <f>SUM(M280:M281)</f>
        <v>-947.61724344424874</v>
      </c>
      <c r="N282" s="13"/>
      <c r="O282" s="89">
        <f>SUM(O280:O281)</f>
        <v>137808.16228600824</v>
      </c>
      <c r="P282" s="13"/>
      <c r="Q282" s="89">
        <f>SUM(Q280:Q281)</f>
        <v>0</v>
      </c>
      <c r="R282" s="13"/>
      <c r="S282" s="89">
        <f>SUM(S280:S281)</f>
        <v>137808.16228600824</v>
      </c>
      <c r="T282" s="13"/>
      <c r="U282" s="19">
        <f>S282/$H282*100</f>
        <v>14.772736727866576</v>
      </c>
      <c r="V282" s="13"/>
      <c r="W282" s="90">
        <f>S282/O282</f>
        <v>1</v>
      </c>
      <c r="X282" s="13"/>
      <c r="Y282" s="20">
        <f>U282/K282-1</f>
        <v>6.9239622211758611E-3</v>
      </c>
    </row>
    <row r="283" spans="2:26" x14ac:dyDescent="0.3">
      <c r="B283" s="81"/>
      <c r="C283" s="83"/>
      <c r="D283" s="10"/>
      <c r="E283" s="81"/>
      <c r="F283" s="11"/>
      <c r="G283" s="81"/>
      <c r="H283" s="12"/>
      <c r="I283" s="86"/>
      <c r="J283" s="12"/>
      <c r="K283" s="33"/>
      <c r="L283" s="88"/>
      <c r="M283" s="12"/>
      <c r="N283" s="13"/>
      <c r="O283" s="12"/>
      <c r="P283" s="13"/>
      <c r="Q283" s="12"/>
      <c r="R283" s="13"/>
      <c r="S283" s="12"/>
      <c r="T283" s="13"/>
      <c r="U283" s="33"/>
      <c r="V283" s="13"/>
      <c r="W283" s="14"/>
      <c r="X283" s="13"/>
      <c r="Y283" s="15"/>
    </row>
    <row r="284" spans="2:26" ht="12.9" thickBot="1" x14ac:dyDescent="0.35">
      <c r="B284" s="81">
        <f>MAX(B$256:B283)+1</f>
        <v>151</v>
      </c>
      <c r="C284" s="83"/>
      <c r="D284" s="10" t="s">
        <v>103</v>
      </c>
      <c r="E284" s="81"/>
      <c r="F284" s="11"/>
      <c r="G284" s="81"/>
      <c r="H284" s="93">
        <f>H263</f>
        <v>990646.19354913419</v>
      </c>
      <c r="I284" s="86"/>
      <c r="J284" s="93">
        <f>SUM(J265,J270,J277,J282)</f>
        <v>425348.14250092325</v>
      </c>
      <c r="K284" s="25">
        <f>J284/$H284*100</f>
        <v>42.936433337219178</v>
      </c>
      <c r="L284" s="88"/>
      <c r="M284" s="93">
        <f>SUM(M265,M270,M277,M282)</f>
        <v>-5815.3268965864918</v>
      </c>
      <c r="N284" s="13"/>
      <c r="O284" s="93">
        <f>SUM(O265,O270,O277,O282) +0.031</f>
        <v>431163.50039750972</v>
      </c>
      <c r="P284" s="13"/>
      <c r="Q284" s="93">
        <f>SUM(Q265,Q270,Q277,Q282)</f>
        <v>-1103.2638473067418</v>
      </c>
      <c r="R284" s="13"/>
      <c r="S284" s="93">
        <f>SUM(S265,S270,S277,S282)</f>
        <v>430060.20555020293</v>
      </c>
      <c r="T284" s="13"/>
      <c r="U284" s="25">
        <f>S284/$H284*100</f>
        <v>43.412088831578671</v>
      </c>
      <c r="V284" s="13"/>
      <c r="W284" s="94">
        <f>S284/O284</f>
        <v>0.997441121880007</v>
      </c>
      <c r="X284" s="13"/>
      <c r="Y284" s="26">
        <f>U284/K284-1</f>
        <v>1.1078132424827469E-2</v>
      </c>
    </row>
    <row r="285" spans="2:26" ht="12.9" thickTop="1" x14ac:dyDescent="0.3">
      <c r="B285" s="81"/>
      <c r="C285" s="83"/>
      <c r="D285" s="10"/>
      <c r="E285" s="81"/>
      <c r="F285" s="11"/>
      <c r="G285" s="81"/>
      <c r="H285" s="88"/>
      <c r="I285" s="86"/>
      <c r="J285" s="88"/>
      <c r="K285" s="33"/>
      <c r="L285" s="88"/>
      <c r="M285" s="88"/>
      <c r="N285" s="13"/>
      <c r="O285" s="88"/>
      <c r="P285" s="13"/>
      <c r="Q285" s="88"/>
      <c r="R285" s="13"/>
      <c r="S285" s="88"/>
      <c r="T285" s="13"/>
      <c r="U285" s="33"/>
      <c r="V285" s="13"/>
      <c r="W285" s="92"/>
      <c r="X285" s="13"/>
      <c r="Y285" s="15"/>
    </row>
    <row r="286" spans="2:26" x14ac:dyDescent="0.3">
      <c r="B286" s="123" t="s">
        <v>0</v>
      </c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</row>
    <row r="287" spans="2:26" x14ac:dyDescent="0.3">
      <c r="B287" s="123" t="s">
        <v>59</v>
      </c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</row>
    <row r="288" spans="2:26" x14ac:dyDescent="0.3">
      <c r="B288" s="77"/>
      <c r="C288" s="77"/>
      <c r="D288" s="77"/>
      <c r="E288" s="77"/>
      <c r="F288" s="78"/>
      <c r="G288" s="77"/>
      <c r="H288" s="78"/>
      <c r="I288" s="77"/>
      <c r="J288" s="78"/>
      <c r="K288" s="78"/>
      <c r="L288" s="78"/>
      <c r="M288" s="78"/>
      <c r="N288" s="77"/>
      <c r="O288" s="77"/>
      <c r="P288" s="77"/>
      <c r="Q288" s="77"/>
      <c r="R288" s="77"/>
      <c r="S288" s="77"/>
      <c r="T288" s="77"/>
      <c r="U288" s="77"/>
      <c r="V288" s="77"/>
      <c r="W288" s="5"/>
      <c r="X288" s="77"/>
      <c r="Y288" s="5"/>
    </row>
    <row r="289" spans="2:26" x14ac:dyDescent="0.3">
      <c r="B289" s="78"/>
      <c r="C289" s="78"/>
      <c r="D289" s="78"/>
      <c r="E289" s="78"/>
      <c r="F289" s="77"/>
      <c r="G289" s="78"/>
      <c r="H289" s="77"/>
      <c r="I289" s="78"/>
      <c r="J289" s="79" t="s">
        <v>2</v>
      </c>
      <c r="K289" s="79"/>
      <c r="L289" s="78"/>
      <c r="M289" s="78"/>
      <c r="N289" s="78"/>
      <c r="O289" s="122" t="s">
        <v>3</v>
      </c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</row>
    <row r="290" spans="2:26" ht="37.299999999999997" x14ac:dyDescent="0.3">
      <c r="B290" s="80" t="s">
        <v>4</v>
      </c>
      <c r="C290" s="80"/>
      <c r="D290" s="80"/>
      <c r="E290" s="80"/>
      <c r="F290" s="81" t="s">
        <v>5</v>
      </c>
      <c r="G290" s="80"/>
      <c r="H290" s="6" t="s">
        <v>6</v>
      </c>
      <c r="I290" s="80"/>
      <c r="J290" s="6" t="s">
        <v>7</v>
      </c>
      <c r="K290" s="6" t="s">
        <v>8</v>
      </c>
      <c r="L290" s="80"/>
      <c r="M290" s="6" t="s">
        <v>9</v>
      </c>
      <c r="N290" s="80"/>
      <c r="O290" s="80" t="s">
        <v>10</v>
      </c>
      <c r="P290" s="80"/>
      <c r="Q290" s="6" t="s">
        <v>11</v>
      </c>
      <c r="R290" s="80"/>
      <c r="S290" s="6" t="s">
        <v>7</v>
      </c>
      <c r="T290" s="80"/>
      <c r="U290" s="6" t="s">
        <v>12</v>
      </c>
      <c r="V290" s="80"/>
      <c r="W290" s="80" t="s">
        <v>13</v>
      </c>
      <c r="X290" s="80"/>
      <c r="Y290" s="80" t="s">
        <v>14</v>
      </c>
    </row>
    <row r="291" spans="2:26" ht="14.15" x14ac:dyDescent="0.3">
      <c r="B291" s="82" t="s">
        <v>15</v>
      </c>
      <c r="C291" s="83"/>
      <c r="D291" s="84" t="s">
        <v>16</v>
      </c>
      <c r="E291" s="81"/>
      <c r="F291" s="82" t="s">
        <v>17</v>
      </c>
      <c r="G291" s="81"/>
      <c r="H291" s="82" t="s">
        <v>18</v>
      </c>
      <c r="I291" s="81"/>
      <c r="J291" s="82" t="s">
        <v>19</v>
      </c>
      <c r="K291" s="82" t="s">
        <v>20</v>
      </c>
      <c r="L291" s="81"/>
      <c r="M291" s="82" t="s">
        <v>19</v>
      </c>
      <c r="N291" s="81"/>
      <c r="O291" s="82" t="s">
        <v>19</v>
      </c>
      <c r="P291" s="81"/>
      <c r="Q291" s="82" t="s">
        <v>19</v>
      </c>
      <c r="R291" s="81"/>
      <c r="S291" s="82" t="s">
        <v>19</v>
      </c>
      <c r="T291" s="81"/>
      <c r="U291" s="82" t="s">
        <v>20</v>
      </c>
      <c r="V291" s="81"/>
      <c r="W291" s="82" t="s">
        <v>21</v>
      </c>
      <c r="X291" s="81"/>
      <c r="Y291" s="82" t="s">
        <v>22</v>
      </c>
    </row>
    <row r="292" spans="2:26" x14ac:dyDescent="0.3">
      <c r="B292" s="81"/>
      <c r="C292" s="83"/>
      <c r="D292" s="83"/>
      <c r="E292" s="81"/>
      <c r="F292" s="81"/>
      <c r="G292" s="81"/>
      <c r="H292" s="81" t="s">
        <v>23</v>
      </c>
      <c r="I292" s="81"/>
      <c r="J292" s="81" t="s">
        <v>24</v>
      </c>
      <c r="K292" s="81" t="s">
        <v>25</v>
      </c>
      <c r="L292" s="81"/>
      <c r="M292" s="81" t="s">
        <v>26</v>
      </c>
      <c r="N292" s="81"/>
      <c r="O292" s="81" t="s">
        <v>27</v>
      </c>
      <c r="P292" s="81"/>
      <c r="Q292" s="81" t="s">
        <v>28</v>
      </c>
      <c r="R292" s="81"/>
      <c r="S292" s="85" t="s">
        <v>29</v>
      </c>
      <c r="T292" s="81"/>
      <c r="U292" s="85" t="s">
        <v>30</v>
      </c>
      <c r="V292" s="81"/>
      <c r="W292" s="85" t="s">
        <v>31</v>
      </c>
      <c r="X292" s="81"/>
      <c r="Y292" s="85" t="s">
        <v>32</v>
      </c>
    </row>
    <row r="293" spans="2:26" x14ac:dyDescent="0.3">
      <c r="B293" s="81"/>
      <c r="C293" s="83"/>
      <c r="E293" s="81"/>
      <c r="F293" s="91"/>
      <c r="G293" s="81"/>
      <c r="H293" s="88"/>
      <c r="I293" s="86"/>
      <c r="J293" s="88"/>
      <c r="K293" s="22"/>
      <c r="L293" s="88"/>
      <c r="M293" s="88"/>
      <c r="N293" s="13"/>
      <c r="O293" s="88"/>
      <c r="P293" s="13"/>
      <c r="Q293" s="88"/>
      <c r="R293" s="13"/>
      <c r="S293" s="88"/>
      <c r="T293" s="13"/>
      <c r="U293" s="22"/>
      <c r="V293" s="13"/>
      <c r="W293" s="92"/>
      <c r="X293" s="13"/>
      <c r="Y293" s="23"/>
    </row>
    <row r="294" spans="2:26" x14ac:dyDescent="0.3">
      <c r="B294" s="81"/>
      <c r="C294" s="83"/>
      <c r="D294" s="3" t="s">
        <v>104</v>
      </c>
      <c r="E294" s="81"/>
      <c r="F294" s="7"/>
      <c r="G294" s="81"/>
      <c r="H294" s="27"/>
      <c r="I294" s="86"/>
      <c r="J294" s="27"/>
      <c r="K294" s="86"/>
      <c r="L294" s="86"/>
      <c r="M294" s="28"/>
      <c r="N294" s="86"/>
      <c r="O294" s="29"/>
      <c r="P294" s="86"/>
      <c r="Q294" s="86"/>
      <c r="R294" s="86"/>
      <c r="S294" s="86"/>
      <c r="T294" s="86"/>
      <c r="U294" s="86"/>
      <c r="V294" s="86"/>
      <c r="W294" s="86"/>
      <c r="X294" s="86"/>
      <c r="Y294" s="95"/>
      <c r="Z294" s="81"/>
    </row>
    <row r="295" spans="2:26" x14ac:dyDescent="0.3">
      <c r="B295" s="81">
        <f>MAX(B$256:B294)+1</f>
        <v>152</v>
      </c>
      <c r="C295" s="83"/>
      <c r="D295" s="10" t="s">
        <v>35</v>
      </c>
      <c r="E295" s="81"/>
      <c r="F295" s="11" t="s">
        <v>36</v>
      </c>
      <c r="G295" s="81"/>
      <c r="H295" s="12">
        <v>26461</v>
      </c>
      <c r="I295" s="86"/>
      <c r="J295" s="12">
        <f>$H295*K295/1000</f>
        <v>2081.1576500000001</v>
      </c>
      <c r="K295" s="87">
        <v>78.650000000000006</v>
      </c>
      <c r="L295" s="88"/>
      <c r="M295" s="12">
        <f>J295-O295</f>
        <v>-3121.8283192773079</v>
      </c>
      <c r="N295" s="13"/>
      <c r="O295" s="12">
        <v>5202.985969277308</v>
      </c>
      <c r="P295" s="13"/>
      <c r="Q295" s="12">
        <f>S295-O295</f>
        <v>-3121.8283192773079</v>
      </c>
      <c r="R295" s="13"/>
      <c r="S295" s="12">
        <f>$H295*U295/1000</f>
        <v>2081.1576500000001</v>
      </c>
      <c r="T295" s="13"/>
      <c r="U295" s="87">
        <v>78.650000000000006</v>
      </c>
      <c r="V295" s="13"/>
      <c r="W295" s="14">
        <f>S295/O295</f>
        <v>0.39999293911013023</v>
      </c>
      <c r="X295" s="13"/>
      <c r="Y295" s="15">
        <f>U295/K295-1</f>
        <v>0</v>
      </c>
    </row>
    <row r="296" spans="2:26" x14ac:dyDescent="0.3">
      <c r="B296" s="81"/>
      <c r="C296" s="83"/>
      <c r="D296" s="10" t="s">
        <v>37</v>
      </c>
      <c r="E296" s="81"/>
      <c r="F296" s="11"/>
      <c r="G296" s="81"/>
      <c r="H296" s="12"/>
      <c r="I296" s="86"/>
      <c r="J296" s="12"/>
      <c r="K296" s="33"/>
      <c r="L296" s="88"/>
      <c r="M296" s="12"/>
      <c r="N296" s="13"/>
      <c r="O296" s="12"/>
      <c r="P296" s="13"/>
      <c r="Q296" s="12"/>
      <c r="R296" s="13"/>
      <c r="S296" s="12"/>
      <c r="T296" s="13"/>
      <c r="U296" s="33"/>
      <c r="V296" s="13"/>
      <c r="W296" s="14"/>
      <c r="X296" s="13"/>
      <c r="Y296" s="15"/>
    </row>
    <row r="297" spans="2:26" x14ac:dyDescent="0.3">
      <c r="B297" s="81">
        <f>MAX(B$256:B296)+1</f>
        <v>153</v>
      </c>
      <c r="C297" s="83"/>
      <c r="D297" s="52" t="s">
        <v>105</v>
      </c>
      <c r="E297" s="81"/>
      <c r="F297" s="11" t="s">
        <v>39</v>
      </c>
      <c r="G297" s="81"/>
      <c r="H297" s="12">
        <v>21376.055404047565</v>
      </c>
      <c r="I297" s="86"/>
      <c r="J297" s="12">
        <f>$H297*K297/100</f>
        <v>2057.1674439193253</v>
      </c>
      <c r="K297" s="33">
        <v>9.6236999999999995</v>
      </c>
      <c r="L297" s="88"/>
      <c r="M297" s="12">
        <f t="shared" ref="M297:M301" si="83">J297-O297</f>
        <v>466.95692876209819</v>
      </c>
      <c r="N297" s="13"/>
      <c r="O297" s="12">
        <v>1590.2105151572271</v>
      </c>
      <c r="P297" s="13"/>
      <c r="Q297" s="12">
        <f t="shared" ref="Q297:Q301" si="84">S297-O297</f>
        <v>256.0435789468047</v>
      </c>
      <c r="R297" s="13"/>
      <c r="S297" s="12">
        <f>$H297*U297/100</f>
        <v>1846.2540941040318</v>
      </c>
      <c r="T297" s="13"/>
      <c r="U297" s="33">
        <v>8.6370195960216432</v>
      </c>
      <c r="V297" s="13"/>
      <c r="W297" s="14"/>
      <c r="X297" s="13"/>
      <c r="Y297" s="15"/>
    </row>
    <row r="298" spans="2:26" x14ac:dyDescent="0.3">
      <c r="B298" s="81">
        <f>MAX(B$256:B297)+1</f>
        <v>154</v>
      </c>
      <c r="C298" s="83"/>
      <c r="D298" s="52" t="s">
        <v>106</v>
      </c>
      <c r="E298" s="81"/>
      <c r="F298" s="11" t="s">
        <v>39</v>
      </c>
      <c r="G298" s="81"/>
      <c r="H298" s="12">
        <v>124250.3248536356</v>
      </c>
      <c r="I298" s="86"/>
      <c r="J298" s="12">
        <f>$H298*K298/100</f>
        <v>9726.1911792177416</v>
      </c>
      <c r="K298" s="33">
        <v>7.8279000000000005</v>
      </c>
      <c r="L298" s="88"/>
      <c r="M298" s="12">
        <f t="shared" si="83"/>
        <v>2184.8803869785361</v>
      </c>
      <c r="N298" s="13"/>
      <c r="O298" s="12">
        <v>7541.3107922392055</v>
      </c>
      <c r="P298" s="13"/>
      <c r="Q298" s="12">
        <f t="shared" si="84"/>
        <v>1209.7023120999247</v>
      </c>
      <c r="R298" s="13"/>
      <c r="S298" s="12">
        <f>$H298*U298/100</f>
        <v>8751.0131043391302</v>
      </c>
      <c r="T298" s="13"/>
      <c r="U298" s="33">
        <v>7.0430504826829621</v>
      </c>
      <c r="V298" s="13"/>
      <c r="W298" s="14"/>
      <c r="X298" s="13"/>
      <c r="Y298" s="15"/>
    </row>
    <row r="299" spans="2:26" x14ac:dyDescent="0.3">
      <c r="B299" s="81">
        <f>MAX(B$256:B298)+1</f>
        <v>155</v>
      </c>
      <c r="C299" s="83"/>
      <c r="D299" s="52" t="s">
        <v>107</v>
      </c>
      <c r="E299" s="81"/>
      <c r="F299" s="11" t="s">
        <v>39</v>
      </c>
      <c r="G299" s="81"/>
      <c r="H299" s="12">
        <v>83207.671736870529</v>
      </c>
      <c r="I299" s="86"/>
      <c r="J299" s="12">
        <f>$H299*K299/100</f>
        <v>5645.8069426901393</v>
      </c>
      <c r="K299" s="33">
        <v>6.7852000000000006</v>
      </c>
      <c r="L299" s="88"/>
      <c r="M299" s="12">
        <f t="shared" si="83"/>
        <v>1257.3347676617213</v>
      </c>
      <c r="N299" s="13"/>
      <c r="O299" s="12">
        <v>4388.472175028418</v>
      </c>
      <c r="P299" s="13"/>
      <c r="Q299" s="12">
        <f t="shared" si="84"/>
        <v>701.79048692835113</v>
      </c>
      <c r="R299" s="13"/>
      <c r="S299" s="12">
        <f>$H299*U299/100</f>
        <v>5090.2626619567691</v>
      </c>
      <c r="T299" s="13"/>
      <c r="U299" s="33">
        <v>6.1175400725714564</v>
      </c>
      <c r="V299" s="13"/>
      <c r="W299" s="14"/>
      <c r="X299" s="13"/>
      <c r="Y299" s="15"/>
    </row>
    <row r="300" spans="2:26" x14ac:dyDescent="0.3">
      <c r="B300" s="81">
        <f>MAX(B$256:B299)+1</f>
        <v>156</v>
      </c>
      <c r="C300" s="83"/>
      <c r="D300" s="52" t="s">
        <v>108</v>
      </c>
      <c r="E300" s="81"/>
      <c r="F300" s="11" t="s">
        <v>39</v>
      </c>
      <c r="G300" s="81"/>
      <c r="H300" s="12">
        <v>58044.990985004515</v>
      </c>
      <c r="I300" s="86"/>
      <c r="J300" s="12">
        <f>$H300*K300/100</f>
        <v>3559.3188472004772</v>
      </c>
      <c r="K300" s="33">
        <v>6.1320000000000006</v>
      </c>
      <c r="L300" s="88"/>
      <c r="M300" s="12">
        <f t="shared" si="83"/>
        <v>787.15694443797793</v>
      </c>
      <c r="N300" s="13"/>
      <c r="O300" s="12">
        <v>2772.1619027624993</v>
      </c>
      <c r="P300" s="13"/>
      <c r="Q300" s="12">
        <f t="shared" si="84"/>
        <v>442.22665011509616</v>
      </c>
      <c r="R300" s="13"/>
      <c r="S300" s="12">
        <f>$H300*U300/100</f>
        <v>3214.3885528775954</v>
      </c>
      <c r="T300" s="13"/>
      <c r="U300" s="33">
        <v>5.537753556905554</v>
      </c>
      <c r="V300" s="13"/>
      <c r="W300" s="14"/>
      <c r="X300" s="13"/>
      <c r="Y300" s="15"/>
    </row>
    <row r="301" spans="2:26" x14ac:dyDescent="0.3">
      <c r="B301" s="81">
        <f>MAX(B$256:B300)+1</f>
        <v>157</v>
      </c>
      <c r="C301" s="83"/>
      <c r="D301" s="52" t="s">
        <v>109</v>
      </c>
      <c r="E301" s="81"/>
      <c r="F301" s="11" t="s">
        <v>39</v>
      </c>
      <c r="G301" s="81"/>
      <c r="H301" s="12">
        <v>41237.990645190781</v>
      </c>
      <c r="I301" s="86"/>
      <c r="J301" s="12">
        <f>$H301*K301/100</f>
        <v>1508.0733178946268</v>
      </c>
      <c r="K301" s="33">
        <v>3.657</v>
      </c>
      <c r="L301" s="88"/>
      <c r="M301" s="12">
        <f t="shared" si="83"/>
        <v>317.09800435606394</v>
      </c>
      <c r="N301" s="13"/>
      <c r="O301" s="12">
        <v>1190.9753135385629</v>
      </c>
      <c r="P301" s="13"/>
      <c r="Q301" s="12">
        <f t="shared" si="84"/>
        <v>186.75299704645909</v>
      </c>
      <c r="R301" s="13"/>
      <c r="S301" s="12">
        <f>$H301*U301/100</f>
        <v>1377.728310585022</v>
      </c>
      <c r="T301" s="13"/>
      <c r="U301" s="33">
        <v>3.3409200812884272</v>
      </c>
      <c r="V301" s="13"/>
      <c r="W301" s="14"/>
      <c r="X301" s="13"/>
      <c r="Y301" s="15"/>
    </row>
    <row r="302" spans="2:26" x14ac:dyDescent="0.3">
      <c r="B302" s="81">
        <f>MAX(B$256:B301)+1</f>
        <v>158</v>
      </c>
      <c r="C302" s="83"/>
      <c r="D302" s="10" t="s">
        <v>37</v>
      </c>
      <c r="E302" s="81"/>
      <c r="F302" s="11"/>
      <c r="G302" s="81"/>
      <c r="H302" s="89">
        <f>SUM(H297:H301)</f>
        <v>328117.03362474899</v>
      </c>
      <c r="I302" s="86"/>
      <c r="J302" s="89">
        <f>SUM(J297:J301)</f>
        <v>22496.557730922312</v>
      </c>
      <c r="K302" s="19">
        <f>J302/$H302*100</f>
        <v>6.8562602442183778</v>
      </c>
      <c r="L302" s="88"/>
      <c r="M302" s="89">
        <f>SUM(M297:M301)</f>
        <v>5013.4270321963968</v>
      </c>
      <c r="N302" s="13"/>
      <c r="O302" s="89">
        <f>SUM(O297:O301)</f>
        <v>17483.130698725912</v>
      </c>
      <c r="P302" s="13"/>
      <c r="Q302" s="89">
        <f>SUM(Q297:Q301)</f>
        <v>2796.516025136636</v>
      </c>
      <c r="R302" s="13"/>
      <c r="S302" s="89">
        <f>SUM(S297:S301)</f>
        <v>20279.646723862548</v>
      </c>
      <c r="T302" s="13"/>
      <c r="U302" s="19">
        <f>S302/$H302*100</f>
        <v>6.1806138193530558</v>
      </c>
      <c r="V302" s="13"/>
      <c r="W302" s="90">
        <f>S302/O302</f>
        <v>1.1599551060577744</v>
      </c>
      <c r="X302" s="13"/>
      <c r="Y302" s="20">
        <f>U302/K302-1</f>
        <v>-9.8544454381682578E-2</v>
      </c>
    </row>
    <row r="303" spans="2:26" x14ac:dyDescent="0.3">
      <c r="B303" s="81"/>
      <c r="C303" s="83"/>
      <c r="D303" s="10"/>
      <c r="E303" s="81"/>
      <c r="F303" s="11"/>
      <c r="G303" s="81"/>
      <c r="H303" s="12"/>
      <c r="I303" s="86"/>
      <c r="J303" s="12"/>
      <c r="K303" s="33"/>
      <c r="L303" s="88"/>
      <c r="M303" s="12"/>
      <c r="N303" s="13"/>
      <c r="O303" s="12"/>
      <c r="P303" s="13"/>
      <c r="Q303" s="12"/>
      <c r="R303" s="13"/>
      <c r="S303" s="12"/>
      <c r="T303" s="13"/>
      <c r="U303" s="33"/>
      <c r="V303" s="13"/>
      <c r="W303" s="14"/>
      <c r="X303" s="13"/>
      <c r="Y303" s="15"/>
    </row>
    <row r="304" spans="2:26" x14ac:dyDescent="0.3">
      <c r="B304" s="81">
        <f>MAX(B$256:B303)+1</f>
        <v>159</v>
      </c>
      <c r="C304" s="83"/>
      <c r="D304" s="10" t="s">
        <v>43</v>
      </c>
      <c r="E304" s="81"/>
      <c r="F304" s="11"/>
      <c r="G304" s="81"/>
      <c r="H304" s="89">
        <f>H302</f>
        <v>328117.03362474899</v>
      </c>
      <c r="I304" s="86"/>
      <c r="J304" s="89">
        <f>J295+J302</f>
        <v>24577.715380922313</v>
      </c>
      <c r="K304" s="19">
        <f>J304/$H304*100</f>
        <v>7.4905332129238413</v>
      </c>
      <c r="L304" s="88"/>
      <c r="M304" s="89">
        <f>M295+M302</f>
        <v>1891.5987129190889</v>
      </c>
      <c r="N304" s="13"/>
      <c r="O304" s="89">
        <f>O295+O302</f>
        <v>22686.116668003218</v>
      </c>
      <c r="P304" s="13"/>
      <c r="Q304" s="89">
        <f>Q295+Q302</f>
        <v>-325.31229414067184</v>
      </c>
      <c r="R304" s="13"/>
      <c r="S304" s="89">
        <f>S295+S302</f>
        <v>22360.804373862549</v>
      </c>
      <c r="T304" s="13"/>
      <c r="U304" s="19">
        <f>S304/$H304*100</f>
        <v>6.8148867880585193</v>
      </c>
      <c r="V304" s="13"/>
      <c r="W304" s="90">
        <f>S304/O304</f>
        <v>0.9856602917589905</v>
      </c>
      <c r="X304" s="13"/>
      <c r="Y304" s="20">
        <f>U304/K304-1</f>
        <v>-9.0200043930062423E-2</v>
      </c>
    </row>
    <row r="305" spans="2:26" x14ac:dyDescent="0.3"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24"/>
    </row>
    <row r="306" spans="2:26" x14ac:dyDescent="0.3">
      <c r="B306" s="81"/>
      <c r="C306" s="83"/>
      <c r="D306" s="10" t="s">
        <v>94</v>
      </c>
      <c r="E306" s="81"/>
      <c r="F306" s="11"/>
      <c r="G306" s="81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24"/>
    </row>
    <row r="307" spans="2:26" x14ac:dyDescent="0.3">
      <c r="B307" s="81">
        <f>MAX(B$256:B306)+1</f>
        <v>160</v>
      </c>
      <c r="C307" s="83"/>
      <c r="D307" s="18" t="s">
        <v>95</v>
      </c>
      <c r="E307" s="81"/>
      <c r="F307" s="11" t="s">
        <v>39</v>
      </c>
      <c r="G307" s="81"/>
      <c r="H307" s="12">
        <v>74067.232171771888</v>
      </c>
      <c r="I307" s="86"/>
      <c r="J307" s="12">
        <f>$H307*K307/100</f>
        <v>1312.8416902446565</v>
      </c>
      <c r="K307" s="33">
        <v>1.7724999999999997</v>
      </c>
      <c r="L307" s="88"/>
      <c r="M307" s="12">
        <f t="shared" ref="M307:M308" si="85">J307-O307</f>
        <v>390.87116208686541</v>
      </c>
      <c r="N307" s="13"/>
      <c r="O307" s="12">
        <f t="shared" ref="O307:O308" si="86">S307</f>
        <v>921.97052815779114</v>
      </c>
      <c r="P307" s="13"/>
      <c r="Q307" s="12">
        <f t="shared" ref="Q307:Q308" si="87">S307-O307</f>
        <v>0</v>
      </c>
      <c r="R307" s="13"/>
      <c r="S307" s="12">
        <f>$H307*U307/100</f>
        <v>921.97052815779114</v>
      </c>
      <c r="T307" s="13"/>
      <c r="U307" s="33">
        <v>1.2447751875210042</v>
      </c>
      <c r="V307" s="13"/>
      <c r="W307" s="14"/>
      <c r="X307" s="13"/>
      <c r="Y307" s="15"/>
    </row>
    <row r="308" spans="2:26" x14ac:dyDescent="0.3">
      <c r="B308" s="81">
        <f>MAX(B$256:B307)+1</f>
        <v>161</v>
      </c>
      <c r="C308" s="83"/>
      <c r="D308" s="18" t="s">
        <v>96</v>
      </c>
      <c r="E308" s="81"/>
      <c r="F308" s="11" t="s">
        <v>39</v>
      </c>
      <c r="G308" s="81"/>
      <c r="H308" s="12">
        <v>250168.79208395162</v>
      </c>
      <c r="I308" s="86"/>
      <c r="J308" s="12">
        <f>$H308*K308/100</f>
        <v>11098.988629596599</v>
      </c>
      <c r="K308" s="33">
        <v>4.4366000000000003</v>
      </c>
      <c r="L308" s="88"/>
      <c r="M308" s="12">
        <f t="shared" si="85"/>
        <v>8554.7074946444973</v>
      </c>
      <c r="N308" s="13"/>
      <c r="O308" s="12">
        <f t="shared" si="86"/>
        <v>2544.2811349521016</v>
      </c>
      <c r="P308" s="13"/>
      <c r="Q308" s="12">
        <f t="shared" si="87"/>
        <v>0</v>
      </c>
      <c r="R308" s="13"/>
      <c r="S308" s="12">
        <f>$H308*U308/100</f>
        <v>2544.2811349521016</v>
      </c>
      <c r="T308" s="13"/>
      <c r="U308" s="33">
        <v>1.017025790370484</v>
      </c>
      <c r="V308" s="13"/>
      <c r="W308" s="14"/>
      <c r="X308" s="13"/>
      <c r="Y308" s="15"/>
    </row>
    <row r="309" spans="2:26" x14ac:dyDescent="0.3">
      <c r="B309" s="81">
        <f>MAX(B$256:B308)+1</f>
        <v>162</v>
      </c>
      <c r="C309" s="83"/>
      <c r="D309" s="10" t="s">
        <v>94</v>
      </c>
      <c r="E309" s="81"/>
      <c r="F309" s="11"/>
      <c r="G309" s="81"/>
      <c r="H309" s="89">
        <f>SUM(H307:H308)</f>
        <v>324236.02425572352</v>
      </c>
      <c r="I309" s="86"/>
      <c r="J309" s="89">
        <f>SUM(J307:J308)</f>
        <v>12411.830319841256</v>
      </c>
      <c r="K309" s="19">
        <f>J309/$H309*100</f>
        <v>3.8280232273179187</v>
      </c>
      <c r="L309" s="88"/>
      <c r="M309" s="89">
        <f>SUM(M307:M308)</f>
        <v>8945.5786567313626</v>
      </c>
      <c r="N309" s="13"/>
      <c r="O309" s="89">
        <f>SUM(O307:O308)</f>
        <v>3466.2516631098929</v>
      </c>
      <c r="P309" s="13"/>
      <c r="Q309" s="89">
        <f>SUM(Q307:Q308)</f>
        <v>0</v>
      </c>
      <c r="R309" s="13"/>
      <c r="S309" s="89">
        <f>SUM(S307:S308)</f>
        <v>3466.2516631098929</v>
      </c>
      <c r="T309" s="13"/>
      <c r="U309" s="19">
        <f>S309/$H309*100</f>
        <v>1.0690519879975073</v>
      </c>
      <c r="V309" s="13"/>
      <c r="W309" s="90">
        <f>S309/O309</f>
        <v>1</v>
      </c>
      <c r="X309" s="13"/>
      <c r="Y309" s="20">
        <f>U309/K309-1</f>
        <v>-0.72073001533312742</v>
      </c>
    </row>
    <row r="310" spans="2:26" x14ac:dyDescent="0.3">
      <c r="E310" s="81"/>
      <c r="F310" s="11"/>
      <c r="G310" s="81"/>
      <c r="H310" s="12"/>
      <c r="I310" s="86"/>
      <c r="J310" s="12"/>
      <c r="K310" s="33"/>
      <c r="L310" s="88"/>
      <c r="M310" s="12"/>
      <c r="N310" s="13"/>
      <c r="O310" s="12"/>
      <c r="P310" s="13"/>
      <c r="Q310" s="12"/>
      <c r="R310" s="13"/>
      <c r="S310" s="12"/>
      <c r="T310" s="13"/>
      <c r="U310" s="33"/>
      <c r="V310" s="13"/>
      <c r="W310" s="14"/>
      <c r="X310" s="13"/>
      <c r="Y310" s="15"/>
    </row>
    <row r="311" spans="2:26" x14ac:dyDescent="0.3">
      <c r="B311" s="81"/>
      <c r="C311" s="83"/>
      <c r="D311" s="10" t="s">
        <v>44</v>
      </c>
      <c r="E311" s="81"/>
      <c r="F311" s="91"/>
      <c r="G311" s="81"/>
      <c r="H311" s="12"/>
      <c r="I311" s="86"/>
      <c r="J311" s="12"/>
      <c r="K311" s="33"/>
      <c r="L311" s="88"/>
      <c r="M311" s="12"/>
      <c r="N311" s="13"/>
      <c r="O311" s="12"/>
      <c r="P311" s="13"/>
      <c r="Q311" s="12"/>
      <c r="R311" s="13"/>
      <c r="S311" s="12"/>
      <c r="T311" s="13"/>
      <c r="U311" s="22"/>
      <c r="V311" s="13"/>
      <c r="W311" s="14"/>
      <c r="X311" s="13"/>
      <c r="Y311" s="23"/>
    </row>
    <row r="312" spans="2:26" x14ac:dyDescent="0.3">
      <c r="B312" s="81">
        <f>MAX(B$256:B311)+1</f>
        <v>163</v>
      </c>
      <c r="C312" s="83"/>
      <c r="D312" s="18" t="s">
        <v>97</v>
      </c>
      <c r="E312" s="81"/>
      <c r="F312" s="91" t="s">
        <v>39</v>
      </c>
      <c r="G312" s="81"/>
      <c r="H312" s="12">
        <f>H319</f>
        <v>38768.213881485222</v>
      </c>
      <c r="I312" s="86"/>
      <c r="J312" s="12">
        <f>$H312*K312/100</f>
        <v>1116.5245597867745</v>
      </c>
      <c r="K312" s="33">
        <v>2.8800000000000003</v>
      </c>
      <c r="L312" s="88"/>
      <c r="M312" s="12">
        <f t="shared" ref="M312:M315" si="88">J312-O312</f>
        <v>-1164.8059775578101</v>
      </c>
      <c r="N312" s="13"/>
      <c r="O312" s="12">
        <f>S312</f>
        <v>2281.3305373445846</v>
      </c>
      <c r="P312" s="13"/>
      <c r="Q312" s="12">
        <f t="shared" ref="Q312:Q315" si="89">S312-O312</f>
        <v>0</v>
      </c>
      <c r="R312" s="13"/>
      <c r="S312" s="12">
        <f>$H312*U312/100</f>
        <v>2281.3305373445846</v>
      </c>
      <c r="T312" s="13"/>
      <c r="U312" s="33">
        <v>5.884538669536421</v>
      </c>
      <c r="V312" s="13"/>
      <c r="W312" s="92"/>
      <c r="X312" s="13"/>
      <c r="Y312" s="15"/>
    </row>
    <row r="313" spans="2:26" x14ac:dyDescent="0.3">
      <c r="B313" s="81">
        <f>MAX(B$256:B312)+1</f>
        <v>164</v>
      </c>
      <c r="C313" s="83"/>
      <c r="D313" s="18" t="s">
        <v>98</v>
      </c>
      <c r="E313" s="81"/>
      <c r="F313" s="91" t="s">
        <v>39</v>
      </c>
      <c r="G313" s="81"/>
      <c r="H313" s="12">
        <f>H320</f>
        <v>125964.85739499131</v>
      </c>
      <c r="I313" s="86"/>
      <c r="J313" s="12">
        <f>$H313*K313/100</f>
        <v>2233.8607810427757</v>
      </c>
      <c r="K313" s="33">
        <v>1.7733999999999996</v>
      </c>
      <c r="L313" s="88"/>
      <c r="M313" s="12">
        <f t="shared" si="88"/>
        <v>-4103.2476510725928</v>
      </c>
      <c r="N313" s="13"/>
      <c r="O313" s="12">
        <f>S313</f>
        <v>6337.1084321153685</v>
      </c>
      <c r="P313" s="13"/>
      <c r="Q313" s="12">
        <f t="shared" si="89"/>
        <v>0</v>
      </c>
      <c r="R313" s="13"/>
      <c r="S313" s="12">
        <f>$H313*U313/100</f>
        <v>6337.1084321153685</v>
      </c>
      <c r="T313" s="13"/>
      <c r="U313" s="33">
        <v>5.0308542899738544</v>
      </c>
      <c r="V313" s="13"/>
      <c r="W313" s="92"/>
      <c r="X313" s="13"/>
      <c r="Y313" s="15"/>
    </row>
    <row r="314" spans="2:26" x14ac:dyDescent="0.3">
      <c r="B314" s="81">
        <f>MAX(B$256:B313)+1</f>
        <v>165</v>
      </c>
      <c r="C314" s="83"/>
      <c r="D314" s="18" t="s">
        <v>99</v>
      </c>
      <c r="E314" s="81"/>
      <c r="F314" s="91" t="s">
        <v>39</v>
      </c>
      <c r="G314" s="81"/>
      <c r="H314" s="12">
        <v>35299.018290286665</v>
      </c>
      <c r="I314" s="86"/>
      <c r="J314" s="12">
        <f>$H314*K314/100</f>
        <v>1016.6117267602561</v>
      </c>
      <c r="K314" s="33">
        <v>2.8800000000000003</v>
      </c>
      <c r="L314" s="88"/>
      <c r="M314" s="12">
        <f t="shared" si="88"/>
        <v>-1060.5726544983963</v>
      </c>
      <c r="N314" s="88"/>
      <c r="O314" s="12">
        <f>S314</f>
        <v>2077.1843812586526</v>
      </c>
      <c r="P314" s="88"/>
      <c r="Q314" s="12">
        <f t="shared" si="89"/>
        <v>0</v>
      </c>
      <c r="R314" s="88"/>
      <c r="S314" s="12">
        <f>$H314*U314/100</f>
        <v>2077.1843812586526</v>
      </c>
      <c r="T314" s="88"/>
      <c r="U314" s="33">
        <v>5.884538669536421</v>
      </c>
      <c r="V314" s="88"/>
      <c r="W314" s="92"/>
      <c r="X314" s="88"/>
      <c r="Y314" s="15"/>
      <c r="Z314" s="81"/>
    </row>
    <row r="315" spans="2:26" x14ac:dyDescent="0.3">
      <c r="B315" s="81">
        <f>MAX(B$256:B314)+1</f>
        <v>166</v>
      </c>
      <c r="C315" s="83"/>
      <c r="D315" s="18" t="s">
        <v>100</v>
      </c>
      <c r="E315" s="81"/>
      <c r="F315" s="91" t="s">
        <v>39</v>
      </c>
      <c r="G315" s="81"/>
      <c r="H315" s="12">
        <v>124203.93468896032</v>
      </c>
      <c r="I315" s="86"/>
      <c r="J315" s="12">
        <f>$H315*K315/100</f>
        <v>2202.6325777740217</v>
      </c>
      <c r="K315" s="33">
        <v>1.7733999999999996</v>
      </c>
      <c r="L315" s="88"/>
      <c r="M315" s="12">
        <f t="shared" si="88"/>
        <v>-4045.886398841863</v>
      </c>
      <c r="N315" s="88"/>
      <c r="O315" s="12">
        <f>S315</f>
        <v>6248.5189766158846</v>
      </c>
      <c r="P315" s="88"/>
      <c r="Q315" s="12">
        <f t="shared" si="89"/>
        <v>0</v>
      </c>
      <c r="R315" s="88"/>
      <c r="S315" s="12">
        <f>$H315*U315/100</f>
        <v>6248.5189766158846</v>
      </c>
      <c r="T315" s="88"/>
      <c r="U315" s="33">
        <v>5.0308542899738544</v>
      </c>
      <c r="V315" s="88"/>
      <c r="W315" s="92"/>
      <c r="X315" s="88"/>
      <c r="Y315" s="15"/>
      <c r="Z315" s="81"/>
    </row>
    <row r="316" spans="2:26" x14ac:dyDescent="0.3">
      <c r="B316" s="81">
        <f>MAX(B$256:B315)+1</f>
        <v>167</v>
      </c>
      <c r="C316" s="83"/>
      <c r="D316" s="10" t="s">
        <v>44</v>
      </c>
      <c r="E316" s="81"/>
      <c r="F316" s="11"/>
      <c r="G316" s="81"/>
      <c r="H316" s="89">
        <f>SUM(H312:H315)</f>
        <v>324236.02425572352</v>
      </c>
      <c r="I316" s="86"/>
      <c r="J316" s="89">
        <f>SUM(J312:J315)</f>
        <v>6569.6296453638279</v>
      </c>
      <c r="K316" s="19">
        <f>J316/$H316*100</f>
        <v>2.026187454168384</v>
      </c>
      <c r="L316" s="88"/>
      <c r="M316" s="89">
        <f>SUM(M312:M315)</f>
        <v>-10374.512681970662</v>
      </c>
      <c r="N316" s="13"/>
      <c r="O316" s="89">
        <f>SUM(O312:O315)</f>
        <v>16944.142327334488</v>
      </c>
      <c r="P316" s="13"/>
      <c r="Q316" s="89">
        <f>SUM(Q312:Q315)</f>
        <v>0</v>
      </c>
      <c r="R316" s="13"/>
      <c r="S316" s="89">
        <f>SUM(S312:S315)</f>
        <v>16944.142327334488</v>
      </c>
      <c r="T316" s="13"/>
      <c r="U316" s="19">
        <f>S316/$H316*100</f>
        <v>5.2258666711169379</v>
      </c>
      <c r="V316" s="13"/>
      <c r="W316" s="90">
        <f>S316/O316</f>
        <v>1</v>
      </c>
      <c r="X316" s="13"/>
      <c r="Y316" s="20">
        <f>U316/K316-1</f>
        <v>1.5791624858627955</v>
      </c>
    </row>
    <row r="317" spans="2:26" x14ac:dyDescent="0.3"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24"/>
    </row>
    <row r="318" spans="2:26" x14ac:dyDescent="0.3">
      <c r="B318" s="81"/>
      <c r="C318" s="83"/>
      <c r="D318" s="10" t="s">
        <v>49</v>
      </c>
      <c r="E318" s="81"/>
      <c r="F318" s="11"/>
      <c r="G318" s="81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24"/>
    </row>
    <row r="319" spans="2:26" x14ac:dyDescent="0.3">
      <c r="B319" s="81">
        <f>MAX(B$256:B318)+1</f>
        <v>168</v>
      </c>
      <c r="C319" s="83"/>
      <c r="D319" s="18" t="s">
        <v>101</v>
      </c>
      <c r="E319" s="81"/>
      <c r="F319" s="11" t="s">
        <v>39</v>
      </c>
      <c r="G319" s="81"/>
      <c r="H319" s="12">
        <v>38768.213881485222</v>
      </c>
      <c r="I319" s="86"/>
      <c r="J319" s="12">
        <f>$H319*K319/100</f>
        <v>4262.603884483181</v>
      </c>
      <c r="K319" s="33">
        <v>10.995099999999999</v>
      </c>
      <c r="L319" s="88"/>
      <c r="M319" s="12">
        <f t="shared" ref="M319:M320" si="90">J319-O319</f>
        <v>16.785985603820336</v>
      </c>
      <c r="N319" s="13"/>
      <c r="O319" s="12">
        <f t="shared" ref="O319:O320" si="91">S319</f>
        <v>4245.8178988793607</v>
      </c>
      <c r="P319" s="13"/>
      <c r="Q319" s="12">
        <f t="shared" ref="Q319:Q320" si="92">S319-O319</f>
        <v>0</v>
      </c>
      <c r="R319" s="13"/>
      <c r="S319" s="12">
        <f>$H319*U319/100</f>
        <v>4245.8178988793607</v>
      </c>
      <c r="T319" s="13"/>
      <c r="U319" s="33">
        <v>10.951801679228412</v>
      </c>
      <c r="V319" s="13"/>
      <c r="W319" s="14"/>
      <c r="X319" s="13"/>
      <c r="Y319" s="15"/>
    </row>
    <row r="320" spans="2:26" x14ac:dyDescent="0.3">
      <c r="B320" s="81">
        <f>MAX(B$256:B319)+1</f>
        <v>169</v>
      </c>
      <c r="C320" s="83"/>
      <c r="D320" s="18" t="s">
        <v>102</v>
      </c>
      <c r="E320" s="81"/>
      <c r="F320" s="11" t="s">
        <v>39</v>
      </c>
      <c r="G320" s="81"/>
      <c r="H320" s="12">
        <v>125964.85739499131</v>
      </c>
      <c r="I320" s="86"/>
      <c r="J320" s="12">
        <f>$H320*K320/100</f>
        <v>20323.959235851689</v>
      </c>
      <c r="K320" s="33">
        <v>16.134626479289629</v>
      </c>
      <c r="L320" s="88"/>
      <c r="M320" s="12">
        <f t="shared" si="90"/>
        <v>-200.61284377998891</v>
      </c>
      <c r="N320" s="13"/>
      <c r="O320" s="12">
        <f t="shared" si="91"/>
        <v>20524.572079631678</v>
      </c>
      <c r="P320" s="13"/>
      <c r="Q320" s="12">
        <f t="shared" si="92"/>
        <v>0</v>
      </c>
      <c r="R320" s="13"/>
      <c r="S320" s="12">
        <f>$H320*U320/100</f>
        <v>20524.572079631678</v>
      </c>
      <c r="T320" s="13"/>
      <c r="U320" s="33">
        <v>16.293887441377588</v>
      </c>
      <c r="V320" s="13"/>
      <c r="W320" s="14"/>
      <c r="X320" s="13"/>
      <c r="Y320" s="15"/>
    </row>
    <row r="321" spans="2:26" x14ac:dyDescent="0.3">
      <c r="B321" s="81">
        <f>MAX(B$256:B320)+1</f>
        <v>170</v>
      </c>
      <c r="C321" s="83"/>
      <c r="D321" s="10" t="s">
        <v>49</v>
      </c>
      <c r="E321" s="81"/>
      <c r="F321" s="11"/>
      <c r="G321" s="81"/>
      <c r="H321" s="89">
        <f>SUM(H319:H320)</f>
        <v>164733.07127647655</v>
      </c>
      <c r="I321" s="86"/>
      <c r="J321" s="89">
        <f>SUM(J319:J320)</f>
        <v>24586.563120334871</v>
      </c>
      <c r="K321" s="19">
        <f>J321/$H321*100</f>
        <v>14.925092411511281</v>
      </c>
      <c r="L321" s="88"/>
      <c r="M321" s="89">
        <f>SUM(M319:M320)</f>
        <v>-183.82685817616857</v>
      </c>
      <c r="N321" s="13"/>
      <c r="O321" s="89">
        <f>SUM(O319:O320)</f>
        <v>24770.389978511041</v>
      </c>
      <c r="P321" s="13"/>
      <c r="Q321" s="89">
        <f>SUM(Q319:Q320)</f>
        <v>0</v>
      </c>
      <c r="R321" s="13"/>
      <c r="S321" s="89">
        <f>SUM(S319:S320)</f>
        <v>24770.389978511041</v>
      </c>
      <c r="T321" s="13"/>
      <c r="U321" s="19">
        <f>S321/$H321*100</f>
        <v>15.036683154494302</v>
      </c>
      <c r="V321" s="13"/>
      <c r="W321" s="90">
        <f>S321/O321</f>
        <v>1</v>
      </c>
      <c r="X321" s="13"/>
      <c r="Y321" s="20">
        <f>U321/K321-1</f>
        <v>7.47672040522529E-3</v>
      </c>
    </row>
    <row r="322" spans="2:26" x14ac:dyDescent="0.3">
      <c r="B322" s="81"/>
      <c r="C322" s="83"/>
      <c r="D322" s="10"/>
      <c r="E322" s="81"/>
      <c r="F322" s="11"/>
      <c r="G322" s="81"/>
      <c r="H322" s="12"/>
      <c r="I322" s="86"/>
      <c r="J322" s="12"/>
      <c r="K322" s="33"/>
      <c r="L322" s="88"/>
      <c r="M322" s="12"/>
      <c r="N322" s="13"/>
      <c r="O322" s="12"/>
      <c r="P322" s="13"/>
      <c r="Q322" s="12"/>
      <c r="R322" s="13"/>
      <c r="S322" s="12"/>
      <c r="T322" s="13"/>
      <c r="U322" s="33"/>
      <c r="V322" s="13"/>
      <c r="W322" s="14"/>
      <c r="X322" s="13"/>
      <c r="Y322" s="15"/>
    </row>
    <row r="323" spans="2:26" ht="12.9" thickBot="1" x14ac:dyDescent="0.35">
      <c r="B323" s="81">
        <f>MAX(B$256:B322)+1</f>
        <v>171</v>
      </c>
      <c r="C323" s="83"/>
      <c r="D323" s="10" t="s">
        <v>110</v>
      </c>
      <c r="E323" s="81"/>
      <c r="F323" s="11"/>
      <c r="G323" s="81"/>
      <c r="H323" s="93">
        <f>H302</f>
        <v>328117.03362474899</v>
      </c>
      <c r="I323" s="86"/>
      <c r="J323" s="93">
        <f>SUM(J304,J309,J316,J321)</f>
        <v>68145.738466462266</v>
      </c>
      <c r="K323" s="25">
        <f>J323/$H323*100</f>
        <v>20.768729289561094</v>
      </c>
      <c r="L323" s="88"/>
      <c r="M323" s="93">
        <f>SUM(M304,M309,M316,M321)</f>
        <v>278.83782950362092</v>
      </c>
      <c r="N323" s="13"/>
      <c r="O323" s="93">
        <f>SUM(O304,O309,O316,O321)</f>
        <v>67866.900636958642</v>
      </c>
      <c r="P323" s="13"/>
      <c r="Q323" s="93">
        <f>SUM(Q304,Q309,Q316,Q321)</f>
        <v>-325.31229414067184</v>
      </c>
      <c r="R323" s="13"/>
      <c r="S323" s="93">
        <f>SUM(S304,S309,S316,S321) -0.089</f>
        <v>67541.499342817959</v>
      </c>
      <c r="T323" s="13"/>
      <c r="U323" s="25">
        <f>S323/$H323*100</f>
        <v>20.584575752340182</v>
      </c>
      <c r="V323" s="13"/>
      <c r="W323" s="94">
        <f>S323/O323</f>
        <v>0.99520530197951196</v>
      </c>
      <c r="X323" s="13"/>
      <c r="Y323" s="26">
        <f>U323/K323-1</f>
        <v>-8.866865885409414E-3</v>
      </c>
    </row>
    <row r="324" spans="2:26" ht="12.9" thickTop="1" x14ac:dyDescent="0.3">
      <c r="B324" s="81"/>
      <c r="C324" s="83"/>
      <c r="E324" s="81"/>
      <c r="F324" s="91"/>
      <c r="G324" s="81"/>
      <c r="H324" s="88"/>
      <c r="I324" s="86"/>
      <c r="J324" s="88"/>
      <c r="K324" s="22"/>
      <c r="L324" s="88"/>
      <c r="M324" s="88"/>
      <c r="N324" s="13"/>
      <c r="O324" s="88"/>
      <c r="P324" s="13"/>
      <c r="Q324" s="88"/>
      <c r="R324" s="13"/>
      <c r="S324" s="88"/>
      <c r="T324" s="13"/>
      <c r="U324" s="22"/>
      <c r="V324" s="13"/>
      <c r="W324" s="92"/>
      <c r="X324" s="13"/>
      <c r="Y324" s="22"/>
    </row>
    <row r="325" spans="2:26" x14ac:dyDescent="0.3">
      <c r="B325" s="123" t="s">
        <v>0</v>
      </c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</row>
    <row r="326" spans="2:26" x14ac:dyDescent="0.3">
      <c r="B326" s="123" t="s">
        <v>59</v>
      </c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81"/>
    </row>
    <row r="327" spans="2:26" x14ac:dyDescent="0.3">
      <c r="B327" s="77"/>
      <c r="C327" s="77"/>
      <c r="D327" s="77"/>
      <c r="E327" s="77"/>
      <c r="F327" s="78"/>
      <c r="G327" s="77"/>
      <c r="H327" s="78"/>
      <c r="I327" s="77"/>
      <c r="J327" s="78"/>
      <c r="K327" s="78"/>
      <c r="L327" s="78"/>
      <c r="M327" s="78"/>
      <c r="N327" s="77"/>
      <c r="O327" s="77"/>
      <c r="P327" s="77"/>
      <c r="Q327" s="77"/>
      <c r="R327" s="77"/>
      <c r="S327" s="77"/>
      <c r="T327" s="77"/>
      <c r="U327" s="77"/>
      <c r="V327" s="77"/>
      <c r="W327" s="5"/>
      <c r="X327" s="77"/>
      <c r="Y327" s="35"/>
    </row>
    <row r="328" spans="2:26" x14ac:dyDescent="0.3">
      <c r="B328" s="78"/>
      <c r="C328" s="78"/>
      <c r="D328" s="78"/>
      <c r="E328" s="78"/>
      <c r="F328" s="77"/>
      <c r="G328" s="78"/>
      <c r="H328" s="77"/>
      <c r="I328" s="78"/>
      <c r="J328" s="79" t="s">
        <v>2</v>
      </c>
      <c r="K328" s="79"/>
      <c r="L328" s="78"/>
      <c r="M328" s="78"/>
      <c r="N328" s="78"/>
      <c r="O328" s="122" t="s">
        <v>3</v>
      </c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3"/>
    </row>
    <row r="329" spans="2:26" ht="37.299999999999997" x14ac:dyDescent="0.3">
      <c r="B329" s="80" t="s">
        <v>4</v>
      </c>
      <c r="C329" s="80"/>
      <c r="D329" s="80"/>
      <c r="E329" s="80"/>
      <c r="F329" s="81" t="s">
        <v>5</v>
      </c>
      <c r="G329" s="80"/>
      <c r="H329" s="6" t="s">
        <v>6</v>
      </c>
      <c r="I329" s="80"/>
      <c r="J329" s="6" t="s">
        <v>7</v>
      </c>
      <c r="K329" s="6" t="s">
        <v>8</v>
      </c>
      <c r="L329" s="80"/>
      <c r="M329" s="6" t="s">
        <v>9</v>
      </c>
      <c r="N329" s="80"/>
      <c r="O329" s="80" t="s">
        <v>10</v>
      </c>
      <c r="P329" s="80"/>
      <c r="Q329" s="6" t="s">
        <v>11</v>
      </c>
      <c r="R329" s="80"/>
      <c r="S329" s="6" t="s">
        <v>7</v>
      </c>
      <c r="T329" s="80"/>
      <c r="U329" s="6" t="s">
        <v>12</v>
      </c>
      <c r="V329" s="80"/>
      <c r="W329" s="80" t="s">
        <v>13</v>
      </c>
      <c r="X329" s="80"/>
      <c r="Y329" s="80" t="s">
        <v>14</v>
      </c>
    </row>
    <row r="330" spans="2:26" ht="14.15" x14ac:dyDescent="0.3">
      <c r="B330" s="82" t="s">
        <v>15</v>
      </c>
      <c r="C330" s="83"/>
      <c r="D330" s="84" t="s">
        <v>16</v>
      </c>
      <c r="E330" s="81"/>
      <c r="F330" s="82" t="s">
        <v>17</v>
      </c>
      <c r="G330" s="81"/>
      <c r="H330" s="82" t="s">
        <v>18</v>
      </c>
      <c r="I330" s="81"/>
      <c r="J330" s="82" t="s">
        <v>19</v>
      </c>
      <c r="K330" s="82" t="s">
        <v>20</v>
      </c>
      <c r="L330" s="81"/>
      <c r="M330" s="82" t="s">
        <v>19</v>
      </c>
      <c r="N330" s="81"/>
      <c r="O330" s="82" t="s">
        <v>19</v>
      </c>
      <c r="P330" s="81"/>
      <c r="Q330" s="82" t="s">
        <v>19</v>
      </c>
      <c r="R330" s="81"/>
      <c r="S330" s="82" t="s">
        <v>19</v>
      </c>
      <c r="T330" s="81"/>
      <c r="U330" s="82" t="s">
        <v>20</v>
      </c>
      <c r="V330" s="81"/>
      <c r="W330" s="82" t="s">
        <v>21</v>
      </c>
      <c r="X330" s="81"/>
      <c r="Y330" s="82" t="s">
        <v>22</v>
      </c>
    </row>
    <row r="331" spans="2:26" s="6" customFormat="1" x14ac:dyDescent="0.3">
      <c r="B331" s="81"/>
      <c r="C331" s="83"/>
      <c r="D331" s="83"/>
      <c r="E331" s="81"/>
      <c r="F331" s="81"/>
      <c r="G331" s="81"/>
      <c r="H331" s="81" t="s">
        <v>23</v>
      </c>
      <c r="I331" s="81"/>
      <c r="J331" s="81" t="s">
        <v>24</v>
      </c>
      <c r="K331" s="81" t="s">
        <v>25</v>
      </c>
      <c r="L331" s="81"/>
      <c r="M331" s="81" t="s">
        <v>26</v>
      </c>
      <c r="N331" s="81"/>
      <c r="O331" s="81" t="s">
        <v>27</v>
      </c>
      <c r="P331" s="81"/>
      <c r="Q331" s="81" t="s">
        <v>28</v>
      </c>
      <c r="R331" s="81"/>
      <c r="S331" s="85" t="s">
        <v>29</v>
      </c>
      <c r="T331" s="81"/>
      <c r="U331" s="85" t="s">
        <v>30</v>
      </c>
      <c r="V331" s="81"/>
      <c r="W331" s="85" t="s">
        <v>31</v>
      </c>
      <c r="X331" s="81"/>
      <c r="Y331" s="85" t="s">
        <v>32</v>
      </c>
      <c r="Z331" s="80"/>
    </row>
    <row r="332" spans="2:26" x14ac:dyDescent="0.3">
      <c r="B332" s="81"/>
      <c r="C332" s="83"/>
      <c r="E332" s="81"/>
      <c r="F332" s="91"/>
      <c r="G332" s="81"/>
      <c r="H332" s="88"/>
      <c r="I332" s="86"/>
      <c r="J332" s="88"/>
      <c r="K332" s="22"/>
      <c r="L332" s="88"/>
      <c r="M332" s="88"/>
      <c r="N332" s="13"/>
      <c r="O332" s="88"/>
      <c r="P332" s="13"/>
      <c r="Q332" s="88"/>
      <c r="R332" s="13"/>
      <c r="S332" s="88"/>
      <c r="T332" s="13"/>
      <c r="U332" s="22"/>
      <c r="V332" s="13"/>
      <c r="W332" s="92"/>
      <c r="X332" s="13"/>
      <c r="Y332" s="22"/>
    </row>
    <row r="333" spans="2:26" x14ac:dyDescent="0.3">
      <c r="B333" s="81"/>
      <c r="C333" s="83"/>
      <c r="D333" s="3" t="s">
        <v>111</v>
      </c>
      <c r="E333" s="81"/>
      <c r="F333" s="7"/>
      <c r="G333" s="81"/>
      <c r="H333" s="27"/>
      <c r="I333" s="86"/>
      <c r="J333" s="27"/>
      <c r="K333" s="86"/>
      <c r="L333" s="86"/>
      <c r="M333" s="28"/>
      <c r="N333" s="86"/>
      <c r="O333" s="29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1"/>
    </row>
    <row r="334" spans="2:26" x14ac:dyDescent="0.3">
      <c r="B334" s="81">
        <f>MAX(B$66:B333)+1</f>
        <v>172</v>
      </c>
      <c r="C334" s="83"/>
      <c r="D334" s="10" t="s">
        <v>35</v>
      </c>
      <c r="E334" s="81"/>
      <c r="F334" s="11" t="s">
        <v>36</v>
      </c>
      <c r="G334" s="81"/>
      <c r="H334" s="12">
        <v>756.00000000000398</v>
      </c>
      <c r="I334" s="86"/>
      <c r="J334" s="12">
        <f>$H334*K334/1000</f>
        <v>846.84852000000456</v>
      </c>
      <c r="K334" s="87">
        <v>1120.17</v>
      </c>
      <c r="L334" s="88"/>
      <c r="M334" s="12">
        <f>J334-O334</f>
        <v>-1809.7041057236788</v>
      </c>
      <c r="N334" s="13"/>
      <c r="O334" s="12">
        <v>2656.5526257236834</v>
      </c>
      <c r="P334" s="13"/>
      <c r="Q334" s="12">
        <f>S334-O334</f>
        <v>-1809.7041057236788</v>
      </c>
      <c r="R334" s="13"/>
      <c r="S334" s="12">
        <f>$H334*U334/1000</f>
        <v>846.84852000000456</v>
      </c>
      <c r="T334" s="13"/>
      <c r="U334" s="87">
        <v>1120.17</v>
      </c>
      <c r="V334" s="13"/>
      <c r="W334" s="14">
        <f>S334/O334</f>
        <v>0.31877724228004356</v>
      </c>
      <c r="X334" s="13"/>
      <c r="Y334" s="15">
        <f>U334/K334-1</f>
        <v>0</v>
      </c>
    </row>
    <row r="335" spans="2:26" x14ac:dyDescent="0.3">
      <c r="B335" s="81"/>
      <c r="C335" s="83"/>
      <c r="D335" s="10" t="s">
        <v>61</v>
      </c>
      <c r="E335" s="81"/>
      <c r="F335" s="11"/>
      <c r="G335" s="81"/>
      <c r="H335" s="12"/>
      <c r="I335" s="86"/>
      <c r="J335" s="12"/>
      <c r="K335" s="33"/>
      <c r="L335" s="88"/>
      <c r="M335" s="12"/>
      <c r="N335" s="13"/>
      <c r="O335" s="12"/>
      <c r="P335" s="13"/>
      <c r="Q335" s="12"/>
      <c r="R335" s="13"/>
      <c r="S335" s="12"/>
      <c r="T335" s="13"/>
      <c r="U335" s="33"/>
      <c r="V335" s="13"/>
      <c r="W335" s="14"/>
      <c r="X335" s="13"/>
      <c r="Y335" s="16"/>
    </row>
    <row r="336" spans="2:26" x14ac:dyDescent="0.3">
      <c r="B336" s="81">
        <f>MAX(B$334:B335)+1</f>
        <v>173</v>
      </c>
      <c r="C336" s="83"/>
      <c r="D336" s="52" t="s">
        <v>112</v>
      </c>
      <c r="E336" s="81"/>
      <c r="F336" s="39" t="s">
        <v>62</v>
      </c>
      <c r="G336" s="81"/>
      <c r="H336" s="12">
        <v>25506.168000000001</v>
      </c>
      <c r="I336" s="86"/>
      <c r="J336" s="12">
        <f>$H336*K336/100</f>
        <v>8963.5305955680014</v>
      </c>
      <c r="K336" s="33">
        <v>35.142600000000002</v>
      </c>
      <c r="L336" s="88"/>
      <c r="M336" s="12">
        <f t="shared" ref="M336:M337" si="93">J336-O336</f>
        <v>3107.4948416675625</v>
      </c>
      <c r="N336" s="13"/>
      <c r="O336" s="12">
        <v>5856.035753900439</v>
      </c>
      <c r="P336" s="13"/>
      <c r="Q336" s="12">
        <f t="shared" ref="Q336:Q337" si="94">S336-O336</f>
        <v>671.92088550228436</v>
      </c>
      <c r="R336" s="13"/>
      <c r="S336" s="12">
        <f>$H336*U336/100</f>
        <v>6527.9566394027233</v>
      </c>
      <c r="T336" s="13"/>
      <c r="U336" s="33">
        <v>25.593639308745722</v>
      </c>
      <c r="V336" s="13"/>
      <c r="W336" s="14"/>
      <c r="X336" s="13"/>
      <c r="Y336" s="16"/>
    </row>
    <row r="337" spans="2:25" x14ac:dyDescent="0.3">
      <c r="B337" s="81">
        <f>MAX(B$334:B336)+1</f>
        <v>174</v>
      </c>
      <c r="C337" s="83"/>
      <c r="D337" s="52" t="s">
        <v>113</v>
      </c>
      <c r="E337" s="81"/>
      <c r="F337" s="39" t="s">
        <v>62</v>
      </c>
      <c r="G337" s="81"/>
      <c r="H337" s="12">
        <v>66225.600000000006</v>
      </c>
      <c r="I337" s="86"/>
      <c r="J337" s="12">
        <f>$H337*K337/100</f>
        <v>13685.917593600003</v>
      </c>
      <c r="K337" s="33">
        <v>20.665600000000001</v>
      </c>
      <c r="L337" s="88"/>
      <c r="M337" s="12">
        <f t="shared" si="93"/>
        <v>4744.661478215703</v>
      </c>
      <c r="N337" s="13"/>
      <c r="O337" s="12">
        <v>8941.2561153842998</v>
      </c>
      <c r="P337" s="13"/>
      <c r="Q337" s="12">
        <f t="shared" si="94"/>
        <v>1025.9187236946436</v>
      </c>
      <c r="R337" s="13"/>
      <c r="S337" s="12">
        <f>$H337*U337/100</f>
        <v>9967.1748390789435</v>
      </c>
      <c r="T337" s="13"/>
      <c r="U337" s="33">
        <v>15.050335276809788</v>
      </c>
      <c r="V337" s="13"/>
      <c r="W337" s="14"/>
      <c r="X337" s="13"/>
      <c r="Y337" s="16"/>
    </row>
    <row r="338" spans="2:25" x14ac:dyDescent="0.3">
      <c r="B338" s="81">
        <f>MAX(B$334:B337)+1</f>
        <v>175</v>
      </c>
      <c r="C338" s="83"/>
      <c r="D338" s="10" t="s">
        <v>61</v>
      </c>
      <c r="E338" s="81"/>
      <c r="F338" s="11"/>
      <c r="G338" s="81"/>
      <c r="H338" s="89">
        <f>SUM(H336:H337)</f>
        <v>91731.768000000011</v>
      </c>
      <c r="I338" s="86"/>
      <c r="J338" s="89">
        <f>SUM(J336:J337)</f>
        <v>22649.448189168004</v>
      </c>
      <c r="K338" s="19">
        <f>J338/$H338*100</f>
        <v>24.690953508241552</v>
      </c>
      <c r="L338" s="88"/>
      <c r="M338" s="89">
        <f>SUM(M336:M337)</f>
        <v>7852.1563198832655</v>
      </c>
      <c r="N338" s="13"/>
      <c r="O338" s="89">
        <f>SUM(O336:O337)</f>
        <v>14797.291869284738</v>
      </c>
      <c r="P338" s="13"/>
      <c r="Q338" s="89">
        <f>SUM(Q336:Q337)</f>
        <v>1697.839609196928</v>
      </c>
      <c r="R338" s="13"/>
      <c r="S338" s="89">
        <f>SUM(S336:S337)</f>
        <v>16495.131478481668</v>
      </c>
      <c r="T338" s="13"/>
      <c r="U338" s="19">
        <f>S338/$H338*100</f>
        <v>17.981918192704697</v>
      </c>
      <c r="V338" s="13"/>
      <c r="W338" s="90">
        <f>S338/O338</f>
        <v>1.1147398878250956</v>
      </c>
      <c r="X338" s="13"/>
      <c r="Y338" s="20">
        <f>U338/K338-1</f>
        <v>-0.27172038185149305</v>
      </c>
    </row>
    <row r="339" spans="2:25" x14ac:dyDescent="0.3">
      <c r="B339" s="81"/>
      <c r="C339" s="83"/>
      <c r="D339" s="10"/>
      <c r="E339" s="81"/>
      <c r="F339" s="11"/>
      <c r="G339" s="81"/>
      <c r="H339" s="12"/>
      <c r="I339" s="86"/>
      <c r="J339" s="12"/>
      <c r="K339" s="33"/>
      <c r="L339" s="88"/>
      <c r="M339" s="12"/>
      <c r="N339" s="13"/>
      <c r="O339" s="12"/>
      <c r="P339" s="13"/>
      <c r="Q339" s="12"/>
      <c r="R339" s="13"/>
      <c r="S339" s="12"/>
      <c r="T339" s="13"/>
      <c r="U339" s="33"/>
      <c r="V339" s="13"/>
      <c r="W339" s="14"/>
      <c r="X339" s="13"/>
      <c r="Y339" s="16"/>
    </row>
    <row r="340" spans="2:25" x14ac:dyDescent="0.3">
      <c r="B340" s="81"/>
      <c r="C340" s="83"/>
      <c r="D340" s="10" t="s">
        <v>37</v>
      </c>
      <c r="E340" s="81"/>
      <c r="F340" s="11"/>
      <c r="G340" s="81"/>
      <c r="H340" s="12"/>
      <c r="I340" s="86"/>
      <c r="J340" s="12"/>
      <c r="K340" s="33"/>
      <c r="L340" s="88"/>
      <c r="M340" s="12"/>
      <c r="N340" s="13"/>
      <c r="O340" s="12"/>
      <c r="P340" s="13"/>
      <c r="Q340" s="12"/>
      <c r="R340" s="13"/>
      <c r="S340" s="12"/>
      <c r="T340" s="13"/>
      <c r="U340" s="33"/>
      <c r="V340" s="13"/>
      <c r="W340" s="14"/>
      <c r="X340" s="13"/>
      <c r="Y340" s="16"/>
    </row>
    <row r="341" spans="2:25" x14ac:dyDescent="0.3">
      <c r="B341" s="81">
        <f>MAX(B$334:B340)+1</f>
        <v>176</v>
      </c>
      <c r="C341" s="83"/>
      <c r="D341" s="52" t="s">
        <v>114</v>
      </c>
      <c r="E341" s="81"/>
      <c r="F341" s="11" t="s">
        <v>39</v>
      </c>
      <c r="G341" s="81"/>
      <c r="H341" s="12">
        <v>338478.94474000001</v>
      </c>
      <c r="I341" s="86"/>
      <c r="J341" s="12">
        <f>$H341*K341/100</f>
        <v>2453.9723493649999</v>
      </c>
      <c r="K341" s="33">
        <v>0.72499999999999998</v>
      </c>
      <c r="L341" s="88"/>
      <c r="M341" s="12">
        <f t="shared" ref="M341:M342" si="95">J341-O341</f>
        <v>2055.7272638869604</v>
      </c>
      <c r="N341" s="13"/>
      <c r="O341" s="12">
        <v>398.24508547803958</v>
      </c>
      <c r="P341" s="13"/>
      <c r="Q341" s="12">
        <f t="shared" ref="Q341:Q342" si="96">S341-O341</f>
        <v>-7.6164167562092757</v>
      </c>
      <c r="R341" s="13"/>
      <c r="S341" s="12">
        <f>$H341*U341/100</f>
        <v>390.62866872183031</v>
      </c>
      <c r="T341" s="13"/>
      <c r="U341" s="33">
        <v>0.11540708064482082</v>
      </c>
      <c r="V341" s="13"/>
      <c r="W341" s="14"/>
      <c r="X341" s="13"/>
      <c r="Y341" s="16"/>
    </row>
    <row r="342" spans="2:25" x14ac:dyDescent="0.3">
      <c r="B342" s="81">
        <f>MAX(B$334:B341)+1</f>
        <v>177</v>
      </c>
      <c r="C342" s="83"/>
      <c r="D342" s="52" t="s">
        <v>115</v>
      </c>
      <c r="E342" s="81"/>
      <c r="F342" s="11" t="s">
        <v>39</v>
      </c>
      <c r="G342" s="81"/>
      <c r="H342" s="12">
        <v>590622.16051000007</v>
      </c>
      <c r="I342" s="86"/>
      <c r="J342" s="12">
        <f>$H342*K342/100</f>
        <v>3072.4164789730207</v>
      </c>
      <c r="K342" s="33">
        <v>0.5202</v>
      </c>
      <c r="L342" s="88"/>
      <c r="M342" s="12">
        <f t="shared" si="95"/>
        <v>2377.5065696485103</v>
      </c>
      <c r="N342" s="13"/>
      <c r="O342" s="12">
        <v>694.90990932451052</v>
      </c>
      <c r="P342" s="13"/>
      <c r="Q342" s="12">
        <f t="shared" si="96"/>
        <v>-13.290116238551718</v>
      </c>
      <c r="R342" s="13"/>
      <c r="S342" s="12">
        <f>$H342*U342/100</f>
        <v>681.6197930859588</v>
      </c>
      <c r="T342" s="13"/>
      <c r="U342" s="33">
        <v>0.11540708064482082</v>
      </c>
      <c r="V342" s="13"/>
      <c r="W342" s="14"/>
      <c r="X342" s="13"/>
      <c r="Y342" s="16"/>
    </row>
    <row r="343" spans="2:25" x14ac:dyDescent="0.3">
      <c r="B343" s="81">
        <f>MAX(B$334:B342)+1</f>
        <v>178</v>
      </c>
      <c r="C343" s="83"/>
      <c r="D343" s="10" t="s">
        <v>37</v>
      </c>
      <c r="E343" s="81"/>
      <c r="F343" s="11"/>
      <c r="G343" s="81"/>
      <c r="H343" s="89">
        <f>SUM(H341:H342)</f>
        <v>929101.10525000002</v>
      </c>
      <c r="I343" s="86"/>
      <c r="J343" s="89">
        <f>SUM(J341:J342)</f>
        <v>5526.3888283380202</v>
      </c>
      <c r="K343" s="19">
        <f>J343/$H343*100</f>
        <v>0.59481027383462148</v>
      </c>
      <c r="L343" s="88"/>
      <c r="M343" s="89">
        <f>SUM(M341:M342)</f>
        <v>4433.2338335354707</v>
      </c>
      <c r="N343" s="13"/>
      <c r="O343" s="89">
        <f>SUM(O341:O342)</f>
        <v>1093.1549948025502</v>
      </c>
      <c r="P343" s="13"/>
      <c r="Q343" s="89">
        <f>SUM(Q341:Q342)</f>
        <v>-20.906532994760994</v>
      </c>
      <c r="R343" s="13"/>
      <c r="S343" s="89">
        <f>SUM(S341:S342)</f>
        <v>1072.2484618077892</v>
      </c>
      <c r="T343" s="13"/>
      <c r="U343" s="19">
        <f>S343/$H343*100</f>
        <v>0.11540708064482084</v>
      </c>
      <c r="V343" s="13"/>
      <c r="W343" s="90">
        <f>S343/O343</f>
        <v>0.98087505148477394</v>
      </c>
      <c r="X343" s="13"/>
      <c r="Y343" s="20">
        <f>U343/K343-1</f>
        <v>-0.80597665218387249</v>
      </c>
    </row>
    <row r="344" spans="2:25" x14ac:dyDescent="0.3">
      <c r="B344" s="81"/>
      <c r="C344" s="83"/>
      <c r="D344" s="10"/>
      <c r="E344" s="81"/>
      <c r="F344" s="11"/>
      <c r="G344" s="81"/>
      <c r="H344" s="12"/>
      <c r="I344" s="86"/>
      <c r="J344" s="12"/>
      <c r="K344" s="33"/>
      <c r="L344" s="88"/>
      <c r="M344" s="12"/>
      <c r="N344" s="13"/>
      <c r="O344" s="12"/>
      <c r="P344" s="13"/>
      <c r="Q344" s="12"/>
      <c r="R344" s="13"/>
      <c r="S344" s="12"/>
      <c r="T344" s="13"/>
      <c r="U344" s="33"/>
      <c r="V344" s="13"/>
      <c r="W344" s="14"/>
      <c r="X344" s="13"/>
      <c r="Y344" s="16"/>
    </row>
    <row r="345" spans="2:25" x14ac:dyDescent="0.3">
      <c r="B345" s="81">
        <f>MAX(B$334:B344)+1</f>
        <v>179</v>
      </c>
      <c r="C345" s="83"/>
      <c r="D345" s="45" t="s">
        <v>116</v>
      </c>
      <c r="E345" s="81"/>
      <c r="F345" s="11" t="s">
        <v>39</v>
      </c>
      <c r="G345" s="81"/>
      <c r="H345" s="12">
        <v>18115.468199999999</v>
      </c>
      <c r="I345" s="86"/>
      <c r="J345" s="12">
        <f>$H345*K345/100</f>
        <v>131.33714444999998</v>
      </c>
      <c r="K345" s="33">
        <v>0.72499999999999998</v>
      </c>
      <c r="L345" s="88"/>
      <c r="M345" s="12">
        <f t="shared" ref="M345:M346" si="97">J345-O345</f>
        <v>131.33714444999998</v>
      </c>
      <c r="N345" s="13"/>
      <c r="O345" s="12">
        <v>0</v>
      </c>
      <c r="P345" s="13"/>
      <c r="Q345" s="12">
        <f t="shared" ref="Q345" si="98">S345-O345</f>
        <v>20.90653299476087</v>
      </c>
      <c r="R345" s="13"/>
      <c r="S345" s="12">
        <f>$H345*U345/100</f>
        <v>20.90653299476087</v>
      </c>
      <c r="T345" s="13"/>
      <c r="U345" s="33">
        <v>0.11540708064482082</v>
      </c>
      <c r="V345" s="13"/>
      <c r="W345" s="14"/>
      <c r="X345" s="13"/>
      <c r="Y345" s="15">
        <f>U345/K345-1</f>
        <v>-0.84081781980024717</v>
      </c>
    </row>
    <row r="346" spans="2:25" x14ac:dyDescent="0.3">
      <c r="B346" s="81">
        <f>MAX(B$334:B345)+1</f>
        <v>180</v>
      </c>
      <c r="C346" s="83"/>
      <c r="D346" s="45" t="s">
        <v>117</v>
      </c>
      <c r="E346" s="81"/>
      <c r="F346" s="11" t="s">
        <v>36</v>
      </c>
      <c r="G346" s="81"/>
      <c r="H346" s="12">
        <v>456.00000000000375</v>
      </c>
      <c r="I346" s="86"/>
      <c r="J346" s="12">
        <f>$H346*K346/1000</f>
        <v>116.17022866998933</v>
      </c>
      <c r="K346" s="87">
        <v>254.75927339909731</v>
      </c>
      <c r="L346" s="88"/>
      <c r="M346" s="12">
        <f t="shared" si="97"/>
        <v>116.17022866998933</v>
      </c>
      <c r="N346" s="13"/>
      <c r="O346" s="12"/>
      <c r="P346" s="13"/>
      <c r="Q346" s="12"/>
      <c r="R346" s="13"/>
      <c r="S346" s="12"/>
      <c r="T346" s="13"/>
      <c r="U346" s="87"/>
      <c r="V346" s="13"/>
      <c r="W346" s="14"/>
      <c r="X346" s="13"/>
      <c r="Y346" s="16"/>
    </row>
    <row r="347" spans="2:25" x14ac:dyDescent="0.3">
      <c r="B347" s="81"/>
      <c r="C347" s="83"/>
      <c r="D347" s="10"/>
      <c r="E347" s="81"/>
      <c r="F347" s="11"/>
      <c r="G347" s="81"/>
      <c r="H347" s="12"/>
      <c r="I347" s="86"/>
      <c r="J347" s="12"/>
      <c r="K347" s="33"/>
      <c r="L347" s="88"/>
      <c r="M347" s="12"/>
      <c r="N347" s="13"/>
      <c r="O347" s="12"/>
      <c r="P347" s="13"/>
      <c r="Q347" s="12"/>
      <c r="R347" s="13"/>
      <c r="S347" s="12"/>
      <c r="T347" s="13"/>
      <c r="U347" s="33"/>
      <c r="V347" s="13"/>
      <c r="W347" s="14"/>
      <c r="X347" s="13"/>
      <c r="Y347" s="16"/>
    </row>
    <row r="348" spans="2:25" x14ac:dyDescent="0.3">
      <c r="B348" s="81">
        <f>MAX(B$334:B347)+1</f>
        <v>181</v>
      </c>
      <c r="C348" s="83"/>
      <c r="D348" s="10" t="s">
        <v>43</v>
      </c>
      <c r="E348" s="81"/>
      <c r="F348" s="11"/>
      <c r="G348" s="81"/>
      <c r="H348" s="89">
        <f>H343</f>
        <v>929101.10525000002</v>
      </c>
      <c r="I348" s="86"/>
      <c r="J348" s="89">
        <f>SUM(J334,J338,J343,J345:J346)</f>
        <v>29270.192910626018</v>
      </c>
      <c r="K348" s="19">
        <f>J348/$H348*100</f>
        <v>3.1503775794938993</v>
      </c>
      <c r="L348" s="88"/>
      <c r="M348" s="89">
        <f>SUM(M334,M338,M343,M345:M346)</f>
        <v>10723.193420815047</v>
      </c>
      <c r="N348" s="13"/>
      <c r="O348" s="89">
        <f>SUM(O334,O338,O343,O345:O346)</f>
        <v>18546.999489810973</v>
      </c>
      <c r="P348" s="13"/>
      <c r="Q348" s="89">
        <f>SUM(Q334,Q338,Q343,Q345:Q346)</f>
        <v>-111.86449652675095</v>
      </c>
      <c r="R348" s="13"/>
      <c r="S348" s="89">
        <f>SUM(S334,S338,S343,S345:S346)</f>
        <v>18435.134993284224</v>
      </c>
      <c r="T348" s="13"/>
      <c r="U348" s="19">
        <f>S348/$H348*100</f>
        <v>1.9841904060940436</v>
      </c>
      <c r="V348" s="13"/>
      <c r="W348" s="90">
        <f>S348/O348</f>
        <v>0.99396859332485543</v>
      </c>
      <c r="X348" s="13"/>
      <c r="Y348" s="20">
        <f>U348/K348-1</f>
        <v>-0.37017377884818525</v>
      </c>
    </row>
    <row r="349" spans="2:25" x14ac:dyDescent="0.3"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24"/>
    </row>
    <row r="350" spans="2:25" x14ac:dyDescent="0.3">
      <c r="B350" s="81"/>
      <c r="C350" s="83"/>
      <c r="D350" s="10" t="s">
        <v>118</v>
      </c>
      <c r="E350" s="81"/>
      <c r="F350" s="11"/>
      <c r="G350" s="81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24"/>
    </row>
    <row r="351" spans="2:25" x14ac:dyDescent="0.3">
      <c r="B351" s="81">
        <f>MAX(B$334:B350)+1</f>
        <v>182</v>
      </c>
      <c r="C351" s="83"/>
      <c r="D351" s="18" t="s">
        <v>119</v>
      </c>
      <c r="E351" s="81"/>
      <c r="F351" s="39" t="s">
        <v>62</v>
      </c>
      <c r="G351" s="81"/>
      <c r="H351" s="12">
        <v>1764.0360000000001</v>
      </c>
      <c r="I351" s="86"/>
      <c r="J351" s="12">
        <f>$H351*K351/100</f>
        <v>587.67095303999997</v>
      </c>
      <c r="K351" s="33">
        <v>33.314</v>
      </c>
      <c r="L351" s="88"/>
      <c r="M351" s="12">
        <f t="shared" ref="M351:M352" si="99">J351-O351</f>
        <v>394.51564351859662</v>
      </c>
      <c r="N351" s="13"/>
      <c r="O351" s="12">
        <f>S351</f>
        <v>193.15530952140335</v>
      </c>
      <c r="P351" s="13"/>
      <c r="Q351" s="12">
        <f t="shared" ref="Q351:Q352" si="100">S351-O351</f>
        <v>0</v>
      </c>
      <c r="R351" s="13"/>
      <c r="S351" s="12">
        <f>$H351*U351/100</f>
        <v>193.15530952140335</v>
      </c>
      <c r="T351" s="13"/>
      <c r="U351" s="33">
        <v>10.949624016822977</v>
      </c>
      <c r="V351" s="13"/>
      <c r="W351" s="14"/>
      <c r="X351" s="13"/>
      <c r="Y351" s="15"/>
    </row>
    <row r="352" spans="2:25" x14ac:dyDescent="0.3">
      <c r="B352" s="81">
        <f>MAX(B$334:B351)+1</f>
        <v>183</v>
      </c>
      <c r="C352" s="83"/>
      <c r="D352" s="18" t="s">
        <v>120</v>
      </c>
      <c r="E352" s="81"/>
      <c r="F352" s="39" t="s">
        <v>62</v>
      </c>
      <c r="G352" s="81"/>
      <c r="H352" s="12">
        <v>6791.652</v>
      </c>
      <c r="I352" s="86"/>
      <c r="J352" s="12">
        <f>$H352*K352/100</f>
        <v>2647.5421575959999</v>
      </c>
      <c r="K352" s="33">
        <v>38.982299999999995</v>
      </c>
      <c r="L352" s="88"/>
      <c r="M352" s="12">
        <f t="shared" si="99"/>
        <v>1349.9042271457704</v>
      </c>
      <c r="N352" s="13"/>
      <c r="O352" s="12">
        <f>S352</f>
        <v>1297.6379304502295</v>
      </c>
      <c r="P352" s="13"/>
      <c r="Q352" s="12">
        <f t="shared" si="100"/>
        <v>0</v>
      </c>
      <c r="R352" s="13"/>
      <c r="S352" s="12">
        <f>$H352*U352/100</f>
        <v>1297.6379304502295</v>
      </c>
      <c r="T352" s="13"/>
      <c r="U352" s="33">
        <v>19.106366616696931</v>
      </c>
      <c r="V352" s="13"/>
      <c r="W352" s="14"/>
      <c r="X352" s="13"/>
      <c r="Y352" s="15"/>
    </row>
    <row r="353" spans="2:25" x14ac:dyDescent="0.3">
      <c r="B353" s="81"/>
      <c r="C353" s="83"/>
      <c r="D353" s="10" t="s">
        <v>121</v>
      </c>
      <c r="E353" s="81"/>
      <c r="F353" s="11"/>
      <c r="G353" s="81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24"/>
    </row>
    <row r="354" spans="2:25" x14ac:dyDescent="0.3">
      <c r="B354" s="81">
        <f>MAX(B$334:B353)+1</f>
        <v>184</v>
      </c>
      <c r="C354" s="83"/>
      <c r="D354" s="18" t="s">
        <v>122</v>
      </c>
      <c r="E354" s="81"/>
      <c r="F354" s="11" t="s">
        <v>39</v>
      </c>
      <c r="G354" s="81"/>
      <c r="H354" s="12">
        <v>3189.8278335117261</v>
      </c>
      <c r="I354" s="86"/>
      <c r="J354" s="12">
        <f>$H354*K354/100</f>
        <v>60.625867803723857</v>
      </c>
      <c r="K354" s="33">
        <v>1.9005999999999998</v>
      </c>
      <c r="L354" s="88"/>
      <c r="M354" s="12">
        <f t="shared" ref="M354:M357" si="101">J354-O354</f>
        <v>-31.470020037730372</v>
      </c>
      <c r="N354" s="13"/>
      <c r="O354" s="12">
        <f t="shared" ref="O354:O357" si="102">S354</f>
        <v>92.095887841454228</v>
      </c>
      <c r="P354" s="13"/>
      <c r="Q354" s="12">
        <f t="shared" ref="Q354:Q357" si="103">S354-O354</f>
        <v>0</v>
      </c>
      <c r="R354" s="13"/>
      <c r="S354" s="12">
        <f>$H354*U354/100</f>
        <v>92.095887841454228</v>
      </c>
      <c r="T354" s="13"/>
      <c r="U354" s="33">
        <v>2.88717425040663</v>
      </c>
      <c r="V354" s="13"/>
      <c r="W354" s="14"/>
      <c r="X354" s="13"/>
      <c r="Y354" s="15"/>
    </row>
    <row r="355" spans="2:25" x14ac:dyDescent="0.3">
      <c r="B355" s="81">
        <f>MAX(B$334:B354)+1</f>
        <v>185</v>
      </c>
      <c r="C355" s="83"/>
      <c r="D355" s="18" t="s">
        <v>123</v>
      </c>
      <c r="E355" s="81"/>
      <c r="F355" s="11" t="s">
        <v>39</v>
      </c>
      <c r="G355" s="81"/>
      <c r="H355" s="12">
        <v>6167.8313313963072</v>
      </c>
      <c r="I355" s="86"/>
      <c r="J355" s="12">
        <f>$H355*K355/100</f>
        <v>86.213946350257572</v>
      </c>
      <c r="K355" s="33">
        <v>1.3977999999999999</v>
      </c>
      <c r="L355" s="88"/>
      <c r="M355" s="12">
        <f t="shared" si="101"/>
        <v>-51.479110574076884</v>
      </c>
      <c r="N355" s="13"/>
      <c r="O355" s="12">
        <f t="shared" si="102"/>
        <v>137.69305692433446</v>
      </c>
      <c r="P355" s="13"/>
      <c r="Q355" s="12">
        <f t="shared" si="103"/>
        <v>0</v>
      </c>
      <c r="R355" s="13"/>
      <c r="S355" s="12">
        <f>$H355*U355/100</f>
        <v>137.69305692433446</v>
      </c>
      <c r="T355" s="13"/>
      <c r="U355" s="33">
        <v>2.2324387540144155</v>
      </c>
      <c r="V355" s="13"/>
      <c r="W355" s="14"/>
      <c r="X355" s="13"/>
      <c r="Y355" s="15"/>
    </row>
    <row r="356" spans="2:25" x14ac:dyDescent="0.3">
      <c r="B356" s="81">
        <f>MAX(B$334:B355)+1</f>
        <v>186</v>
      </c>
      <c r="C356" s="83"/>
      <c r="D356" s="18" t="s">
        <v>124</v>
      </c>
      <c r="E356" s="81"/>
      <c r="F356" s="11" t="s">
        <v>39</v>
      </c>
      <c r="G356" s="81"/>
      <c r="H356" s="12">
        <v>16137.939466488273</v>
      </c>
      <c r="I356" s="86"/>
      <c r="J356" s="12">
        <f>$H356*K356/100</f>
        <v>306.71767750007609</v>
      </c>
      <c r="K356" s="33">
        <v>1.9005999999999998</v>
      </c>
      <c r="L356" s="88"/>
      <c r="M356" s="12">
        <f t="shared" si="101"/>
        <v>-159.21275532258238</v>
      </c>
      <c r="N356" s="13"/>
      <c r="O356" s="12">
        <f t="shared" si="102"/>
        <v>465.93043282265847</v>
      </c>
      <c r="P356" s="13"/>
      <c r="Q356" s="12">
        <f t="shared" si="103"/>
        <v>0</v>
      </c>
      <c r="R356" s="13"/>
      <c r="S356" s="12">
        <f>$H356*U356/100</f>
        <v>465.93043282265847</v>
      </c>
      <c r="T356" s="13"/>
      <c r="U356" s="33">
        <v>2.88717425040663</v>
      </c>
      <c r="V356" s="13"/>
      <c r="W356" s="14"/>
      <c r="X356" s="13"/>
      <c r="Y356" s="15"/>
    </row>
    <row r="357" spans="2:25" x14ac:dyDescent="0.3">
      <c r="B357" s="81">
        <f>MAX(B$334:B356)+1</f>
        <v>187</v>
      </c>
      <c r="C357" s="83"/>
      <c r="D357" s="18" t="s">
        <v>125</v>
      </c>
      <c r="E357" s="81"/>
      <c r="F357" s="11" t="s">
        <v>39</v>
      </c>
      <c r="G357" s="81"/>
      <c r="H357" s="12">
        <v>56624.874308603685</v>
      </c>
      <c r="I357" s="86"/>
      <c r="J357" s="12">
        <f>$H357*K357/100</f>
        <v>791.50249308566231</v>
      </c>
      <c r="K357" s="33">
        <v>1.3977999999999999</v>
      </c>
      <c r="L357" s="88"/>
      <c r="M357" s="12">
        <f t="shared" si="101"/>
        <v>-472.61314539155865</v>
      </c>
      <c r="N357" s="13"/>
      <c r="O357" s="12">
        <f t="shared" si="102"/>
        <v>1264.115638477221</v>
      </c>
      <c r="P357" s="13"/>
      <c r="Q357" s="12">
        <f t="shared" si="103"/>
        <v>0</v>
      </c>
      <c r="R357" s="13"/>
      <c r="S357" s="12">
        <f>$H357*U357/100</f>
        <v>1264.115638477221</v>
      </c>
      <c r="T357" s="13"/>
      <c r="U357" s="33">
        <v>2.2324387540144155</v>
      </c>
      <c r="V357" s="13"/>
      <c r="W357" s="14"/>
      <c r="X357" s="13"/>
      <c r="Y357" s="15"/>
    </row>
    <row r="358" spans="2:25" x14ac:dyDescent="0.3">
      <c r="B358" s="81"/>
      <c r="C358" s="83"/>
      <c r="D358" s="10" t="s">
        <v>126</v>
      </c>
      <c r="E358" s="81"/>
      <c r="F358" s="11"/>
      <c r="G358" s="81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24"/>
    </row>
    <row r="359" spans="2:25" x14ac:dyDescent="0.3">
      <c r="B359" s="81">
        <f>MAX(B$334:B358)+1</f>
        <v>188</v>
      </c>
      <c r="C359" s="83"/>
      <c r="D359" s="18" t="s">
        <v>122</v>
      </c>
      <c r="E359" s="81"/>
      <c r="F359" s="11" t="s">
        <v>39</v>
      </c>
      <c r="G359" s="81"/>
      <c r="H359" s="12">
        <f>H371-H354</f>
        <v>2587.1831664882743</v>
      </c>
      <c r="I359" s="86"/>
      <c r="J359" s="12">
        <f>$H359*K359/100</f>
        <v>0</v>
      </c>
      <c r="K359" s="33">
        <v>0</v>
      </c>
      <c r="L359" s="88"/>
      <c r="M359" s="12">
        <f t="shared" ref="M359:M362" si="104">J359-O359</f>
        <v>-74.696486193704345</v>
      </c>
      <c r="N359" s="13"/>
      <c r="O359" s="12">
        <f t="shared" ref="O359:O362" si="105">S359</f>
        <v>74.696486193704345</v>
      </c>
      <c r="P359" s="13"/>
      <c r="Q359" s="12">
        <f t="shared" ref="Q359:Q362" si="106">S359-O359</f>
        <v>0</v>
      </c>
      <c r="R359" s="13"/>
      <c r="S359" s="12">
        <f>$H359*U359/100</f>
        <v>74.696486193704345</v>
      </c>
      <c r="T359" s="13"/>
      <c r="U359" s="33">
        <v>2.88717425040663</v>
      </c>
      <c r="V359" s="13"/>
      <c r="W359" s="14"/>
      <c r="X359" s="13"/>
      <c r="Y359" s="15"/>
    </row>
    <row r="360" spans="2:25" x14ac:dyDescent="0.3">
      <c r="B360" s="81">
        <f>MAX(B$334:B359)+1</f>
        <v>189</v>
      </c>
      <c r="C360" s="83"/>
      <c r="D360" s="18" t="s">
        <v>123</v>
      </c>
      <c r="E360" s="81"/>
      <c r="F360" s="11" t="s">
        <v>39</v>
      </c>
      <c r="G360" s="81"/>
      <c r="H360" s="12">
        <f>H372-H355</f>
        <v>3686.2166286036945</v>
      </c>
      <c r="I360" s="86"/>
      <c r="J360" s="12">
        <f>$H360*K360/100</f>
        <v>0</v>
      </c>
      <c r="K360" s="33">
        <v>0</v>
      </c>
      <c r="L360" s="88"/>
      <c r="M360" s="12">
        <f t="shared" si="104"/>
        <v>-82.292528573872517</v>
      </c>
      <c r="N360" s="13"/>
      <c r="O360" s="12">
        <f t="shared" si="105"/>
        <v>82.292528573872517</v>
      </c>
      <c r="P360" s="13"/>
      <c r="Q360" s="12">
        <f t="shared" si="106"/>
        <v>0</v>
      </c>
      <c r="R360" s="13"/>
      <c r="S360" s="12">
        <f>$H360*U360/100</f>
        <v>82.292528573872517</v>
      </c>
      <c r="T360" s="13"/>
      <c r="U360" s="33">
        <v>2.2324387540144155</v>
      </c>
      <c r="V360" s="13"/>
      <c r="W360" s="14"/>
      <c r="X360" s="13"/>
      <c r="Y360" s="15"/>
    </row>
    <row r="361" spans="2:25" x14ac:dyDescent="0.3">
      <c r="B361" s="81">
        <f>MAX(B$334:B360)+1</f>
        <v>190</v>
      </c>
      <c r="C361" s="83"/>
      <c r="D361" s="18" t="s">
        <v>124</v>
      </c>
      <c r="E361" s="81"/>
      <c r="F361" s="11" t="s">
        <v>39</v>
      </c>
      <c r="G361" s="81"/>
      <c r="H361" s="12">
        <v>13089.046653511728</v>
      </c>
      <c r="I361" s="86"/>
      <c r="J361" s="12">
        <f>$H361*K361/100</f>
        <v>0</v>
      </c>
      <c r="K361" s="33">
        <v>0</v>
      </c>
      <c r="L361" s="88"/>
      <c r="M361" s="12">
        <f t="shared" si="104"/>
        <v>-377.90358460390132</v>
      </c>
      <c r="N361" s="13"/>
      <c r="O361" s="12">
        <f t="shared" si="105"/>
        <v>377.90358460390132</v>
      </c>
      <c r="P361" s="13"/>
      <c r="Q361" s="12">
        <f t="shared" si="106"/>
        <v>0</v>
      </c>
      <c r="R361" s="13"/>
      <c r="S361" s="12">
        <f>$H361*U361/100</f>
        <v>377.90358460390132</v>
      </c>
      <c r="T361" s="13"/>
      <c r="U361" s="33">
        <v>2.88717425040663</v>
      </c>
      <c r="V361" s="13"/>
      <c r="W361" s="14"/>
      <c r="X361" s="13"/>
      <c r="Y361" s="15"/>
    </row>
    <row r="362" spans="2:25" x14ac:dyDescent="0.3">
      <c r="B362" s="81">
        <f>MAX(B$334:B361)+1</f>
        <v>191</v>
      </c>
      <c r="C362" s="83"/>
      <c r="D362" s="18" t="s">
        <v>125</v>
      </c>
      <c r="E362" s="81"/>
      <c r="F362" s="11" t="s">
        <v>39</v>
      </c>
      <c r="G362" s="81"/>
      <c r="H362" s="12">
        <v>33841.968441396282</v>
      </c>
      <c r="I362" s="86"/>
      <c r="J362" s="12">
        <f>$H362*K362/100</f>
        <v>0</v>
      </c>
      <c r="K362" s="33">
        <v>0</v>
      </c>
      <c r="L362" s="88"/>
      <c r="M362" s="12">
        <f t="shared" si="104"/>
        <v>-755.50121860705883</v>
      </c>
      <c r="N362" s="13"/>
      <c r="O362" s="12">
        <f t="shared" si="105"/>
        <v>755.50121860705883</v>
      </c>
      <c r="P362" s="13"/>
      <c r="Q362" s="12">
        <f t="shared" si="106"/>
        <v>0</v>
      </c>
      <c r="R362" s="13"/>
      <c r="S362" s="12">
        <f>$H362*U362/100</f>
        <v>755.50121860705883</v>
      </c>
      <c r="T362" s="13"/>
      <c r="U362" s="33">
        <v>2.2324387540144155</v>
      </c>
      <c r="V362" s="13"/>
      <c r="W362" s="14"/>
      <c r="X362" s="13"/>
      <c r="Y362" s="15"/>
    </row>
    <row r="363" spans="2:25" x14ac:dyDescent="0.3">
      <c r="D363" s="10" t="s">
        <v>127</v>
      </c>
      <c r="E363" s="81"/>
      <c r="F363" s="11"/>
      <c r="G363" s="81"/>
      <c r="H363" s="89">
        <f>SUM(H354:H362)</f>
        <v>135324.88782999996</v>
      </c>
      <c r="I363" s="86"/>
      <c r="J363" s="89">
        <f>SUM(J351:J362)</f>
        <v>4480.27309537572</v>
      </c>
      <c r="K363" s="19">
        <f>J363/$H363*100</f>
        <v>3.3107532304065179</v>
      </c>
      <c r="L363" s="88"/>
      <c r="M363" s="89">
        <f>SUM(M351:M362)</f>
        <v>-260.74897864011837</v>
      </c>
      <c r="N363" s="13"/>
      <c r="O363" s="89">
        <f>SUM(O351:O362)</f>
        <v>4741.0220740158384</v>
      </c>
      <c r="P363" s="13"/>
      <c r="Q363" s="89">
        <f>SUM(Q351:Q362)</f>
        <v>0</v>
      </c>
      <c r="R363" s="13"/>
      <c r="S363" s="89">
        <f>SUM(S351:S362)</f>
        <v>4741.0220740158384</v>
      </c>
      <c r="T363" s="13"/>
      <c r="U363" s="19">
        <f>S363/$H363*100</f>
        <v>3.5034369139634403</v>
      </c>
      <c r="V363" s="13"/>
      <c r="W363" s="90">
        <f>S363/O363</f>
        <v>1</v>
      </c>
      <c r="X363" s="13"/>
      <c r="Y363" s="20">
        <f>U363/K363-1</f>
        <v>5.8199349256019106E-2</v>
      </c>
    </row>
    <row r="364" spans="2:25" x14ac:dyDescent="0.3">
      <c r="B364" s="81"/>
      <c r="C364" s="83"/>
      <c r="D364" s="10"/>
      <c r="E364" s="81"/>
      <c r="F364" s="91"/>
      <c r="G364" s="81"/>
      <c r="H364" s="12"/>
      <c r="I364" s="86"/>
      <c r="J364" s="12"/>
      <c r="K364" s="33"/>
      <c r="L364" s="88"/>
      <c r="M364" s="12"/>
      <c r="N364" s="13"/>
      <c r="O364" s="12"/>
      <c r="P364" s="13"/>
      <c r="Q364" s="12"/>
      <c r="R364" s="13"/>
      <c r="S364" s="12"/>
      <c r="T364" s="13"/>
      <c r="U364" s="22"/>
      <c r="V364" s="13"/>
      <c r="W364" s="14"/>
      <c r="X364" s="13"/>
      <c r="Y364" s="23"/>
    </row>
    <row r="365" spans="2:25" x14ac:dyDescent="0.3">
      <c r="B365" s="81"/>
      <c r="C365" s="83"/>
      <c r="D365" s="10" t="s">
        <v>128</v>
      </c>
      <c r="E365" s="81"/>
      <c r="F365" s="11"/>
      <c r="G365" s="81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24"/>
    </row>
    <row r="366" spans="2:25" x14ac:dyDescent="0.3">
      <c r="B366" s="81">
        <f>MAX(B$334:B365)+1</f>
        <v>192</v>
      </c>
      <c r="C366" s="83"/>
      <c r="D366" s="18" t="s">
        <v>129</v>
      </c>
      <c r="E366" s="81"/>
      <c r="F366" s="11" t="s">
        <v>130</v>
      </c>
      <c r="G366" s="81"/>
      <c r="H366" s="12">
        <v>141504</v>
      </c>
      <c r="I366" s="86"/>
      <c r="J366" s="12">
        <f>$H366*K366/1000</f>
        <v>2569.8541440000004</v>
      </c>
      <c r="K366" s="53">
        <v>18.161000000000001</v>
      </c>
      <c r="L366" s="88"/>
      <c r="M366" s="12">
        <f t="shared" ref="M366:M367" si="107">J366-O366</f>
        <v>-55.831874925116608</v>
      </c>
      <c r="N366" s="13"/>
      <c r="O366" s="12">
        <f>S366</f>
        <v>2625.686018925117</v>
      </c>
      <c r="P366" s="13"/>
      <c r="Q366" s="12">
        <f>S366-O366</f>
        <v>0</v>
      </c>
      <c r="R366" s="13"/>
      <c r="S366" s="12">
        <f>$H366*U366/1000</f>
        <v>2625.686018925117</v>
      </c>
      <c r="T366" s="13"/>
      <c r="U366" s="53">
        <v>18.55556040059021</v>
      </c>
      <c r="V366" s="13"/>
      <c r="W366" s="14"/>
      <c r="X366" s="13"/>
      <c r="Y366" s="15"/>
    </row>
    <row r="367" spans="2:25" x14ac:dyDescent="0.3">
      <c r="B367" s="81">
        <f>MAX(B$334:B366)+1</f>
        <v>193</v>
      </c>
      <c r="C367" s="83"/>
      <c r="D367" s="18" t="s">
        <v>131</v>
      </c>
      <c r="E367" s="81"/>
      <c r="F367" s="11" t="s">
        <v>132</v>
      </c>
      <c r="G367" s="81"/>
      <c r="H367" s="12">
        <v>522359</v>
      </c>
      <c r="I367" s="86"/>
      <c r="J367" s="12">
        <f>$H367*K367/1000</f>
        <v>122.23200600000001</v>
      </c>
      <c r="K367" s="53">
        <v>0.23400000000000001</v>
      </c>
      <c r="L367" s="88"/>
      <c r="M367" s="12">
        <f t="shared" si="107"/>
        <v>83.602014161649606</v>
      </c>
      <c r="N367" s="13"/>
      <c r="O367" s="12">
        <f>S367</f>
        <v>38.629991838350406</v>
      </c>
      <c r="P367" s="13"/>
      <c r="Q367" s="12">
        <f t="shared" ref="Q367" si="108">S367-O367</f>
        <v>0</v>
      </c>
      <c r="R367" s="13"/>
      <c r="S367" s="12">
        <f>$H367*U367/1000</f>
        <v>38.629991838350406</v>
      </c>
      <c r="T367" s="13"/>
      <c r="U367" s="53">
        <v>7.3952955416390659E-2</v>
      </c>
      <c r="V367" s="13"/>
      <c r="W367" s="14"/>
      <c r="X367" s="13"/>
      <c r="Y367" s="15"/>
    </row>
    <row r="368" spans="2:25" x14ac:dyDescent="0.3">
      <c r="B368" s="81">
        <f>MAX(B$334:B367)+1</f>
        <v>194</v>
      </c>
      <c r="C368" s="83"/>
      <c r="D368" s="10" t="s">
        <v>128</v>
      </c>
      <c r="E368" s="81"/>
      <c r="F368" s="11"/>
      <c r="G368" s="81"/>
      <c r="H368" s="89">
        <f>H367</f>
        <v>522359</v>
      </c>
      <c r="I368" s="86"/>
      <c r="J368" s="89">
        <f>SUM(J366:J367)</f>
        <v>2692.0861500000005</v>
      </c>
      <c r="K368" s="36">
        <f>J368/$H368*1000</f>
        <v>5.1537087520268638</v>
      </c>
      <c r="L368" s="88"/>
      <c r="M368" s="89">
        <f>SUM(M366:M367)</f>
        <v>27.770139236532998</v>
      </c>
      <c r="N368" s="13"/>
      <c r="O368" s="89">
        <f>SUM(O366:O367)</f>
        <v>2664.3160107634676</v>
      </c>
      <c r="P368" s="13"/>
      <c r="Q368" s="89">
        <f>SUM(Q366:Q367)</f>
        <v>0</v>
      </c>
      <c r="R368" s="13"/>
      <c r="S368" s="89">
        <f>SUM(S366:S367)</f>
        <v>2664.3160107634676</v>
      </c>
      <c r="T368" s="13"/>
      <c r="U368" s="36">
        <f>S368/$H368*1000</f>
        <v>5.100545813824338</v>
      </c>
      <c r="V368" s="13"/>
      <c r="W368" s="90">
        <f>S368/O368</f>
        <v>1</v>
      </c>
      <c r="X368" s="13"/>
      <c r="Y368" s="20">
        <f>U368/K368-1</f>
        <v>-1.0315471975714141E-2</v>
      </c>
    </row>
    <row r="369" spans="2:26" x14ac:dyDescent="0.3">
      <c r="B369" s="81"/>
      <c r="C369" s="83"/>
      <c r="D369" s="10"/>
      <c r="E369" s="81"/>
      <c r="F369" s="91"/>
      <c r="G369" s="81"/>
      <c r="H369" s="12"/>
      <c r="I369" s="86"/>
      <c r="J369" s="12"/>
      <c r="K369" s="33"/>
      <c r="L369" s="88"/>
      <c r="M369" s="12"/>
      <c r="N369" s="13"/>
      <c r="O369" s="12"/>
      <c r="P369" s="13"/>
      <c r="Q369" s="12"/>
      <c r="R369" s="13"/>
      <c r="S369" s="12"/>
      <c r="T369" s="13"/>
      <c r="U369" s="22"/>
      <c r="V369" s="13"/>
      <c r="W369" s="14"/>
      <c r="X369" s="13"/>
      <c r="Y369" s="23"/>
    </row>
    <row r="370" spans="2:26" x14ac:dyDescent="0.3">
      <c r="B370" s="81"/>
      <c r="C370" s="83"/>
      <c r="D370" s="10" t="s">
        <v>49</v>
      </c>
      <c r="E370" s="81"/>
      <c r="F370" s="11"/>
      <c r="G370" s="81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24"/>
    </row>
    <row r="371" spans="2:26" x14ac:dyDescent="0.3">
      <c r="B371" s="81">
        <f>MAX(B$334:B370)+1</f>
        <v>195</v>
      </c>
      <c r="C371" s="83"/>
      <c r="D371" s="18" t="s">
        <v>119</v>
      </c>
      <c r="E371" s="81"/>
      <c r="F371" s="11" t="s">
        <v>39</v>
      </c>
      <c r="G371" s="81"/>
      <c r="H371" s="12">
        <v>5777.0110000000004</v>
      </c>
      <c r="I371" s="86"/>
      <c r="J371" s="12">
        <f>$H371*K371/100</f>
        <v>616.07200706200024</v>
      </c>
      <c r="K371" s="33">
        <v>10.664200000000003</v>
      </c>
      <c r="L371" s="88"/>
      <c r="M371" s="12">
        <f t="shared" ref="M371:M372" si="109">J371-O371</f>
        <v>-16.614780645209862</v>
      </c>
      <c r="N371" s="13"/>
      <c r="O371" s="12">
        <f t="shared" ref="O371:O372" si="110">S371</f>
        <v>632.6867877072101</v>
      </c>
      <c r="P371" s="13"/>
      <c r="Q371" s="12">
        <f t="shared" ref="Q371:Q372" si="111">S371-O371</f>
        <v>0</v>
      </c>
      <c r="R371" s="13"/>
      <c r="S371" s="12">
        <f>$H371*U371/100</f>
        <v>632.6867877072101</v>
      </c>
      <c r="T371" s="13"/>
      <c r="U371" s="33">
        <v>10.951801679228412</v>
      </c>
      <c r="V371" s="13"/>
      <c r="W371" s="14"/>
      <c r="X371" s="13"/>
      <c r="Y371" s="15"/>
    </row>
    <row r="372" spans="2:26" x14ac:dyDescent="0.3">
      <c r="B372" s="81">
        <f>MAX(B$334:B371)+1</f>
        <v>196</v>
      </c>
      <c r="C372" s="83"/>
      <c r="D372" s="18" t="s">
        <v>120</v>
      </c>
      <c r="E372" s="81"/>
      <c r="F372" s="11" t="s">
        <v>39</v>
      </c>
      <c r="G372" s="81"/>
      <c r="H372" s="12">
        <v>9854.0479600000017</v>
      </c>
      <c r="I372" s="86"/>
      <c r="J372" s="12">
        <f>$H372*K372/100</f>
        <v>1547.3443442488599</v>
      </c>
      <c r="K372" s="33">
        <v>15.702626479289631</v>
      </c>
      <c r="L372" s="88"/>
      <c r="M372" s="12">
        <f t="shared" si="109"/>
        <v>-58.263138772904995</v>
      </c>
      <c r="N372" s="13"/>
      <c r="O372" s="12">
        <f t="shared" si="110"/>
        <v>1605.6074830217649</v>
      </c>
      <c r="P372" s="13"/>
      <c r="Q372" s="12">
        <f t="shared" si="111"/>
        <v>0</v>
      </c>
      <c r="R372" s="13"/>
      <c r="S372" s="12">
        <f>$H372*U372/100</f>
        <v>1605.6074830217649</v>
      </c>
      <c r="T372" s="13"/>
      <c r="U372" s="33">
        <v>16.293887441377588</v>
      </c>
      <c r="V372" s="13"/>
      <c r="W372" s="14"/>
      <c r="X372" s="13"/>
      <c r="Y372" s="15"/>
    </row>
    <row r="373" spans="2:26" x14ac:dyDescent="0.3">
      <c r="B373" s="81">
        <f>MAX(B$334:B372)+1</f>
        <v>197</v>
      </c>
      <c r="C373" s="83"/>
      <c r="D373" s="10" t="s">
        <v>49</v>
      </c>
      <c r="E373" s="81"/>
      <c r="F373" s="11"/>
      <c r="G373" s="81"/>
      <c r="H373" s="89">
        <f>SUM(H371:H372)</f>
        <v>15631.058960000002</v>
      </c>
      <c r="I373" s="86"/>
      <c r="J373" s="89">
        <f>SUM(J371:J372)</f>
        <v>2163.4163513108601</v>
      </c>
      <c r="K373" s="19">
        <f>J373/$H373*100</f>
        <v>13.84049767099631</v>
      </c>
      <c r="L373" s="88"/>
      <c r="M373" s="89">
        <f>SUM(M371:M372)</f>
        <v>-74.877919418114857</v>
      </c>
      <c r="N373" s="13"/>
      <c r="O373" s="89">
        <f>SUM(O371:O372)</f>
        <v>2238.2942707289749</v>
      </c>
      <c r="P373" s="13"/>
      <c r="Q373" s="89">
        <f>SUM(Q371:Q372)</f>
        <v>0</v>
      </c>
      <c r="R373" s="13"/>
      <c r="S373" s="89">
        <f>SUM(S371:S372)</f>
        <v>2238.2942707289749</v>
      </c>
      <c r="T373" s="13"/>
      <c r="U373" s="19">
        <f>S373/$H373*100</f>
        <v>14.319530599025867</v>
      </c>
      <c r="V373" s="13"/>
      <c r="W373" s="90">
        <f>S373/O373</f>
        <v>1</v>
      </c>
      <c r="X373" s="13"/>
      <c r="Y373" s="20">
        <f>U373/K373-1</f>
        <v>3.4610961210838731E-2</v>
      </c>
    </row>
    <row r="374" spans="2:26" x14ac:dyDescent="0.3">
      <c r="B374" s="81"/>
      <c r="C374" s="83"/>
      <c r="D374" s="10"/>
      <c r="E374" s="81"/>
      <c r="F374" s="11"/>
      <c r="G374" s="81"/>
      <c r="H374" s="12"/>
      <c r="I374" s="86"/>
      <c r="J374" s="12"/>
      <c r="K374" s="33"/>
      <c r="L374" s="88"/>
      <c r="M374" s="12"/>
      <c r="N374" s="13"/>
      <c r="O374" s="12"/>
      <c r="P374" s="13"/>
      <c r="Q374" s="12"/>
      <c r="R374" s="13"/>
      <c r="S374" s="12"/>
      <c r="T374" s="13"/>
      <c r="U374" s="33"/>
      <c r="V374" s="13"/>
      <c r="W374" s="14"/>
      <c r="X374" s="13"/>
      <c r="Y374" s="15"/>
    </row>
    <row r="375" spans="2:26" ht="12.9" thickBot="1" x14ac:dyDescent="0.35">
      <c r="B375" s="81">
        <f>MAX(B$334:B374)+1</f>
        <v>198</v>
      </c>
      <c r="C375" s="83"/>
      <c r="D375" s="10" t="s">
        <v>133</v>
      </c>
      <c r="E375" s="81"/>
      <c r="F375" s="11"/>
      <c r="G375" s="81"/>
      <c r="H375" s="93">
        <f>H343</f>
        <v>929101.10525000002</v>
      </c>
      <c r="I375" s="86"/>
      <c r="J375" s="93">
        <f>SUM(J348,J363,J368,J373)</f>
        <v>38605.968507312595</v>
      </c>
      <c r="K375" s="25">
        <f>J375/$H375*100</f>
        <v>4.1551956282437752</v>
      </c>
      <c r="L375" s="88"/>
      <c r="M375" s="93">
        <f>SUM(M348,M363,M368,M373)</f>
        <v>10415.336661993346</v>
      </c>
      <c r="N375" s="13"/>
      <c r="O375" s="93">
        <f>SUM(O348,O363,O368,O373)</f>
        <v>28190.631845319258</v>
      </c>
      <c r="P375" s="13"/>
      <c r="Q375" s="93">
        <f>SUM(Q348,Q363,Q368,Q373)</f>
        <v>-111.86449652675095</v>
      </c>
      <c r="R375" s="13"/>
      <c r="S375" s="93">
        <f>SUM(S348,S363,S368,S373)</f>
        <v>28078.767348792506</v>
      </c>
      <c r="T375" s="13"/>
      <c r="U375" s="25">
        <f>S375/$H375*100</f>
        <v>3.022143358793782</v>
      </c>
      <c r="V375" s="13"/>
      <c r="W375" s="94">
        <f>S375/O375</f>
        <v>0.99603185564833918</v>
      </c>
      <c r="X375" s="13"/>
      <c r="Y375" s="26">
        <f>U375/K375-1</f>
        <v>-0.27268325509114144</v>
      </c>
    </row>
    <row r="376" spans="2:26" ht="12.9" thickTop="1" x14ac:dyDescent="0.3">
      <c r="B376" s="81"/>
      <c r="C376" s="83"/>
      <c r="E376" s="81"/>
      <c r="F376" s="91"/>
      <c r="G376" s="81"/>
      <c r="H376" s="88"/>
      <c r="I376" s="86"/>
      <c r="J376" s="88"/>
      <c r="K376" s="22"/>
      <c r="L376" s="88"/>
      <c r="M376" s="88"/>
      <c r="N376" s="13"/>
      <c r="O376" s="88"/>
      <c r="P376" s="13"/>
      <c r="Q376" s="88"/>
      <c r="R376" s="13"/>
      <c r="S376" s="88"/>
      <c r="T376" s="13"/>
      <c r="U376" s="22"/>
      <c r="V376" s="13"/>
      <c r="W376" s="92"/>
      <c r="X376" s="13"/>
      <c r="Y376" s="23"/>
    </row>
    <row r="377" spans="2:26" x14ac:dyDescent="0.3">
      <c r="B377" s="81"/>
      <c r="C377" s="83"/>
      <c r="D377" s="3" t="s">
        <v>134</v>
      </c>
      <c r="E377" s="81"/>
      <c r="F377" s="7"/>
      <c r="G377" s="81"/>
      <c r="H377" s="27"/>
      <c r="I377" s="86"/>
      <c r="J377" s="27"/>
      <c r="K377" s="86"/>
      <c r="L377" s="86"/>
      <c r="M377" s="28"/>
      <c r="N377" s="86"/>
      <c r="O377" s="29"/>
      <c r="P377" s="86"/>
      <c r="Q377" s="86"/>
      <c r="R377" s="86"/>
      <c r="S377" s="86"/>
      <c r="T377" s="86"/>
      <c r="U377" s="86"/>
      <c r="V377" s="86"/>
      <c r="W377" s="86"/>
      <c r="X377" s="86"/>
      <c r="Y377" s="95"/>
      <c r="Z377" s="81"/>
    </row>
    <row r="378" spans="2:26" x14ac:dyDescent="0.3">
      <c r="B378" s="81">
        <f>MAX(B$334:B377)+1</f>
        <v>199</v>
      </c>
      <c r="C378" s="83"/>
      <c r="D378" s="18" t="s">
        <v>35</v>
      </c>
      <c r="E378" s="81"/>
      <c r="F378" s="11" t="s">
        <v>36</v>
      </c>
      <c r="G378" s="81"/>
      <c r="H378" s="12">
        <v>863.99999999999602</v>
      </c>
      <c r="I378" s="86"/>
      <c r="J378" s="12">
        <f>$H378*K378/1000</f>
        <v>327.02399999999847</v>
      </c>
      <c r="K378" s="87">
        <v>378.5</v>
      </c>
      <c r="L378" s="88"/>
      <c r="M378" s="12">
        <f t="shared" ref="M378:M381" si="112">J378-O378</f>
        <v>206.2981085931533</v>
      </c>
      <c r="N378" s="13"/>
      <c r="O378" s="12">
        <v>120.72589140684516</v>
      </c>
      <c r="P378" s="13"/>
      <c r="Q378" s="12">
        <f t="shared" ref="Q378:Q380" si="113">S378-O378</f>
        <v>206.2981085931533</v>
      </c>
      <c r="R378" s="13"/>
      <c r="S378" s="12">
        <f>$H378*U378/1000</f>
        <v>327.02399999999847</v>
      </c>
      <c r="T378" s="13"/>
      <c r="U378" s="87">
        <v>378.5</v>
      </c>
      <c r="V378" s="13"/>
      <c r="W378" s="14">
        <f>S378/O378</f>
        <v>2.7088141258607945</v>
      </c>
      <c r="X378" s="13"/>
      <c r="Y378" s="15">
        <f t="shared" ref="Y378:Y380" si="114">U378/K378-1</f>
        <v>0</v>
      </c>
    </row>
    <row r="379" spans="2:26" x14ac:dyDescent="0.3">
      <c r="B379" s="81">
        <f>MAX(B$334:B378)+1</f>
        <v>200</v>
      </c>
      <c r="C379" s="83"/>
      <c r="D379" s="18" t="s">
        <v>135</v>
      </c>
      <c r="E379" s="81"/>
      <c r="F379" s="11" t="s">
        <v>39</v>
      </c>
      <c r="G379" s="81"/>
      <c r="H379" s="12">
        <v>126830.75640999997</v>
      </c>
      <c r="I379" s="86"/>
      <c r="J379" s="12">
        <f>$H379*K379/100</f>
        <v>4278.2528954306399</v>
      </c>
      <c r="K379" s="33">
        <v>3.3731982813384227</v>
      </c>
      <c r="L379" s="88"/>
      <c r="M379" s="12">
        <f t="shared" si="112"/>
        <v>1684.557170577632</v>
      </c>
      <c r="N379" s="13"/>
      <c r="O379" s="12">
        <v>2593.695724853008</v>
      </c>
      <c r="P379" s="13"/>
      <c r="Q379" s="12">
        <f t="shared" si="113"/>
        <v>-428.96312214686805</v>
      </c>
      <c r="R379" s="13"/>
      <c r="S379" s="12">
        <f>$H379*U379/100</f>
        <v>2164.7326027061399</v>
      </c>
      <c r="T379" s="13"/>
      <c r="U379" s="33">
        <v>1.7067883721424066</v>
      </c>
      <c r="V379" s="13"/>
      <c r="W379" s="14"/>
      <c r="X379" s="13"/>
      <c r="Y379" s="15">
        <f t="shared" si="114"/>
        <v>-0.49401481034041539</v>
      </c>
    </row>
    <row r="380" spans="2:26" x14ac:dyDescent="0.3">
      <c r="B380" s="81">
        <f>MAX(B$334:B379)+1</f>
        <v>201</v>
      </c>
      <c r="C380" s="83"/>
      <c r="D380" s="18" t="s">
        <v>136</v>
      </c>
      <c r="E380" s="81"/>
      <c r="F380" s="11" t="s">
        <v>39</v>
      </c>
      <c r="G380" s="81"/>
      <c r="H380" s="12">
        <v>12203.927079999999</v>
      </c>
      <c r="I380" s="86"/>
      <c r="J380" s="12">
        <f>$H380*K380/100</f>
        <v>441.17669849316206</v>
      </c>
      <c r="K380" s="33">
        <v>3.6150387953085183</v>
      </c>
      <c r="L380" s="88"/>
      <c r="M380" s="12">
        <f t="shared" si="112"/>
        <v>441.17669849316206</v>
      </c>
      <c r="N380" s="13"/>
      <c r="O380" s="12">
        <v>0</v>
      </c>
      <c r="P380" s="13"/>
      <c r="Q380" s="12">
        <f t="shared" si="113"/>
        <v>222.66501355371531</v>
      </c>
      <c r="R380" s="13"/>
      <c r="S380" s="12">
        <f>$H380*U380/100</f>
        <v>222.66501355371531</v>
      </c>
      <c r="T380" s="13"/>
      <c r="U380" s="33">
        <v>1.8245357588101496</v>
      </c>
      <c r="V380" s="13"/>
      <c r="W380" s="14"/>
      <c r="X380" s="13"/>
      <c r="Y380" s="15">
        <f t="shared" si="114"/>
        <v>-0.49529289666877885</v>
      </c>
    </row>
    <row r="381" spans="2:26" x14ac:dyDescent="0.3">
      <c r="B381" s="81">
        <f>MAX(B$334:B380)+1</f>
        <v>202</v>
      </c>
      <c r="C381" s="83"/>
      <c r="D381" s="18" t="s">
        <v>117</v>
      </c>
      <c r="E381" s="81"/>
      <c r="F381" s="11" t="s">
        <v>36</v>
      </c>
      <c r="G381" s="81"/>
      <c r="H381" s="12">
        <v>167.99999999999986</v>
      </c>
      <c r="I381" s="86"/>
      <c r="J381" s="12">
        <f>$H381*K381/1000</f>
        <v>42.799557931048312</v>
      </c>
      <c r="K381" s="87">
        <v>254.75927339909731</v>
      </c>
      <c r="L381" s="88"/>
      <c r="M381" s="12">
        <f t="shared" si="112"/>
        <v>42.799557931048312</v>
      </c>
      <c r="N381" s="13"/>
      <c r="O381" s="12"/>
      <c r="P381" s="13"/>
      <c r="Q381" s="12"/>
      <c r="R381" s="13"/>
      <c r="S381" s="12"/>
      <c r="T381" s="13"/>
      <c r="U381" s="87"/>
      <c r="V381" s="13"/>
      <c r="W381" s="14"/>
      <c r="X381" s="13"/>
      <c r="Y381" s="15"/>
    </row>
    <row r="382" spans="2:26" x14ac:dyDescent="0.3">
      <c r="B382" s="81">
        <f>MAX(B$334:B381)+1</f>
        <v>203</v>
      </c>
      <c r="C382" s="83"/>
      <c r="D382" s="10" t="s">
        <v>43</v>
      </c>
      <c r="E382" s="81"/>
      <c r="F382" s="11"/>
      <c r="G382" s="81"/>
      <c r="H382" s="89">
        <f>H379</f>
        <v>126830.75640999997</v>
      </c>
      <c r="I382" s="86"/>
      <c r="J382" s="89">
        <f>SUM(J378:J381)</f>
        <v>5089.2531518548485</v>
      </c>
      <c r="K382" s="19">
        <f>J382/$H382*100</f>
        <v>4.0126332885716245</v>
      </c>
      <c r="L382" s="88"/>
      <c r="M382" s="89">
        <f>SUM(M378:M381)</f>
        <v>2374.8315355949953</v>
      </c>
      <c r="N382" s="13"/>
      <c r="O382" s="89">
        <f>SUM(O378:O381)</f>
        <v>2714.4216162598532</v>
      </c>
      <c r="P382" s="13"/>
      <c r="Q382" s="89">
        <f>ROUND(SUM(Q378:Q381),0)</f>
        <v>0</v>
      </c>
      <c r="R382" s="13"/>
      <c r="S382" s="89">
        <f>SUM(S378:S381)</f>
        <v>2714.4216162598536</v>
      </c>
      <c r="T382" s="13"/>
      <c r="U382" s="19">
        <f>S382/$H382*100</f>
        <v>2.1401919322195537</v>
      </c>
      <c r="V382" s="13"/>
      <c r="W382" s="90">
        <f>S382/O382</f>
        <v>1.0000000000000002</v>
      </c>
      <c r="X382" s="13"/>
      <c r="Y382" s="20">
        <f>U382/K382-1</f>
        <v>-0.46663655053776498</v>
      </c>
    </row>
    <row r="383" spans="2:26" hidden="1" x14ac:dyDescent="0.3"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24"/>
    </row>
    <row r="384" spans="2:26" hidden="1" x14ac:dyDescent="0.3">
      <c r="B384" s="81"/>
      <c r="C384" s="83"/>
      <c r="D384" s="10"/>
      <c r="E384" s="81"/>
      <c r="F384" s="91"/>
      <c r="G384" s="81"/>
      <c r="H384" s="12"/>
      <c r="I384" s="86"/>
      <c r="J384" s="12"/>
      <c r="K384" s="33"/>
      <c r="L384" s="88"/>
      <c r="M384" s="12"/>
      <c r="N384" s="13"/>
      <c r="O384" s="12"/>
      <c r="P384" s="13"/>
      <c r="Q384" s="12"/>
      <c r="R384" s="13"/>
      <c r="S384" s="12"/>
      <c r="T384" s="13"/>
      <c r="U384" s="33"/>
      <c r="V384" s="13"/>
      <c r="W384" s="14"/>
      <c r="X384" s="13"/>
      <c r="Y384" s="15"/>
    </row>
    <row r="385" spans="2:26" x14ac:dyDescent="0.3"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24"/>
    </row>
    <row r="386" spans="2:26" x14ac:dyDescent="0.3">
      <c r="B386" s="81">
        <f>MAX(B$334:B385)+1</f>
        <v>204</v>
      </c>
      <c r="C386" s="83"/>
      <c r="D386" s="10" t="s">
        <v>49</v>
      </c>
      <c r="E386" s="81"/>
      <c r="F386" s="11" t="s">
        <v>39</v>
      </c>
      <c r="G386" s="81"/>
      <c r="H386" s="12">
        <v>5702.7569299999996</v>
      </c>
      <c r="I386" s="86"/>
      <c r="J386" s="12">
        <f>$H386*K386/100</f>
        <v>603.85663122760195</v>
      </c>
      <c r="K386" s="33">
        <v>10.588854454780384</v>
      </c>
      <c r="L386" s="88"/>
      <c r="M386" s="12">
        <f>J386-O386</f>
        <v>-181.85262008796519</v>
      </c>
      <c r="N386" s="13"/>
      <c r="O386" s="12">
        <f>S386</f>
        <v>785.70925131556714</v>
      </c>
      <c r="P386" s="13"/>
      <c r="Q386" s="12">
        <f>S386-O386</f>
        <v>0</v>
      </c>
      <c r="R386" s="13"/>
      <c r="S386" s="12">
        <f>$H386*U386/100</f>
        <v>785.70925131556714</v>
      </c>
      <c r="T386" s="13"/>
      <c r="U386" s="33">
        <v>13.777708939026569</v>
      </c>
      <c r="V386" s="13"/>
      <c r="W386" s="14">
        <f>S386/O386</f>
        <v>1</v>
      </c>
      <c r="X386" s="13"/>
      <c r="Y386" s="15">
        <f>U386/K386-1</f>
        <v>0.30115197992985565</v>
      </c>
    </row>
    <row r="387" spans="2:26" x14ac:dyDescent="0.3">
      <c r="B387" s="81"/>
      <c r="C387" s="83"/>
      <c r="D387" s="10"/>
      <c r="E387" s="81"/>
      <c r="F387" s="11"/>
      <c r="G387" s="81"/>
      <c r="H387" s="12"/>
      <c r="I387" s="86"/>
      <c r="J387" s="12"/>
      <c r="K387" s="33"/>
      <c r="L387" s="88"/>
      <c r="M387" s="12"/>
      <c r="N387" s="13"/>
      <c r="O387" s="12"/>
      <c r="P387" s="13"/>
      <c r="Q387" s="12"/>
      <c r="R387" s="13"/>
      <c r="S387" s="12"/>
      <c r="T387" s="13"/>
      <c r="U387" s="33"/>
      <c r="V387" s="13"/>
      <c r="W387" s="14"/>
      <c r="X387" s="13"/>
      <c r="Y387" s="15"/>
    </row>
    <row r="388" spans="2:26" ht="12.9" thickBot="1" x14ac:dyDescent="0.35">
      <c r="B388" s="81">
        <f>MAX(B$334:B387)+1</f>
        <v>205</v>
      </c>
      <c r="C388" s="83"/>
      <c r="D388" s="10" t="s">
        <v>137</v>
      </c>
      <c r="E388" s="81"/>
      <c r="F388" s="11"/>
      <c r="G388" s="81"/>
      <c r="H388" s="93">
        <f>H382</f>
        <v>126830.75640999997</v>
      </c>
      <c r="I388" s="86"/>
      <c r="J388" s="93">
        <f>SUM(J382,J384,J386)</f>
        <v>5693.1097830824501</v>
      </c>
      <c r="K388" s="25">
        <f>J388/$H388*100</f>
        <v>4.4887454307049897</v>
      </c>
      <c r="L388" s="88"/>
      <c r="M388" s="93">
        <f>SUM(M382,M384,M386)</f>
        <v>2192.9789155070303</v>
      </c>
      <c r="N388" s="13"/>
      <c r="O388" s="93">
        <f>SUM(O382,O384,O386)</f>
        <v>3500.1308675754203</v>
      </c>
      <c r="P388" s="13"/>
      <c r="Q388" s="93">
        <f>SUM(Q382,Q384,Q386)</f>
        <v>0</v>
      </c>
      <c r="R388" s="13"/>
      <c r="S388" s="93">
        <f>SUM(S382,S384,S386)</f>
        <v>3500.1308675754208</v>
      </c>
      <c r="T388" s="13"/>
      <c r="U388" s="25">
        <f>S388/$H388*100</f>
        <v>2.7596861886250275</v>
      </c>
      <c r="V388" s="13"/>
      <c r="W388" s="94">
        <f>S388/O388</f>
        <v>1.0000000000000002</v>
      </c>
      <c r="X388" s="13"/>
      <c r="Y388" s="26">
        <f>U388/K388-1</f>
        <v>-0.38519877519728296</v>
      </c>
    </row>
    <row r="389" spans="2:26" ht="12.9" thickTop="1" x14ac:dyDescent="0.3">
      <c r="B389" s="81"/>
      <c r="C389" s="83"/>
      <c r="E389" s="81"/>
      <c r="F389" s="91"/>
      <c r="G389" s="81"/>
      <c r="H389" s="88"/>
      <c r="I389" s="86"/>
      <c r="J389" s="88"/>
      <c r="K389" s="22"/>
      <c r="L389" s="88"/>
      <c r="M389" s="88"/>
      <c r="N389" s="13"/>
      <c r="O389" s="88"/>
      <c r="P389" s="13"/>
      <c r="Q389" s="88"/>
      <c r="R389" s="13"/>
      <c r="S389" s="88"/>
      <c r="T389" s="13"/>
      <c r="U389" s="22"/>
      <c r="V389" s="13"/>
      <c r="W389" s="92"/>
      <c r="X389" s="13"/>
      <c r="Y389" s="23"/>
    </row>
    <row r="390" spans="2:26" x14ac:dyDescent="0.3">
      <c r="B390" s="123" t="s">
        <v>0</v>
      </c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</row>
    <row r="391" spans="2:26" x14ac:dyDescent="0.3">
      <c r="B391" s="123" t="s">
        <v>59</v>
      </c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</row>
    <row r="392" spans="2:26" x14ac:dyDescent="0.3">
      <c r="B392" s="77"/>
      <c r="C392" s="77"/>
      <c r="D392" s="77"/>
      <c r="E392" s="77"/>
      <c r="F392" s="78"/>
      <c r="G392" s="77"/>
      <c r="H392" s="78"/>
      <c r="I392" s="77"/>
      <c r="J392" s="78"/>
      <c r="K392" s="78"/>
      <c r="L392" s="78"/>
      <c r="M392" s="78"/>
      <c r="N392" s="77"/>
      <c r="O392" s="77"/>
      <c r="P392" s="77"/>
      <c r="Q392" s="77"/>
      <c r="R392" s="77"/>
      <c r="S392" s="77"/>
      <c r="T392" s="77"/>
      <c r="U392" s="77"/>
      <c r="V392" s="77"/>
      <c r="W392" s="5"/>
      <c r="X392" s="77"/>
      <c r="Y392" s="35"/>
    </row>
    <row r="393" spans="2:26" x14ac:dyDescent="0.3">
      <c r="B393" s="78"/>
      <c r="C393" s="78"/>
      <c r="D393" s="78"/>
      <c r="E393" s="78"/>
      <c r="F393" s="77"/>
      <c r="G393" s="78"/>
      <c r="H393" s="77"/>
      <c r="I393" s="78"/>
      <c r="J393" s="79" t="s">
        <v>2</v>
      </c>
      <c r="K393" s="79"/>
      <c r="L393" s="78"/>
      <c r="M393" s="78"/>
      <c r="N393" s="78"/>
      <c r="O393" s="122" t="s">
        <v>3</v>
      </c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3"/>
    </row>
    <row r="394" spans="2:26" ht="37.299999999999997" x14ac:dyDescent="0.3">
      <c r="B394" s="80" t="s">
        <v>4</v>
      </c>
      <c r="C394" s="80"/>
      <c r="D394" s="80"/>
      <c r="E394" s="80"/>
      <c r="F394" s="81" t="s">
        <v>5</v>
      </c>
      <c r="G394" s="80"/>
      <c r="H394" s="6" t="s">
        <v>6</v>
      </c>
      <c r="I394" s="80"/>
      <c r="J394" s="6" t="s">
        <v>7</v>
      </c>
      <c r="K394" s="6" t="s">
        <v>8</v>
      </c>
      <c r="L394" s="80"/>
      <c r="M394" s="6" t="s">
        <v>9</v>
      </c>
      <c r="N394" s="80"/>
      <c r="O394" s="80" t="s">
        <v>10</v>
      </c>
      <c r="P394" s="80"/>
      <c r="Q394" s="6" t="s">
        <v>11</v>
      </c>
      <c r="R394" s="80"/>
      <c r="S394" s="6" t="s">
        <v>7</v>
      </c>
      <c r="T394" s="80"/>
      <c r="U394" s="6" t="s">
        <v>12</v>
      </c>
      <c r="V394" s="80"/>
      <c r="W394" s="80" t="s">
        <v>13</v>
      </c>
      <c r="X394" s="80"/>
      <c r="Y394" s="80" t="s">
        <v>14</v>
      </c>
    </row>
    <row r="395" spans="2:26" ht="14.15" x14ac:dyDescent="0.3">
      <c r="B395" s="82" t="s">
        <v>15</v>
      </c>
      <c r="C395" s="83"/>
      <c r="D395" s="84" t="s">
        <v>16</v>
      </c>
      <c r="E395" s="81"/>
      <c r="F395" s="82" t="s">
        <v>17</v>
      </c>
      <c r="G395" s="81"/>
      <c r="H395" s="82" t="s">
        <v>18</v>
      </c>
      <c r="I395" s="81"/>
      <c r="J395" s="82" t="s">
        <v>19</v>
      </c>
      <c r="K395" s="82" t="s">
        <v>20</v>
      </c>
      <c r="L395" s="81"/>
      <c r="M395" s="82" t="s">
        <v>19</v>
      </c>
      <c r="N395" s="81"/>
      <c r="O395" s="82" t="s">
        <v>19</v>
      </c>
      <c r="P395" s="81"/>
      <c r="Q395" s="82" t="s">
        <v>19</v>
      </c>
      <c r="R395" s="81"/>
      <c r="S395" s="82" t="s">
        <v>19</v>
      </c>
      <c r="T395" s="81"/>
      <c r="U395" s="82" t="s">
        <v>20</v>
      </c>
      <c r="V395" s="81"/>
      <c r="W395" s="82" t="s">
        <v>21</v>
      </c>
      <c r="X395" s="81"/>
      <c r="Y395" s="82" t="s">
        <v>22</v>
      </c>
    </row>
    <row r="396" spans="2:26" s="6" customFormat="1" x14ac:dyDescent="0.3">
      <c r="B396" s="81"/>
      <c r="C396" s="83"/>
      <c r="D396" s="83"/>
      <c r="E396" s="81"/>
      <c r="F396" s="81"/>
      <c r="G396" s="81"/>
      <c r="H396" s="81" t="s">
        <v>23</v>
      </c>
      <c r="I396" s="81"/>
      <c r="J396" s="81" t="s">
        <v>24</v>
      </c>
      <c r="K396" s="81" t="s">
        <v>25</v>
      </c>
      <c r="L396" s="81"/>
      <c r="M396" s="81" t="s">
        <v>26</v>
      </c>
      <c r="N396" s="81"/>
      <c r="O396" s="81" t="s">
        <v>27</v>
      </c>
      <c r="P396" s="81"/>
      <c r="Q396" s="81" t="s">
        <v>28</v>
      </c>
      <c r="R396" s="81"/>
      <c r="S396" s="85" t="s">
        <v>29</v>
      </c>
      <c r="T396" s="81"/>
      <c r="U396" s="85" t="s">
        <v>30</v>
      </c>
      <c r="V396" s="81"/>
      <c r="W396" s="85" t="s">
        <v>31</v>
      </c>
      <c r="X396" s="81"/>
      <c r="Y396" s="85" t="s">
        <v>32</v>
      </c>
      <c r="Z396" s="80"/>
    </row>
    <row r="397" spans="2:26" x14ac:dyDescent="0.3">
      <c r="B397" s="81"/>
      <c r="C397" s="83"/>
      <c r="E397" s="81"/>
      <c r="F397" s="91"/>
      <c r="G397" s="81"/>
      <c r="H397" s="88"/>
      <c r="I397" s="86"/>
      <c r="J397" s="88"/>
      <c r="K397" s="22"/>
      <c r="L397" s="88"/>
      <c r="M397" s="88"/>
      <c r="N397" s="13"/>
      <c r="O397" s="88"/>
      <c r="P397" s="13"/>
      <c r="Q397" s="88"/>
      <c r="R397" s="13"/>
      <c r="S397" s="88"/>
      <c r="T397" s="13"/>
      <c r="U397" s="22"/>
      <c r="V397" s="13"/>
      <c r="W397" s="92"/>
      <c r="X397" s="13"/>
      <c r="Y397" s="23"/>
    </row>
    <row r="398" spans="2:26" x14ac:dyDescent="0.3">
      <c r="B398" s="81"/>
      <c r="C398" s="83"/>
      <c r="D398" s="3" t="s">
        <v>60</v>
      </c>
      <c r="E398" s="81"/>
      <c r="F398" s="7"/>
      <c r="G398" s="81"/>
      <c r="H398" s="27"/>
      <c r="I398" s="86"/>
      <c r="J398" s="27"/>
      <c r="K398" s="86"/>
      <c r="L398" s="86"/>
      <c r="M398" s="28"/>
      <c r="N398" s="86"/>
      <c r="O398" s="29"/>
      <c r="P398" s="86"/>
      <c r="Q398" s="86"/>
      <c r="R398" s="86"/>
      <c r="S398" s="86"/>
      <c r="T398" s="86"/>
      <c r="U398" s="86"/>
      <c r="V398" s="86"/>
      <c r="W398" s="86"/>
      <c r="X398" s="86"/>
      <c r="Y398" s="95"/>
      <c r="Z398" s="81"/>
    </row>
    <row r="399" spans="2:26" x14ac:dyDescent="0.3">
      <c r="B399" s="81">
        <f>MAX(B$334:B398)+1</f>
        <v>206</v>
      </c>
      <c r="C399" s="83"/>
      <c r="D399" s="10" t="s">
        <v>35</v>
      </c>
      <c r="E399" s="81"/>
      <c r="F399" s="11" t="s">
        <v>36</v>
      </c>
      <c r="G399" s="81"/>
      <c r="H399" s="12">
        <v>144.00000000000003</v>
      </c>
      <c r="I399" s="86"/>
      <c r="J399" s="12">
        <f>$H399*K399/1000</f>
        <v>239.69808000000003</v>
      </c>
      <c r="K399" s="87">
        <v>1664.57</v>
      </c>
      <c r="L399" s="88"/>
      <c r="M399" s="12">
        <f t="shared" ref="M399:M403" si="115">J399-O399</f>
        <v>-562.05652665081686</v>
      </c>
      <c r="N399" s="13"/>
      <c r="O399" s="12">
        <v>801.75460665081687</v>
      </c>
      <c r="P399" s="13"/>
      <c r="Q399" s="12">
        <f t="shared" ref="Q399:Q402" si="116">S399-O399</f>
        <v>-562.05652665081686</v>
      </c>
      <c r="R399" s="13"/>
      <c r="S399" s="12">
        <f>$H399*U399/1000</f>
        <v>239.69808000000003</v>
      </c>
      <c r="T399" s="13"/>
      <c r="U399" s="87">
        <v>1664.57</v>
      </c>
      <c r="V399" s="13"/>
      <c r="W399" s="14">
        <f>S399/O399</f>
        <v>0.29896688838657864</v>
      </c>
      <c r="X399" s="13"/>
      <c r="Y399" s="15">
        <f t="shared" ref="Y399:Y402" si="117">U399/K399-1</f>
        <v>0</v>
      </c>
    </row>
    <row r="400" spans="2:26" x14ac:dyDescent="0.3">
      <c r="B400" s="81">
        <f>MAX(B$334:B399)+1</f>
        <v>207</v>
      </c>
      <c r="C400" s="83"/>
      <c r="D400" s="10" t="s">
        <v>61</v>
      </c>
      <c r="E400" s="81"/>
      <c r="F400" s="39" t="s">
        <v>62</v>
      </c>
      <c r="G400" s="81"/>
      <c r="H400" s="12">
        <v>42050.04</v>
      </c>
      <c r="I400" s="86"/>
      <c r="J400" s="12">
        <f>$H400*K400/100</f>
        <v>8359.0013014799988</v>
      </c>
      <c r="K400" s="33">
        <v>19.878699999999998</v>
      </c>
      <c r="L400" s="88"/>
      <c r="M400" s="12">
        <f t="shared" si="115"/>
        <v>1689.7119143114733</v>
      </c>
      <c r="N400" s="13"/>
      <c r="O400" s="12">
        <v>6669.2893871685255</v>
      </c>
      <c r="P400" s="13"/>
      <c r="Q400" s="12">
        <f t="shared" si="116"/>
        <v>562.05652665081561</v>
      </c>
      <c r="R400" s="13"/>
      <c r="S400" s="12">
        <f>$H400*U400/100</f>
        <v>7231.3459138193411</v>
      </c>
      <c r="T400" s="13"/>
      <c r="U400" s="33">
        <v>17.197001272339673</v>
      </c>
      <c r="V400" s="13"/>
      <c r="W400" s="14">
        <f>S400/O400</f>
        <v>1.084275324404455</v>
      </c>
      <c r="X400" s="13"/>
      <c r="Y400" s="15">
        <f t="shared" si="117"/>
        <v>-0.13490312382903946</v>
      </c>
    </row>
    <row r="401" spans="2:25" x14ac:dyDescent="0.3">
      <c r="B401" s="81">
        <f>MAX(B$334:B400)+1</f>
        <v>208</v>
      </c>
      <c r="C401" s="83"/>
      <c r="D401" s="10" t="s">
        <v>37</v>
      </c>
      <c r="E401" s="81"/>
      <c r="F401" s="11" t="s">
        <v>39</v>
      </c>
      <c r="G401" s="81"/>
      <c r="H401" s="12">
        <v>1076377.9679700001</v>
      </c>
      <c r="I401" s="86"/>
      <c r="J401" s="12">
        <f>$H401*K401/100</f>
        <v>3073.0590985543504</v>
      </c>
      <c r="K401" s="33">
        <v>0.28549999999999998</v>
      </c>
      <c r="L401" s="88"/>
      <c r="M401" s="12">
        <f t="shared" si="115"/>
        <v>2119.9353788359913</v>
      </c>
      <c r="N401" s="13"/>
      <c r="O401" s="12">
        <v>953.1237197183591</v>
      </c>
      <c r="P401" s="13"/>
      <c r="Q401" s="12">
        <f t="shared" si="116"/>
        <v>-24.2490550909489</v>
      </c>
      <c r="R401" s="13"/>
      <c r="S401" s="12">
        <f>$H401*U401/100</f>
        <v>928.8746646274102</v>
      </c>
      <c r="T401" s="13"/>
      <c r="U401" s="33">
        <v>8.6296328266475542E-2</v>
      </c>
      <c r="V401" s="13"/>
      <c r="W401" s="14"/>
      <c r="X401" s="13"/>
      <c r="Y401" s="15">
        <f t="shared" si="117"/>
        <v>-0.69773615318222226</v>
      </c>
    </row>
    <row r="402" spans="2:25" x14ac:dyDescent="0.3">
      <c r="B402" s="81">
        <f>MAX(B$334:B401)+1</f>
        <v>209</v>
      </c>
      <c r="C402" s="83"/>
      <c r="D402" s="45" t="s">
        <v>116</v>
      </c>
      <c r="E402" s="81"/>
      <c r="F402" s="11" t="s">
        <v>39</v>
      </c>
      <c r="G402" s="81"/>
      <c r="H402" s="12">
        <v>28099.753000000001</v>
      </c>
      <c r="I402" s="86"/>
      <c r="J402" s="12">
        <f>$H402*K402/100</f>
        <v>80.224794814999996</v>
      </c>
      <c r="K402" s="33">
        <v>0.28549999999999998</v>
      </c>
      <c r="L402" s="88"/>
      <c r="M402" s="12">
        <f t="shared" si="115"/>
        <v>80.224794814999996</v>
      </c>
      <c r="N402" s="13"/>
      <c r="O402" s="12">
        <v>0</v>
      </c>
      <c r="P402" s="13"/>
      <c r="Q402" s="12">
        <f t="shared" si="116"/>
        <v>24.249055090948808</v>
      </c>
      <c r="R402" s="13"/>
      <c r="S402" s="12">
        <f>$H402*U402/100</f>
        <v>24.249055090948808</v>
      </c>
      <c r="T402" s="13"/>
      <c r="U402" s="33">
        <v>8.6296328266475542E-2</v>
      </c>
      <c r="V402" s="13"/>
      <c r="W402" s="14"/>
      <c r="X402" s="13"/>
      <c r="Y402" s="15">
        <f t="shared" si="117"/>
        <v>-0.69773615318222226</v>
      </c>
    </row>
    <row r="403" spans="2:25" x14ac:dyDescent="0.3">
      <c r="B403" s="81">
        <f>MAX(B$334:B402)+1</f>
        <v>210</v>
      </c>
      <c r="C403" s="83"/>
      <c r="D403" s="45" t="s">
        <v>117</v>
      </c>
      <c r="E403" s="81"/>
      <c r="F403" s="11" t="s">
        <v>36</v>
      </c>
      <c r="G403" s="81"/>
      <c r="H403" s="12">
        <v>143.99999999999989</v>
      </c>
      <c r="I403" s="86"/>
      <c r="J403" s="12">
        <f>$H403*K403/1000</f>
        <v>36.685335369469982</v>
      </c>
      <c r="K403" s="87">
        <v>254.75927339909731</v>
      </c>
      <c r="L403" s="88"/>
      <c r="M403" s="12">
        <f t="shared" si="115"/>
        <v>36.685335369469982</v>
      </c>
      <c r="N403" s="13"/>
      <c r="O403" s="12"/>
      <c r="P403" s="13"/>
      <c r="Q403" s="12"/>
      <c r="R403" s="13"/>
      <c r="S403" s="12"/>
      <c r="T403" s="13"/>
      <c r="U403" s="87"/>
      <c r="V403" s="13"/>
      <c r="W403" s="14"/>
      <c r="X403" s="13"/>
      <c r="Y403" s="15"/>
    </row>
    <row r="404" spans="2:25" x14ac:dyDescent="0.3">
      <c r="B404" s="81"/>
      <c r="C404" s="83"/>
      <c r="D404" s="10"/>
      <c r="E404" s="81"/>
      <c r="F404" s="11"/>
      <c r="G404" s="81"/>
      <c r="H404" s="12"/>
      <c r="I404" s="86"/>
      <c r="J404" s="12"/>
      <c r="K404" s="33"/>
      <c r="L404" s="88"/>
      <c r="M404" s="12"/>
      <c r="N404" s="13"/>
      <c r="O404" s="12"/>
      <c r="P404" s="13"/>
      <c r="Q404" s="12"/>
      <c r="R404" s="13"/>
      <c r="S404" s="12"/>
      <c r="T404" s="13"/>
      <c r="U404" s="33"/>
      <c r="V404" s="13"/>
      <c r="W404" s="14"/>
      <c r="X404" s="13"/>
      <c r="Y404" s="15"/>
    </row>
    <row r="405" spans="2:25" x14ac:dyDescent="0.3">
      <c r="B405" s="81">
        <f>MAX(B$334:B404)+1</f>
        <v>211</v>
      </c>
      <c r="C405" s="83"/>
      <c r="D405" s="10" t="s">
        <v>43</v>
      </c>
      <c r="E405" s="81"/>
      <c r="F405" s="11"/>
      <c r="G405" s="81"/>
      <c r="H405" s="89">
        <f>H401</f>
        <v>1076377.9679700001</v>
      </c>
      <c r="I405" s="86"/>
      <c r="J405" s="89">
        <f>SUM(J399:J403)</f>
        <v>11788.66861021882</v>
      </c>
      <c r="K405" s="19">
        <f>J405/$H405*100</f>
        <v>1.0952164537938018</v>
      </c>
      <c r="L405" s="88"/>
      <c r="M405" s="89">
        <f>SUM(M399:M403)</f>
        <v>3364.5008966811179</v>
      </c>
      <c r="N405" s="13"/>
      <c r="O405" s="89">
        <f>SUM(O399:O403)</f>
        <v>8424.1677135377013</v>
      </c>
      <c r="P405" s="13"/>
      <c r="Q405" s="89">
        <f>ROUND(SUM(Q399:Q403), 0)</f>
        <v>0</v>
      </c>
      <c r="R405" s="13"/>
      <c r="S405" s="89">
        <f>SUM(S399:S403)</f>
        <v>8424.1677135377013</v>
      </c>
      <c r="T405" s="13"/>
      <c r="U405" s="19">
        <f>S405/$H405*100</f>
        <v>0.78264029590138284</v>
      </c>
      <c r="V405" s="13"/>
      <c r="W405" s="90">
        <f>S405/O405</f>
        <v>1</v>
      </c>
      <c r="X405" s="13"/>
      <c r="Y405" s="20">
        <f>U405/K405-1</f>
        <v>-0.28540126183245618</v>
      </c>
    </row>
    <row r="406" spans="2:25" x14ac:dyDescent="0.3"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24"/>
    </row>
    <row r="407" spans="2:25" x14ac:dyDescent="0.3">
      <c r="B407" s="81"/>
      <c r="C407" s="83"/>
      <c r="D407" s="10" t="s">
        <v>118</v>
      </c>
      <c r="E407" s="81"/>
      <c r="F407" s="11"/>
      <c r="G407" s="81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24"/>
    </row>
    <row r="408" spans="2:25" x14ac:dyDescent="0.3">
      <c r="B408" s="81">
        <f>MAX(B$334:B407)+1</f>
        <v>212</v>
      </c>
      <c r="C408" s="83"/>
      <c r="D408" s="18" t="s">
        <v>119</v>
      </c>
      <c r="E408" s="81"/>
      <c r="F408" s="39" t="s">
        <v>62</v>
      </c>
      <c r="G408" s="81"/>
      <c r="H408" s="12">
        <v>0</v>
      </c>
      <c r="I408" s="86"/>
      <c r="J408" s="12">
        <f>$H408*K408/100</f>
        <v>0</v>
      </c>
      <c r="K408" s="33">
        <v>54.775199999999998</v>
      </c>
      <c r="L408" s="88"/>
      <c r="M408" s="12">
        <f t="shared" ref="M408:M409" si="118">J408-O408</f>
        <v>0</v>
      </c>
      <c r="N408" s="13"/>
      <c r="O408" s="33">
        <v>0</v>
      </c>
      <c r="P408" s="13"/>
      <c r="Q408" s="12">
        <f t="shared" ref="Q408:Q409" si="119">S408-O408</f>
        <v>0</v>
      </c>
      <c r="R408" s="13"/>
      <c r="S408" s="12">
        <f>$H408*U408/100</f>
        <v>0</v>
      </c>
      <c r="T408" s="13"/>
      <c r="U408" s="33">
        <v>10.949624016822977</v>
      </c>
      <c r="V408" s="13"/>
      <c r="W408" s="14"/>
      <c r="X408" s="13"/>
      <c r="Y408" s="15"/>
    </row>
    <row r="409" spans="2:25" x14ac:dyDescent="0.3">
      <c r="B409" s="81">
        <f>MAX(B$334:B408)+1</f>
        <v>213</v>
      </c>
      <c r="C409" s="83"/>
      <c r="D409" s="18" t="s">
        <v>120</v>
      </c>
      <c r="E409" s="81"/>
      <c r="F409" s="39" t="s">
        <v>62</v>
      </c>
      <c r="G409" s="81"/>
      <c r="H409" s="12">
        <v>0</v>
      </c>
      <c r="I409" s="86"/>
      <c r="J409" s="12">
        <f>$H409*K409/100</f>
        <v>0</v>
      </c>
      <c r="K409" s="33">
        <v>91.701700000000017</v>
      </c>
      <c r="L409" s="88"/>
      <c r="M409" s="12">
        <f t="shared" si="118"/>
        <v>0</v>
      </c>
      <c r="N409" s="13"/>
      <c r="O409" s="33">
        <v>0</v>
      </c>
      <c r="P409" s="13"/>
      <c r="Q409" s="12">
        <f t="shared" si="119"/>
        <v>0</v>
      </c>
      <c r="R409" s="13"/>
      <c r="S409" s="12">
        <f>$H409*U409/100</f>
        <v>0</v>
      </c>
      <c r="T409" s="13"/>
      <c r="U409" s="33">
        <v>19.106366616696931</v>
      </c>
      <c r="V409" s="13"/>
      <c r="W409" s="14"/>
      <c r="X409" s="13"/>
      <c r="Y409" s="15"/>
    </row>
    <row r="410" spans="2:25" x14ac:dyDescent="0.3">
      <c r="B410" s="81"/>
      <c r="C410" s="83"/>
      <c r="D410" s="10" t="s">
        <v>121</v>
      </c>
      <c r="E410" s="81"/>
      <c r="F410" s="11"/>
      <c r="G410" s="81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24"/>
    </row>
    <row r="411" spans="2:25" x14ac:dyDescent="0.3">
      <c r="B411" s="81">
        <f>MAX(B$334:B410)+1</f>
        <v>214</v>
      </c>
      <c r="C411" s="83"/>
      <c r="D411" s="18" t="s">
        <v>122</v>
      </c>
      <c r="E411" s="81"/>
      <c r="F411" s="11" t="s">
        <v>39</v>
      </c>
      <c r="G411" s="81"/>
      <c r="H411" s="12">
        <v>0</v>
      </c>
      <c r="I411" s="86"/>
      <c r="J411" s="12">
        <f>$H411*K411/100</f>
        <v>0</v>
      </c>
      <c r="K411" s="33">
        <v>0.84079999999999999</v>
      </c>
      <c r="L411" s="88"/>
      <c r="M411" s="12">
        <f t="shared" ref="M411:M414" si="120">J411-O411</f>
        <v>0</v>
      </c>
      <c r="N411" s="13"/>
      <c r="O411" s="12">
        <f t="shared" ref="O411:O414" si="121">S411</f>
        <v>0</v>
      </c>
      <c r="P411" s="13"/>
      <c r="Q411" s="12">
        <f t="shared" ref="Q411:Q414" si="122">S411-O411</f>
        <v>0</v>
      </c>
      <c r="R411" s="13"/>
      <c r="S411" s="12">
        <f>$H411*U411/100</f>
        <v>0</v>
      </c>
      <c r="T411" s="13"/>
      <c r="U411" s="33">
        <v>2.88717425040663</v>
      </c>
      <c r="V411" s="13"/>
      <c r="W411" s="14"/>
      <c r="X411" s="13"/>
      <c r="Y411" s="15"/>
    </row>
    <row r="412" spans="2:25" x14ac:dyDescent="0.3">
      <c r="B412" s="81">
        <f>MAX(B$334:B411)+1</f>
        <v>215</v>
      </c>
      <c r="C412" s="83"/>
      <c r="D412" s="18" t="s">
        <v>123</v>
      </c>
      <c r="E412" s="81"/>
      <c r="F412" s="11" t="s">
        <v>39</v>
      </c>
      <c r="G412" s="81"/>
      <c r="H412" s="12">
        <v>0</v>
      </c>
      <c r="I412" s="86"/>
      <c r="J412" s="12">
        <f>$H412*K412/100</f>
        <v>0</v>
      </c>
      <c r="K412" s="33">
        <v>1.6624000000000003</v>
      </c>
      <c r="L412" s="88"/>
      <c r="M412" s="12">
        <f t="shared" si="120"/>
        <v>0</v>
      </c>
      <c r="N412" s="13"/>
      <c r="O412" s="12">
        <f t="shared" si="121"/>
        <v>0</v>
      </c>
      <c r="P412" s="13"/>
      <c r="Q412" s="12">
        <f t="shared" si="122"/>
        <v>0</v>
      </c>
      <c r="R412" s="13"/>
      <c r="S412" s="12">
        <f>$H412*U412/100</f>
        <v>0</v>
      </c>
      <c r="T412" s="13"/>
      <c r="U412" s="33">
        <v>2.2324387540144155</v>
      </c>
      <c r="V412" s="13"/>
      <c r="W412" s="14"/>
      <c r="X412" s="13"/>
      <c r="Y412" s="15"/>
    </row>
    <row r="413" spans="2:25" x14ac:dyDescent="0.3">
      <c r="B413" s="81">
        <f>MAX(B$334:B412)+1</f>
        <v>216</v>
      </c>
      <c r="C413" s="83"/>
      <c r="D413" s="18" t="s">
        <v>124</v>
      </c>
      <c r="E413" s="81"/>
      <c r="F413" s="11" t="s">
        <v>39</v>
      </c>
      <c r="G413" s="81"/>
      <c r="H413" s="12">
        <v>0</v>
      </c>
      <c r="I413" s="86"/>
      <c r="J413" s="12">
        <f>$H413*K413/100</f>
        <v>0</v>
      </c>
      <c r="K413" s="33">
        <v>0.84079999999999999</v>
      </c>
      <c r="L413" s="88"/>
      <c r="M413" s="12">
        <f t="shared" si="120"/>
        <v>0</v>
      </c>
      <c r="N413" s="13"/>
      <c r="O413" s="12">
        <f t="shared" si="121"/>
        <v>0</v>
      </c>
      <c r="P413" s="13"/>
      <c r="Q413" s="12">
        <f t="shared" si="122"/>
        <v>0</v>
      </c>
      <c r="R413" s="13"/>
      <c r="S413" s="12">
        <f>$H413*U413/100</f>
        <v>0</v>
      </c>
      <c r="T413" s="13"/>
      <c r="U413" s="33">
        <v>2.88717425040663</v>
      </c>
      <c r="V413" s="13"/>
      <c r="W413" s="14"/>
      <c r="X413" s="13"/>
      <c r="Y413" s="15"/>
    </row>
    <row r="414" spans="2:25" x14ac:dyDescent="0.3">
      <c r="B414" s="81">
        <f>MAX(B$334:B413)+1</f>
        <v>217</v>
      </c>
      <c r="C414" s="83"/>
      <c r="D414" s="18" t="s">
        <v>125</v>
      </c>
      <c r="E414" s="81"/>
      <c r="F414" s="11" t="s">
        <v>39</v>
      </c>
      <c r="G414" s="81"/>
      <c r="H414" s="12">
        <v>0</v>
      </c>
      <c r="I414" s="86"/>
      <c r="J414" s="12">
        <f>$H414*K414/100</f>
        <v>0</v>
      </c>
      <c r="K414" s="33">
        <v>1.6624000000000003</v>
      </c>
      <c r="L414" s="88"/>
      <c r="M414" s="12">
        <f t="shared" si="120"/>
        <v>0</v>
      </c>
      <c r="N414" s="13"/>
      <c r="O414" s="12">
        <f t="shared" si="121"/>
        <v>0</v>
      </c>
      <c r="P414" s="13"/>
      <c r="Q414" s="12">
        <f t="shared" si="122"/>
        <v>0</v>
      </c>
      <c r="R414" s="13"/>
      <c r="S414" s="12">
        <f>$H414*U414/100</f>
        <v>0</v>
      </c>
      <c r="T414" s="13"/>
      <c r="U414" s="33">
        <v>2.2324387540144155</v>
      </c>
      <c r="V414" s="13"/>
      <c r="W414" s="14"/>
      <c r="X414" s="13"/>
      <c r="Y414" s="15"/>
    </row>
    <row r="415" spans="2:25" x14ac:dyDescent="0.3">
      <c r="B415" s="81"/>
      <c r="C415" s="83"/>
      <c r="D415" s="10" t="s">
        <v>126</v>
      </c>
      <c r="E415" s="81"/>
      <c r="F415" s="11"/>
      <c r="G415" s="81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24"/>
    </row>
    <row r="416" spans="2:25" x14ac:dyDescent="0.3">
      <c r="B416" s="81">
        <f>MAX(B$334:B415)+1</f>
        <v>218</v>
      </c>
      <c r="C416" s="83"/>
      <c r="D416" s="18" t="s">
        <v>122</v>
      </c>
      <c r="E416" s="81"/>
      <c r="F416" s="11" t="s">
        <v>39</v>
      </c>
      <c r="G416" s="81"/>
      <c r="H416" s="12">
        <v>0</v>
      </c>
      <c r="I416" s="86"/>
      <c r="J416" s="12">
        <f>$H416*K416/100</f>
        <v>0</v>
      </c>
      <c r="K416" s="33">
        <v>0</v>
      </c>
      <c r="L416" s="88"/>
      <c r="M416" s="12">
        <f t="shared" ref="M416:M419" si="123">J416-O416</f>
        <v>0</v>
      </c>
      <c r="N416" s="13"/>
      <c r="O416" s="12">
        <f t="shared" ref="O416:O419" si="124">S416</f>
        <v>0</v>
      </c>
      <c r="P416" s="13"/>
      <c r="Q416" s="12">
        <f t="shared" ref="Q416:Q419" si="125">S416-O416</f>
        <v>0</v>
      </c>
      <c r="R416" s="13"/>
      <c r="S416" s="12">
        <f>$H416*U416/100</f>
        <v>0</v>
      </c>
      <c r="T416" s="13"/>
      <c r="U416" s="33">
        <v>2.88717425040663</v>
      </c>
      <c r="V416" s="13"/>
      <c r="W416" s="14"/>
      <c r="X416" s="13"/>
      <c r="Y416" s="15"/>
    </row>
    <row r="417" spans="2:26" x14ac:dyDescent="0.3">
      <c r="B417" s="81">
        <f>MAX(B$334:B416)+1</f>
        <v>219</v>
      </c>
      <c r="C417" s="83"/>
      <c r="D417" s="18" t="s">
        <v>123</v>
      </c>
      <c r="E417" s="81"/>
      <c r="F417" s="11" t="s">
        <v>39</v>
      </c>
      <c r="G417" s="81"/>
      <c r="H417" s="12">
        <v>0</v>
      </c>
      <c r="I417" s="86"/>
      <c r="J417" s="12">
        <f>$H417*K417/100</f>
        <v>0</v>
      </c>
      <c r="K417" s="33">
        <v>0</v>
      </c>
      <c r="L417" s="88"/>
      <c r="M417" s="12">
        <f t="shared" si="123"/>
        <v>0</v>
      </c>
      <c r="N417" s="13"/>
      <c r="O417" s="12">
        <f t="shared" si="124"/>
        <v>0</v>
      </c>
      <c r="P417" s="13"/>
      <c r="Q417" s="12">
        <f t="shared" si="125"/>
        <v>0</v>
      </c>
      <c r="R417" s="13"/>
      <c r="S417" s="12">
        <f>$H417*U417/100</f>
        <v>0</v>
      </c>
      <c r="T417" s="13"/>
      <c r="U417" s="33">
        <v>2.2324387540144155</v>
      </c>
      <c r="V417" s="13"/>
      <c r="W417" s="14"/>
      <c r="X417" s="13"/>
      <c r="Y417" s="15"/>
    </row>
    <row r="418" spans="2:26" x14ac:dyDescent="0.3">
      <c r="B418" s="81">
        <f>MAX(B$334:B417)+1</f>
        <v>220</v>
      </c>
      <c r="C418" s="83"/>
      <c r="D418" s="18" t="s">
        <v>124</v>
      </c>
      <c r="E418" s="81"/>
      <c r="F418" s="11" t="s">
        <v>39</v>
      </c>
      <c r="G418" s="81"/>
      <c r="H418" s="12">
        <v>0</v>
      </c>
      <c r="I418" s="86"/>
      <c r="J418" s="12">
        <f>$H418*K418/100</f>
        <v>0</v>
      </c>
      <c r="K418" s="33">
        <v>0</v>
      </c>
      <c r="L418" s="88"/>
      <c r="M418" s="12">
        <f t="shared" si="123"/>
        <v>0</v>
      </c>
      <c r="N418" s="13"/>
      <c r="O418" s="12">
        <f t="shared" si="124"/>
        <v>0</v>
      </c>
      <c r="P418" s="13"/>
      <c r="Q418" s="12">
        <f t="shared" si="125"/>
        <v>0</v>
      </c>
      <c r="R418" s="13"/>
      <c r="S418" s="12">
        <f>$H418*U418/100</f>
        <v>0</v>
      </c>
      <c r="T418" s="13"/>
      <c r="U418" s="33">
        <v>2.88717425040663</v>
      </c>
      <c r="V418" s="13"/>
      <c r="W418" s="14"/>
      <c r="X418" s="13"/>
      <c r="Y418" s="15"/>
    </row>
    <row r="419" spans="2:26" x14ac:dyDescent="0.3">
      <c r="B419" s="81">
        <f>MAX(B$334:B418)+1</f>
        <v>221</v>
      </c>
      <c r="C419" s="83"/>
      <c r="D419" s="18" t="s">
        <v>125</v>
      </c>
      <c r="E419" s="81"/>
      <c r="F419" s="11" t="s">
        <v>39</v>
      </c>
      <c r="G419" s="81"/>
      <c r="H419" s="12">
        <v>0</v>
      </c>
      <c r="I419" s="86"/>
      <c r="J419" s="12">
        <f>$H419*K419/100</f>
        <v>0</v>
      </c>
      <c r="K419" s="33">
        <v>0</v>
      </c>
      <c r="L419" s="88"/>
      <c r="M419" s="12">
        <f t="shared" si="123"/>
        <v>0</v>
      </c>
      <c r="N419" s="13"/>
      <c r="O419" s="12">
        <f t="shared" si="124"/>
        <v>0</v>
      </c>
      <c r="P419" s="13"/>
      <c r="Q419" s="12">
        <f t="shared" si="125"/>
        <v>0</v>
      </c>
      <c r="R419" s="13"/>
      <c r="S419" s="12">
        <f>$H419*U419/100</f>
        <v>0</v>
      </c>
      <c r="T419" s="13"/>
      <c r="U419" s="33">
        <v>2.2324387540144155</v>
      </c>
      <c r="V419" s="13"/>
      <c r="W419" s="14"/>
      <c r="X419" s="13"/>
      <c r="Y419" s="15"/>
    </row>
    <row r="420" spans="2:26" x14ac:dyDescent="0.3">
      <c r="B420" s="81">
        <f>MAX(B$334:B419)+1</f>
        <v>222</v>
      </c>
      <c r="D420" s="10" t="s">
        <v>127</v>
      </c>
      <c r="E420" s="81"/>
      <c r="F420" s="11"/>
      <c r="G420" s="81"/>
      <c r="H420" s="89">
        <f>SUM(H411:H419)</f>
        <v>0</v>
      </c>
      <c r="I420" s="86"/>
      <c r="J420" s="89">
        <f>SUM(J408:J419)</f>
        <v>0</v>
      </c>
      <c r="K420" s="19"/>
      <c r="L420" s="88"/>
      <c r="M420" s="89">
        <f>SUM(M408:M419)</f>
        <v>0</v>
      </c>
      <c r="N420" s="13"/>
      <c r="O420" s="89">
        <f>SUM(O408:O419)</f>
        <v>0</v>
      </c>
      <c r="P420" s="13"/>
      <c r="Q420" s="89">
        <f>SUM(Q408:Q419)</f>
        <v>0</v>
      </c>
      <c r="R420" s="13"/>
      <c r="S420" s="89">
        <f>SUM(S408:S419)</f>
        <v>0</v>
      </c>
      <c r="T420" s="13"/>
      <c r="U420" s="19"/>
      <c r="V420" s="13"/>
      <c r="W420" s="90"/>
      <c r="X420" s="13"/>
      <c r="Y420" s="20"/>
    </row>
    <row r="421" spans="2:26" x14ac:dyDescent="0.3">
      <c r="B421" s="81"/>
      <c r="C421" s="83"/>
      <c r="D421" s="10"/>
      <c r="E421" s="81"/>
      <c r="F421" s="91"/>
      <c r="G421" s="81"/>
      <c r="H421" s="12"/>
      <c r="I421" s="86"/>
      <c r="J421" s="12"/>
      <c r="K421" s="33"/>
      <c r="L421" s="88"/>
      <c r="M421" s="12"/>
      <c r="N421" s="13"/>
      <c r="O421" s="12"/>
      <c r="P421" s="13"/>
      <c r="Q421" s="12"/>
      <c r="R421" s="13"/>
      <c r="S421" s="12"/>
      <c r="T421" s="13"/>
      <c r="U421" s="22"/>
      <c r="V421" s="13"/>
      <c r="W421" s="14"/>
      <c r="X421" s="13"/>
      <c r="Y421" s="23"/>
    </row>
    <row r="422" spans="2:26" x14ac:dyDescent="0.3">
      <c r="B422" s="81"/>
      <c r="C422" s="83"/>
      <c r="D422" s="10" t="s">
        <v>128</v>
      </c>
      <c r="E422" s="81"/>
      <c r="F422" s="11"/>
      <c r="G422" s="81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24"/>
    </row>
    <row r="423" spans="2:26" x14ac:dyDescent="0.3">
      <c r="B423" s="81">
        <f>MAX(B$334:B422)+1</f>
        <v>223</v>
      </c>
      <c r="C423" s="83"/>
      <c r="D423" s="18" t="s">
        <v>129</v>
      </c>
      <c r="E423" s="81"/>
      <c r="F423" s="11" t="s">
        <v>130</v>
      </c>
      <c r="G423" s="81"/>
      <c r="H423" s="12">
        <v>0</v>
      </c>
      <c r="I423" s="86"/>
      <c r="J423" s="12">
        <f>$H423*K423/1000</f>
        <v>0</v>
      </c>
      <c r="K423" s="53">
        <v>18.161000000000001</v>
      </c>
      <c r="L423" s="88"/>
      <c r="M423" s="12">
        <f t="shared" ref="M423:M424" si="126">J423-O423</f>
        <v>0</v>
      </c>
      <c r="N423" s="13"/>
      <c r="O423" s="12">
        <f t="shared" ref="O423:O424" si="127">S423</f>
        <v>0</v>
      </c>
      <c r="P423" s="13"/>
      <c r="Q423" s="12">
        <f t="shared" ref="Q423:Q424" si="128">S423-O423</f>
        <v>0</v>
      </c>
      <c r="R423" s="13"/>
      <c r="S423" s="12">
        <f>$H423*U423/1000</f>
        <v>0</v>
      </c>
      <c r="T423" s="13"/>
      <c r="U423" s="53">
        <v>18.55556040059021</v>
      </c>
      <c r="V423" s="13"/>
      <c r="W423" s="14"/>
      <c r="X423" s="13"/>
      <c r="Y423" s="15"/>
    </row>
    <row r="424" spans="2:26" x14ac:dyDescent="0.3">
      <c r="B424" s="81">
        <f>MAX(B$334:B423)+1</f>
        <v>224</v>
      </c>
      <c r="C424" s="83"/>
      <c r="D424" s="18" t="s">
        <v>131</v>
      </c>
      <c r="E424" s="81"/>
      <c r="F424" s="11" t="s">
        <v>132</v>
      </c>
      <c r="G424" s="81"/>
      <c r="H424" s="12">
        <v>0</v>
      </c>
      <c r="I424" s="86"/>
      <c r="J424" s="12">
        <f>$H424*K424/1000</f>
        <v>0</v>
      </c>
      <c r="K424" s="53">
        <v>0.23400000000000001</v>
      </c>
      <c r="L424" s="88"/>
      <c r="M424" s="12">
        <f t="shared" si="126"/>
        <v>0</v>
      </c>
      <c r="N424" s="13"/>
      <c r="O424" s="12">
        <f t="shared" si="127"/>
        <v>0</v>
      </c>
      <c r="P424" s="13"/>
      <c r="Q424" s="12">
        <f t="shared" si="128"/>
        <v>0</v>
      </c>
      <c r="R424" s="13"/>
      <c r="S424" s="12">
        <f>$H424*U424/1000</f>
        <v>0</v>
      </c>
      <c r="T424" s="13"/>
      <c r="U424" s="53">
        <v>7.3952955416390659E-2</v>
      </c>
      <c r="V424" s="13"/>
      <c r="W424" s="14"/>
      <c r="X424" s="13"/>
      <c r="Y424" s="15"/>
    </row>
    <row r="425" spans="2:26" x14ac:dyDescent="0.3">
      <c r="B425" s="81">
        <f>MAX(B$334:B424)+1</f>
        <v>225</v>
      </c>
      <c r="C425" s="83"/>
      <c r="D425" s="10" t="s">
        <v>128</v>
      </c>
      <c r="E425" s="81"/>
      <c r="F425" s="11"/>
      <c r="G425" s="81"/>
      <c r="H425" s="89">
        <f>H424</f>
        <v>0</v>
      </c>
      <c r="I425" s="86"/>
      <c r="J425" s="89">
        <f>SUM(J423:J424)</f>
        <v>0</v>
      </c>
      <c r="K425" s="36"/>
      <c r="L425" s="88"/>
      <c r="M425" s="89">
        <f>SUM(M423:M424)</f>
        <v>0</v>
      </c>
      <c r="N425" s="13"/>
      <c r="O425" s="89">
        <f>SUM(O423:O424)</f>
        <v>0</v>
      </c>
      <c r="P425" s="13"/>
      <c r="Q425" s="89">
        <f>SUM(Q423:Q424)</f>
        <v>0</v>
      </c>
      <c r="R425" s="13"/>
      <c r="S425" s="89">
        <f>SUM(S423:S424)</f>
        <v>0</v>
      </c>
      <c r="T425" s="13"/>
      <c r="U425" s="36"/>
      <c r="V425" s="13"/>
      <c r="W425" s="90"/>
      <c r="X425" s="13"/>
      <c r="Y425" s="20"/>
    </row>
    <row r="426" spans="2:26" x14ac:dyDescent="0.3">
      <c r="B426" s="81"/>
      <c r="C426" s="83"/>
      <c r="D426" s="10"/>
      <c r="E426" s="81"/>
      <c r="F426" s="11"/>
      <c r="G426" s="81"/>
      <c r="H426" s="12"/>
      <c r="I426" s="86"/>
      <c r="J426" s="12"/>
      <c r="K426" s="33"/>
      <c r="L426" s="88"/>
      <c r="M426" s="12"/>
      <c r="N426" s="13"/>
      <c r="O426" s="12"/>
      <c r="P426" s="13"/>
      <c r="Q426" s="12"/>
      <c r="R426" s="13"/>
      <c r="S426" s="12"/>
      <c r="T426" s="13"/>
      <c r="U426" s="33"/>
      <c r="V426" s="13"/>
      <c r="W426" s="14"/>
      <c r="X426" s="13"/>
      <c r="Y426" s="15"/>
    </row>
    <row r="427" spans="2:26" ht="12.9" thickBot="1" x14ac:dyDescent="0.35">
      <c r="B427" s="81">
        <f>MAX(B$334:B426)+1</f>
        <v>226</v>
      </c>
      <c r="C427" s="83"/>
      <c r="D427" s="10" t="s">
        <v>63</v>
      </c>
      <c r="E427" s="81"/>
      <c r="F427" s="11"/>
      <c r="G427" s="81"/>
      <c r="H427" s="93">
        <f>H405</f>
        <v>1076377.9679700001</v>
      </c>
      <c r="I427" s="86"/>
      <c r="J427" s="93">
        <f>SUM(J405,J420,J425)</f>
        <v>11788.66861021882</v>
      </c>
      <c r="K427" s="25">
        <f>J427/$H427*100</f>
        <v>1.0952164537938018</v>
      </c>
      <c r="L427" s="88"/>
      <c r="M427" s="93">
        <f>SUM(M405,M420,M425)</f>
        <v>3364.5008966811179</v>
      </c>
      <c r="N427" s="13"/>
      <c r="O427" s="93">
        <f>SUM(O405,O420,O425)</f>
        <v>8424.1677135377013</v>
      </c>
      <c r="P427" s="13"/>
      <c r="Q427" s="93">
        <f>SUM(Q405,Q420,Q425)</f>
        <v>0</v>
      </c>
      <c r="R427" s="13"/>
      <c r="S427" s="93">
        <f>SUM(S405,S420,S425)</f>
        <v>8424.1677135377013</v>
      </c>
      <c r="T427" s="13"/>
      <c r="U427" s="25">
        <f>S427/$H427*100</f>
        <v>0.78264029590138284</v>
      </c>
      <c r="V427" s="13"/>
      <c r="W427" s="94">
        <f>S427/O427</f>
        <v>1</v>
      </c>
      <c r="X427" s="13"/>
      <c r="Y427" s="26">
        <f>U427/K427-1</f>
        <v>-0.28540126183245618</v>
      </c>
    </row>
    <row r="428" spans="2:26" ht="12.9" thickTop="1" x14ac:dyDescent="0.3">
      <c r="B428" s="81"/>
      <c r="C428" s="83"/>
      <c r="D428" s="10"/>
      <c r="E428" s="81"/>
      <c r="F428" s="11"/>
      <c r="G428" s="81"/>
      <c r="H428" s="88"/>
      <c r="I428" s="86"/>
      <c r="J428" s="88"/>
      <c r="K428" s="33"/>
      <c r="L428" s="88"/>
      <c r="M428" s="88"/>
      <c r="N428" s="13"/>
      <c r="O428" s="88"/>
      <c r="P428" s="13"/>
      <c r="Q428" s="88"/>
      <c r="R428" s="13"/>
      <c r="S428" s="88"/>
      <c r="T428" s="13"/>
      <c r="U428" s="33"/>
      <c r="V428" s="13"/>
      <c r="W428" s="92"/>
      <c r="X428" s="13"/>
      <c r="Y428" s="15"/>
    </row>
    <row r="429" spans="2:26" x14ac:dyDescent="0.3">
      <c r="B429" s="81"/>
      <c r="C429" s="83"/>
      <c r="D429" s="100" t="s">
        <v>138</v>
      </c>
      <c r="E429" s="81"/>
      <c r="F429" s="91"/>
      <c r="G429" s="81"/>
      <c r="H429" s="88"/>
      <c r="I429" s="86"/>
      <c r="J429" s="88"/>
      <c r="K429" s="22"/>
      <c r="L429" s="88"/>
      <c r="M429" s="88"/>
      <c r="N429" s="13"/>
      <c r="O429" s="88"/>
      <c r="P429" s="13"/>
      <c r="Q429" s="88"/>
      <c r="R429" s="13"/>
      <c r="S429" s="88"/>
      <c r="T429" s="13"/>
      <c r="U429" s="22"/>
      <c r="V429" s="13"/>
      <c r="W429" s="92"/>
      <c r="X429" s="13"/>
      <c r="Y429" s="23"/>
    </row>
    <row r="430" spans="2:26" x14ac:dyDescent="0.3">
      <c r="B430" s="81"/>
      <c r="C430" s="83"/>
      <c r="D430" s="3" t="s">
        <v>139</v>
      </c>
      <c r="E430" s="81"/>
      <c r="F430" s="7"/>
      <c r="G430" s="81"/>
      <c r="H430" s="27"/>
      <c r="I430" s="86"/>
      <c r="J430" s="27"/>
      <c r="K430" s="86"/>
      <c r="L430" s="86"/>
      <c r="M430" s="28"/>
      <c r="N430" s="86"/>
      <c r="O430" s="29"/>
      <c r="P430" s="86"/>
      <c r="Q430" s="86"/>
      <c r="R430" s="86"/>
      <c r="S430" s="86"/>
      <c r="T430" s="86"/>
      <c r="U430" s="86"/>
      <c r="V430" s="86"/>
      <c r="W430" s="86"/>
      <c r="X430" s="86"/>
      <c r="Y430" s="95"/>
      <c r="Z430" s="81"/>
    </row>
    <row r="431" spans="2:26" x14ac:dyDescent="0.3">
      <c r="B431" s="81">
        <f>MAX(B$66:B430)+1</f>
        <v>227</v>
      </c>
      <c r="C431" s="83"/>
      <c r="D431" s="10" t="s">
        <v>35</v>
      </c>
      <c r="E431" s="81"/>
      <c r="F431" s="11" t="s">
        <v>36</v>
      </c>
      <c r="G431" s="81"/>
      <c r="H431" s="12">
        <v>14462383</v>
      </c>
      <c r="I431" s="86"/>
      <c r="J431" s="12">
        <f>$H431*K431/1000</f>
        <v>373852.60055000003</v>
      </c>
      <c r="K431" s="87">
        <v>25.85</v>
      </c>
      <c r="L431" s="88"/>
      <c r="M431" s="12">
        <f>J431-O431</f>
        <v>-62817.26755302446</v>
      </c>
      <c r="N431" s="13"/>
      <c r="O431" s="12">
        <v>436669.86810302449</v>
      </c>
      <c r="P431" s="13"/>
      <c r="Q431" s="12">
        <f>S431-O431</f>
        <v>-62817.26755302446</v>
      </c>
      <c r="R431" s="13"/>
      <c r="S431" s="12">
        <f>$H431*U431/1000</f>
        <v>373852.60055000003</v>
      </c>
      <c r="T431" s="13"/>
      <c r="U431" s="87">
        <v>25.85</v>
      </c>
      <c r="V431" s="13"/>
      <c r="W431" s="14">
        <f>S431/O431</f>
        <v>0.8561447167721592</v>
      </c>
      <c r="X431" s="13"/>
      <c r="Y431" s="15">
        <f t="shared" ref="Y431" si="129">U431/K431-1</f>
        <v>0</v>
      </c>
    </row>
    <row r="432" spans="2:26" x14ac:dyDescent="0.3">
      <c r="B432" s="81"/>
      <c r="C432" s="83"/>
      <c r="D432" s="10" t="s">
        <v>37</v>
      </c>
      <c r="E432" s="81"/>
      <c r="F432" s="11"/>
      <c r="G432" s="81"/>
      <c r="H432" s="12"/>
      <c r="I432" s="86"/>
      <c r="J432" s="12"/>
      <c r="K432" s="33"/>
      <c r="L432" s="88"/>
      <c r="M432" s="12"/>
      <c r="N432" s="13"/>
      <c r="O432" s="12"/>
      <c r="P432" s="13"/>
      <c r="Q432" s="12"/>
      <c r="R432" s="13"/>
      <c r="S432" s="12"/>
      <c r="T432" s="13"/>
      <c r="U432" s="33"/>
      <c r="V432" s="13"/>
      <c r="W432" s="14"/>
      <c r="X432" s="13"/>
      <c r="Y432" s="15"/>
    </row>
    <row r="433" spans="2:26" x14ac:dyDescent="0.3">
      <c r="B433" s="81">
        <f>MAX(B$431:B432)+1</f>
        <v>228</v>
      </c>
      <c r="C433" s="83"/>
      <c r="D433" s="52" t="s">
        <v>140</v>
      </c>
      <c r="E433" s="81"/>
      <c r="F433" s="11" t="s">
        <v>39</v>
      </c>
      <c r="G433" s="81"/>
      <c r="H433" s="12">
        <v>1048763.6204963804</v>
      </c>
      <c r="I433" s="86"/>
      <c r="J433" s="12">
        <f>$H433*K433/100</f>
        <v>70933.127472272681</v>
      </c>
      <c r="K433" s="33">
        <v>6.7634999999999996</v>
      </c>
      <c r="L433" s="88"/>
      <c r="M433" s="12">
        <f t="shared" ref="M433:M435" si="130">J433-O433</f>
        <v>-2102.2847651930206</v>
      </c>
      <c r="N433" s="13"/>
      <c r="O433" s="12">
        <v>73035.412237465702</v>
      </c>
      <c r="P433" s="13"/>
      <c r="Q433" s="12">
        <f t="shared" ref="Q433:Q435" si="131">S433-O433</f>
        <v>20856.547429316342</v>
      </c>
      <c r="R433" s="13"/>
      <c r="S433" s="12">
        <f>$H433*U433/100</f>
        <v>93891.959666782044</v>
      </c>
      <c r="T433" s="13"/>
      <c r="U433" s="33">
        <v>8.9526331607824954</v>
      </c>
      <c r="V433" s="13"/>
      <c r="W433" s="14"/>
      <c r="X433" s="13"/>
      <c r="Y433" s="15"/>
    </row>
    <row r="434" spans="2:26" x14ac:dyDescent="0.3">
      <c r="B434" s="81">
        <f>MAX(B$431:B433)+1</f>
        <v>229</v>
      </c>
      <c r="C434" s="83"/>
      <c r="D434" s="52" t="s">
        <v>141</v>
      </c>
      <c r="E434" s="81"/>
      <c r="F434" s="11" t="s">
        <v>39</v>
      </c>
      <c r="G434" s="81"/>
      <c r="H434" s="12">
        <v>938018.17217543162</v>
      </c>
      <c r="I434" s="86"/>
      <c r="J434" s="12">
        <f>$H434*K434/100</f>
        <v>60908.333973867295</v>
      </c>
      <c r="K434" s="33">
        <v>6.4932999999999996</v>
      </c>
      <c r="L434" s="88"/>
      <c r="M434" s="12">
        <f t="shared" si="130"/>
        <v>-1546.8433056353315</v>
      </c>
      <c r="N434" s="13"/>
      <c r="O434" s="12">
        <v>62455.177279502626</v>
      </c>
      <c r="P434" s="13"/>
      <c r="Q434" s="12">
        <f t="shared" si="131"/>
        <v>17858.164650580635</v>
      </c>
      <c r="R434" s="13"/>
      <c r="S434" s="12">
        <f>$H434*U434/100</f>
        <v>80313.341930083261</v>
      </c>
      <c r="T434" s="13"/>
      <c r="U434" s="33">
        <v>8.5620240963799539</v>
      </c>
      <c r="V434" s="13"/>
      <c r="W434" s="14"/>
      <c r="X434" s="13"/>
      <c r="Y434" s="15"/>
    </row>
    <row r="435" spans="2:26" x14ac:dyDescent="0.3">
      <c r="B435" s="81">
        <f>MAX(B$431:B434)+1</f>
        <v>230</v>
      </c>
      <c r="C435" s="83"/>
      <c r="D435" s="52" t="s">
        <v>142</v>
      </c>
      <c r="E435" s="81"/>
      <c r="F435" s="11" t="s">
        <v>39</v>
      </c>
      <c r="G435" s="81"/>
      <c r="H435" s="12">
        <v>1273991.6437615608</v>
      </c>
      <c r="I435" s="86"/>
      <c r="J435" s="12">
        <f>$H435*K435/100</f>
        <v>73836.733697488758</v>
      </c>
      <c r="K435" s="33">
        <v>5.7956999999999992</v>
      </c>
      <c r="L435" s="88"/>
      <c r="M435" s="12">
        <f t="shared" si="130"/>
        <v>-931.638852373595</v>
      </c>
      <c r="N435" s="13"/>
      <c r="O435" s="12">
        <v>74768.372549862353</v>
      </c>
      <c r="P435" s="13"/>
      <c r="Q435" s="12">
        <f t="shared" si="131"/>
        <v>21463.261803263755</v>
      </c>
      <c r="R435" s="13"/>
      <c r="S435" s="12">
        <f>$H435*U435/100</f>
        <v>96231.634353126108</v>
      </c>
      <c r="T435" s="13"/>
      <c r="U435" s="33">
        <v>7.5535530255908601</v>
      </c>
      <c r="V435" s="13"/>
      <c r="W435" s="14"/>
      <c r="X435" s="13"/>
      <c r="Y435" s="15"/>
    </row>
    <row r="436" spans="2:26" x14ac:dyDescent="0.3">
      <c r="B436" s="81">
        <f>MAX(B$431:B435)+1</f>
        <v>231</v>
      </c>
      <c r="C436" s="83"/>
      <c r="D436" s="10" t="s">
        <v>37</v>
      </c>
      <c r="E436" s="81"/>
      <c r="F436" s="11"/>
      <c r="G436" s="81"/>
      <c r="H436" s="89">
        <f>SUM(H433:H435)</f>
        <v>3260773.436433373</v>
      </c>
      <c r="I436" s="86"/>
      <c r="J436" s="89">
        <f>SUM(J433:J435)</f>
        <v>205678.19514362872</v>
      </c>
      <c r="K436" s="19">
        <f>J436/$H436*100</f>
        <v>6.3076505974177426</v>
      </c>
      <c r="L436" s="88"/>
      <c r="M436" s="89">
        <f>SUM(M433:M435)</f>
        <v>-4580.7669232019471</v>
      </c>
      <c r="N436" s="13"/>
      <c r="O436" s="89">
        <f>SUM(O433:O435)</f>
        <v>210258.96206683066</v>
      </c>
      <c r="P436" s="13"/>
      <c r="Q436" s="89">
        <f>SUM(Q433:Q435)</f>
        <v>60177.973883160732</v>
      </c>
      <c r="R436" s="13"/>
      <c r="S436" s="89">
        <f>SUM(S433:S435)</f>
        <v>270436.9359499914</v>
      </c>
      <c r="T436" s="13"/>
      <c r="U436" s="19">
        <f>S436/$H436*100</f>
        <v>8.2936438615555801</v>
      </c>
      <c r="V436" s="13"/>
      <c r="W436" s="90">
        <f>S436/O436</f>
        <v>1.2862088411909558</v>
      </c>
      <c r="X436" s="13"/>
      <c r="Y436" s="20">
        <f>U436/K436-1</f>
        <v>0.31485467266542533</v>
      </c>
    </row>
    <row r="437" spans="2:26" x14ac:dyDescent="0.3">
      <c r="B437" s="81"/>
      <c r="C437" s="83"/>
      <c r="D437" s="10"/>
      <c r="E437" s="81"/>
      <c r="F437" s="11"/>
      <c r="G437" s="81"/>
      <c r="H437" s="12"/>
      <c r="I437" s="86"/>
      <c r="J437" s="12"/>
      <c r="K437" s="33"/>
      <c r="L437" s="88"/>
      <c r="M437" s="12"/>
      <c r="N437" s="13"/>
      <c r="O437" s="12"/>
      <c r="P437" s="13"/>
      <c r="Q437" s="12"/>
      <c r="R437" s="13"/>
      <c r="S437" s="12"/>
      <c r="T437" s="13"/>
      <c r="U437" s="33"/>
      <c r="V437" s="13"/>
      <c r="W437" s="14"/>
      <c r="X437" s="13"/>
      <c r="Y437" s="15"/>
    </row>
    <row r="438" spans="2:26" x14ac:dyDescent="0.3">
      <c r="B438" s="81">
        <f>MAX(B$431:B437)+1</f>
        <v>232</v>
      </c>
      <c r="C438" s="83"/>
      <c r="D438" s="10" t="s">
        <v>43</v>
      </c>
      <c r="E438" s="81"/>
      <c r="F438" s="11"/>
      <c r="G438" s="81"/>
      <c r="H438" s="89">
        <f>H436</f>
        <v>3260773.436433373</v>
      </c>
      <c r="I438" s="86"/>
      <c r="J438" s="89">
        <f>J431+J436</f>
        <v>579530.79569362872</v>
      </c>
      <c r="K438" s="19">
        <f>J438/$H438*100</f>
        <v>17.772801667800579</v>
      </c>
      <c r="L438" s="88"/>
      <c r="M438" s="89">
        <f>M431+M436</f>
        <v>-67398.034476226399</v>
      </c>
      <c r="N438" s="13"/>
      <c r="O438" s="89">
        <f>O431+O436</f>
        <v>646928.83016985515</v>
      </c>
      <c r="P438" s="13"/>
      <c r="Q438" s="89">
        <f>Q431+Q436</f>
        <v>-2639.2936698637277</v>
      </c>
      <c r="R438" s="13"/>
      <c r="S438" s="89">
        <f>S431+S436</f>
        <v>644289.53649999143</v>
      </c>
      <c r="T438" s="13"/>
      <c r="U438" s="19">
        <f>S438/$H438*100</f>
        <v>19.758794931938418</v>
      </c>
      <c r="V438" s="13"/>
      <c r="W438" s="90">
        <f>S438/O438</f>
        <v>0.99592027198854194</v>
      </c>
      <c r="X438" s="13"/>
      <c r="Y438" s="20">
        <f>U438/K438-1</f>
        <v>0.11174339877633988</v>
      </c>
    </row>
    <row r="439" spans="2:26" x14ac:dyDescent="0.3">
      <c r="E439" s="81"/>
      <c r="F439" s="11"/>
      <c r="G439" s="81"/>
      <c r="H439" s="12"/>
      <c r="I439" s="86"/>
      <c r="J439" s="12"/>
      <c r="K439" s="33"/>
      <c r="L439" s="88"/>
      <c r="M439" s="12"/>
      <c r="N439" s="13"/>
      <c r="O439" s="12"/>
      <c r="P439" s="13"/>
      <c r="Q439" s="12"/>
      <c r="R439" s="13"/>
      <c r="S439" s="12"/>
      <c r="T439" s="13"/>
      <c r="U439" s="33"/>
      <c r="V439" s="13"/>
      <c r="W439" s="14"/>
      <c r="X439" s="13"/>
      <c r="Y439" s="15"/>
    </row>
    <row r="440" spans="2:26" x14ac:dyDescent="0.3">
      <c r="B440" s="81"/>
      <c r="C440" s="83"/>
      <c r="D440" s="10" t="s">
        <v>44</v>
      </c>
      <c r="E440" s="81"/>
      <c r="F440" s="91"/>
      <c r="G440" s="81"/>
      <c r="H440" s="12"/>
      <c r="I440" s="86"/>
      <c r="J440" s="12"/>
      <c r="K440" s="33"/>
      <c r="L440" s="88"/>
      <c r="M440" s="12"/>
      <c r="N440" s="13"/>
      <c r="O440" s="12"/>
      <c r="P440" s="13"/>
      <c r="Q440" s="12"/>
      <c r="R440" s="13"/>
      <c r="S440" s="12"/>
      <c r="T440" s="13"/>
      <c r="U440" s="22"/>
      <c r="V440" s="13"/>
      <c r="W440" s="14"/>
      <c r="X440" s="13"/>
      <c r="Y440" s="23"/>
    </row>
    <row r="441" spans="2:26" x14ac:dyDescent="0.3">
      <c r="B441" s="81">
        <f>MAX(B$431:B440)+1</f>
        <v>233</v>
      </c>
      <c r="C441" s="83"/>
      <c r="D441" s="18" t="s">
        <v>45</v>
      </c>
      <c r="E441" s="81"/>
      <c r="F441" s="91" t="s">
        <v>39</v>
      </c>
      <c r="G441" s="81"/>
      <c r="H441" s="12">
        <v>3078925.7362560253</v>
      </c>
      <c r="I441" s="86"/>
      <c r="J441" s="12">
        <f>$H441*K441/100</f>
        <v>0</v>
      </c>
      <c r="K441" s="33">
        <v>0</v>
      </c>
      <c r="L441" s="88"/>
      <c r="M441" s="12">
        <f t="shared" ref="M441:M442" si="132">J441-O441</f>
        <v>-330.15369977098368</v>
      </c>
      <c r="N441" s="13"/>
      <c r="O441" s="12">
        <f>S441</f>
        <v>330.15369977098368</v>
      </c>
      <c r="P441" s="13"/>
      <c r="Q441" s="12">
        <f t="shared" ref="Q441:Q442" si="133">S441-O441</f>
        <v>0</v>
      </c>
      <c r="R441" s="13"/>
      <c r="S441" s="12">
        <f>$H441*U441/100</f>
        <v>330.15369977098368</v>
      </c>
      <c r="T441" s="13"/>
      <c r="U441" s="33">
        <v>1.0723016014424911E-2</v>
      </c>
      <c r="V441" s="13"/>
      <c r="W441" s="92"/>
      <c r="X441" s="13"/>
      <c r="Y441" s="15"/>
    </row>
    <row r="442" spans="2:26" x14ac:dyDescent="0.3">
      <c r="B442" s="81">
        <f>MAX(B$431:B441)+1</f>
        <v>234</v>
      </c>
      <c r="C442" s="83"/>
      <c r="D442" s="18" t="s">
        <v>46</v>
      </c>
      <c r="E442" s="81"/>
      <c r="F442" s="91" t="s">
        <v>39</v>
      </c>
      <c r="G442" s="81"/>
      <c r="H442" s="12">
        <f>H436-H441</f>
        <v>181847.70017734775</v>
      </c>
      <c r="I442" s="86"/>
      <c r="J442" s="12">
        <f>$H442*K442/100</f>
        <v>0</v>
      </c>
      <c r="K442" s="33">
        <v>0</v>
      </c>
      <c r="L442" s="88"/>
      <c r="M442" s="12">
        <f t="shared" si="132"/>
        <v>-19.499558011880396</v>
      </c>
      <c r="N442" s="88"/>
      <c r="O442" s="12">
        <f>S442</f>
        <v>19.499558011880396</v>
      </c>
      <c r="P442" s="88"/>
      <c r="Q442" s="12">
        <f t="shared" si="133"/>
        <v>0</v>
      </c>
      <c r="R442" s="88"/>
      <c r="S442" s="12">
        <f>$H442*U442/100</f>
        <v>19.499558011880396</v>
      </c>
      <c r="T442" s="88"/>
      <c r="U442" s="33">
        <v>1.0723016014424911E-2</v>
      </c>
      <c r="V442" s="88"/>
      <c r="W442" s="92"/>
      <c r="X442" s="88"/>
      <c r="Y442" s="15"/>
      <c r="Z442" s="81"/>
    </row>
    <row r="443" spans="2:26" x14ac:dyDescent="0.3">
      <c r="B443" s="81">
        <f>MAX(B$431:B442)+1</f>
        <v>235</v>
      </c>
      <c r="C443" s="83"/>
      <c r="D443" s="10" t="s">
        <v>44</v>
      </c>
      <c r="E443" s="81"/>
      <c r="F443" s="11"/>
      <c r="G443" s="81"/>
      <c r="H443" s="89">
        <f>SUM(H441:H442)</f>
        <v>3260773.436433373</v>
      </c>
      <c r="I443" s="86"/>
      <c r="J443" s="89">
        <f>SUM(J441:J442)</f>
        <v>0</v>
      </c>
      <c r="K443" s="19">
        <f>J443/$H443*100</f>
        <v>0</v>
      </c>
      <c r="L443" s="88"/>
      <c r="M443" s="89">
        <f>SUM(M441:M442)</f>
        <v>-349.6532577828641</v>
      </c>
      <c r="N443" s="13"/>
      <c r="O443" s="89">
        <f>SUM(O441:O442)</f>
        <v>349.6532577828641</v>
      </c>
      <c r="P443" s="13"/>
      <c r="Q443" s="89">
        <f>SUM(Q441:Q442)</f>
        <v>0</v>
      </c>
      <c r="R443" s="13"/>
      <c r="S443" s="89">
        <f>SUM(S441:S442)</f>
        <v>349.6532577828641</v>
      </c>
      <c r="T443" s="13"/>
      <c r="U443" s="19">
        <f>S443/$H443*100</f>
        <v>1.0723016014424911E-2</v>
      </c>
      <c r="V443" s="13"/>
      <c r="W443" s="90">
        <f>S443/O443</f>
        <v>1</v>
      </c>
      <c r="X443" s="13"/>
      <c r="Y443" s="20"/>
    </row>
    <row r="444" spans="2:26" x14ac:dyDescent="0.3"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24"/>
    </row>
    <row r="445" spans="2:26" x14ac:dyDescent="0.3">
      <c r="B445" s="81">
        <f>MAX(B$431:B444)+1</f>
        <v>236</v>
      </c>
      <c r="C445" s="83"/>
      <c r="D445" s="10" t="s">
        <v>49</v>
      </c>
      <c r="E445" s="81"/>
      <c r="F445" s="11" t="s">
        <v>39</v>
      </c>
      <c r="G445" s="81"/>
      <c r="H445" s="12">
        <f>H441</f>
        <v>3078925.7362560253</v>
      </c>
      <c r="I445" s="86"/>
      <c r="J445" s="12">
        <f>$H445*K445/100</f>
        <v>500117.62475835928</v>
      </c>
      <c r="K445" s="33">
        <v>16.243250652953471</v>
      </c>
      <c r="L445" s="88"/>
      <c r="M445" s="12">
        <f>J445-O445</f>
        <v>10447.025182645011</v>
      </c>
      <c r="N445" s="13"/>
      <c r="O445" s="12">
        <f>S445</f>
        <v>489670.59957571427</v>
      </c>
      <c r="P445" s="13"/>
      <c r="Q445" s="12">
        <f>S445-O445</f>
        <v>0</v>
      </c>
      <c r="R445" s="13"/>
      <c r="S445" s="12">
        <f>$H445*U445/100</f>
        <v>489670.59957571427</v>
      </c>
      <c r="T445" s="13"/>
      <c r="U445" s="33">
        <v>15.903943177634218</v>
      </c>
      <c r="V445" s="13"/>
      <c r="W445" s="14">
        <f>S445/O445</f>
        <v>1</v>
      </c>
      <c r="X445" s="13"/>
      <c r="Y445" s="15">
        <f>U445/K445-1</f>
        <v>-2.0889136206092895E-2</v>
      </c>
    </row>
    <row r="446" spans="2:26" x14ac:dyDescent="0.3">
      <c r="B446" s="81"/>
      <c r="C446" s="83"/>
      <c r="D446" s="10"/>
      <c r="E446" s="81"/>
      <c r="F446" s="11"/>
      <c r="G446" s="81"/>
      <c r="H446" s="12"/>
      <c r="I446" s="86"/>
      <c r="J446" s="12"/>
      <c r="K446" s="33"/>
      <c r="L446" s="88"/>
      <c r="M446" s="12"/>
      <c r="N446" s="13"/>
      <c r="O446" s="12"/>
      <c r="P446" s="13"/>
      <c r="Q446" s="12"/>
      <c r="R446" s="13"/>
      <c r="S446" s="12"/>
      <c r="T446" s="13"/>
      <c r="U446" s="33"/>
      <c r="V446" s="13"/>
      <c r="W446" s="14"/>
      <c r="X446" s="13"/>
      <c r="Y446" s="15"/>
    </row>
    <row r="447" spans="2:26" ht="12.9" thickBot="1" x14ac:dyDescent="0.35">
      <c r="B447" s="81">
        <f>MAX(B$431:B446)+1</f>
        <v>237</v>
      </c>
      <c r="C447" s="83"/>
      <c r="D447" s="10" t="s">
        <v>143</v>
      </c>
      <c r="E447" s="81"/>
      <c r="F447" s="11"/>
      <c r="G447" s="81"/>
      <c r="H447" s="93">
        <f>H436</f>
        <v>3260773.436433373</v>
      </c>
      <c r="I447" s="86"/>
      <c r="J447" s="93">
        <f>J438+J443+J445</f>
        <v>1079648.420451988</v>
      </c>
      <c r="K447" s="25">
        <f>J447/$H447*100</f>
        <v>33.110194298960714</v>
      </c>
      <c r="L447" s="88"/>
      <c r="M447" s="93">
        <f>M438+M443+M445</f>
        <v>-57300.66255136425</v>
      </c>
      <c r="N447" s="13"/>
      <c r="O447" s="93">
        <f>O438+O443+O445</f>
        <v>1136949.0830033524</v>
      </c>
      <c r="P447" s="13"/>
      <c r="Q447" s="93">
        <f>Q438+Q443+Q445</f>
        <v>-2639.2936698637277</v>
      </c>
      <c r="R447" s="13"/>
      <c r="S447" s="93">
        <f>S438+S443+S445</f>
        <v>1134309.7893334886</v>
      </c>
      <c r="T447" s="13"/>
      <c r="U447" s="25">
        <f>S447/$H447*100</f>
        <v>34.786525695394346</v>
      </c>
      <c r="V447" s="13"/>
      <c r="W447" s="94">
        <f>S447/O447</f>
        <v>0.99767861753061804</v>
      </c>
      <c r="X447" s="13"/>
      <c r="Y447" s="26">
        <f>U447/K447-1</f>
        <v>5.062886014191248E-2</v>
      </c>
    </row>
    <row r="448" spans="2:26" ht="12.9" thickTop="1" x14ac:dyDescent="0.3">
      <c r="B448" s="81"/>
      <c r="C448" s="83"/>
      <c r="E448" s="81"/>
      <c r="F448" s="91"/>
      <c r="G448" s="81"/>
      <c r="H448" s="88"/>
      <c r="I448" s="86"/>
      <c r="J448" s="88"/>
      <c r="K448" s="22"/>
      <c r="L448" s="88"/>
      <c r="M448" s="88"/>
      <c r="N448" s="13"/>
      <c r="O448" s="88"/>
      <c r="P448" s="13"/>
      <c r="Q448" s="88"/>
      <c r="R448" s="13"/>
      <c r="S448" s="88"/>
      <c r="T448" s="13"/>
      <c r="U448" s="22"/>
      <c r="V448" s="13"/>
      <c r="W448" s="92"/>
      <c r="X448" s="13"/>
      <c r="Y448" s="30"/>
    </row>
    <row r="449" spans="2:26" x14ac:dyDescent="0.3">
      <c r="B449" s="123" t="s">
        <v>0</v>
      </c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</row>
    <row r="450" spans="2:26" x14ac:dyDescent="0.3">
      <c r="B450" s="123" t="s">
        <v>59</v>
      </c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</row>
    <row r="451" spans="2:26" x14ac:dyDescent="0.3">
      <c r="B451" s="77"/>
      <c r="C451" s="77"/>
      <c r="D451" s="77"/>
      <c r="E451" s="77"/>
      <c r="F451" s="78"/>
      <c r="G451" s="77"/>
      <c r="H451" s="78"/>
      <c r="I451" s="77"/>
      <c r="J451" s="78"/>
      <c r="K451" s="78"/>
      <c r="L451" s="78"/>
      <c r="M451" s="78"/>
      <c r="N451" s="77"/>
      <c r="O451" s="77"/>
      <c r="P451" s="77"/>
      <c r="Q451" s="77"/>
      <c r="R451" s="77"/>
      <c r="S451" s="77"/>
      <c r="T451" s="77"/>
      <c r="U451" s="77"/>
      <c r="V451" s="77"/>
      <c r="W451" s="5"/>
      <c r="X451" s="77"/>
      <c r="Y451" s="5"/>
    </row>
    <row r="452" spans="2:26" x14ac:dyDescent="0.3">
      <c r="B452" s="78"/>
      <c r="C452" s="78"/>
      <c r="D452" s="78"/>
      <c r="E452" s="78"/>
      <c r="F452" s="77"/>
      <c r="G452" s="78"/>
      <c r="H452" s="77"/>
      <c r="I452" s="78"/>
      <c r="J452" s="79" t="s">
        <v>2</v>
      </c>
      <c r="K452" s="79"/>
      <c r="L452" s="78"/>
      <c r="M452" s="78"/>
      <c r="N452" s="78"/>
      <c r="O452" s="122" t="s">
        <v>3</v>
      </c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3"/>
    </row>
    <row r="453" spans="2:26" ht="37.299999999999997" x14ac:dyDescent="0.3">
      <c r="B453" s="80" t="s">
        <v>4</v>
      </c>
      <c r="C453" s="80"/>
      <c r="D453" s="80"/>
      <c r="E453" s="80"/>
      <c r="F453" s="81" t="s">
        <v>5</v>
      </c>
      <c r="G453" s="80"/>
      <c r="H453" s="6" t="s">
        <v>6</v>
      </c>
      <c r="I453" s="80"/>
      <c r="J453" s="6" t="s">
        <v>7</v>
      </c>
      <c r="K453" s="6" t="s">
        <v>8</v>
      </c>
      <c r="L453" s="80"/>
      <c r="M453" s="6" t="s">
        <v>9</v>
      </c>
      <c r="N453" s="80"/>
      <c r="O453" s="80" t="s">
        <v>10</v>
      </c>
      <c r="P453" s="80"/>
      <c r="Q453" s="6" t="s">
        <v>11</v>
      </c>
      <c r="R453" s="80"/>
      <c r="S453" s="6" t="s">
        <v>7</v>
      </c>
      <c r="T453" s="80"/>
      <c r="U453" s="6" t="s">
        <v>12</v>
      </c>
      <c r="V453" s="80"/>
      <c r="W453" s="80" t="s">
        <v>13</v>
      </c>
      <c r="X453" s="80"/>
      <c r="Y453" s="80" t="s">
        <v>14</v>
      </c>
    </row>
    <row r="454" spans="2:26" ht="14.15" x14ac:dyDescent="0.3">
      <c r="B454" s="82" t="s">
        <v>15</v>
      </c>
      <c r="C454" s="83"/>
      <c r="D454" s="84" t="s">
        <v>16</v>
      </c>
      <c r="E454" s="81"/>
      <c r="F454" s="82" t="s">
        <v>17</v>
      </c>
      <c r="G454" s="81"/>
      <c r="H454" s="82" t="s">
        <v>18</v>
      </c>
      <c r="I454" s="81"/>
      <c r="J454" s="82" t="s">
        <v>19</v>
      </c>
      <c r="K454" s="82" t="s">
        <v>20</v>
      </c>
      <c r="L454" s="81"/>
      <c r="M454" s="82" t="s">
        <v>19</v>
      </c>
      <c r="N454" s="81"/>
      <c r="O454" s="82" t="s">
        <v>19</v>
      </c>
      <c r="P454" s="81"/>
      <c r="Q454" s="82" t="s">
        <v>19</v>
      </c>
      <c r="R454" s="81"/>
      <c r="S454" s="82" t="s">
        <v>19</v>
      </c>
      <c r="T454" s="81"/>
      <c r="U454" s="82" t="s">
        <v>20</v>
      </c>
      <c r="V454" s="81"/>
      <c r="W454" s="82" t="s">
        <v>21</v>
      </c>
      <c r="X454" s="81"/>
      <c r="Y454" s="82" t="s">
        <v>22</v>
      </c>
    </row>
    <row r="455" spans="2:26" s="6" customFormat="1" x14ac:dyDescent="0.3">
      <c r="B455" s="81"/>
      <c r="C455" s="83"/>
      <c r="D455" s="83"/>
      <c r="E455" s="81"/>
      <c r="F455" s="81"/>
      <c r="G455" s="81"/>
      <c r="H455" s="81" t="s">
        <v>23</v>
      </c>
      <c r="I455" s="81"/>
      <c r="J455" s="81" t="s">
        <v>24</v>
      </c>
      <c r="K455" s="81" t="s">
        <v>25</v>
      </c>
      <c r="L455" s="81"/>
      <c r="M455" s="81" t="s">
        <v>26</v>
      </c>
      <c r="N455" s="81"/>
      <c r="O455" s="81" t="s">
        <v>27</v>
      </c>
      <c r="P455" s="81"/>
      <c r="Q455" s="81" t="s">
        <v>28</v>
      </c>
      <c r="R455" s="81"/>
      <c r="S455" s="85" t="s">
        <v>29</v>
      </c>
      <c r="T455" s="81"/>
      <c r="U455" s="85" t="s">
        <v>30</v>
      </c>
      <c r="V455" s="81"/>
      <c r="W455" s="85" t="s">
        <v>31</v>
      </c>
      <c r="X455" s="81"/>
      <c r="Y455" s="85" t="s">
        <v>32</v>
      </c>
      <c r="Z455" s="80"/>
    </row>
    <row r="456" spans="2:26" x14ac:dyDescent="0.3">
      <c r="B456" s="81"/>
      <c r="C456" s="83"/>
      <c r="D456" s="83"/>
      <c r="E456" s="81"/>
      <c r="F456" s="32"/>
      <c r="G456" s="81"/>
      <c r="H456" s="22"/>
      <c r="I456" s="86"/>
      <c r="J456" s="22"/>
      <c r="K456" s="22"/>
      <c r="L456" s="88"/>
      <c r="M456" s="22"/>
      <c r="N456" s="88"/>
      <c r="O456" s="22"/>
      <c r="P456" s="88"/>
      <c r="Q456" s="88"/>
      <c r="R456" s="88"/>
      <c r="S456" s="22"/>
      <c r="T456" s="88"/>
      <c r="U456" s="22"/>
      <c r="V456" s="88"/>
      <c r="W456" s="92"/>
      <c r="X456" s="88"/>
      <c r="Y456" s="22"/>
      <c r="Z456" s="81"/>
    </row>
    <row r="457" spans="2:26" x14ac:dyDescent="0.3">
      <c r="B457" s="81"/>
      <c r="C457" s="83"/>
      <c r="D457" s="3" t="s">
        <v>144</v>
      </c>
      <c r="E457" s="81"/>
      <c r="F457" s="7"/>
      <c r="G457" s="81"/>
      <c r="H457" s="27"/>
      <c r="I457" s="86"/>
      <c r="J457" s="27"/>
      <c r="K457" s="86"/>
      <c r="L457" s="86"/>
      <c r="M457" s="28"/>
      <c r="N457" s="86"/>
      <c r="O457" s="29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1"/>
    </row>
    <row r="458" spans="2:26" x14ac:dyDescent="0.3">
      <c r="B458" s="81">
        <f>MAX(B$431:B457)+1</f>
        <v>238</v>
      </c>
      <c r="C458" s="83"/>
      <c r="D458" s="10" t="s">
        <v>35</v>
      </c>
      <c r="E458" s="81"/>
      <c r="F458" s="11" t="s">
        <v>36</v>
      </c>
      <c r="G458" s="81"/>
      <c r="H458" s="12">
        <v>96924</v>
      </c>
      <c r="I458" s="86"/>
      <c r="J458" s="12">
        <f>$H458*K458/1000</f>
        <v>7623.0726000000004</v>
      </c>
      <c r="K458" s="87">
        <v>78.650000000000006</v>
      </c>
      <c r="L458" s="88"/>
      <c r="M458" s="12">
        <f>J458-O458</f>
        <v>-7991.4327342604875</v>
      </c>
      <c r="N458" s="13"/>
      <c r="O458" s="12">
        <v>15614.505334260488</v>
      </c>
      <c r="P458" s="13"/>
      <c r="Q458" s="12">
        <f>S458-O458</f>
        <v>-7991.4327342604875</v>
      </c>
      <c r="R458" s="13"/>
      <c r="S458" s="12">
        <f>$H458*U458/1000</f>
        <v>7623.0726000000004</v>
      </c>
      <c r="T458" s="13"/>
      <c r="U458" s="87">
        <v>78.650000000000006</v>
      </c>
      <c r="V458" s="13"/>
      <c r="W458" s="14">
        <f>S458/O458</f>
        <v>0.48820455319028738</v>
      </c>
      <c r="X458" s="13"/>
      <c r="Y458" s="15">
        <f t="shared" ref="Y458" si="134">U458/K458-1</f>
        <v>0</v>
      </c>
    </row>
    <row r="459" spans="2:26" x14ac:dyDescent="0.3">
      <c r="B459" s="81"/>
      <c r="C459" s="83"/>
      <c r="D459" s="10" t="s">
        <v>37</v>
      </c>
      <c r="E459" s="81"/>
      <c r="F459" s="11"/>
      <c r="G459" s="81"/>
      <c r="H459" s="12"/>
      <c r="I459" s="86"/>
      <c r="J459" s="12"/>
      <c r="K459" s="33"/>
      <c r="L459" s="88"/>
      <c r="M459" s="12"/>
      <c r="N459" s="13"/>
      <c r="O459" s="12"/>
      <c r="P459" s="13"/>
      <c r="Q459" s="12"/>
      <c r="R459" s="13"/>
      <c r="S459" s="12"/>
      <c r="T459" s="13"/>
      <c r="U459" s="33"/>
      <c r="V459" s="13"/>
      <c r="W459" s="14"/>
      <c r="X459" s="13"/>
      <c r="Y459" s="16"/>
    </row>
    <row r="460" spans="2:26" x14ac:dyDescent="0.3">
      <c r="B460" s="81">
        <f>MAX(B$431:B459)+1</f>
        <v>239</v>
      </c>
      <c r="C460" s="83"/>
      <c r="D460" s="52" t="s">
        <v>145</v>
      </c>
      <c r="E460" s="81"/>
      <c r="F460" s="11" t="s">
        <v>39</v>
      </c>
      <c r="G460" s="81"/>
      <c r="H460" s="12">
        <v>88083.979143433549</v>
      </c>
      <c r="I460" s="86"/>
      <c r="J460" s="12">
        <f>$H460*K460/100</f>
        <v>5967.5134190093368</v>
      </c>
      <c r="K460" s="33">
        <v>6.7747999999999999</v>
      </c>
      <c r="L460" s="88"/>
      <c r="M460" s="12">
        <f t="shared" ref="M460:M463" si="135">J460-O460</f>
        <v>290.74334645902854</v>
      </c>
      <c r="N460" s="13"/>
      <c r="O460" s="12">
        <v>5676.7700725503082</v>
      </c>
      <c r="P460" s="13"/>
      <c r="Q460" s="12">
        <f t="shared" ref="Q460:Q463" si="136">S460-O460</f>
        <v>509.10816303280262</v>
      </c>
      <c r="R460" s="13"/>
      <c r="S460" s="12">
        <f>$H460*U460/100</f>
        <v>6185.8782355831108</v>
      </c>
      <c r="T460" s="13"/>
      <c r="U460" s="33">
        <v>7.0227052589327226</v>
      </c>
      <c r="V460" s="13"/>
      <c r="W460" s="14"/>
      <c r="X460" s="13"/>
      <c r="Y460" s="16"/>
    </row>
    <row r="461" spans="2:26" x14ac:dyDescent="0.3">
      <c r="B461" s="81">
        <f>MAX(B$431:B460)+1</f>
        <v>240</v>
      </c>
      <c r="C461" s="83"/>
      <c r="D461" s="52" t="s">
        <v>146</v>
      </c>
      <c r="E461" s="81"/>
      <c r="F461" s="11" t="s">
        <v>39</v>
      </c>
      <c r="G461" s="81"/>
      <c r="H461" s="12">
        <v>384501.77651436953</v>
      </c>
      <c r="I461" s="86"/>
      <c r="J461" s="12">
        <f>$H461*K461/100</f>
        <v>25651.267016603131</v>
      </c>
      <c r="K461" s="33">
        <v>6.6712999999999996</v>
      </c>
      <c r="L461" s="88"/>
      <c r="M461" s="12">
        <f t="shared" si="135"/>
        <v>1280.503251868784</v>
      </c>
      <c r="N461" s="13"/>
      <c r="O461" s="12">
        <v>24370.763764734347</v>
      </c>
      <c r="P461" s="13"/>
      <c r="Q461" s="12">
        <f t="shared" si="136"/>
        <v>2182.7722682846725</v>
      </c>
      <c r="R461" s="13"/>
      <c r="S461" s="12">
        <f>$H461*U461/100</f>
        <v>26553.53603301902</v>
      </c>
      <c r="T461" s="13"/>
      <c r="U461" s="33">
        <v>6.9059592581691662</v>
      </c>
      <c r="V461" s="13"/>
      <c r="W461" s="14"/>
      <c r="X461" s="13"/>
      <c r="Y461" s="16"/>
    </row>
    <row r="462" spans="2:26" x14ac:dyDescent="0.3">
      <c r="B462" s="81">
        <f>MAX(B$431:B461)+1</f>
        <v>241</v>
      </c>
      <c r="C462" s="83"/>
      <c r="D462" s="52" t="s">
        <v>147</v>
      </c>
      <c r="E462" s="81"/>
      <c r="F462" s="11" t="s">
        <v>39</v>
      </c>
      <c r="G462" s="81"/>
      <c r="H462" s="12">
        <v>367082.51745981642</v>
      </c>
      <c r="I462" s="86"/>
      <c r="J462" s="12">
        <f>$H462*K462/100</f>
        <v>23183.830555209624</v>
      </c>
      <c r="K462" s="33">
        <v>6.3156999999999996</v>
      </c>
      <c r="L462" s="88"/>
      <c r="M462" s="12">
        <f t="shared" si="135"/>
        <v>1259.7485196005618</v>
      </c>
      <c r="N462" s="13"/>
      <c r="O462" s="12">
        <v>21924.082035609063</v>
      </c>
      <c r="P462" s="13"/>
      <c r="Q462" s="12">
        <f t="shared" si="136"/>
        <v>1954.0826310696502</v>
      </c>
      <c r="R462" s="13"/>
      <c r="S462" s="12">
        <f>$H462*U462/100</f>
        <v>23878.164666678713</v>
      </c>
      <c r="T462" s="13"/>
      <c r="U462" s="33">
        <v>6.5048493270433658</v>
      </c>
      <c r="V462" s="13"/>
      <c r="W462" s="14"/>
      <c r="X462" s="13"/>
      <c r="Y462" s="16"/>
    </row>
    <row r="463" spans="2:26" x14ac:dyDescent="0.3">
      <c r="B463" s="81">
        <f>MAX(B$431:B462)+1</f>
        <v>242</v>
      </c>
      <c r="C463" s="83"/>
      <c r="D463" s="52" t="s">
        <v>148</v>
      </c>
      <c r="E463" s="81"/>
      <c r="F463" s="11" t="s">
        <v>39</v>
      </c>
      <c r="G463" s="81"/>
      <c r="H463" s="12">
        <v>481172.99627997837</v>
      </c>
      <c r="I463" s="86"/>
      <c r="J463" s="12">
        <f>$H463*K463/100</f>
        <v>28614.876915774028</v>
      </c>
      <c r="K463" s="33">
        <v>5.9468999999999994</v>
      </c>
      <c r="L463" s="88"/>
      <c r="M463" s="12">
        <f t="shared" si="135"/>
        <v>1701.9313278067275</v>
      </c>
      <c r="N463" s="13"/>
      <c r="O463" s="12">
        <v>26912.945587967301</v>
      </c>
      <c r="P463" s="13"/>
      <c r="Q463" s="12">
        <f t="shared" si="136"/>
        <v>2384.9566409078361</v>
      </c>
      <c r="R463" s="13"/>
      <c r="S463" s="12">
        <f>$H463*U463/100</f>
        <v>29297.902228875137</v>
      </c>
      <c r="T463" s="13"/>
      <c r="U463" s="33">
        <v>6.0888500508926473</v>
      </c>
      <c r="V463" s="13"/>
      <c r="W463" s="14"/>
      <c r="X463" s="13"/>
      <c r="Y463" s="16"/>
    </row>
    <row r="464" spans="2:26" x14ac:dyDescent="0.3">
      <c r="B464" s="81">
        <f>MAX(B$431:B463)+1</f>
        <v>243</v>
      </c>
      <c r="C464" s="83"/>
      <c r="D464" s="10" t="s">
        <v>37</v>
      </c>
      <c r="E464" s="81"/>
      <c r="F464" s="11"/>
      <c r="G464" s="81"/>
      <c r="H464" s="89">
        <f>SUM(H460:H463)</f>
        <v>1320841.269397598</v>
      </c>
      <c r="I464" s="86"/>
      <c r="J464" s="89">
        <f>SUM(J460:J463)</f>
        <v>83417.487906596129</v>
      </c>
      <c r="K464" s="19">
        <f>J464/$H464*100</f>
        <v>6.3154816433499779</v>
      </c>
      <c r="L464" s="88"/>
      <c r="M464" s="89">
        <f>SUM(M460:M463)</f>
        <v>4532.9264457351019</v>
      </c>
      <c r="N464" s="13"/>
      <c r="O464" s="89">
        <f>SUM(O460:O463)</f>
        <v>78884.561460861019</v>
      </c>
      <c r="P464" s="13"/>
      <c r="Q464" s="89">
        <f>SUM(Q460:Q463)</f>
        <v>7030.9197032949614</v>
      </c>
      <c r="R464" s="13"/>
      <c r="S464" s="89">
        <f>SUM(S460:S463)</f>
        <v>85915.481164155979</v>
      </c>
      <c r="T464" s="13"/>
      <c r="U464" s="19">
        <f>S464/$H464*100</f>
        <v>6.504603024959982</v>
      </c>
      <c r="V464" s="13"/>
      <c r="W464" s="90">
        <f>S464/O464</f>
        <v>1.0891292234258461</v>
      </c>
      <c r="X464" s="13"/>
      <c r="Y464" s="20">
        <f>U464/K464-1</f>
        <v>2.9945678301376066E-2</v>
      </c>
    </row>
    <row r="465" spans="2:26" x14ac:dyDescent="0.3">
      <c r="B465" s="81"/>
      <c r="C465" s="83"/>
      <c r="D465" s="10"/>
      <c r="E465" s="81"/>
      <c r="F465" s="11"/>
      <c r="G465" s="81"/>
      <c r="H465" s="12"/>
      <c r="I465" s="86"/>
      <c r="J465" s="12"/>
      <c r="K465" s="33"/>
      <c r="L465" s="88"/>
      <c r="M465" s="12"/>
      <c r="N465" s="13"/>
      <c r="O465" s="12"/>
      <c r="P465" s="13"/>
      <c r="Q465" s="12"/>
      <c r="R465" s="13"/>
      <c r="S465" s="12"/>
      <c r="T465" s="13"/>
      <c r="U465" s="33"/>
      <c r="V465" s="13"/>
      <c r="W465" s="14"/>
      <c r="X465" s="13"/>
      <c r="Y465" s="31"/>
    </row>
    <row r="466" spans="2:26" x14ac:dyDescent="0.3">
      <c r="B466" s="81">
        <f>MAX(B$431:B465)+1</f>
        <v>244</v>
      </c>
      <c r="C466" s="83"/>
      <c r="D466" s="10" t="s">
        <v>43</v>
      </c>
      <c r="E466" s="81"/>
      <c r="F466" s="11"/>
      <c r="G466" s="81"/>
      <c r="H466" s="89">
        <f>H464</f>
        <v>1320841.269397598</v>
      </c>
      <c r="I466" s="86"/>
      <c r="J466" s="89">
        <f>J458+J464</f>
        <v>91040.560506596128</v>
      </c>
      <c r="K466" s="19">
        <f>J466/$H466*100</f>
        <v>6.8926193189070633</v>
      </c>
      <c r="L466" s="88"/>
      <c r="M466" s="89">
        <f>M458+M464</f>
        <v>-3458.5062885253856</v>
      </c>
      <c r="N466" s="13"/>
      <c r="O466" s="89">
        <f>O458+O464</f>
        <v>94499.0667951215</v>
      </c>
      <c r="P466" s="13"/>
      <c r="Q466" s="89">
        <f>Q458+Q464</f>
        <v>-960.51303096552601</v>
      </c>
      <c r="R466" s="13"/>
      <c r="S466" s="89">
        <f>S458+S464</f>
        <v>93538.553764155979</v>
      </c>
      <c r="T466" s="13"/>
      <c r="U466" s="19">
        <f>S466/$H466*100</f>
        <v>7.0817407005170665</v>
      </c>
      <c r="V466" s="13"/>
      <c r="W466" s="90">
        <f>S466/O466</f>
        <v>0.98983574056823276</v>
      </c>
      <c r="X466" s="13"/>
      <c r="Y466" s="20">
        <f>U466/K466-1</f>
        <v>2.7438245587019017E-2</v>
      </c>
    </row>
    <row r="467" spans="2:26" x14ac:dyDescent="0.3">
      <c r="E467" s="81"/>
      <c r="F467" s="11"/>
      <c r="G467" s="81"/>
      <c r="H467" s="12"/>
      <c r="I467" s="86"/>
      <c r="J467" s="12"/>
      <c r="K467" s="33"/>
      <c r="L467" s="88"/>
      <c r="M467" s="12"/>
      <c r="N467" s="13"/>
      <c r="O467" s="12"/>
      <c r="P467" s="13"/>
      <c r="Q467" s="12"/>
      <c r="R467" s="13"/>
      <c r="S467" s="12"/>
      <c r="T467" s="13"/>
      <c r="U467" s="33"/>
      <c r="V467" s="13"/>
      <c r="W467" s="14"/>
      <c r="X467" s="13"/>
      <c r="Y467" s="15"/>
    </row>
    <row r="468" spans="2:26" x14ac:dyDescent="0.3">
      <c r="B468" s="81"/>
      <c r="C468" s="83"/>
      <c r="D468" s="10" t="s">
        <v>44</v>
      </c>
      <c r="E468" s="81"/>
      <c r="F468" s="91"/>
      <c r="G468" s="81"/>
      <c r="H468" s="12"/>
      <c r="I468" s="86"/>
      <c r="J468" s="12"/>
      <c r="K468" s="33"/>
      <c r="L468" s="88"/>
      <c r="M468" s="12"/>
      <c r="N468" s="13"/>
      <c r="O468" s="12"/>
      <c r="P468" s="13"/>
      <c r="Q468" s="12"/>
      <c r="R468" s="13"/>
      <c r="S468" s="12"/>
      <c r="T468" s="13"/>
      <c r="U468" s="22"/>
      <c r="V468" s="13"/>
      <c r="W468" s="14"/>
      <c r="X468" s="13"/>
      <c r="Y468" s="23"/>
    </row>
    <row r="469" spans="2:26" x14ac:dyDescent="0.3">
      <c r="B469" s="81">
        <f>MAX(B$431:B468)+1</f>
        <v>245</v>
      </c>
      <c r="C469" s="83"/>
      <c r="D469" s="18" t="s">
        <v>45</v>
      </c>
      <c r="E469" s="81"/>
      <c r="F469" s="91" t="s">
        <v>39</v>
      </c>
      <c r="G469" s="81"/>
      <c r="H469" s="12">
        <v>689844.15002742561</v>
      </c>
      <c r="I469" s="86"/>
      <c r="J469" s="12">
        <f>$H469*K469/100</f>
        <v>0</v>
      </c>
      <c r="K469" s="33">
        <v>0</v>
      </c>
      <c r="L469" s="88"/>
      <c r="M469" s="12">
        <f t="shared" ref="M469:M470" si="137">J469-O469</f>
        <v>-73.972098682014206</v>
      </c>
      <c r="N469" s="13"/>
      <c r="O469" s="12">
        <f>S469</f>
        <v>73.972098682014206</v>
      </c>
      <c r="P469" s="13"/>
      <c r="Q469" s="12">
        <f t="shared" ref="Q469:Q470" si="138">S469-O469</f>
        <v>0</v>
      </c>
      <c r="R469" s="13"/>
      <c r="S469" s="12">
        <f>$H469*U469/100</f>
        <v>73.972098682014206</v>
      </c>
      <c r="T469" s="13"/>
      <c r="U469" s="33">
        <v>1.0723016014424904E-2</v>
      </c>
      <c r="V469" s="13"/>
      <c r="W469" s="92"/>
      <c r="X469" s="13"/>
      <c r="Y469" s="15"/>
    </row>
    <row r="470" spans="2:26" x14ac:dyDescent="0.3">
      <c r="B470" s="81">
        <f>MAX(B$431:B469)+1</f>
        <v>246</v>
      </c>
      <c r="C470" s="83"/>
      <c r="D470" s="18" t="s">
        <v>46</v>
      </c>
      <c r="E470" s="81"/>
      <c r="F470" s="91" t="s">
        <v>39</v>
      </c>
      <c r="G470" s="81"/>
      <c r="H470" s="12">
        <f>H464-H469</f>
        <v>630997.11937017238</v>
      </c>
      <c r="I470" s="86"/>
      <c r="J470" s="12">
        <f>$H470*K470/100</f>
        <v>0</v>
      </c>
      <c r="K470" s="33">
        <v>0</v>
      </c>
      <c r="L470" s="88"/>
      <c r="M470" s="12">
        <f t="shared" si="137"/>
        <v>-67.661922160623419</v>
      </c>
      <c r="N470" s="88"/>
      <c r="O470" s="12">
        <f>S470</f>
        <v>67.661922160623419</v>
      </c>
      <c r="P470" s="88"/>
      <c r="Q470" s="12">
        <f t="shared" si="138"/>
        <v>0</v>
      </c>
      <c r="R470" s="88"/>
      <c r="S470" s="12">
        <f>$H470*U470/100</f>
        <v>67.661922160623419</v>
      </c>
      <c r="T470" s="88"/>
      <c r="U470" s="33">
        <v>1.0723016014424904E-2</v>
      </c>
      <c r="V470" s="88"/>
      <c r="W470" s="92"/>
      <c r="X470" s="88"/>
      <c r="Y470" s="15"/>
      <c r="Z470" s="81"/>
    </row>
    <row r="471" spans="2:26" x14ac:dyDescent="0.3">
      <c r="B471" s="81">
        <f>MAX(B$431:B470)+1</f>
        <v>247</v>
      </c>
      <c r="C471" s="83"/>
      <c r="D471" s="10" t="s">
        <v>44</v>
      </c>
      <c r="E471" s="81"/>
      <c r="F471" s="11"/>
      <c r="G471" s="81"/>
      <c r="H471" s="89">
        <f>SUM(H469:H470)</f>
        <v>1320841.269397598</v>
      </c>
      <c r="I471" s="86"/>
      <c r="J471" s="89">
        <f>SUM(J469:J470)</f>
        <v>0</v>
      </c>
      <c r="K471" s="19">
        <f>J471/$H471*100</f>
        <v>0</v>
      </c>
      <c r="L471" s="88"/>
      <c r="M471" s="89">
        <f>SUM(M469:M470)</f>
        <v>-141.63402084263763</v>
      </c>
      <c r="N471" s="13"/>
      <c r="O471" s="89">
        <f>SUM(O469:O470)</f>
        <v>141.63402084263763</v>
      </c>
      <c r="P471" s="13"/>
      <c r="Q471" s="89">
        <f>SUM(Q469:Q470)</f>
        <v>0</v>
      </c>
      <c r="R471" s="13"/>
      <c r="S471" s="89">
        <f>SUM(S469:S470)</f>
        <v>141.63402084263763</v>
      </c>
      <c r="T471" s="13"/>
      <c r="U471" s="19">
        <f>S471/$H471*100</f>
        <v>1.0723016014424904E-2</v>
      </c>
      <c r="V471" s="13"/>
      <c r="W471" s="90">
        <f>S471/O471</f>
        <v>1</v>
      </c>
      <c r="X471" s="13"/>
      <c r="Y471" s="20"/>
    </row>
    <row r="472" spans="2:26" x14ac:dyDescent="0.3"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24"/>
    </row>
    <row r="473" spans="2:26" x14ac:dyDescent="0.3">
      <c r="B473" s="81">
        <f>MAX(B$431:B472)+1</f>
        <v>248</v>
      </c>
      <c r="C473" s="83"/>
      <c r="D473" s="10" t="s">
        <v>49</v>
      </c>
      <c r="E473" s="81"/>
      <c r="F473" s="11" t="s">
        <v>39</v>
      </c>
      <c r="G473" s="81"/>
      <c r="H473" s="12">
        <f>H469</f>
        <v>689844.15002742561</v>
      </c>
      <c r="I473" s="86"/>
      <c r="J473" s="12">
        <f>$H473*K473/100</f>
        <v>112053.11440369113</v>
      </c>
      <c r="K473" s="33">
        <v>16.243250652953471</v>
      </c>
      <c r="L473" s="88"/>
      <c r="M473" s="12">
        <f>J473-O473</f>
        <v>2340.6927690956072</v>
      </c>
      <c r="N473" s="13"/>
      <c r="O473" s="12">
        <f>S473</f>
        <v>109712.42163459552</v>
      </c>
      <c r="P473" s="13"/>
      <c r="Q473" s="12">
        <f>S473-O473</f>
        <v>0</v>
      </c>
      <c r="R473" s="13"/>
      <c r="S473" s="12">
        <f>$H473*U473/100</f>
        <v>109712.42163459552</v>
      </c>
      <c r="T473" s="13"/>
      <c r="U473" s="33">
        <v>15.903943177634218</v>
      </c>
      <c r="V473" s="13"/>
      <c r="W473" s="14">
        <f>S473/O473</f>
        <v>1</v>
      </c>
      <c r="X473" s="13"/>
      <c r="Y473" s="15">
        <f>U473/K473-1</f>
        <v>-2.0889136206092895E-2</v>
      </c>
    </row>
    <row r="474" spans="2:26" x14ac:dyDescent="0.3">
      <c r="B474" s="81"/>
      <c r="C474" s="83"/>
      <c r="D474" s="10"/>
      <c r="E474" s="81"/>
      <c r="F474" s="11"/>
      <c r="G474" s="81"/>
      <c r="H474" s="12"/>
      <c r="I474" s="86"/>
      <c r="J474" s="12"/>
      <c r="K474" s="33"/>
      <c r="L474" s="88"/>
      <c r="M474" s="12"/>
      <c r="N474" s="13"/>
      <c r="O474" s="12"/>
      <c r="P474" s="13"/>
      <c r="Q474" s="12"/>
      <c r="R474" s="13"/>
      <c r="S474" s="12"/>
      <c r="T474" s="13"/>
      <c r="U474" s="33"/>
      <c r="V474" s="13"/>
      <c r="W474" s="14"/>
      <c r="X474" s="13"/>
      <c r="Y474" s="15"/>
    </row>
    <row r="475" spans="2:26" ht="12.9" thickBot="1" x14ac:dyDescent="0.35">
      <c r="B475" s="81">
        <f>MAX(B$431:B474)+1</f>
        <v>249</v>
      </c>
      <c r="C475" s="83"/>
      <c r="D475" s="10" t="s">
        <v>149</v>
      </c>
      <c r="E475" s="81"/>
      <c r="F475" s="11"/>
      <c r="G475" s="81"/>
      <c r="H475" s="93">
        <f>H464</f>
        <v>1320841.269397598</v>
      </c>
      <c r="I475" s="86"/>
      <c r="J475" s="93">
        <f>J466+J471+J473</f>
        <v>203093.67491028726</v>
      </c>
      <c r="K475" s="25">
        <f>J475/$H475*100</f>
        <v>15.376084894963427</v>
      </c>
      <c r="L475" s="88"/>
      <c r="M475" s="93">
        <f>M466+M471+M473</f>
        <v>-1259.4475402724161</v>
      </c>
      <c r="N475" s="13"/>
      <c r="O475" s="93">
        <f>O466+O471+O473</f>
        <v>204353.12245055966</v>
      </c>
      <c r="P475" s="13"/>
      <c r="Q475" s="93">
        <f>Q466+Q471+Q473</f>
        <v>-960.51303096552601</v>
      </c>
      <c r="R475" s="13"/>
      <c r="S475" s="93">
        <f>S466+S471+S473</f>
        <v>203392.60941959414</v>
      </c>
      <c r="T475" s="13"/>
      <c r="U475" s="25">
        <f>S475/$H475*100</f>
        <v>15.398717024669914</v>
      </c>
      <c r="V475" s="13"/>
      <c r="W475" s="94">
        <f>S475/O475</f>
        <v>0.99529973890563916</v>
      </c>
      <c r="X475" s="13"/>
      <c r="Y475" s="26">
        <f>U475/K475-1</f>
        <v>1.4719045752602522E-3</v>
      </c>
    </row>
    <row r="476" spans="2:26" ht="12.9" thickTop="1" x14ac:dyDescent="0.3"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24"/>
    </row>
    <row r="477" spans="2:26" x14ac:dyDescent="0.3">
      <c r="B477" s="81"/>
      <c r="C477" s="83"/>
      <c r="D477" s="3" t="s">
        <v>150</v>
      </c>
      <c r="E477" s="81"/>
      <c r="F477" s="7"/>
      <c r="G477" s="81"/>
      <c r="H477" s="27"/>
      <c r="I477" s="86"/>
      <c r="J477" s="27"/>
      <c r="K477" s="86"/>
      <c r="L477" s="86"/>
      <c r="M477" s="28"/>
      <c r="N477" s="86"/>
      <c r="O477" s="29"/>
      <c r="P477" s="86"/>
      <c r="Q477" s="86"/>
      <c r="R477" s="86"/>
      <c r="S477" s="86"/>
      <c r="T477" s="86"/>
      <c r="U477" s="86"/>
      <c r="V477" s="86"/>
      <c r="W477" s="86"/>
      <c r="X477" s="86"/>
      <c r="Y477" s="95"/>
      <c r="Z477" s="81"/>
    </row>
    <row r="478" spans="2:26" x14ac:dyDescent="0.3">
      <c r="B478" s="81"/>
      <c r="C478" s="83"/>
      <c r="D478" s="10" t="s">
        <v>61</v>
      </c>
      <c r="E478" s="81"/>
      <c r="F478" s="11"/>
      <c r="G478" s="81"/>
      <c r="H478" s="12"/>
      <c r="I478" s="86"/>
      <c r="J478" s="12"/>
      <c r="K478" s="33"/>
      <c r="L478" s="88"/>
      <c r="M478" s="12"/>
      <c r="N478" s="13"/>
      <c r="O478" s="12"/>
      <c r="P478" s="13"/>
      <c r="Q478" s="12"/>
      <c r="R478" s="13"/>
      <c r="S478" s="12"/>
      <c r="T478" s="13"/>
      <c r="U478" s="33"/>
      <c r="V478" s="13"/>
      <c r="W478" s="14"/>
      <c r="X478" s="13"/>
      <c r="Y478" s="15"/>
    </row>
    <row r="479" spans="2:26" x14ac:dyDescent="0.3">
      <c r="B479" s="81">
        <f>MAX(B$66:B478)+1</f>
        <v>250</v>
      </c>
      <c r="C479" s="83"/>
      <c r="D479" s="52" t="s">
        <v>151</v>
      </c>
      <c r="E479" s="81"/>
      <c r="F479" s="39" t="s">
        <v>62</v>
      </c>
      <c r="G479" s="81"/>
      <c r="H479" s="12">
        <v>20879.34</v>
      </c>
      <c r="I479" s="86"/>
      <c r="J479" s="12">
        <f>$H479*K479/100</f>
        <v>15008.153109359999</v>
      </c>
      <c r="K479" s="33">
        <v>71.880399999999995</v>
      </c>
      <c r="L479" s="88"/>
      <c r="M479" s="12">
        <f t="shared" ref="M479:M481" si="139">J479-O479</f>
        <v>-5654.9691883337728</v>
      </c>
      <c r="N479" s="13"/>
      <c r="O479" s="12">
        <v>20663.122297693772</v>
      </c>
      <c r="P479" s="13"/>
      <c r="Q479" s="12">
        <f t="shared" ref="Q479:Q481" si="140">S479-O479</f>
        <v>-8265.2489190775104</v>
      </c>
      <c r="R479" s="13"/>
      <c r="S479" s="12">
        <f>$H479*U479/100</f>
        <v>12397.873378616261</v>
      </c>
      <c r="T479" s="13"/>
      <c r="U479" s="33">
        <v>59.378665123592327</v>
      </c>
      <c r="V479" s="13"/>
      <c r="W479" s="14"/>
      <c r="X479" s="13"/>
      <c r="Y479" s="15"/>
    </row>
    <row r="480" spans="2:26" x14ac:dyDescent="0.3">
      <c r="B480" s="81">
        <f>MAX(B$478:B479)+1</f>
        <v>251</v>
      </c>
      <c r="C480" s="83"/>
      <c r="D480" s="52" t="s">
        <v>152</v>
      </c>
      <c r="E480" s="81"/>
      <c r="F480" s="39" t="s">
        <v>62</v>
      </c>
      <c r="G480" s="81"/>
      <c r="H480" s="12">
        <v>20175.232</v>
      </c>
      <c r="I480" s="86"/>
      <c r="J480" s="12">
        <f>$H480*K480/100</f>
        <v>6961.8471310080004</v>
      </c>
      <c r="K480" s="33">
        <v>34.506900000000002</v>
      </c>
      <c r="L480" s="88"/>
      <c r="M480" s="12">
        <f t="shared" si="139"/>
        <v>-2623.1762651186691</v>
      </c>
      <c r="N480" s="13"/>
      <c r="O480" s="12">
        <v>9585.0233961266695</v>
      </c>
      <c r="P480" s="13"/>
      <c r="Q480" s="12">
        <f t="shared" si="140"/>
        <v>-3834.0093584506676</v>
      </c>
      <c r="R480" s="13"/>
      <c r="S480" s="12">
        <f>$H480*U480/100</f>
        <v>5751.0140376760019</v>
      </c>
      <c r="T480" s="13"/>
      <c r="U480" s="33">
        <v>28.505317994241661</v>
      </c>
      <c r="V480" s="13"/>
      <c r="W480" s="14"/>
      <c r="X480" s="13"/>
      <c r="Y480" s="15"/>
    </row>
    <row r="481" spans="2:25" x14ac:dyDescent="0.3">
      <c r="B481" s="81">
        <f>MAX(B$478:B480)+1</f>
        <v>252</v>
      </c>
      <c r="C481" s="83"/>
      <c r="D481" s="52" t="s">
        <v>153</v>
      </c>
      <c r="E481" s="81"/>
      <c r="F481" s="39" t="s">
        <v>62</v>
      </c>
      <c r="G481" s="81"/>
      <c r="H481" s="12">
        <v>5781.4719999999998</v>
      </c>
      <c r="I481" s="86"/>
      <c r="J481" s="12">
        <f>$H481*K481/100</f>
        <v>1714.246918304</v>
      </c>
      <c r="K481" s="33">
        <v>29.650700000000001</v>
      </c>
      <c r="L481" s="88"/>
      <c r="M481" s="12">
        <f t="shared" si="139"/>
        <v>-645.91648509765423</v>
      </c>
      <c r="N481" s="13"/>
      <c r="O481" s="12">
        <v>2360.1634034016543</v>
      </c>
      <c r="P481" s="13"/>
      <c r="Q481" s="12">
        <f t="shared" si="140"/>
        <v>-944.06536136066165</v>
      </c>
      <c r="R481" s="13"/>
      <c r="S481" s="12">
        <f>$H481*U481/100</f>
        <v>1416.0980420409926</v>
      </c>
      <c r="T481" s="13"/>
      <c r="U481" s="33">
        <v>24.493728276137851</v>
      </c>
      <c r="V481" s="13"/>
      <c r="W481" s="14"/>
      <c r="X481" s="13"/>
      <c r="Y481" s="15"/>
    </row>
    <row r="482" spans="2:25" x14ac:dyDescent="0.3">
      <c r="B482" s="81">
        <f>MAX(B$478:B481)+1</f>
        <v>253</v>
      </c>
      <c r="C482" s="83"/>
      <c r="D482" s="10" t="s">
        <v>61</v>
      </c>
      <c r="E482" s="81"/>
      <c r="F482" s="11"/>
      <c r="G482" s="81"/>
      <c r="H482" s="89">
        <f>SUM(H479:H481)</f>
        <v>46836.044000000002</v>
      </c>
      <c r="I482" s="86"/>
      <c r="J482" s="89">
        <f>SUM(J479:J481)</f>
        <v>23684.247158671998</v>
      </c>
      <c r="K482" s="19">
        <f>J482/$H482*100</f>
        <v>50.568419396548514</v>
      </c>
      <c r="L482" s="88"/>
      <c r="M482" s="89">
        <f>SUM(M479:M481)</f>
        <v>-8924.0619385500959</v>
      </c>
      <c r="N482" s="13"/>
      <c r="O482" s="89">
        <f>SUM(O479:O481)</f>
        <v>32608.309097222096</v>
      </c>
      <c r="P482" s="13"/>
      <c r="Q482" s="89">
        <f>SUM(Q479:Q481)</f>
        <v>-13043.323638888838</v>
      </c>
      <c r="R482" s="13"/>
      <c r="S482" s="89">
        <f>SUM(S479:S481)</f>
        <v>19564.985458333256</v>
      </c>
      <c r="T482" s="13"/>
      <c r="U482" s="19">
        <f>S482/$H482*100</f>
        <v>41.773351861940469</v>
      </c>
      <c r="V482" s="13"/>
      <c r="W482" s="90">
        <f>S482/O482</f>
        <v>0.6</v>
      </c>
      <c r="X482" s="13"/>
      <c r="Y482" s="20">
        <f>U482/K482-1</f>
        <v>-0.17392411389485396</v>
      </c>
    </row>
    <row r="483" spans="2:25" x14ac:dyDescent="0.3">
      <c r="B483" s="81"/>
      <c r="C483" s="83"/>
      <c r="D483" s="10"/>
      <c r="E483" s="81"/>
      <c r="F483" s="11"/>
      <c r="G483" s="81"/>
      <c r="H483" s="12"/>
      <c r="I483" s="86"/>
      <c r="J483" s="12"/>
      <c r="K483" s="33"/>
      <c r="L483" s="88"/>
      <c r="M483" s="12"/>
      <c r="N483" s="13"/>
      <c r="O483" s="12"/>
      <c r="P483" s="13"/>
      <c r="Q483" s="12"/>
      <c r="R483" s="13"/>
      <c r="S483" s="12"/>
      <c r="T483" s="13"/>
      <c r="U483" s="33"/>
      <c r="V483" s="13"/>
      <c r="W483" s="14"/>
      <c r="X483" s="13"/>
      <c r="Y483" s="15"/>
    </row>
    <row r="484" spans="2:25" x14ac:dyDescent="0.3">
      <c r="B484" s="81"/>
      <c r="C484" s="83"/>
      <c r="D484" s="10" t="s">
        <v>37</v>
      </c>
      <c r="E484" s="81"/>
      <c r="F484" s="11"/>
      <c r="G484" s="81"/>
      <c r="H484" s="12"/>
      <c r="I484" s="86"/>
      <c r="J484" s="12"/>
      <c r="K484" s="33"/>
      <c r="L484" s="88"/>
      <c r="M484" s="12"/>
      <c r="N484" s="13"/>
      <c r="O484" s="12"/>
      <c r="P484" s="13"/>
      <c r="Q484" s="12"/>
      <c r="R484" s="13"/>
      <c r="S484" s="12"/>
      <c r="T484" s="13"/>
      <c r="U484" s="33"/>
      <c r="V484" s="13"/>
      <c r="W484" s="14"/>
      <c r="X484" s="13"/>
      <c r="Y484" s="15"/>
    </row>
    <row r="485" spans="2:25" x14ac:dyDescent="0.3">
      <c r="B485" s="81">
        <f>MAX(B$478:B484)+1</f>
        <v>254</v>
      </c>
      <c r="C485" s="83"/>
      <c r="D485" s="52" t="s">
        <v>154</v>
      </c>
      <c r="E485" s="81"/>
      <c r="F485" s="11" t="s">
        <v>39</v>
      </c>
      <c r="G485" s="81"/>
      <c r="H485" s="12">
        <v>592384.97535999969</v>
      </c>
      <c r="I485" s="86"/>
      <c r="J485" s="12">
        <f>$H485*K485/100</f>
        <v>11797.346784294394</v>
      </c>
      <c r="K485" s="33">
        <v>1.9915</v>
      </c>
      <c r="L485" s="88"/>
      <c r="M485" s="12">
        <f>J485-O485</f>
        <v>9497.0468020038315</v>
      </c>
      <c r="N485" s="13"/>
      <c r="O485" s="12">
        <v>2300.2999822905613</v>
      </c>
      <c r="P485" s="13"/>
      <c r="Q485" s="12">
        <f t="shared" ref="Q485:Q486" si="141">S485-O485</f>
        <v>11296.859244635125</v>
      </c>
      <c r="R485" s="13"/>
      <c r="S485" s="12">
        <f>$H485*U485/100</f>
        <v>13597.159226925685</v>
      </c>
      <c r="T485" s="13"/>
      <c r="U485" s="33">
        <v>2.2953247959508971</v>
      </c>
      <c r="V485" s="13"/>
      <c r="W485" s="14"/>
      <c r="X485" s="13"/>
      <c r="Y485" s="15">
        <f t="shared" ref="Y485:Y487" si="142">U485/K485-1</f>
        <v>0.1525607812959564</v>
      </c>
    </row>
    <row r="486" spans="2:25" x14ac:dyDescent="0.3">
      <c r="B486" s="81">
        <f>MAX(B$478:B485)+1</f>
        <v>255</v>
      </c>
      <c r="C486" s="83"/>
      <c r="D486" s="52" t="s">
        <v>155</v>
      </c>
      <c r="E486" s="81"/>
      <c r="F486" s="11" t="s">
        <v>39</v>
      </c>
      <c r="G486" s="81"/>
      <c r="H486" s="12">
        <v>0</v>
      </c>
      <c r="I486" s="86"/>
      <c r="J486" s="12">
        <f>$H486*K486/100</f>
        <v>0</v>
      </c>
      <c r="K486" s="33">
        <v>0.79289999999999994</v>
      </c>
      <c r="L486" s="88"/>
      <c r="M486" s="12">
        <f>J486-O486</f>
        <v>0</v>
      </c>
      <c r="N486" s="13"/>
      <c r="O486" s="12">
        <v>0</v>
      </c>
      <c r="P486" s="13"/>
      <c r="Q486" s="12">
        <f t="shared" si="141"/>
        <v>0</v>
      </c>
      <c r="R486" s="13"/>
      <c r="S486" s="12">
        <f>$H486*U486/100</f>
        <v>0</v>
      </c>
      <c r="T486" s="13"/>
      <c r="U486" s="33">
        <v>1.1154247959508972</v>
      </c>
      <c r="V486" s="13"/>
      <c r="W486" s="14"/>
      <c r="X486" s="13"/>
      <c r="Y486" s="15">
        <f t="shared" si="142"/>
        <v>0.40676604357535284</v>
      </c>
    </row>
    <row r="487" spans="2:25" x14ac:dyDescent="0.3">
      <c r="B487" s="81">
        <f>MAX(B$478:B486)+1</f>
        <v>256</v>
      </c>
      <c r="C487" s="83"/>
      <c r="D487" s="10" t="s">
        <v>37</v>
      </c>
      <c r="E487" s="81"/>
      <c r="F487" s="11"/>
      <c r="G487" s="81"/>
      <c r="H487" s="89">
        <f>SUM(H485:H486)</f>
        <v>592384.97535999969</v>
      </c>
      <c r="I487" s="86"/>
      <c r="J487" s="89">
        <f>SUM(J485:J486)</f>
        <v>11797.346784294394</v>
      </c>
      <c r="K487" s="19">
        <f>J487/$H487*100</f>
        <v>1.9914999999999998</v>
      </c>
      <c r="L487" s="88"/>
      <c r="M487" s="89">
        <f>SUM(M485:M486)</f>
        <v>9497.0468020038315</v>
      </c>
      <c r="N487" s="13"/>
      <c r="O487" s="89">
        <f>SUM(O485:O486)</f>
        <v>2300.2999822905613</v>
      </c>
      <c r="P487" s="13"/>
      <c r="Q487" s="89">
        <f>SUM(Q485:Q486)</f>
        <v>11296.859244635125</v>
      </c>
      <c r="R487" s="13"/>
      <c r="S487" s="89">
        <f>SUM(S485:S486)</f>
        <v>13597.159226925685</v>
      </c>
      <c r="T487" s="13"/>
      <c r="U487" s="19">
        <f>S487/$H487*100</f>
        <v>2.2953247959508971</v>
      </c>
      <c r="V487" s="13"/>
      <c r="W487" s="14"/>
      <c r="X487" s="13"/>
      <c r="Y487" s="15">
        <f t="shared" si="142"/>
        <v>0.1525607812959564</v>
      </c>
    </row>
    <row r="488" spans="2:25" x14ac:dyDescent="0.3">
      <c r="B488" s="81"/>
      <c r="C488" s="83"/>
      <c r="D488" s="10"/>
      <c r="E488" s="81"/>
      <c r="F488" s="11"/>
      <c r="G488" s="81"/>
      <c r="H488" s="12"/>
      <c r="I488" s="86"/>
      <c r="J488" s="12"/>
      <c r="K488" s="33"/>
      <c r="L488" s="88"/>
      <c r="M488" s="12"/>
      <c r="N488" s="13"/>
      <c r="O488" s="12"/>
      <c r="P488" s="13"/>
      <c r="Q488" s="12"/>
      <c r="R488" s="13"/>
      <c r="S488" s="12"/>
      <c r="T488" s="13"/>
      <c r="U488" s="33"/>
      <c r="V488" s="13"/>
      <c r="W488" s="14"/>
      <c r="X488" s="13"/>
      <c r="Y488" s="15"/>
    </row>
    <row r="489" spans="2:25" x14ac:dyDescent="0.3">
      <c r="B489" s="81">
        <f>MAX(B$478:B488)+1</f>
        <v>257</v>
      </c>
      <c r="C489" s="83"/>
      <c r="D489" s="52" t="s">
        <v>156</v>
      </c>
      <c r="E489" s="81"/>
      <c r="F489" s="11" t="s">
        <v>39</v>
      </c>
      <c r="G489" s="81"/>
      <c r="H489" s="12">
        <v>57602.159589999996</v>
      </c>
      <c r="I489" s="86"/>
      <c r="J489" s="12">
        <f>$H489*K489/100</f>
        <v>1270.47323191704</v>
      </c>
      <c r="K489" s="33">
        <v>2.2056</v>
      </c>
      <c r="L489" s="88"/>
      <c r="M489" s="12">
        <f t="shared" ref="M489:M490" si="143">J489-O489</f>
        <v>1270.47323191704</v>
      </c>
      <c r="N489" s="13"/>
      <c r="O489" s="12">
        <v>0</v>
      </c>
      <c r="P489" s="13"/>
      <c r="Q489" s="12">
        <f t="shared" ref="Q489:Q490" si="144">S489-O489</f>
        <v>1389.9100590749472</v>
      </c>
      <c r="R489" s="13"/>
      <c r="S489" s="12">
        <f>$H489*U489/100</f>
        <v>1389.9100590749472</v>
      </c>
      <c r="T489" s="13"/>
      <c r="U489" s="33">
        <v>2.4129478286370398</v>
      </c>
      <c r="V489" s="13"/>
      <c r="W489" s="14"/>
      <c r="X489" s="13"/>
      <c r="Y489" s="15">
        <f t="shared" ref="Y489:Y490" si="145">U489/K489-1</f>
        <v>9.4009715559049578E-2</v>
      </c>
    </row>
    <row r="490" spans="2:25" x14ac:dyDescent="0.3">
      <c r="B490" s="81">
        <f>MAX(B$478:B489)+1</f>
        <v>258</v>
      </c>
      <c r="C490" s="83"/>
      <c r="D490" s="52" t="s">
        <v>157</v>
      </c>
      <c r="E490" s="81"/>
      <c r="F490" s="11" t="s">
        <v>39</v>
      </c>
      <c r="G490" s="81"/>
      <c r="H490" s="12">
        <v>1276.4049299999999</v>
      </c>
      <c r="I490" s="86"/>
      <c r="J490" s="12">
        <f>$H490*K490/100</f>
        <v>86.329647440549991</v>
      </c>
      <c r="K490" s="33">
        <v>6.7635000000000005</v>
      </c>
      <c r="L490" s="88"/>
      <c r="M490" s="12">
        <f t="shared" si="143"/>
        <v>86.329647440549991</v>
      </c>
      <c r="N490" s="13"/>
      <c r="O490" s="12">
        <v>0</v>
      </c>
      <c r="P490" s="13"/>
      <c r="Q490" s="12">
        <f t="shared" si="144"/>
        <v>114.27185102904259</v>
      </c>
      <c r="R490" s="13"/>
      <c r="S490" s="12">
        <f>$H490*U490/100</f>
        <v>114.27185102904259</v>
      </c>
      <c r="T490" s="13"/>
      <c r="U490" s="33">
        <v>8.9526331607824954</v>
      </c>
      <c r="V490" s="13"/>
      <c r="W490" s="14"/>
      <c r="X490" s="13"/>
      <c r="Y490" s="15">
        <f t="shared" si="145"/>
        <v>0.3236686864467353</v>
      </c>
    </row>
    <row r="491" spans="2:25" x14ac:dyDescent="0.3">
      <c r="B491" s="81"/>
      <c r="C491" s="83"/>
      <c r="D491" s="10"/>
      <c r="E491" s="81"/>
      <c r="F491" s="11"/>
      <c r="G491" s="81"/>
      <c r="H491" s="12"/>
      <c r="I491" s="86"/>
      <c r="J491" s="12"/>
      <c r="K491" s="33"/>
      <c r="L491" s="88"/>
      <c r="M491" s="12"/>
      <c r="N491" s="13"/>
      <c r="O491" s="12"/>
      <c r="P491" s="13"/>
      <c r="Q491" s="12"/>
      <c r="R491" s="13"/>
      <c r="S491" s="12"/>
      <c r="T491" s="13"/>
      <c r="U491" s="33"/>
      <c r="V491" s="13"/>
      <c r="W491" s="14"/>
      <c r="X491" s="13"/>
      <c r="Y491" s="15"/>
    </row>
    <row r="492" spans="2:25" x14ac:dyDescent="0.3">
      <c r="B492" s="81">
        <f>MAX(B$478:B491)+1</f>
        <v>259</v>
      </c>
      <c r="C492" s="83"/>
      <c r="D492" s="10" t="s">
        <v>158</v>
      </c>
      <c r="E492" s="81"/>
      <c r="F492" s="11"/>
      <c r="G492" s="81"/>
      <c r="H492" s="89">
        <f>H487</f>
        <v>592384.97535999969</v>
      </c>
      <c r="I492" s="86"/>
      <c r="J492" s="89">
        <f>SUM(J482,J487,J489:J490)</f>
        <v>36838.396822323986</v>
      </c>
      <c r="K492" s="19">
        <f>J492/$H492*100</f>
        <v>6.218658196038283</v>
      </c>
      <c r="L492" s="88"/>
      <c r="M492" s="89">
        <f>SUM(M482,M487,M489:M490)</f>
        <v>1929.7877428113256</v>
      </c>
      <c r="N492" s="13"/>
      <c r="O492" s="89">
        <f>SUM(O482,O487,O489:O490)</f>
        <v>34908.609079512658</v>
      </c>
      <c r="P492" s="13"/>
      <c r="Q492" s="89">
        <f>SUM(Q482,Q487,Q489:Q490)</f>
        <v>-242.28248414972342</v>
      </c>
      <c r="R492" s="13"/>
      <c r="S492" s="89">
        <f>SUM(S482,S487,S489:S490)</f>
        <v>34666.326595362931</v>
      </c>
      <c r="T492" s="13"/>
      <c r="U492" s="19">
        <f>S492/$H492*100</f>
        <v>5.8519928825500296</v>
      </c>
      <c r="V492" s="13"/>
      <c r="W492" s="90">
        <f>S492/O492</f>
        <v>0.99305952054411928</v>
      </c>
      <c r="X492" s="13"/>
      <c r="Y492" s="20">
        <f>U492/K492-1</f>
        <v>-5.8962126865542253E-2</v>
      </c>
    </row>
    <row r="493" spans="2:25" x14ac:dyDescent="0.3">
      <c r="E493" s="81"/>
      <c r="F493" s="11"/>
      <c r="G493" s="81"/>
      <c r="H493" s="12"/>
      <c r="I493" s="86"/>
      <c r="J493" s="12"/>
      <c r="K493" s="33"/>
      <c r="L493" s="88"/>
      <c r="M493" s="12"/>
      <c r="N493" s="13"/>
      <c r="O493" s="12"/>
      <c r="P493" s="13"/>
      <c r="Q493" s="12"/>
      <c r="R493" s="13"/>
      <c r="S493" s="12"/>
      <c r="T493" s="13"/>
      <c r="U493" s="33"/>
      <c r="V493" s="13"/>
      <c r="W493" s="14"/>
      <c r="X493" s="13"/>
      <c r="Y493" s="15"/>
    </row>
    <row r="494" spans="2:25" x14ac:dyDescent="0.3">
      <c r="D494" s="10" t="s">
        <v>159</v>
      </c>
      <c r="E494" s="81"/>
      <c r="F494" s="11"/>
      <c r="G494" s="81"/>
      <c r="H494" s="12"/>
      <c r="I494" s="86"/>
      <c r="J494" s="12"/>
      <c r="K494" s="33"/>
      <c r="L494" s="88"/>
      <c r="M494" s="12"/>
      <c r="N494" s="13"/>
      <c r="O494" s="12"/>
      <c r="P494" s="13"/>
      <c r="Q494" s="12"/>
      <c r="R494" s="13"/>
      <c r="S494" s="12"/>
      <c r="T494" s="13"/>
      <c r="U494" s="33"/>
      <c r="V494" s="13"/>
      <c r="W494" s="14"/>
      <c r="X494" s="13"/>
      <c r="Y494" s="15"/>
    </row>
    <row r="495" spans="2:25" x14ac:dyDescent="0.3">
      <c r="B495" s="81">
        <f>MAX(B$478:B494)+1</f>
        <v>260</v>
      </c>
      <c r="D495" s="18" t="s">
        <v>35</v>
      </c>
      <c r="E495" s="81"/>
      <c r="F495" s="11" t="s">
        <v>36</v>
      </c>
      <c r="G495" s="81"/>
      <c r="H495" s="12">
        <v>36.000000000000014</v>
      </c>
      <c r="I495" s="86"/>
      <c r="J495" s="12">
        <f>$H495*K495/1000</f>
        <v>27.945360000000012</v>
      </c>
      <c r="K495" s="87">
        <v>776.26</v>
      </c>
      <c r="L495" s="88"/>
      <c r="M495" s="12">
        <f t="shared" ref="M495:M497" si="146">J495-O495</f>
        <v>27.945360000000012</v>
      </c>
      <c r="N495" s="13"/>
      <c r="O495" s="12">
        <v>0</v>
      </c>
      <c r="P495" s="13"/>
      <c r="Q495" s="12">
        <f t="shared" ref="Q495:Q497" si="147">S495-O495</f>
        <v>27.945360000000012</v>
      </c>
      <c r="R495" s="13"/>
      <c r="S495" s="12">
        <f>$H495*U495/1000</f>
        <v>27.945360000000012</v>
      </c>
      <c r="T495" s="13"/>
      <c r="U495" s="87">
        <v>776.26</v>
      </c>
      <c r="V495" s="13"/>
      <c r="W495" s="14"/>
      <c r="X495" s="13"/>
      <c r="Y495" s="15">
        <f t="shared" ref="Y495:Y497" si="148">U495/K495-1</f>
        <v>0</v>
      </c>
    </row>
    <row r="496" spans="2:25" x14ac:dyDescent="0.3">
      <c r="B496" s="81">
        <f>MAX(B$478:B495)+1</f>
        <v>261</v>
      </c>
      <c r="D496" s="18" t="s">
        <v>37</v>
      </c>
      <c r="E496" s="81"/>
      <c r="F496" s="11" t="s">
        <v>39</v>
      </c>
      <c r="G496" s="81"/>
      <c r="H496" s="12">
        <v>238.00964000000002</v>
      </c>
      <c r="I496" s="86"/>
      <c r="J496" s="12">
        <f>$H496*K496/100</f>
        <v>8.5062265239600006</v>
      </c>
      <c r="K496" s="33">
        <v>3.5738999999999996</v>
      </c>
      <c r="L496" s="88"/>
      <c r="M496" s="12">
        <f t="shared" si="146"/>
        <v>-75.676790378746688</v>
      </c>
      <c r="N496" s="13"/>
      <c r="O496" s="12">
        <v>84.183016902706683</v>
      </c>
      <c r="P496" s="13"/>
      <c r="Q496" s="12">
        <f t="shared" si="147"/>
        <v>-79.090462993288156</v>
      </c>
      <c r="R496" s="13"/>
      <c r="S496" s="12">
        <f>$H496*U496/100</f>
        <v>5.0925539094185339</v>
      </c>
      <c r="T496" s="13"/>
      <c r="U496" s="33">
        <v>2.1396418688833498</v>
      </c>
      <c r="V496" s="13"/>
      <c r="W496" s="14"/>
      <c r="X496" s="13"/>
      <c r="Y496" s="15">
        <f t="shared" si="148"/>
        <v>-0.40131456703227564</v>
      </c>
    </row>
    <row r="497" spans="2:26" x14ac:dyDescent="0.3">
      <c r="B497" s="81">
        <f>MAX(B$478:B496)+1</f>
        <v>262</v>
      </c>
      <c r="D497" s="18" t="s">
        <v>160</v>
      </c>
      <c r="E497" s="81"/>
      <c r="F497" s="11" t="s">
        <v>39</v>
      </c>
      <c r="G497" s="81"/>
      <c r="H497" s="12">
        <v>2278.64</v>
      </c>
      <c r="I497" s="86"/>
      <c r="J497" s="12">
        <f>$H497*K497/100</f>
        <v>86.314883199999997</v>
      </c>
      <c r="K497" s="33">
        <v>3.7880000000000003</v>
      </c>
      <c r="L497" s="88"/>
      <c r="M497" s="12">
        <f t="shared" si="146"/>
        <v>86.314883199999997</v>
      </c>
      <c r="N497" s="13"/>
      <c r="O497" s="12">
        <v>0</v>
      </c>
      <c r="P497" s="13"/>
      <c r="Q497" s="12">
        <f t="shared" si="147"/>
        <v>51.434940953123096</v>
      </c>
      <c r="R497" s="13"/>
      <c r="S497" s="12">
        <f>$H497*U497/100</f>
        <v>51.434940953123096</v>
      </c>
      <c r="T497" s="13"/>
      <c r="U497" s="33">
        <v>2.257264901569493</v>
      </c>
      <c r="V497" s="13"/>
      <c r="W497" s="14"/>
      <c r="X497" s="13"/>
      <c r="Y497" s="15">
        <f t="shared" si="148"/>
        <v>-0.40410113474934195</v>
      </c>
    </row>
    <row r="498" spans="2:26" x14ac:dyDescent="0.3">
      <c r="B498" s="81"/>
      <c r="C498" s="83"/>
      <c r="D498" s="10"/>
      <c r="E498" s="81"/>
      <c r="F498" s="11"/>
      <c r="G498" s="81"/>
      <c r="H498" s="12"/>
      <c r="I498" s="86"/>
      <c r="J498" s="12"/>
      <c r="K498" s="33"/>
      <c r="L498" s="88"/>
      <c r="M498" s="12"/>
      <c r="N498" s="13"/>
      <c r="O498" s="12"/>
      <c r="P498" s="13"/>
      <c r="Q498" s="12"/>
      <c r="R498" s="13"/>
      <c r="S498" s="12"/>
      <c r="T498" s="13"/>
      <c r="U498" s="33"/>
      <c r="V498" s="13"/>
      <c r="W498" s="14"/>
      <c r="X498" s="13"/>
      <c r="Y498" s="15"/>
    </row>
    <row r="499" spans="2:26" x14ac:dyDescent="0.3">
      <c r="B499" s="81">
        <f>MAX(B$478:B498)+1</f>
        <v>263</v>
      </c>
      <c r="C499" s="83"/>
      <c r="D499" s="10" t="s">
        <v>161</v>
      </c>
      <c r="E499" s="81"/>
      <c r="F499" s="11"/>
      <c r="G499" s="81"/>
      <c r="H499" s="89">
        <f>H496</f>
        <v>238.00964000000002</v>
      </c>
      <c r="I499" s="86"/>
      <c r="J499" s="89">
        <f>SUM(J495:J497)</f>
        <v>122.76646972396</v>
      </c>
      <c r="K499" s="19">
        <f>J499/$H499*100</f>
        <v>51.580461078786556</v>
      </c>
      <c r="L499" s="88"/>
      <c r="M499" s="89">
        <f>SUM(M495:M497)</f>
        <v>38.583452821253317</v>
      </c>
      <c r="N499" s="13"/>
      <c r="O499" s="89">
        <f>SUM(O495:O497)</f>
        <v>84.183016902706683</v>
      </c>
      <c r="P499" s="13"/>
      <c r="Q499" s="89">
        <f>ROUND(SUM(Q495:Q497), 0)</f>
        <v>0</v>
      </c>
      <c r="R499" s="13"/>
      <c r="S499" s="89">
        <f>SUM(S495:S497)</f>
        <v>84.472854862541652</v>
      </c>
      <c r="T499" s="13"/>
      <c r="U499" s="19">
        <f>S499/$H499*100</f>
        <v>35.491358611584658</v>
      </c>
      <c r="V499" s="13"/>
      <c r="W499" s="90">
        <f>S499/O499</f>
        <v>1.003442950496416</v>
      </c>
      <c r="X499" s="13"/>
      <c r="Y499" s="20">
        <f>U499/K499-1</f>
        <v>-0.31192242431929029</v>
      </c>
    </row>
    <row r="500" spans="2:26" x14ac:dyDescent="0.3">
      <c r="E500" s="81"/>
      <c r="F500" s="11"/>
      <c r="G500" s="81"/>
      <c r="H500" s="12"/>
      <c r="I500" s="86"/>
      <c r="J500" s="12"/>
      <c r="K500" s="33"/>
      <c r="L500" s="88"/>
      <c r="M500" s="12"/>
      <c r="N500" s="13"/>
      <c r="O500" s="12"/>
      <c r="P500" s="13"/>
      <c r="Q500" s="12"/>
      <c r="R500" s="13"/>
      <c r="S500" s="12"/>
      <c r="T500" s="13"/>
      <c r="U500" s="33"/>
      <c r="V500" s="13"/>
      <c r="W500" s="14"/>
      <c r="X500" s="13"/>
      <c r="Y500" s="15"/>
    </row>
    <row r="501" spans="2:26" x14ac:dyDescent="0.3">
      <c r="B501" s="81"/>
      <c r="C501" s="83"/>
      <c r="D501" s="10" t="s">
        <v>44</v>
      </c>
      <c r="E501" s="81"/>
      <c r="F501" s="91"/>
      <c r="G501" s="81"/>
      <c r="H501" s="12"/>
      <c r="I501" s="86"/>
      <c r="J501" s="12"/>
      <c r="K501" s="33"/>
      <c r="L501" s="88"/>
      <c r="M501" s="12"/>
      <c r="N501" s="13"/>
      <c r="O501" s="12"/>
      <c r="P501" s="13"/>
      <c r="Q501" s="12"/>
      <c r="R501" s="13"/>
      <c r="S501" s="12"/>
      <c r="T501" s="13"/>
      <c r="U501" s="22"/>
      <c r="V501" s="13"/>
      <c r="W501" s="14"/>
      <c r="X501" s="13"/>
      <c r="Y501" s="23"/>
    </row>
    <row r="502" spans="2:26" x14ac:dyDescent="0.3">
      <c r="B502" s="81">
        <f>MAX(B$478:B501)+1</f>
        <v>264</v>
      </c>
      <c r="C502" s="83"/>
      <c r="D502" s="18" t="s">
        <v>45</v>
      </c>
      <c r="E502" s="81"/>
      <c r="F502" s="91" t="s">
        <v>39</v>
      </c>
      <c r="G502" s="81"/>
      <c r="H502" s="12">
        <v>59361.556339999981</v>
      </c>
      <c r="I502" s="86"/>
      <c r="J502" s="12">
        <f>$H502*K502/100</f>
        <v>0</v>
      </c>
      <c r="K502" s="33">
        <v>0</v>
      </c>
      <c r="L502" s="88"/>
      <c r="M502" s="12">
        <f t="shared" ref="M502:M503" si="149">J502-O502</f>
        <v>-6.365349194036213</v>
      </c>
      <c r="N502" s="13"/>
      <c r="O502" s="12">
        <f>S502</f>
        <v>6.365349194036213</v>
      </c>
      <c r="P502" s="13"/>
      <c r="Q502" s="12">
        <f t="shared" ref="Q502:Q503" si="150">S502-O502</f>
        <v>0</v>
      </c>
      <c r="R502" s="13"/>
      <c r="S502" s="12">
        <f>$H502*U502/100</f>
        <v>6.365349194036213</v>
      </c>
      <c r="T502" s="13"/>
      <c r="U502" s="33">
        <v>1.0723016016591548E-2</v>
      </c>
      <c r="V502" s="13"/>
      <c r="W502" s="92"/>
      <c r="X502" s="13"/>
      <c r="Y502" s="15"/>
    </row>
    <row r="503" spans="2:26" x14ac:dyDescent="0.3">
      <c r="B503" s="81">
        <f>MAX(B$478:B502)+1</f>
        <v>265</v>
      </c>
      <c r="C503" s="83"/>
      <c r="D503" s="18" t="s">
        <v>46</v>
      </c>
      <c r="E503" s="81"/>
      <c r="F503" s="91" t="s">
        <v>39</v>
      </c>
      <c r="G503" s="81"/>
      <c r="H503" s="12">
        <f>H487+H496+H490-H502</f>
        <v>534537.83358999959</v>
      </c>
      <c r="I503" s="86"/>
      <c r="J503" s="12">
        <f>$H503*K503/100</f>
        <v>0</v>
      </c>
      <c r="K503" s="33">
        <v>0</v>
      </c>
      <c r="L503" s="88"/>
      <c r="M503" s="12">
        <f t="shared" si="149"/>
        <v>-57.31857751059713</v>
      </c>
      <c r="N503" s="88"/>
      <c r="O503" s="12">
        <f>S503</f>
        <v>57.31857751059713</v>
      </c>
      <c r="P503" s="88"/>
      <c r="Q503" s="12">
        <f t="shared" si="150"/>
        <v>0</v>
      </c>
      <c r="R503" s="88"/>
      <c r="S503" s="12">
        <f>$H503*U503/100</f>
        <v>57.31857751059713</v>
      </c>
      <c r="T503" s="88"/>
      <c r="U503" s="33">
        <v>1.0723016016591548E-2</v>
      </c>
      <c r="V503" s="88"/>
      <c r="W503" s="92"/>
      <c r="X503" s="88"/>
      <c r="Y503" s="15"/>
      <c r="Z503" s="81"/>
    </row>
    <row r="504" spans="2:26" x14ac:dyDescent="0.3">
      <c r="B504" s="81">
        <f>MAX(B$478:B503)+1</f>
        <v>266</v>
      </c>
      <c r="C504" s="83"/>
      <c r="D504" s="10" t="s">
        <v>44</v>
      </c>
      <c r="E504" s="81"/>
      <c r="F504" s="11"/>
      <c r="G504" s="81"/>
      <c r="H504" s="89">
        <f>SUM(H502:H503)</f>
        <v>593899.3899299996</v>
      </c>
      <c r="I504" s="86"/>
      <c r="J504" s="89">
        <f>SUM(J502:J503)</f>
        <v>0</v>
      </c>
      <c r="K504" s="19">
        <f>J504/$H504*100</f>
        <v>0</v>
      </c>
      <c r="L504" s="88"/>
      <c r="M504" s="89">
        <f>SUM(M502:M503)</f>
        <v>-63.683926704633343</v>
      </c>
      <c r="N504" s="13"/>
      <c r="O504" s="89">
        <f>SUM(O502:O503)</f>
        <v>63.683926704633343</v>
      </c>
      <c r="P504" s="13"/>
      <c r="Q504" s="89">
        <f>SUM(Q502:Q503)</f>
        <v>0</v>
      </c>
      <c r="R504" s="13"/>
      <c r="S504" s="89">
        <f>SUM(S502:S503)</f>
        <v>63.683926704633343</v>
      </c>
      <c r="T504" s="13"/>
      <c r="U504" s="19">
        <f>S504/$H504*100</f>
        <v>1.0723016016591548E-2</v>
      </c>
      <c r="V504" s="13"/>
      <c r="W504" s="90">
        <f>S504/O504</f>
        <v>1</v>
      </c>
      <c r="X504" s="13"/>
      <c r="Y504" s="20"/>
    </row>
    <row r="505" spans="2:26" x14ac:dyDescent="0.3"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24"/>
    </row>
    <row r="506" spans="2:26" x14ac:dyDescent="0.3">
      <c r="B506" s="81">
        <f>MAX(B$478:B505)+1</f>
        <v>267</v>
      </c>
      <c r="C506" s="83"/>
      <c r="D506" s="10" t="s">
        <v>162</v>
      </c>
      <c r="E506" s="81"/>
      <c r="F506" s="11" t="s">
        <v>39</v>
      </c>
      <c r="G506" s="81"/>
      <c r="H506" s="12">
        <v>16020.952840000002</v>
      </c>
      <c r="I506" s="86"/>
      <c r="J506" s="12">
        <f>$H506*K506/100</f>
        <v>34.300860030440006</v>
      </c>
      <c r="K506" s="33">
        <v>0.21410000000000001</v>
      </c>
      <c r="L506" s="88"/>
      <c r="M506" s="12">
        <f t="shared" ref="M506:M507" si="151">J506-O506</f>
        <v>34.300860030440006</v>
      </c>
      <c r="N506" s="13"/>
      <c r="O506" s="12">
        <v>0</v>
      </c>
      <c r="P506" s="13"/>
      <c r="Q506" s="12">
        <f t="shared" ref="Q506:Q507" si="152">S506-O506</f>
        <v>18.844330595624744</v>
      </c>
      <c r="R506" s="13"/>
      <c r="S506" s="12">
        <f>$H506*U506/100</f>
        <v>18.844330595624744</v>
      </c>
      <c r="T506" s="13"/>
      <c r="U506" s="33">
        <v>0.11762303268614291</v>
      </c>
      <c r="V506" s="13"/>
      <c r="W506" s="14"/>
      <c r="X506" s="13"/>
      <c r="Y506" s="15">
        <f>U506/K506-1</f>
        <v>-0.45061638166210694</v>
      </c>
    </row>
    <row r="507" spans="2:26" x14ac:dyDescent="0.3">
      <c r="B507" s="81">
        <f>MAX(B$478:B506)+1</f>
        <v>268</v>
      </c>
      <c r="C507" s="83"/>
      <c r="D507" s="10" t="s">
        <v>49</v>
      </c>
      <c r="E507" s="81"/>
      <c r="F507" s="11" t="s">
        <v>39</v>
      </c>
      <c r="G507" s="81"/>
      <c r="H507" s="12">
        <f>H502</f>
        <v>59361.556339999981</v>
      </c>
      <c r="I507" s="86"/>
      <c r="J507" s="12">
        <f>$H507*K507/100</f>
        <v>9642.2463878003891</v>
      </c>
      <c r="K507" s="33">
        <v>16.243250652953471</v>
      </c>
      <c r="L507" s="88"/>
      <c r="M507" s="12">
        <f t="shared" si="151"/>
        <v>201.41819812746871</v>
      </c>
      <c r="N507" s="13"/>
      <c r="O507" s="12">
        <f t="shared" ref="O507" si="153">S507</f>
        <v>9440.8281896729204</v>
      </c>
      <c r="P507" s="13"/>
      <c r="Q507" s="12">
        <f t="shared" si="152"/>
        <v>0</v>
      </c>
      <c r="R507" s="13"/>
      <c r="S507" s="12">
        <f>$H507*U507/100</f>
        <v>9440.8281896729204</v>
      </c>
      <c r="T507" s="13"/>
      <c r="U507" s="33">
        <v>15.903943177634218</v>
      </c>
      <c r="V507" s="13"/>
      <c r="W507" s="14">
        <f>S507/O507</f>
        <v>1</v>
      </c>
      <c r="X507" s="13"/>
      <c r="Y507" s="15">
        <f>U507/K507-1</f>
        <v>-2.0889136206092895E-2</v>
      </c>
    </row>
    <row r="508" spans="2:26" x14ac:dyDescent="0.3">
      <c r="B508" s="81"/>
      <c r="C508" s="83"/>
      <c r="D508" s="10"/>
      <c r="E508" s="81"/>
      <c r="F508" s="11"/>
      <c r="G508" s="81"/>
      <c r="H508" s="12"/>
      <c r="I508" s="86"/>
      <c r="J508" s="12"/>
      <c r="K508" s="33"/>
      <c r="L508" s="88"/>
      <c r="M508" s="12"/>
      <c r="N508" s="13"/>
      <c r="O508" s="12"/>
      <c r="P508" s="13"/>
      <c r="Q508" s="12"/>
      <c r="R508" s="13"/>
      <c r="S508" s="12"/>
      <c r="T508" s="13"/>
      <c r="U508" s="33"/>
      <c r="V508" s="13"/>
      <c r="W508" s="14"/>
      <c r="X508" s="13"/>
      <c r="Y508" s="15"/>
    </row>
    <row r="509" spans="2:26" ht="12.9" thickBot="1" x14ac:dyDescent="0.35">
      <c r="B509" s="81">
        <f>MAX(B$478:B508)+1</f>
        <v>269</v>
      </c>
      <c r="C509" s="83"/>
      <c r="D509" s="10" t="s">
        <v>163</v>
      </c>
      <c r="E509" s="81"/>
      <c r="F509" s="11"/>
      <c r="G509" s="81"/>
      <c r="H509" s="93">
        <f>H487+H499</f>
        <v>592622.98499999964</v>
      </c>
      <c r="I509" s="86"/>
      <c r="J509" s="93">
        <f>SUM(J492,J499,J504,J506:J507)</f>
        <v>46637.710539878775</v>
      </c>
      <c r="K509" s="25">
        <f>J509/$H509*100</f>
        <v>7.8697100383102434</v>
      </c>
      <c r="L509" s="88"/>
      <c r="M509" s="93">
        <f>SUM(M492,M499,M504,M506:M507)</f>
        <v>2140.4063270858542</v>
      </c>
      <c r="N509" s="13"/>
      <c r="O509" s="93">
        <f>SUM(O492,O499,O504,O506:O507)</f>
        <v>44497.304212792922</v>
      </c>
      <c r="P509" s="13"/>
      <c r="Q509" s="93">
        <f>SUM(Q492,Q499,Q504,Q506:Q507)</f>
        <v>-223.43815355409868</v>
      </c>
      <c r="R509" s="13"/>
      <c r="S509" s="93">
        <f>SUM(S492,S499,S504,S506:S507)</f>
        <v>44274.155897198652</v>
      </c>
      <c r="T509" s="13"/>
      <c r="U509" s="25">
        <f>S509/$H509*100</f>
        <v>7.4708806471957336</v>
      </c>
      <c r="V509" s="13"/>
      <c r="W509" s="94">
        <f>S509/O509</f>
        <v>0.99498512731182231</v>
      </c>
      <c r="X509" s="13"/>
      <c r="Y509" s="26">
        <f>U509/K509-1</f>
        <v>-5.0679045247281396E-2</v>
      </c>
    </row>
    <row r="510" spans="2:26" ht="12.9" thickTop="1" x14ac:dyDescent="0.3">
      <c r="B510" s="81"/>
      <c r="C510" s="83"/>
      <c r="E510" s="81"/>
      <c r="F510" s="91"/>
      <c r="G510" s="81"/>
      <c r="H510" s="88"/>
      <c r="I510" s="86"/>
      <c r="J510" s="88"/>
      <c r="K510" s="22"/>
      <c r="L510" s="88"/>
      <c r="M510" s="88"/>
      <c r="N510" s="13"/>
      <c r="O510" s="88"/>
      <c r="P510" s="13"/>
      <c r="Q510" s="88"/>
      <c r="R510" s="13"/>
      <c r="S510" s="88"/>
      <c r="T510" s="13"/>
      <c r="U510" s="22"/>
      <c r="V510" s="13"/>
      <c r="W510" s="92"/>
      <c r="X510" s="13"/>
      <c r="Y510" s="30"/>
    </row>
    <row r="511" spans="2:26" x14ac:dyDescent="0.3">
      <c r="B511" s="123" t="s">
        <v>0</v>
      </c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</row>
    <row r="512" spans="2:26" x14ac:dyDescent="0.3">
      <c r="B512" s="123" t="s">
        <v>59</v>
      </c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</row>
    <row r="513" spans="2:26" x14ac:dyDescent="0.3">
      <c r="B513" s="77"/>
      <c r="C513" s="77"/>
      <c r="D513" s="77"/>
      <c r="E513" s="77"/>
      <c r="F513" s="78"/>
      <c r="G513" s="77"/>
      <c r="H513" s="78"/>
      <c r="I513" s="77"/>
      <c r="J513" s="78"/>
      <c r="K513" s="78"/>
      <c r="L513" s="78"/>
      <c r="M513" s="78"/>
      <c r="N513" s="77"/>
      <c r="O513" s="77"/>
      <c r="P513" s="77"/>
      <c r="Q513" s="77"/>
      <c r="R513" s="77"/>
      <c r="S513" s="77"/>
      <c r="T513" s="77"/>
      <c r="U513" s="77"/>
      <c r="V513" s="77"/>
      <c r="W513" s="5"/>
      <c r="X513" s="77"/>
      <c r="Y513" s="5"/>
    </row>
    <row r="514" spans="2:26" x14ac:dyDescent="0.3">
      <c r="B514" s="78"/>
      <c r="C514" s="78"/>
      <c r="D514" s="78"/>
      <c r="E514" s="78"/>
      <c r="F514" s="77"/>
      <c r="G514" s="78"/>
      <c r="H514" s="77"/>
      <c r="I514" s="78"/>
      <c r="J514" s="79" t="s">
        <v>2</v>
      </c>
      <c r="K514" s="79"/>
      <c r="L514" s="78"/>
      <c r="M514" s="78"/>
      <c r="N514" s="78"/>
      <c r="O514" s="122" t="s">
        <v>3</v>
      </c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3"/>
    </row>
    <row r="515" spans="2:26" ht="37.299999999999997" x14ac:dyDescent="0.3">
      <c r="B515" s="80" t="s">
        <v>4</v>
      </c>
      <c r="C515" s="80"/>
      <c r="D515" s="80"/>
      <c r="E515" s="80"/>
      <c r="F515" s="81" t="s">
        <v>5</v>
      </c>
      <c r="G515" s="80"/>
      <c r="H515" s="6" t="s">
        <v>6</v>
      </c>
      <c r="I515" s="80"/>
      <c r="J515" s="6" t="s">
        <v>7</v>
      </c>
      <c r="K515" s="6" t="s">
        <v>8</v>
      </c>
      <c r="L515" s="80"/>
      <c r="M515" s="6" t="s">
        <v>9</v>
      </c>
      <c r="N515" s="80"/>
      <c r="O515" s="80" t="s">
        <v>10</v>
      </c>
      <c r="P515" s="80"/>
      <c r="Q515" s="6" t="s">
        <v>11</v>
      </c>
      <c r="R515" s="80"/>
      <c r="S515" s="6" t="s">
        <v>7</v>
      </c>
      <c r="T515" s="80"/>
      <c r="U515" s="6" t="s">
        <v>12</v>
      </c>
      <c r="V515" s="80"/>
      <c r="W515" s="80" t="s">
        <v>13</v>
      </c>
      <c r="X515" s="80"/>
      <c r="Y515" s="80" t="s">
        <v>14</v>
      </c>
    </row>
    <row r="516" spans="2:26" ht="14.15" x14ac:dyDescent="0.3">
      <c r="B516" s="82" t="s">
        <v>15</v>
      </c>
      <c r="C516" s="83"/>
      <c r="D516" s="84" t="s">
        <v>16</v>
      </c>
      <c r="E516" s="81"/>
      <c r="F516" s="82" t="s">
        <v>17</v>
      </c>
      <c r="G516" s="81"/>
      <c r="H516" s="82" t="s">
        <v>18</v>
      </c>
      <c r="I516" s="81"/>
      <c r="J516" s="82" t="s">
        <v>19</v>
      </c>
      <c r="K516" s="82" t="s">
        <v>20</v>
      </c>
      <c r="L516" s="81"/>
      <c r="M516" s="82" t="s">
        <v>19</v>
      </c>
      <c r="N516" s="81"/>
      <c r="O516" s="82" t="s">
        <v>19</v>
      </c>
      <c r="P516" s="81"/>
      <c r="Q516" s="82" t="s">
        <v>19</v>
      </c>
      <c r="R516" s="81"/>
      <c r="S516" s="82" t="s">
        <v>19</v>
      </c>
      <c r="T516" s="81"/>
      <c r="U516" s="82" t="s">
        <v>20</v>
      </c>
      <c r="V516" s="81"/>
      <c r="W516" s="82" t="s">
        <v>21</v>
      </c>
      <c r="X516" s="81"/>
      <c r="Y516" s="82" t="s">
        <v>22</v>
      </c>
    </row>
    <row r="517" spans="2:26" s="6" customFormat="1" x14ac:dyDescent="0.3">
      <c r="B517" s="81"/>
      <c r="C517" s="83"/>
      <c r="D517" s="83"/>
      <c r="E517" s="81"/>
      <c r="F517" s="81"/>
      <c r="G517" s="81"/>
      <c r="H517" s="81" t="s">
        <v>23</v>
      </c>
      <c r="I517" s="81"/>
      <c r="J517" s="81" t="s">
        <v>24</v>
      </c>
      <c r="K517" s="81" t="s">
        <v>25</v>
      </c>
      <c r="L517" s="81"/>
      <c r="M517" s="81" t="s">
        <v>26</v>
      </c>
      <c r="N517" s="81"/>
      <c r="O517" s="81" t="s">
        <v>27</v>
      </c>
      <c r="P517" s="81"/>
      <c r="Q517" s="81" t="s">
        <v>28</v>
      </c>
      <c r="R517" s="81"/>
      <c r="S517" s="85" t="s">
        <v>29</v>
      </c>
      <c r="T517" s="81"/>
      <c r="U517" s="85" t="s">
        <v>30</v>
      </c>
      <c r="V517" s="81"/>
      <c r="W517" s="85" t="s">
        <v>31</v>
      </c>
      <c r="X517" s="81"/>
      <c r="Y517" s="85" t="s">
        <v>32</v>
      </c>
      <c r="Z517" s="80"/>
    </row>
    <row r="518" spans="2:26" x14ac:dyDescent="0.3">
      <c r="B518" s="81"/>
      <c r="C518" s="83"/>
      <c r="E518" s="81"/>
      <c r="F518" s="91"/>
      <c r="G518" s="81"/>
      <c r="H518" s="88"/>
      <c r="I518" s="86"/>
      <c r="J518" s="88"/>
      <c r="K518" s="22"/>
      <c r="L518" s="88"/>
      <c r="M518" s="88"/>
      <c r="N518" s="13"/>
      <c r="O518" s="88"/>
      <c r="P518" s="13"/>
      <c r="Q518" s="88"/>
      <c r="R518" s="13"/>
      <c r="S518" s="88"/>
      <c r="T518" s="13"/>
      <c r="U518" s="22"/>
      <c r="V518" s="13"/>
      <c r="W518" s="92"/>
      <c r="X518" s="13"/>
      <c r="Y518" s="22"/>
    </row>
    <row r="519" spans="2:26" x14ac:dyDescent="0.3">
      <c r="B519" s="81"/>
      <c r="C519" s="83"/>
      <c r="D519" s="3" t="s">
        <v>164</v>
      </c>
      <c r="E519" s="81"/>
      <c r="F519" s="7"/>
      <c r="G519" s="81"/>
      <c r="H519" s="27"/>
      <c r="I519" s="86"/>
      <c r="J519" s="27"/>
      <c r="K519" s="86"/>
      <c r="L519" s="86"/>
      <c r="M519" s="28"/>
      <c r="N519" s="86"/>
      <c r="O519" s="29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1"/>
    </row>
    <row r="520" spans="2:26" x14ac:dyDescent="0.3">
      <c r="B520" s="81">
        <f>MAX(B$478:B519)+1</f>
        <v>270</v>
      </c>
      <c r="D520" s="10" t="s">
        <v>35</v>
      </c>
      <c r="E520" s="81"/>
      <c r="F520" s="11" t="s">
        <v>36</v>
      </c>
      <c r="G520" s="81"/>
      <c r="H520" s="12">
        <v>456.0000000000021</v>
      </c>
      <c r="I520" s="86"/>
      <c r="J520" s="12">
        <f>$H520*K520/1000</f>
        <v>353.97456000000165</v>
      </c>
      <c r="K520" s="87">
        <v>776.26</v>
      </c>
      <c r="L520" s="88"/>
      <c r="M520" s="12">
        <f t="shared" ref="M520:M524" si="154">J520-O520</f>
        <v>-790.16504156768474</v>
      </c>
      <c r="N520" s="13"/>
      <c r="O520" s="12">
        <v>1144.1396015676864</v>
      </c>
      <c r="P520" s="13"/>
      <c r="Q520" s="12">
        <f t="shared" ref="Q520:Q524" si="155">S520-O520</f>
        <v>-790.16504156768474</v>
      </c>
      <c r="R520" s="13"/>
      <c r="S520" s="12">
        <f>$H520*U520/1000</f>
        <v>353.97456000000165</v>
      </c>
      <c r="T520" s="13"/>
      <c r="U520" s="87">
        <v>776.26</v>
      </c>
      <c r="V520" s="13"/>
      <c r="W520" s="14">
        <f t="shared" ref="W520" si="156">S520/O520</f>
        <v>0.30938056817104304</v>
      </c>
      <c r="X520" s="13"/>
      <c r="Y520" s="15">
        <f t="shared" ref="Y520:Y524" si="157">U520/K520-1</f>
        <v>0</v>
      </c>
    </row>
    <row r="521" spans="2:26" x14ac:dyDescent="0.3">
      <c r="B521" s="81">
        <f>MAX(B$478:B520)+1</f>
        <v>271</v>
      </c>
      <c r="C521" s="83"/>
      <c r="D521" s="10" t="s">
        <v>37</v>
      </c>
      <c r="E521" s="81"/>
      <c r="F521" s="11" t="s">
        <v>39</v>
      </c>
      <c r="G521" s="81"/>
      <c r="H521" s="12">
        <v>55087.023449999993</v>
      </c>
      <c r="I521" s="86"/>
      <c r="J521" s="12">
        <f>$H521*K521/100</f>
        <v>1891.1278494998894</v>
      </c>
      <c r="K521" s="33">
        <v>3.4329824540554106</v>
      </c>
      <c r="L521" s="88"/>
      <c r="M521" s="12">
        <f t="shared" si="154"/>
        <v>1364.4025754121017</v>
      </c>
      <c r="N521" s="13"/>
      <c r="O521" s="12">
        <v>526.72527408778762</v>
      </c>
      <c r="P521" s="13"/>
      <c r="Q521" s="12">
        <f t="shared" si="155"/>
        <v>574.31246239034101</v>
      </c>
      <c r="R521" s="13"/>
      <c r="S521" s="12">
        <f>$H521*U521/100</f>
        <v>1101.0377364781286</v>
      </c>
      <c r="T521" s="13"/>
      <c r="U521" s="33">
        <v>1.9987243229387606</v>
      </c>
      <c r="V521" s="13"/>
      <c r="W521" s="14"/>
      <c r="X521" s="13"/>
      <c r="Y521" s="15">
        <f t="shared" si="157"/>
        <v>-0.41778778374539871</v>
      </c>
    </row>
    <row r="522" spans="2:26" x14ac:dyDescent="0.3">
      <c r="B522" s="81">
        <f>MAX(B$478:B521)+1</f>
        <v>272</v>
      </c>
      <c r="C522" s="83"/>
      <c r="D522" s="45" t="s">
        <v>160</v>
      </c>
      <c r="E522" s="81"/>
      <c r="F522" s="11" t="s">
        <v>39</v>
      </c>
      <c r="G522" s="81"/>
      <c r="H522" s="12">
        <v>4252.9598999999998</v>
      </c>
      <c r="I522" s="86"/>
      <c r="J522" s="12">
        <f>$H522*K522/100</f>
        <v>161.102121012</v>
      </c>
      <c r="K522" s="33">
        <v>3.7880000000000003</v>
      </c>
      <c r="L522" s="88"/>
      <c r="M522" s="12">
        <f t="shared" si="154"/>
        <v>161.102121012</v>
      </c>
      <c r="N522" s="13"/>
      <c r="O522" s="12">
        <v>0</v>
      </c>
      <c r="P522" s="13"/>
      <c r="Q522" s="12">
        <f t="shared" si="155"/>
        <v>96.000571100525008</v>
      </c>
      <c r="R522" s="13"/>
      <c r="S522" s="12">
        <f>$H522*U522/100</f>
        <v>96.000571100525008</v>
      </c>
      <c r="T522" s="13"/>
      <c r="U522" s="33">
        <v>2.257264901569493</v>
      </c>
      <c r="V522" s="13"/>
      <c r="W522" s="14"/>
      <c r="X522" s="13"/>
      <c r="Y522" s="15">
        <f t="shared" si="157"/>
        <v>-0.40410113474934195</v>
      </c>
    </row>
    <row r="523" spans="2:26" x14ac:dyDescent="0.3">
      <c r="B523" s="81">
        <f>MAX(B$478:B522)+1</f>
        <v>273</v>
      </c>
      <c r="C523" s="83"/>
      <c r="D523" s="45" t="s">
        <v>165</v>
      </c>
      <c r="E523" s="81"/>
      <c r="F523" s="11" t="s">
        <v>39</v>
      </c>
      <c r="G523" s="81"/>
      <c r="H523" s="12">
        <v>12766.517779999998</v>
      </c>
      <c r="I523" s="86"/>
      <c r="J523" s="12">
        <f>$H523*K523/100</f>
        <v>-6.7662544233999986</v>
      </c>
      <c r="K523" s="33">
        <v>-5.2999999999999999E-2</v>
      </c>
      <c r="L523" s="88"/>
      <c r="M523" s="12">
        <f t="shared" si="154"/>
        <v>-6.7662544233999986</v>
      </c>
      <c r="N523" s="13"/>
      <c r="O523" s="12">
        <v>0</v>
      </c>
      <c r="P523" s="13"/>
      <c r="Q523" s="12">
        <f t="shared" si="155"/>
        <v>-6.7662544233999986</v>
      </c>
      <c r="R523" s="13"/>
      <c r="S523" s="12">
        <f>$H523*U523/100</f>
        <v>-6.7662544233999986</v>
      </c>
      <c r="T523" s="13"/>
      <c r="U523" s="33">
        <v>-5.2999999999999999E-2</v>
      </c>
      <c r="V523" s="13"/>
      <c r="W523" s="14"/>
      <c r="X523" s="13"/>
      <c r="Y523" s="15">
        <f t="shared" si="157"/>
        <v>0</v>
      </c>
    </row>
    <row r="524" spans="2:26" x14ac:dyDescent="0.3">
      <c r="B524" s="81">
        <f>MAX(B$478:B523)+1</f>
        <v>274</v>
      </c>
      <c r="C524" s="83"/>
      <c r="D524" s="45" t="s">
        <v>166</v>
      </c>
      <c r="E524" s="81"/>
      <c r="F524" s="11" t="s">
        <v>39</v>
      </c>
      <c r="G524" s="81"/>
      <c r="H524" s="12">
        <v>12450.358</v>
      </c>
      <c r="I524" s="86"/>
      <c r="J524" s="12">
        <f>$H524*K524/100</f>
        <v>-0.26394758960000003</v>
      </c>
      <c r="K524" s="33">
        <v>-2.1199999999999999E-3</v>
      </c>
      <c r="L524" s="88"/>
      <c r="M524" s="12">
        <f t="shared" si="154"/>
        <v>-0.26394758960000003</v>
      </c>
      <c r="N524" s="13"/>
      <c r="O524" s="12">
        <v>0</v>
      </c>
      <c r="P524" s="13"/>
      <c r="Q524" s="12">
        <f t="shared" si="155"/>
        <v>-0.26394758960000003</v>
      </c>
      <c r="R524" s="13"/>
      <c r="S524" s="12">
        <f>$H524*U524/100</f>
        <v>-0.26394758960000003</v>
      </c>
      <c r="T524" s="13"/>
      <c r="U524" s="33">
        <v>-2.1199999999999999E-3</v>
      </c>
      <c r="V524" s="13"/>
      <c r="W524" s="14"/>
      <c r="X524" s="13"/>
      <c r="Y524" s="15">
        <f t="shared" si="157"/>
        <v>0</v>
      </c>
    </row>
    <row r="525" spans="2:26" x14ac:dyDescent="0.3">
      <c r="B525" s="81"/>
      <c r="C525" s="83"/>
      <c r="D525" s="10"/>
      <c r="E525" s="81"/>
      <c r="F525" s="11"/>
      <c r="G525" s="81"/>
      <c r="H525" s="12"/>
      <c r="I525" s="86"/>
      <c r="J525" s="12"/>
      <c r="K525" s="33"/>
      <c r="L525" s="88"/>
      <c r="M525" s="12"/>
      <c r="N525" s="13"/>
      <c r="O525" s="12"/>
      <c r="P525" s="13"/>
      <c r="Q525" s="12"/>
      <c r="R525" s="13"/>
      <c r="S525" s="12"/>
      <c r="T525" s="13"/>
      <c r="U525" s="33"/>
      <c r="V525" s="13"/>
      <c r="W525" s="14"/>
      <c r="X525" s="13"/>
      <c r="Y525" s="16"/>
    </row>
    <row r="526" spans="2:26" x14ac:dyDescent="0.3">
      <c r="B526" s="81">
        <f>MAX(B$478:B525)+1</f>
        <v>275</v>
      </c>
      <c r="C526" s="83"/>
      <c r="D526" s="10" t="s">
        <v>161</v>
      </c>
      <c r="E526" s="81"/>
      <c r="F526" s="11"/>
      <c r="G526" s="81"/>
      <c r="H526" s="89">
        <f>H521</f>
        <v>55087.023449999993</v>
      </c>
      <c r="I526" s="86"/>
      <c r="J526" s="89">
        <f>SUM(J520:J524)</f>
        <v>2399.1743284988911</v>
      </c>
      <c r="K526" s="19">
        <f>J526/$H526*100</f>
        <v>4.3552440815331277</v>
      </c>
      <c r="L526" s="88"/>
      <c r="M526" s="89">
        <f>SUM(M520:M524)</f>
        <v>728.30945284341692</v>
      </c>
      <c r="N526" s="13"/>
      <c r="O526" s="89">
        <f>SUM(O520:O524)</f>
        <v>1670.864875655474</v>
      </c>
      <c r="P526" s="13"/>
      <c r="Q526" s="89">
        <f>SUM(Q520:Q524)</f>
        <v>-126.88221008981871</v>
      </c>
      <c r="R526" s="13"/>
      <c r="S526" s="89">
        <f>SUM(S520:S524)</f>
        <v>1543.9826655656555</v>
      </c>
      <c r="T526" s="13"/>
      <c r="U526" s="19">
        <f>S526/$H526*100</f>
        <v>2.8028064848467604</v>
      </c>
      <c r="V526" s="13"/>
      <c r="W526" s="90">
        <f>S526/O526</f>
        <v>0.92406195621292053</v>
      </c>
      <c r="X526" s="13"/>
      <c r="Y526" s="20">
        <f>U526/K526-1</f>
        <v>-0.35645248983149525</v>
      </c>
    </row>
    <row r="527" spans="2:26" x14ac:dyDescent="0.3">
      <c r="E527" s="81"/>
      <c r="F527" s="11"/>
      <c r="G527" s="81"/>
      <c r="H527" s="12"/>
      <c r="I527" s="86"/>
      <c r="J527" s="12"/>
      <c r="K527" s="33"/>
      <c r="L527" s="88"/>
      <c r="M527" s="12"/>
      <c r="N527" s="13"/>
      <c r="O527" s="12"/>
      <c r="P527" s="13"/>
      <c r="Q527" s="12"/>
      <c r="R527" s="13"/>
      <c r="S527" s="12"/>
      <c r="T527" s="13"/>
      <c r="U527" s="33"/>
      <c r="V527" s="13"/>
      <c r="W527" s="14"/>
      <c r="X527" s="13"/>
      <c r="Y527" s="15"/>
    </row>
    <row r="528" spans="2:26" x14ac:dyDescent="0.3">
      <c r="D528" s="10" t="s">
        <v>167</v>
      </c>
      <c r="E528" s="81"/>
      <c r="F528" s="11"/>
      <c r="G528" s="81"/>
      <c r="H528" s="12"/>
      <c r="I528" s="86"/>
      <c r="J528" s="12"/>
      <c r="K528" s="33"/>
      <c r="L528" s="88"/>
      <c r="M528" s="12"/>
      <c r="N528" s="13"/>
      <c r="O528" s="12"/>
      <c r="P528" s="13"/>
      <c r="Q528" s="12"/>
      <c r="R528" s="13"/>
      <c r="S528" s="12"/>
      <c r="T528" s="13"/>
      <c r="U528" s="33"/>
      <c r="V528" s="13"/>
      <c r="W528" s="14"/>
      <c r="X528" s="13"/>
      <c r="Y528" s="15"/>
    </row>
    <row r="529" spans="2:26" x14ac:dyDescent="0.3">
      <c r="B529" s="81">
        <f>MAX(B$478:B528)+1</f>
        <v>276</v>
      </c>
      <c r="C529" s="83"/>
      <c r="D529" s="18" t="s">
        <v>61</v>
      </c>
      <c r="E529" s="81"/>
      <c r="F529" s="39" t="s">
        <v>62</v>
      </c>
      <c r="G529" s="81"/>
      <c r="H529" s="12">
        <v>431.904</v>
      </c>
      <c r="I529" s="86"/>
      <c r="J529" s="12">
        <f>$H529*K529/100</f>
        <v>182.27644512000003</v>
      </c>
      <c r="K529" s="33">
        <v>42.203000000000003</v>
      </c>
      <c r="L529" s="88"/>
      <c r="M529" s="12">
        <f t="shared" ref="M529:M531" si="158">J529-O529</f>
        <v>-39.349727873816164</v>
      </c>
      <c r="N529" s="13"/>
      <c r="O529" s="12">
        <v>221.6261729938162</v>
      </c>
      <c r="P529" s="13"/>
      <c r="Q529" s="12">
        <f t="shared" ref="Q529:Q531" si="159">S529-O529</f>
        <v>-58.483913599565142</v>
      </c>
      <c r="R529" s="13"/>
      <c r="S529" s="12">
        <f>$H529*U529/100</f>
        <v>163.14225939425106</v>
      </c>
      <c r="T529" s="13"/>
      <c r="U529" s="33">
        <v>37.772805853673745</v>
      </c>
      <c r="V529" s="13"/>
      <c r="W529" s="14">
        <f t="shared" ref="W529" si="160">S529/O529</f>
        <v>0.73611458967349963</v>
      </c>
      <c r="X529" s="13"/>
      <c r="Y529" s="15">
        <f t="shared" ref="Y529:Y531" si="161">U529/K529-1</f>
        <v>-0.10497344137445819</v>
      </c>
    </row>
    <row r="530" spans="2:26" x14ac:dyDescent="0.3">
      <c r="B530" s="81">
        <f>MAX(B$478:B529)+1</f>
        <v>277</v>
      </c>
      <c r="D530" s="18" t="s">
        <v>37</v>
      </c>
      <c r="E530" s="81"/>
      <c r="F530" s="11" t="s">
        <v>39</v>
      </c>
      <c r="G530" s="81"/>
      <c r="H530" s="12">
        <v>4405.8775999999998</v>
      </c>
      <c r="I530" s="86"/>
      <c r="J530" s="12">
        <f>$H530*K530/100</f>
        <v>155.23435459440481</v>
      </c>
      <c r="K530" s="33">
        <v>3.5233469625757374</v>
      </c>
      <c r="L530" s="88"/>
      <c r="M530" s="12">
        <f t="shared" si="158"/>
        <v>135.43998589607111</v>
      </c>
      <c r="N530" s="13"/>
      <c r="O530" s="12">
        <v>19.794368698333699</v>
      </c>
      <c r="P530" s="13"/>
      <c r="Q530" s="12">
        <f t="shared" si="159"/>
        <v>145.56467730957837</v>
      </c>
      <c r="R530" s="13"/>
      <c r="S530" s="12">
        <f>$H530*U530/100</f>
        <v>165.35904600791207</v>
      </c>
      <c r="T530" s="13"/>
      <c r="U530" s="33">
        <v>3.7531466150560351</v>
      </c>
      <c r="V530" s="13"/>
      <c r="W530" s="14"/>
      <c r="X530" s="13"/>
      <c r="Y530" s="15">
        <f t="shared" si="161"/>
        <v>6.5221976410833715E-2</v>
      </c>
    </row>
    <row r="531" spans="2:26" x14ac:dyDescent="0.3">
      <c r="B531" s="81">
        <f>MAX(B$478:B530)+1</f>
        <v>278</v>
      </c>
      <c r="D531" s="18" t="s">
        <v>156</v>
      </c>
      <c r="E531" s="81"/>
      <c r="F531" s="11" t="s">
        <v>39</v>
      </c>
      <c r="G531" s="81"/>
      <c r="H531" s="12">
        <v>854.38999999999942</v>
      </c>
      <c r="I531" s="86"/>
      <c r="J531" s="12">
        <f>$H531*K531/100</f>
        <v>34.745059556999998</v>
      </c>
      <c r="K531" s="33">
        <v>4.0666510091410268</v>
      </c>
      <c r="L531" s="88"/>
      <c r="M531" s="12">
        <f t="shared" si="158"/>
        <v>34.745059556999998</v>
      </c>
      <c r="N531" s="13"/>
      <c r="O531" s="12">
        <v>0</v>
      </c>
      <c r="P531" s="13"/>
      <c r="Q531" s="12">
        <f t="shared" si="159"/>
        <v>36.70844480782641</v>
      </c>
      <c r="R531" s="13"/>
      <c r="S531" s="12">
        <f>$H531*U531/100</f>
        <v>36.70844480782641</v>
      </c>
      <c r="T531" s="13"/>
      <c r="U531" s="33">
        <v>4.2964506616213249</v>
      </c>
      <c r="V531" s="13"/>
      <c r="W531" s="14"/>
      <c r="X531" s="13"/>
      <c r="Y531" s="15">
        <f t="shared" si="161"/>
        <v>5.6508328834648847E-2</v>
      </c>
    </row>
    <row r="532" spans="2:26" x14ac:dyDescent="0.3">
      <c r="B532" s="81"/>
      <c r="C532" s="83"/>
      <c r="D532" s="10"/>
      <c r="E532" s="81"/>
      <c r="F532" s="11"/>
      <c r="G532" s="81"/>
      <c r="H532" s="12"/>
      <c r="I532" s="86"/>
      <c r="J532" s="12"/>
      <c r="K532" s="33"/>
      <c r="L532" s="88"/>
      <c r="M532" s="12"/>
      <c r="N532" s="13"/>
      <c r="O532" s="12"/>
      <c r="P532" s="13"/>
      <c r="Q532" s="12"/>
      <c r="R532" s="13"/>
      <c r="S532" s="12"/>
      <c r="T532" s="13"/>
      <c r="U532" s="33"/>
      <c r="V532" s="13"/>
      <c r="W532" s="14"/>
      <c r="X532" s="13"/>
      <c r="Y532" s="15"/>
    </row>
    <row r="533" spans="2:26" x14ac:dyDescent="0.3">
      <c r="B533" s="81">
        <f>MAX(B$478:B532)+1</f>
        <v>279</v>
      </c>
      <c r="C533" s="83"/>
      <c r="D533" s="10" t="s">
        <v>158</v>
      </c>
      <c r="E533" s="81"/>
      <c r="F533" s="11"/>
      <c r="G533" s="81"/>
      <c r="H533" s="89">
        <f>H530</f>
        <v>4405.8775999999998</v>
      </c>
      <c r="I533" s="86"/>
      <c r="J533" s="89">
        <f>SUM(J529:J531)</f>
        <v>372.2558592714048</v>
      </c>
      <c r="K533" s="19">
        <f>J533/$H533*100</f>
        <v>8.4490740113026472</v>
      </c>
      <c r="L533" s="88"/>
      <c r="M533" s="89">
        <f>SUM(M529:M531)</f>
        <v>130.83531757925493</v>
      </c>
      <c r="N533" s="13"/>
      <c r="O533" s="89">
        <f>SUM(O529:O531)</f>
        <v>241.4205416921499</v>
      </c>
      <c r="P533" s="13"/>
      <c r="Q533" s="89">
        <f>SUM(Q529:Q531)</f>
        <v>123.78920851783964</v>
      </c>
      <c r="R533" s="13"/>
      <c r="S533" s="89">
        <f>SUM(S529:S531)</f>
        <v>365.20975020998952</v>
      </c>
      <c r="T533" s="13"/>
      <c r="U533" s="19">
        <f>S533/$H533*100</f>
        <v>8.2891488000027405</v>
      </c>
      <c r="V533" s="13"/>
      <c r="W533" s="90">
        <f>S533/O533</f>
        <v>1.5127534204429498</v>
      </c>
      <c r="X533" s="13"/>
      <c r="Y533" s="20">
        <f>U533/K533-1</f>
        <v>-1.8928134738312008E-2</v>
      </c>
    </row>
    <row r="534" spans="2:26" x14ac:dyDescent="0.3">
      <c r="E534" s="81"/>
      <c r="F534" s="11"/>
      <c r="G534" s="81"/>
      <c r="H534" s="12"/>
      <c r="I534" s="86"/>
      <c r="J534" s="12"/>
      <c r="K534" s="33"/>
      <c r="L534" s="88"/>
      <c r="M534" s="12"/>
      <c r="N534" s="13"/>
      <c r="O534" s="12"/>
      <c r="P534" s="13"/>
      <c r="Q534" s="12"/>
      <c r="R534" s="13"/>
      <c r="S534" s="12"/>
      <c r="T534" s="13"/>
      <c r="U534" s="33"/>
      <c r="V534" s="13"/>
      <c r="W534" s="14"/>
      <c r="X534" s="13"/>
      <c r="Y534" s="15"/>
    </row>
    <row r="535" spans="2:26" x14ac:dyDescent="0.3">
      <c r="B535" s="81"/>
      <c r="C535" s="83"/>
      <c r="D535" s="10" t="s">
        <v>44</v>
      </c>
      <c r="E535" s="81"/>
      <c r="F535" s="91"/>
      <c r="G535" s="81"/>
      <c r="H535" s="12"/>
      <c r="I535" s="86"/>
      <c r="J535" s="12"/>
      <c r="K535" s="33"/>
      <c r="L535" s="88"/>
      <c r="M535" s="12"/>
      <c r="N535" s="13"/>
      <c r="O535" s="12"/>
      <c r="P535" s="13"/>
      <c r="Q535" s="12"/>
      <c r="R535" s="13"/>
      <c r="S535" s="12"/>
      <c r="T535" s="13"/>
      <c r="U535" s="22"/>
      <c r="V535" s="13"/>
      <c r="W535" s="14"/>
      <c r="X535" s="13"/>
      <c r="Y535" s="23"/>
    </row>
    <row r="536" spans="2:26" x14ac:dyDescent="0.3">
      <c r="B536" s="81">
        <f>MAX(B$478:B535)+1</f>
        <v>280</v>
      </c>
      <c r="C536" s="83"/>
      <c r="D536" s="18" t="s">
        <v>45</v>
      </c>
      <c r="E536" s="81"/>
      <c r="F536" s="91" t="s">
        <v>39</v>
      </c>
      <c r="G536" s="81"/>
      <c r="H536" s="12">
        <v>2163.9659000000001</v>
      </c>
      <c r="I536" s="86"/>
      <c r="J536" s="12">
        <f>$H536*K536/100</f>
        <v>0</v>
      </c>
      <c r="K536" s="33">
        <v>0</v>
      </c>
      <c r="L536" s="88"/>
      <c r="M536" s="12">
        <f t="shared" ref="M536:M537" si="162">J536-O536</f>
        <v>-0.23204241000369411</v>
      </c>
      <c r="N536" s="13"/>
      <c r="O536" s="12">
        <f>S536</f>
        <v>0.23204241000369411</v>
      </c>
      <c r="P536" s="13"/>
      <c r="Q536" s="12">
        <f t="shared" ref="Q536:Q537" si="163">S536-O536</f>
        <v>0</v>
      </c>
      <c r="R536" s="13"/>
      <c r="S536" s="12">
        <f>$H536*U536/100</f>
        <v>0.23204241000369411</v>
      </c>
      <c r="T536" s="13"/>
      <c r="U536" s="33">
        <v>1.0723016014424908E-2</v>
      </c>
      <c r="V536" s="13"/>
      <c r="W536" s="92"/>
      <c r="X536" s="13"/>
      <c r="Y536" s="15"/>
    </row>
    <row r="537" spans="2:26" x14ac:dyDescent="0.3">
      <c r="B537" s="81">
        <f>MAX(B$478:B536)+1</f>
        <v>281</v>
      </c>
      <c r="C537" s="83"/>
      <c r="D537" s="18" t="s">
        <v>46</v>
      </c>
      <c r="E537" s="81"/>
      <c r="F537" s="91" t="s">
        <v>39</v>
      </c>
      <c r="G537" s="81"/>
      <c r="H537" s="12">
        <f>H521+H530-H536</f>
        <v>57328.93514999999</v>
      </c>
      <c r="I537" s="86"/>
      <c r="J537" s="12">
        <f>$H537*K537/100</f>
        <v>0</v>
      </c>
      <c r="K537" s="33">
        <v>0</v>
      </c>
      <c r="L537" s="88"/>
      <c r="M537" s="12">
        <f t="shared" si="162"/>
        <v>-6.1473908970337687</v>
      </c>
      <c r="N537" s="88"/>
      <c r="O537" s="12">
        <f>S537</f>
        <v>6.1473908970337687</v>
      </c>
      <c r="P537" s="88"/>
      <c r="Q537" s="12">
        <f t="shared" si="163"/>
        <v>0</v>
      </c>
      <c r="R537" s="88"/>
      <c r="S537" s="12">
        <f>$H537*U537/100</f>
        <v>6.1473908970337687</v>
      </c>
      <c r="T537" s="88"/>
      <c r="U537" s="33">
        <v>1.0723016014424908E-2</v>
      </c>
      <c r="V537" s="88"/>
      <c r="W537" s="92"/>
      <c r="X537" s="88"/>
      <c r="Y537" s="15"/>
      <c r="Z537" s="81"/>
    </row>
    <row r="538" spans="2:26" x14ac:dyDescent="0.3">
      <c r="B538" s="81">
        <f>MAX(B$478:B537)+1</f>
        <v>282</v>
      </c>
      <c r="C538" s="83"/>
      <c r="D538" s="10" t="s">
        <v>44</v>
      </c>
      <c r="E538" s="81"/>
      <c r="F538" s="11"/>
      <c r="G538" s="81"/>
      <c r="H538" s="89">
        <f>SUM(H536:H537)</f>
        <v>59492.901049999993</v>
      </c>
      <c r="I538" s="86"/>
      <c r="J538" s="89">
        <f>SUM(J536:J537)</f>
        <v>0</v>
      </c>
      <c r="K538" s="19">
        <f>J538/$H538*100</f>
        <v>0</v>
      </c>
      <c r="L538" s="88"/>
      <c r="M538" s="89">
        <f>SUM(M536:M537)</f>
        <v>-6.3794333070374627</v>
      </c>
      <c r="N538" s="13"/>
      <c r="O538" s="89">
        <f>SUM(O536:O537)</f>
        <v>6.3794333070374627</v>
      </c>
      <c r="P538" s="13"/>
      <c r="Q538" s="89">
        <f>SUM(Q536:Q537)</f>
        <v>0</v>
      </c>
      <c r="R538" s="13"/>
      <c r="S538" s="89">
        <f>SUM(S536:S537)</f>
        <v>6.3794333070374627</v>
      </c>
      <c r="T538" s="13"/>
      <c r="U538" s="19">
        <f>S538/$H538*100</f>
        <v>1.0723016014424906E-2</v>
      </c>
      <c r="V538" s="13"/>
      <c r="W538" s="90">
        <f>S538/O538</f>
        <v>1</v>
      </c>
      <c r="X538" s="13"/>
      <c r="Y538" s="20"/>
    </row>
    <row r="539" spans="2:26" x14ac:dyDescent="0.3"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24"/>
    </row>
    <row r="540" spans="2:26" x14ac:dyDescent="0.3">
      <c r="B540" s="81">
        <f>MAX(B$478:B539)+1</f>
        <v>283</v>
      </c>
      <c r="C540" s="83"/>
      <c r="D540" s="10" t="s">
        <v>162</v>
      </c>
      <c r="E540" s="81"/>
      <c r="F540" s="11" t="s">
        <v>39</v>
      </c>
      <c r="G540" s="81"/>
      <c r="H540" s="12">
        <v>1599.69</v>
      </c>
      <c r="I540" s="86"/>
      <c r="J540" s="12">
        <f>$H540*K540/100</f>
        <v>3.4249362900000007</v>
      </c>
      <c r="K540" s="33">
        <v>0.21410000000000001</v>
      </c>
      <c r="L540" s="88"/>
      <c r="M540" s="12">
        <f t="shared" ref="M540:M541" si="164">J540-O540</f>
        <v>3.4249362900000007</v>
      </c>
      <c r="N540" s="13"/>
      <c r="O540" s="12">
        <v>0</v>
      </c>
      <c r="P540" s="13"/>
      <c r="Q540" s="12">
        <f t="shared" ref="Q540:Q541" si="165">S540-O540</f>
        <v>1.8816038915769595</v>
      </c>
      <c r="R540" s="13"/>
      <c r="S540" s="12">
        <f>$H540*U540/100</f>
        <v>1.8816038915769595</v>
      </c>
      <c r="T540" s="13"/>
      <c r="U540" s="33">
        <v>0.11762303268614291</v>
      </c>
      <c r="V540" s="13"/>
      <c r="W540" s="14"/>
      <c r="X540" s="13"/>
      <c r="Y540" s="15">
        <f>U540/K540-1</f>
        <v>-0.45061638166210694</v>
      </c>
    </row>
    <row r="541" spans="2:26" x14ac:dyDescent="0.3">
      <c r="B541" s="81">
        <f>MAX(B$478:B540)+1</f>
        <v>284</v>
      </c>
      <c r="C541" s="83"/>
      <c r="D541" s="10" t="s">
        <v>49</v>
      </c>
      <c r="E541" s="81"/>
      <c r="F541" s="11" t="s">
        <v>39</v>
      </c>
      <c r="G541" s="81"/>
      <c r="H541" s="12">
        <f>H536</f>
        <v>2163.9659000000001</v>
      </c>
      <c r="I541" s="86"/>
      <c r="J541" s="12">
        <f>$H541*K541/100</f>
        <v>351.49840518144049</v>
      </c>
      <c r="K541" s="33">
        <v>16.243250652953471</v>
      </c>
      <c r="L541" s="88"/>
      <c r="M541" s="12">
        <f t="shared" si="164"/>
        <v>7.3424980620595761</v>
      </c>
      <c r="N541" s="13"/>
      <c r="O541" s="12">
        <f t="shared" ref="O541" si="166">S541</f>
        <v>344.15590711938091</v>
      </c>
      <c r="P541" s="13"/>
      <c r="Q541" s="12">
        <f t="shared" si="165"/>
        <v>0</v>
      </c>
      <c r="R541" s="13"/>
      <c r="S541" s="12">
        <f>$H541*U541/100</f>
        <v>344.15590711938091</v>
      </c>
      <c r="T541" s="13"/>
      <c r="U541" s="33">
        <v>15.903943177634218</v>
      </c>
      <c r="V541" s="13"/>
      <c r="W541" s="14">
        <f>S541/O541</f>
        <v>1</v>
      </c>
      <c r="X541" s="13"/>
      <c r="Y541" s="15">
        <f>U541/K541-1</f>
        <v>-2.0889136206092895E-2</v>
      </c>
    </row>
    <row r="542" spans="2:26" x14ac:dyDescent="0.3">
      <c r="B542" s="81"/>
      <c r="C542" s="83"/>
      <c r="D542" s="10"/>
      <c r="E542" s="81"/>
      <c r="F542" s="11"/>
      <c r="G542" s="81"/>
      <c r="H542" s="12"/>
      <c r="I542" s="86"/>
      <c r="J542" s="12"/>
      <c r="K542" s="33"/>
      <c r="L542" s="88"/>
      <c r="M542" s="12"/>
      <c r="N542" s="13"/>
      <c r="O542" s="12"/>
      <c r="P542" s="13"/>
      <c r="Q542" s="12"/>
      <c r="R542" s="13"/>
      <c r="S542" s="12"/>
      <c r="T542" s="13"/>
      <c r="U542" s="33"/>
      <c r="V542" s="13"/>
      <c r="W542" s="14"/>
      <c r="X542" s="13"/>
      <c r="Y542" s="15"/>
    </row>
    <row r="543" spans="2:26" ht="12.9" thickBot="1" x14ac:dyDescent="0.35">
      <c r="B543" s="81">
        <f>MAX(B$478:B542)+1</f>
        <v>285</v>
      </c>
      <c r="C543" s="83"/>
      <c r="D543" s="10" t="s">
        <v>168</v>
      </c>
      <c r="E543" s="81"/>
      <c r="F543" s="11"/>
      <c r="G543" s="81"/>
      <c r="H543" s="93">
        <f>H521+H533</f>
        <v>59492.901049999993</v>
      </c>
      <c r="I543" s="86"/>
      <c r="J543" s="93">
        <f>SUM(J526,J533,J538,J540:J541)</f>
        <v>3126.3535292417364</v>
      </c>
      <c r="K543" s="25">
        <f>J543/$H543*100</f>
        <v>5.2550026542061472</v>
      </c>
      <c r="L543" s="88"/>
      <c r="M543" s="93">
        <f>SUM(M526,M533,M538,M540:M541)</f>
        <v>863.53277146769392</v>
      </c>
      <c r="N543" s="13"/>
      <c r="O543" s="93">
        <f>SUM(O526,O533,O538,O540:O541)</f>
        <v>2262.8207577740422</v>
      </c>
      <c r="P543" s="13"/>
      <c r="Q543" s="93">
        <f>SUM(Q526,Q533,Q538,Q540:Q541)</f>
        <v>-1.2113976804021136</v>
      </c>
      <c r="R543" s="13"/>
      <c r="S543" s="93">
        <f>SUM(S526,S533,S538,S540:S541)</f>
        <v>2261.6093600936406</v>
      </c>
      <c r="T543" s="13"/>
      <c r="U543" s="25">
        <f>S543/$H543*100</f>
        <v>3.8014776892337157</v>
      </c>
      <c r="V543" s="13"/>
      <c r="W543" s="94">
        <f>S543/O543</f>
        <v>0.99946465150797303</v>
      </c>
      <c r="X543" s="13"/>
      <c r="Y543" s="26">
        <f>U543/K543-1</f>
        <v>-0.27659833126992206</v>
      </c>
    </row>
    <row r="544" spans="2:26" ht="12.9" thickTop="1" x14ac:dyDescent="0.3">
      <c r="B544" s="81"/>
      <c r="C544" s="83"/>
      <c r="D544" s="10"/>
      <c r="E544" s="81"/>
      <c r="F544" s="11"/>
      <c r="G544" s="81"/>
      <c r="H544" s="88"/>
      <c r="I544" s="86"/>
      <c r="J544" s="88"/>
      <c r="K544" s="33"/>
      <c r="L544" s="88"/>
      <c r="M544" s="88"/>
      <c r="N544" s="13"/>
      <c r="O544" s="88"/>
      <c r="P544" s="13"/>
      <c r="Q544" s="88"/>
      <c r="R544" s="13"/>
      <c r="S544" s="88"/>
      <c r="T544" s="13"/>
      <c r="U544" s="33"/>
      <c r="V544" s="13"/>
      <c r="W544" s="92"/>
      <c r="X544" s="13"/>
      <c r="Y544" s="15"/>
    </row>
    <row r="545" spans="2:26" x14ac:dyDescent="0.3">
      <c r="B545" s="81"/>
      <c r="C545" s="83"/>
      <c r="D545" s="3" t="s">
        <v>169</v>
      </c>
      <c r="E545" s="81"/>
      <c r="F545" s="7"/>
      <c r="G545" s="81"/>
      <c r="H545" s="27"/>
      <c r="I545" s="86"/>
      <c r="J545" s="27"/>
      <c r="K545" s="86"/>
      <c r="L545" s="86"/>
      <c r="M545" s="28"/>
      <c r="N545" s="86"/>
      <c r="O545" s="29"/>
      <c r="P545" s="86"/>
      <c r="Q545" s="86"/>
      <c r="R545" s="86"/>
      <c r="S545" s="86"/>
      <c r="T545" s="86"/>
      <c r="U545" s="86"/>
      <c r="V545" s="86"/>
      <c r="W545" s="86"/>
      <c r="X545" s="86"/>
      <c r="Y545" s="95"/>
      <c r="Z545" s="81"/>
    </row>
    <row r="546" spans="2:26" x14ac:dyDescent="0.3">
      <c r="D546" s="10" t="s">
        <v>167</v>
      </c>
      <c r="E546" s="81"/>
      <c r="F546" s="11"/>
      <c r="G546" s="81"/>
      <c r="H546" s="12"/>
      <c r="I546" s="86"/>
      <c r="J546" s="12"/>
      <c r="K546" s="33"/>
      <c r="L546" s="88"/>
      <c r="M546" s="12"/>
      <c r="N546" s="13"/>
      <c r="O546" s="12"/>
      <c r="P546" s="13"/>
      <c r="Q546" s="12"/>
      <c r="R546" s="13"/>
      <c r="S546" s="12"/>
      <c r="T546" s="13"/>
      <c r="U546" s="33"/>
      <c r="V546" s="13"/>
      <c r="W546" s="14"/>
      <c r="X546" s="13"/>
      <c r="Y546" s="15"/>
    </row>
    <row r="547" spans="2:26" x14ac:dyDescent="0.3">
      <c r="B547" s="81">
        <f>MAX(B$66:B546)+1</f>
        <v>286</v>
      </c>
      <c r="C547" s="83"/>
      <c r="D547" s="18" t="s">
        <v>61</v>
      </c>
      <c r="E547" s="81"/>
      <c r="F547" s="39" t="s">
        <v>62</v>
      </c>
      <c r="G547" s="81"/>
      <c r="H547" s="12">
        <v>71858.168000000005</v>
      </c>
      <c r="I547" s="86"/>
      <c r="J547" s="12">
        <f>$H547*K547/100</f>
        <v>26571.138497696003</v>
      </c>
      <c r="K547" s="33">
        <v>36.977200000000003</v>
      </c>
      <c r="L547" s="88"/>
      <c r="M547" s="12">
        <f t="shared" ref="M547:M549" si="167">J547-O547</f>
        <v>-6165.4666656040827</v>
      </c>
      <c r="N547" s="13"/>
      <c r="O547" s="12">
        <v>32736.605163300086</v>
      </c>
      <c r="P547" s="13"/>
      <c r="Q547" s="12">
        <f t="shared" ref="Q547:Q549" si="168">S547-O547</f>
        <v>-173.23989733189228</v>
      </c>
      <c r="R547" s="13"/>
      <c r="S547" s="12">
        <f>$H547*U547/100</f>
        <v>32563.365265968194</v>
      </c>
      <c r="T547" s="13"/>
      <c r="U547" s="33">
        <v>45.316164010705357</v>
      </c>
      <c r="V547" s="13"/>
      <c r="W547" s="14">
        <f t="shared" ref="W547" si="169">S547/O547</f>
        <v>0.99470806772822906</v>
      </c>
      <c r="X547" s="13"/>
      <c r="Y547" s="15">
        <f t="shared" ref="Y547:Y549" si="170">U547/K547-1</f>
        <v>0.22551637254052093</v>
      </c>
    </row>
    <row r="548" spans="2:26" x14ac:dyDescent="0.3">
      <c r="B548" s="81">
        <f>MAX(B$547:B547)+1</f>
        <v>287</v>
      </c>
      <c r="D548" s="18" t="s">
        <v>37</v>
      </c>
      <c r="E548" s="81"/>
      <c r="F548" s="11" t="s">
        <v>39</v>
      </c>
      <c r="G548" s="81"/>
      <c r="H548" s="12">
        <v>713737.64702999999</v>
      </c>
      <c r="I548" s="86"/>
      <c r="J548" s="12">
        <f>$H548*K548/100</f>
        <v>2665.0963740100201</v>
      </c>
      <c r="K548" s="33">
        <v>0.37340000000000001</v>
      </c>
      <c r="L548" s="88"/>
      <c r="M548" s="12">
        <f t="shared" si="167"/>
        <v>-672.19316279465102</v>
      </c>
      <c r="N548" s="13"/>
      <c r="O548" s="12">
        <v>3337.2895368046711</v>
      </c>
      <c r="P548" s="13"/>
      <c r="Q548" s="12">
        <f t="shared" si="168"/>
        <v>-101.32538894333584</v>
      </c>
      <c r="R548" s="13"/>
      <c r="S548" s="12">
        <f>$H548*U548/100</f>
        <v>3235.9641478613353</v>
      </c>
      <c r="T548" s="13"/>
      <c r="U548" s="33">
        <v>0.45338285871941963</v>
      </c>
      <c r="V548" s="13"/>
      <c r="W548" s="14"/>
      <c r="X548" s="13"/>
      <c r="Y548" s="15">
        <f t="shared" si="170"/>
        <v>0.2142015498645411</v>
      </c>
    </row>
    <row r="549" spans="2:26" x14ac:dyDescent="0.3">
      <c r="B549" s="81">
        <f>MAX(B$547:B548)+1</f>
        <v>288</v>
      </c>
      <c r="D549" s="18" t="s">
        <v>156</v>
      </c>
      <c r="E549" s="81"/>
      <c r="F549" s="11" t="s">
        <v>39</v>
      </c>
      <c r="G549" s="81"/>
      <c r="H549" s="12">
        <v>22348.747200000002</v>
      </c>
      <c r="I549" s="86"/>
      <c r="J549" s="12">
        <f>$H549*K549/100</f>
        <v>83.450222044800014</v>
      </c>
      <c r="K549" s="33">
        <v>0.37340000000000001</v>
      </c>
      <c r="L549" s="88"/>
      <c r="M549" s="12">
        <f t="shared" si="167"/>
        <v>83.450222044800014</v>
      </c>
      <c r="N549" s="13"/>
      <c r="O549" s="12">
        <v>0</v>
      </c>
      <c r="P549" s="13"/>
      <c r="Q549" s="12">
        <f t="shared" si="168"/>
        <v>101.32538894333625</v>
      </c>
      <c r="R549" s="13"/>
      <c r="S549" s="12">
        <f>$H549*U549/100</f>
        <v>101.32538894333625</v>
      </c>
      <c r="T549" s="13"/>
      <c r="U549" s="33">
        <v>0.45338285871941963</v>
      </c>
      <c r="V549" s="13"/>
      <c r="W549" s="14"/>
      <c r="X549" s="13"/>
      <c r="Y549" s="15">
        <f t="shared" si="170"/>
        <v>0.2142015498645411</v>
      </c>
    </row>
    <row r="550" spans="2:26" x14ac:dyDescent="0.3">
      <c r="B550" s="81"/>
      <c r="C550" s="83"/>
      <c r="D550" s="10"/>
      <c r="E550" s="81"/>
      <c r="F550" s="11"/>
      <c r="G550" s="81"/>
      <c r="H550" s="12"/>
      <c r="I550" s="86"/>
      <c r="J550" s="12"/>
      <c r="K550" s="33"/>
      <c r="L550" s="88"/>
      <c r="M550" s="12"/>
      <c r="N550" s="13"/>
      <c r="O550" s="12"/>
      <c r="P550" s="13"/>
      <c r="Q550" s="12"/>
      <c r="R550" s="13"/>
      <c r="S550" s="12"/>
      <c r="T550" s="13"/>
      <c r="U550" s="33"/>
      <c r="V550" s="13"/>
      <c r="W550" s="14"/>
      <c r="X550" s="13"/>
      <c r="Y550" s="15"/>
    </row>
    <row r="551" spans="2:26" x14ac:dyDescent="0.3">
      <c r="B551" s="81">
        <f>MAX(B$547:B550)+1</f>
        <v>289</v>
      </c>
      <c r="C551" s="83"/>
      <c r="D551" s="10" t="s">
        <v>158</v>
      </c>
      <c r="E551" s="81"/>
      <c r="F551" s="11"/>
      <c r="G551" s="81"/>
      <c r="H551" s="89">
        <f>H548</f>
        <v>713737.64702999999</v>
      </c>
      <c r="I551" s="86"/>
      <c r="J551" s="89">
        <f>SUM(J547:J549)</f>
        <v>29319.685093750824</v>
      </c>
      <c r="K551" s="19">
        <f>J551/$H551*100</f>
        <v>4.1079078868482961</v>
      </c>
      <c r="L551" s="88"/>
      <c r="M551" s="89">
        <f>SUM(M547:M549)</f>
        <v>-6754.2096063539329</v>
      </c>
      <c r="N551" s="13"/>
      <c r="O551" s="89">
        <f>SUM(O547:O549)</f>
        <v>36073.894700104756</v>
      </c>
      <c r="P551" s="13"/>
      <c r="Q551" s="89">
        <f>SUM(Q547:Q549)</f>
        <v>-173.23989733189188</v>
      </c>
      <c r="R551" s="13"/>
      <c r="S551" s="89">
        <f>SUM(S547:S549)</f>
        <v>35900.654802772864</v>
      </c>
      <c r="T551" s="13"/>
      <c r="U551" s="19">
        <f>S551/$H551*100</f>
        <v>5.0299511245010562</v>
      </c>
      <c r="V551" s="13"/>
      <c r="W551" s="90">
        <f>S551/O551</f>
        <v>0.99519763810444928</v>
      </c>
      <c r="X551" s="13"/>
      <c r="Y551" s="20">
        <f>U551/K551-1</f>
        <v>0.22445567501762498</v>
      </c>
    </row>
    <row r="552" spans="2:26" x14ac:dyDescent="0.3">
      <c r="E552" s="81"/>
      <c r="F552" s="11"/>
      <c r="G552" s="81"/>
      <c r="H552" s="12"/>
      <c r="I552" s="86"/>
      <c r="J552" s="12"/>
      <c r="K552" s="33"/>
      <c r="L552" s="88"/>
      <c r="M552" s="12"/>
      <c r="N552" s="13"/>
      <c r="O552" s="12"/>
      <c r="P552" s="13"/>
      <c r="Q552" s="12"/>
      <c r="R552" s="13"/>
      <c r="S552" s="12"/>
      <c r="T552" s="13"/>
      <c r="U552" s="33"/>
      <c r="V552" s="13"/>
      <c r="W552" s="14"/>
      <c r="X552" s="13"/>
      <c r="Y552" s="15"/>
    </row>
    <row r="553" spans="2:26" x14ac:dyDescent="0.3">
      <c r="D553" s="10" t="s">
        <v>159</v>
      </c>
      <c r="E553" s="81"/>
      <c r="F553" s="11"/>
      <c r="G553" s="81"/>
      <c r="H553" s="12"/>
      <c r="I553" s="86"/>
      <c r="J553" s="12"/>
      <c r="K553" s="33"/>
      <c r="L553" s="88"/>
      <c r="M553" s="12"/>
      <c r="N553" s="13"/>
      <c r="O553" s="12"/>
      <c r="P553" s="13"/>
      <c r="Q553" s="12"/>
      <c r="R553" s="13"/>
      <c r="S553" s="12"/>
      <c r="T553" s="13"/>
      <c r="U553" s="33"/>
      <c r="V553" s="13"/>
      <c r="W553" s="14"/>
      <c r="X553" s="13"/>
      <c r="Y553" s="15"/>
    </row>
    <row r="554" spans="2:26" x14ac:dyDescent="0.3">
      <c r="B554" s="81">
        <f>MAX(B$547:B553)+1</f>
        <v>290</v>
      </c>
      <c r="D554" s="18" t="s">
        <v>135</v>
      </c>
      <c r="E554" s="81"/>
      <c r="F554" s="11" t="s">
        <v>39</v>
      </c>
      <c r="G554" s="81"/>
      <c r="H554" s="12">
        <v>75999.023490000007</v>
      </c>
      <c r="I554" s="86"/>
      <c r="J554" s="12">
        <f>$H554*K554/100</f>
        <v>2057.0439851888095</v>
      </c>
      <c r="K554" s="33">
        <v>2.7066716001416475</v>
      </c>
      <c r="L554" s="88"/>
      <c r="M554" s="12">
        <f t="shared" ref="M554:M555" si="171">J554-O554</f>
        <v>1010.2442447995431</v>
      </c>
      <c r="N554" s="13"/>
      <c r="O554" s="12">
        <v>1046.7997403892664</v>
      </c>
      <c r="P554" s="13"/>
      <c r="Q554" s="12">
        <f t="shared" ref="Q554:Q555" si="172">S554-O554</f>
        <v>-96.238618516836596</v>
      </c>
      <c r="R554" s="13"/>
      <c r="S554" s="12">
        <f>$H554*U554/100</f>
        <v>950.56112187242979</v>
      </c>
      <c r="T554" s="13"/>
      <c r="U554" s="33">
        <v>1.2507543889659387</v>
      </c>
      <c r="V554" s="13"/>
      <c r="W554" s="14"/>
      <c r="X554" s="13"/>
      <c r="Y554" s="15">
        <f t="shared" ref="Y554:Y555" si="173">U554/K554-1</f>
        <v>-0.53789946704266478</v>
      </c>
    </row>
    <row r="555" spans="2:26" x14ac:dyDescent="0.3">
      <c r="B555" s="81">
        <f>MAX(B$547:B554)+1</f>
        <v>291</v>
      </c>
      <c r="D555" s="18" t="s">
        <v>170</v>
      </c>
      <c r="E555" s="81"/>
      <c r="F555" s="11" t="s">
        <v>39</v>
      </c>
      <c r="G555" s="81"/>
      <c r="H555" s="12">
        <v>7467.4059999999999</v>
      </c>
      <c r="I555" s="86"/>
      <c r="J555" s="12">
        <f>$H555*K555/100</f>
        <v>208.75832467399997</v>
      </c>
      <c r="K555" s="33">
        <v>2.7955936060527575</v>
      </c>
      <c r="L555" s="88"/>
      <c r="M555" s="12">
        <f t="shared" si="171"/>
        <v>208.75832467399997</v>
      </c>
      <c r="N555" s="13"/>
      <c r="O555" s="12">
        <v>0</v>
      </c>
      <c r="P555" s="13"/>
      <c r="Q555" s="12">
        <f t="shared" si="172"/>
        <v>96.238618516836596</v>
      </c>
      <c r="R555" s="13"/>
      <c r="S555" s="12">
        <f>$H555*U555/100</f>
        <v>96.238618516836596</v>
      </c>
      <c r="T555" s="13"/>
      <c r="U555" s="33">
        <v>1.2887824569447088</v>
      </c>
      <c r="V555" s="13"/>
      <c r="W555" s="14"/>
      <c r="X555" s="13"/>
      <c r="Y555" s="15">
        <f t="shared" si="173"/>
        <v>-0.53899506203106284</v>
      </c>
    </row>
    <row r="556" spans="2:26" x14ac:dyDescent="0.3">
      <c r="B556" s="81"/>
      <c r="C556" s="83"/>
      <c r="D556" s="10"/>
      <c r="E556" s="81"/>
      <c r="F556" s="11"/>
      <c r="G556" s="81"/>
      <c r="H556" s="12"/>
      <c r="I556" s="86"/>
      <c r="J556" s="12"/>
      <c r="K556" s="33"/>
      <c r="L556" s="88"/>
      <c r="M556" s="12"/>
      <c r="N556" s="13"/>
      <c r="O556" s="12"/>
      <c r="P556" s="13"/>
      <c r="Q556" s="12"/>
      <c r="R556" s="13"/>
      <c r="S556" s="12"/>
      <c r="T556" s="13"/>
      <c r="U556" s="33"/>
      <c r="V556" s="13"/>
      <c r="W556" s="14"/>
      <c r="X556" s="13"/>
      <c r="Y556" s="15"/>
    </row>
    <row r="557" spans="2:26" x14ac:dyDescent="0.3">
      <c r="B557" s="81">
        <f>MAX(B$547:B556)+1</f>
        <v>292</v>
      </c>
      <c r="C557" s="83"/>
      <c r="D557" s="10" t="s">
        <v>161</v>
      </c>
      <c r="E557" s="81"/>
      <c r="F557" s="11"/>
      <c r="G557" s="81"/>
      <c r="H557" s="89">
        <f>H554</f>
        <v>75999.023490000007</v>
      </c>
      <c r="I557" s="86"/>
      <c r="J557" s="89">
        <f>SUM(J554:J555)</f>
        <v>2265.8023098628096</v>
      </c>
      <c r="K557" s="19">
        <f>J557/$H557*100</f>
        <v>2.9813571356754935</v>
      </c>
      <c r="L557" s="88"/>
      <c r="M557" s="89">
        <f>SUM(M554:M555)</f>
        <v>1219.0025694735432</v>
      </c>
      <c r="N557" s="13"/>
      <c r="O557" s="89">
        <f>SUM(O554:O555)</f>
        <v>1046.7997403892664</v>
      </c>
      <c r="P557" s="13"/>
      <c r="Q557" s="89">
        <f>SUM(Q554:Q555)</f>
        <v>0</v>
      </c>
      <c r="R557" s="13"/>
      <c r="S557" s="89">
        <f>SUM(S554:S555)</f>
        <v>1046.7997403892664</v>
      </c>
      <c r="T557" s="13"/>
      <c r="U557" s="19">
        <f>S557/$H557*100</f>
        <v>1.3773857772356837</v>
      </c>
      <c r="V557" s="13"/>
      <c r="W557" s="90">
        <f>S557/O557</f>
        <v>1</v>
      </c>
      <c r="X557" s="13"/>
      <c r="Y557" s="20">
        <f>U557/K557-1</f>
        <v>-0.53800040902392388</v>
      </c>
    </row>
    <row r="558" spans="2:26" x14ac:dyDescent="0.3">
      <c r="E558" s="81"/>
      <c r="F558" s="11"/>
      <c r="G558" s="81"/>
      <c r="H558" s="12"/>
      <c r="I558" s="86"/>
      <c r="J558" s="12"/>
      <c r="K558" s="33"/>
      <c r="L558" s="88"/>
      <c r="M558" s="12"/>
      <c r="N558" s="13"/>
      <c r="O558" s="12"/>
      <c r="P558" s="13"/>
      <c r="Q558" s="12"/>
      <c r="R558" s="13"/>
      <c r="S558" s="12"/>
      <c r="T558" s="13"/>
      <c r="U558" s="33"/>
      <c r="V558" s="13"/>
      <c r="W558" s="14"/>
      <c r="X558" s="13"/>
      <c r="Y558" s="15"/>
    </row>
    <row r="559" spans="2:26" x14ac:dyDescent="0.3">
      <c r="B559" s="81"/>
      <c r="C559" s="83"/>
      <c r="D559" s="10" t="s">
        <v>44</v>
      </c>
      <c r="E559" s="81"/>
      <c r="F559" s="91"/>
      <c r="G559" s="81"/>
      <c r="H559" s="12"/>
      <c r="I559" s="86"/>
      <c r="J559" s="12"/>
      <c r="K559" s="33"/>
      <c r="L559" s="88"/>
      <c r="M559" s="12"/>
      <c r="N559" s="13"/>
      <c r="O559" s="12"/>
      <c r="P559" s="13"/>
      <c r="Q559" s="12"/>
      <c r="R559" s="13"/>
      <c r="S559" s="12"/>
      <c r="T559" s="13"/>
      <c r="U559" s="22"/>
      <c r="V559" s="13"/>
      <c r="W559" s="14"/>
      <c r="X559" s="13"/>
      <c r="Y559" s="23"/>
    </row>
    <row r="560" spans="2:26" x14ac:dyDescent="0.3">
      <c r="B560" s="81">
        <f>MAX(B$547:B559)+1</f>
        <v>293</v>
      </c>
      <c r="C560" s="83"/>
      <c r="D560" s="18" t="s">
        <v>45</v>
      </c>
      <c r="E560" s="81"/>
      <c r="F560" s="91" t="s">
        <v>39</v>
      </c>
      <c r="G560" s="81"/>
      <c r="H560" s="12">
        <v>35618.685999999994</v>
      </c>
      <c r="I560" s="86"/>
      <c r="J560" s="12">
        <f>$H560*K560/100</f>
        <v>0</v>
      </c>
      <c r="K560" s="33">
        <v>0</v>
      </c>
      <c r="L560" s="88"/>
      <c r="M560" s="12">
        <f t="shared" ref="M560:M561" si="174">J560-O560</f>
        <v>-3.8193974039077228</v>
      </c>
      <c r="N560" s="13"/>
      <c r="O560" s="12">
        <f>S560</f>
        <v>3.8193974039077228</v>
      </c>
      <c r="P560" s="13"/>
      <c r="Q560" s="12">
        <f t="shared" ref="Q560:Q561" si="175">S560-O560</f>
        <v>0</v>
      </c>
      <c r="R560" s="13"/>
      <c r="S560" s="12">
        <f>$H560*U560/100</f>
        <v>3.8193974039077228</v>
      </c>
      <c r="T560" s="13"/>
      <c r="U560" s="33">
        <v>1.0723016014424909E-2</v>
      </c>
      <c r="V560" s="13"/>
      <c r="W560" s="92"/>
      <c r="X560" s="13"/>
      <c r="Y560" s="15"/>
    </row>
    <row r="561" spans="2:26" x14ac:dyDescent="0.3">
      <c r="B561" s="81">
        <f>MAX(B$547:B560)+1</f>
        <v>294</v>
      </c>
      <c r="C561" s="83"/>
      <c r="D561" s="18" t="s">
        <v>46</v>
      </c>
      <c r="E561" s="81"/>
      <c r="F561" s="91" t="s">
        <v>39</v>
      </c>
      <c r="G561" s="81"/>
      <c r="H561" s="12">
        <f>H548+H554-H560</f>
        <v>754117.98452000006</v>
      </c>
      <c r="I561" s="86"/>
      <c r="J561" s="12">
        <f>$H561*K561/100</f>
        <v>0</v>
      </c>
      <c r="K561" s="33">
        <v>0</v>
      </c>
      <c r="L561" s="88"/>
      <c r="M561" s="12">
        <f t="shared" si="174"/>
        <v>-80.864192247737961</v>
      </c>
      <c r="N561" s="88"/>
      <c r="O561" s="12">
        <f>S561</f>
        <v>80.864192247737961</v>
      </c>
      <c r="P561" s="88"/>
      <c r="Q561" s="12">
        <f t="shared" si="175"/>
        <v>0</v>
      </c>
      <c r="R561" s="88"/>
      <c r="S561" s="12">
        <f>$H561*U561/100</f>
        <v>80.864192247737961</v>
      </c>
      <c r="T561" s="88"/>
      <c r="U561" s="33">
        <v>1.0723016014424909E-2</v>
      </c>
      <c r="V561" s="88"/>
      <c r="W561" s="92"/>
      <c r="X561" s="88"/>
      <c r="Y561" s="15"/>
      <c r="Z561" s="81"/>
    </row>
    <row r="562" spans="2:26" x14ac:dyDescent="0.3">
      <c r="B562" s="81">
        <f>MAX(B$547:B561)+1</f>
        <v>295</v>
      </c>
      <c r="C562" s="83"/>
      <c r="D562" s="10" t="s">
        <v>44</v>
      </c>
      <c r="E562" s="81"/>
      <c r="F562" s="11"/>
      <c r="G562" s="81"/>
      <c r="H562" s="89">
        <f>SUM(H560:H561)</f>
        <v>789736.67052000004</v>
      </c>
      <c r="I562" s="86"/>
      <c r="J562" s="89">
        <f>SUM(J560:J561)</f>
        <v>0</v>
      </c>
      <c r="K562" s="19">
        <f>J562/$H562*100</f>
        <v>0</v>
      </c>
      <c r="L562" s="88"/>
      <c r="M562" s="89">
        <f>SUM(M560:M561)</f>
        <v>-84.68358965164569</v>
      </c>
      <c r="N562" s="13"/>
      <c r="O562" s="89">
        <f>SUM(O560:O561)</f>
        <v>84.68358965164569</v>
      </c>
      <c r="P562" s="13"/>
      <c r="Q562" s="89">
        <f>SUM(Q560:Q561)</f>
        <v>0</v>
      </c>
      <c r="R562" s="13"/>
      <c r="S562" s="89">
        <f>SUM(S560:S561)</f>
        <v>84.68358965164569</v>
      </c>
      <c r="T562" s="13"/>
      <c r="U562" s="19">
        <f>S562/$H562*100</f>
        <v>1.0723016014424909E-2</v>
      </c>
      <c r="V562" s="13"/>
      <c r="W562" s="90">
        <f>S562/O562</f>
        <v>1</v>
      </c>
      <c r="X562" s="13"/>
      <c r="Y562" s="20"/>
    </row>
    <row r="563" spans="2:26" x14ac:dyDescent="0.3"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24"/>
    </row>
    <row r="564" spans="2:26" x14ac:dyDescent="0.3">
      <c r="B564" s="81">
        <f>MAX(B$547:B563)+1</f>
        <v>296</v>
      </c>
      <c r="C564" s="83"/>
      <c r="D564" s="10" t="s">
        <v>49</v>
      </c>
      <c r="E564" s="81"/>
      <c r="F564" s="11" t="s">
        <v>39</v>
      </c>
      <c r="G564" s="81"/>
      <c r="H564" s="12">
        <f>H560</f>
        <v>35618.685999999994</v>
      </c>
      <c r="I564" s="86"/>
      <c r="J564" s="12">
        <f>$H564*K564/100</f>
        <v>5785.6324462684452</v>
      </c>
      <c r="K564" s="33">
        <v>16.243250652953471</v>
      </c>
      <c r="L564" s="88"/>
      <c r="M564" s="12">
        <f>J564-O564</f>
        <v>120.85686420849197</v>
      </c>
      <c r="N564" s="13"/>
      <c r="O564" s="12">
        <f>S564</f>
        <v>5664.7755820599532</v>
      </c>
      <c r="P564" s="13"/>
      <c r="Q564" s="12">
        <f>S564-O564</f>
        <v>0</v>
      </c>
      <c r="R564" s="13"/>
      <c r="S564" s="12">
        <f>$H564*U564/100</f>
        <v>5664.7755820599532</v>
      </c>
      <c r="T564" s="13"/>
      <c r="U564" s="33">
        <v>15.903943177634218</v>
      </c>
      <c r="V564" s="13"/>
      <c r="W564" s="14">
        <f>S564/O564</f>
        <v>1</v>
      </c>
      <c r="X564" s="13"/>
      <c r="Y564" s="15">
        <f>U564/K564-1</f>
        <v>-2.0889136206092895E-2</v>
      </c>
    </row>
    <row r="565" spans="2:26" x14ac:dyDescent="0.3">
      <c r="B565" s="81"/>
      <c r="C565" s="83"/>
      <c r="D565" s="10"/>
      <c r="E565" s="81"/>
      <c r="F565" s="11"/>
      <c r="G565" s="81"/>
      <c r="H565" s="12"/>
      <c r="I565" s="86"/>
      <c r="J565" s="12"/>
      <c r="K565" s="33"/>
      <c r="L565" s="88"/>
      <c r="M565" s="12"/>
      <c r="N565" s="13"/>
      <c r="O565" s="12"/>
      <c r="P565" s="13"/>
      <c r="Q565" s="12"/>
      <c r="R565" s="13"/>
      <c r="S565" s="12"/>
      <c r="T565" s="13"/>
      <c r="U565" s="33"/>
      <c r="V565" s="13"/>
      <c r="W565" s="14"/>
      <c r="X565" s="13"/>
      <c r="Y565" s="15"/>
    </row>
    <row r="566" spans="2:26" ht="12.9" thickBot="1" x14ac:dyDescent="0.35">
      <c r="B566" s="81">
        <f>MAX(B$547:B565)+1</f>
        <v>297</v>
      </c>
      <c r="C566" s="83"/>
      <c r="D566" s="10" t="s">
        <v>171</v>
      </c>
      <c r="E566" s="81"/>
      <c r="F566" s="11"/>
      <c r="G566" s="81"/>
      <c r="H566" s="93">
        <f>H551+H557</f>
        <v>789736.67052000004</v>
      </c>
      <c r="I566" s="86"/>
      <c r="J566" s="93">
        <f>SUM(J551,J557,J562,J564)</f>
        <v>37371.119849882081</v>
      </c>
      <c r="K566" s="25">
        <f>J566/$H566*100</f>
        <v>4.7320988431846738</v>
      </c>
      <c r="L566" s="88"/>
      <c r="M566" s="93">
        <f>SUM(M551,M557,M562,M564)</f>
        <v>-5499.0337623235437</v>
      </c>
      <c r="N566" s="13"/>
      <c r="O566" s="93">
        <f>SUM(O551,O557,O562,O564)</f>
        <v>42870.15361220562</v>
      </c>
      <c r="P566" s="13"/>
      <c r="Q566" s="93">
        <f>SUM(Q551,Q557,Q562,Q564)</f>
        <v>-173.23989733189188</v>
      </c>
      <c r="R566" s="13"/>
      <c r="S566" s="93">
        <f>SUM(S551,S557,S562,S564)</f>
        <v>42696.913714873728</v>
      </c>
      <c r="T566" s="13"/>
      <c r="U566" s="25">
        <f>S566/$H566*100</f>
        <v>5.4064747540164309</v>
      </c>
      <c r="V566" s="13"/>
      <c r="W566" s="94">
        <f>S566/O566</f>
        <v>0.99595896252439442</v>
      </c>
      <c r="X566" s="13"/>
      <c r="Y566" s="26">
        <f>U566/K566-1</f>
        <v>0.14251095194324104</v>
      </c>
    </row>
    <row r="567" spans="2:26" ht="12.9" thickTop="1" x14ac:dyDescent="0.3">
      <c r="B567" s="81"/>
      <c r="C567" s="83"/>
      <c r="E567" s="81"/>
      <c r="F567" s="91"/>
      <c r="G567" s="81"/>
      <c r="H567" s="88"/>
      <c r="I567" s="86"/>
      <c r="J567" s="88"/>
      <c r="K567" s="22"/>
      <c r="L567" s="88"/>
      <c r="M567" s="88"/>
      <c r="N567" s="13"/>
      <c r="O567" s="88"/>
      <c r="P567" s="13"/>
      <c r="Q567" s="88"/>
      <c r="R567" s="13"/>
      <c r="S567" s="88"/>
      <c r="T567" s="13"/>
      <c r="U567" s="22"/>
      <c r="V567" s="13"/>
      <c r="W567" s="92"/>
      <c r="X567" s="13"/>
      <c r="Y567" s="30"/>
    </row>
    <row r="568" spans="2:26" x14ac:dyDescent="0.3">
      <c r="B568" s="123" t="s">
        <v>0</v>
      </c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</row>
    <row r="569" spans="2:26" x14ac:dyDescent="0.3">
      <c r="B569" s="123" t="s">
        <v>59</v>
      </c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</row>
    <row r="570" spans="2:26" x14ac:dyDescent="0.3">
      <c r="B570" s="77"/>
      <c r="C570" s="77"/>
      <c r="D570" s="77"/>
      <c r="E570" s="77"/>
      <c r="F570" s="78"/>
      <c r="G570" s="77"/>
      <c r="H570" s="78"/>
      <c r="I570" s="77"/>
      <c r="J570" s="78"/>
      <c r="K570" s="78"/>
      <c r="L570" s="78"/>
      <c r="M570" s="78"/>
      <c r="N570" s="77"/>
      <c r="O570" s="77"/>
      <c r="P570" s="77"/>
      <c r="Q570" s="77"/>
      <c r="R570" s="77"/>
      <c r="S570" s="77"/>
      <c r="T570" s="77"/>
      <c r="U570" s="77"/>
      <c r="V570" s="77"/>
      <c r="W570" s="5"/>
      <c r="X570" s="77"/>
      <c r="Y570" s="5"/>
    </row>
    <row r="571" spans="2:26" x14ac:dyDescent="0.3">
      <c r="B571" s="78"/>
      <c r="C571" s="78"/>
      <c r="D571" s="78"/>
      <c r="E571" s="78"/>
      <c r="F571" s="77"/>
      <c r="G571" s="78"/>
      <c r="H571" s="77"/>
      <c r="I571" s="78"/>
      <c r="J571" s="79" t="s">
        <v>2</v>
      </c>
      <c r="K571" s="79"/>
      <c r="L571" s="78"/>
      <c r="M571" s="78"/>
      <c r="N571" s="78"/>
      <c r="O571" s="122" t="s">
        <v>3</v>
      </c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3"/>
    </row>
    <row r="572" spans="2:26" ht="37.299999999999997" x14ac:dyDescent="0.3">
      <c r="B572" s="80" t="s">
        <v>4</v>
      </c>
      <c r="C572" s="80"/>
      <c r="D572" s="80"/>
      <c r="E572" s="80"/>
      <c r="F572" s="81" t="s">
        <v>5</v>
      </c>
      <c r="G572" s="80"/>
      <c r="H572" s="6" t="s">
        <v>6</v>
      </c>
      <c r="I572" s="80"/>
      <c r="J572" s="6" t="s">
        <v>7</v>
      </c>
      <c r="K572" s="6" t="s">
        <v>8</v>
      </c>
      <c r="L572" s="80"/>
      <c r="M572" s="6" t="s">
        <v>9</v>
      </c>
      <c r="N572" s="80"/>
      <c r="O572" s="80" t="s">
        <v>10</v>
      </c>
      <c r="P572" s="80"/>
      <c r="Q572" s="6" t="s">
        <v>11</v>
      </c>
      <c r="R572" s="80"/>
      <c r="S572" s="6" t="s">
        <v>7</v>
      </c>
      <c r="T572" s="80"/>
      <c r="U572" s="6" t="s">
        <v>12</v>
      </c>
      <c r="V572" s="80"/>
      <c r="W572" s="80" t="s">
        <v>13</v>
      </c>
      <c r="X572" s="80"/>
      <c r="Y572" s="80" t="s">
        <v>14</v>
      </c>
    </row>
    <row r="573" spans="2:26" ht="14.15" x14ac:dyDescent="0.3">
      <c r="B573" s="82" t="s">
        <v>15</v>
      </c>
      <c r="C573" s="83"/>
      <c r="D573" s="84" t="s">
        <v>16</v>
      </c>
      <c r="E573" s="81"/>
      <c r="F573" s="82" t="s">
        <v>17</v>
      </c>
      <c r="G573" s="81"/>
      <c r="H573" s="82" t="s">
        <v>18</v>
      </c>
      <c r="I573" s="81"/>
      <c r="J573" s="82" t="s">
        <v>19</v>
      </c>
      <c r="K573" s="82" t="s">
        <v>20</v>
      </c>
      <c r="L573" s="81"/>
      <c r="M573" s="82" t="s">
        <v>19</v>
      </c>
      <c r="N573" s="81"/>
      <c r="O573" s="82" t="s">
        <v>19</v>
      </c>
      <c r="P573" s="81"/>
      <c r="Q573" s="82" t="s">
        <v>19</v>
      </c>
      <c r="R573" s="81"/>
      <c r="S573" s="82" t="s">
        <v>19</v>
      </c>
      <c r="T573" s="81"/>
      <c r="U573" s="82" t="s">
        <v>20</v>
      </c>
      <c r="V573" s="81"/>
      <c r="W573" s="82" t="s">
        <v>21</v>
      </c>
      <c r="X573" s="81"/>
      <c r="Y573" s="82" t="s">
        <v>22</v>
      </c>
    </row>
    <row r="574" spans="2:26" s="6" customFormat="1" x14ac:dyDescent="0.3">
      <c r="B574" s="81"/>
      <c r="C574" s="83"/>
      <c r="D574" s="83"/>
      <c r="E574" s="81"/>
      <c r="F574" s="81"/>
      <c r="G574" s="81"/>
      <c r="H574" s="81" t="s">
        <v>23</v>
      </c>
      <c r="I574" s="81"/>
      <c r="J574" s="81" t="s">
        <v>24</v>
      </c>
      <c r="K574" s="81" t="s">
        <v>25</v>
      </c>
      <c r="L574" s="81"/>
      <c r="M574" s="81" t="s">
        <v>26</v>
      </c>
      <c r="N574" s="81"/>
      <c r="O574" s="81" t="s">
        <v>27</v>
      </c>
      <c r="P574" s="81"/>
      <c r="Q574" s="81" t="s">
        <v>28</v>
      </c>
      <c r="R574" s="81"/>
      <c r="S574" s="85" t="s">
        <v>29</v>
      </c>
      <c r="T574" s="81"/>
      <c r="U574" s="85" t="s">
        <v>30</v>
      </c>
      <c r="V574" s="81"/>
      <c r="W574" s="85" t="s">
        <v>31</v>
      </c>
      <c r="X574" s="81"/>
      <c r="Y574" s="85" t="s">
        <v>32</v>
      </c>
      <c r="Z574" s="80"/>
    </row>
    <row r="575" spans="2:26" x14ac:dyDescent="0.3">
      <c r="B575" s="81"/>
      <c r="C575" s="83"/>
      <c r="E575" s="81"/>
      <c r="F575" s="91"/>
      <c r="G575" s="81"/>
      <c r="H575" s="88"/>
      <c r="I575" s="86"/>
      <c r="J575" s="88"/>
      <c r="K575" s="22"/>
      <c r="L575" s="88"/>
      <c r="M575" s="88"/>
      <c r="N575" s="13"/>
      <c r="O575" s="88"/>
      <c r="P575" s="13"/>
      <c r="Q575" s="88"/>
      <c r="R575" s="13"/>
      <c r="S575" s="88"/>
      <c r="T575" s="13"/>
      <c r="U575" s="22"/>
      <c r="V575" s="13"/>
      <c r="W575" s="92"/>
      <c r="X575" s="13"/>
      <c r="Y575" s="22"/>
    </row>
    <row r="576" spans="2:26" x14ac:dyDescent="0.3">
      <c r="B576" s="81"/>
      <c r="C576" s="83"/>
      <c r="D576" s="3" t="s">
        <v>172</v>
      </c>
      <c r="E576" s="81"/>
      <c r="F576" s="7"/>
      <c r="G576" s="81"/>
      <c r="H576" s="27"/>
      <c r="I576" s="86"/>
      <c r="J576" s="27"/>
      <c r="K576" s="86"/>
      <c r="L576" s="86"/>
      <c r="M576" s="28"/>
      <c r="N576" s="86"/>
      <c r="O576" s="29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1"/>
    </row>
    <row r="577" spans="2:26" x14ac:dyDescent="0.3">
      <c r="D577" s="10" t="s">
        <v>167</v>
      </c>
      <c r="E577" s="81"/>
      <c r="F577" s="11"/>
      <c r="G577" s="81"/>
      <c r="H577" s="12"/>
      <c r="I577" s="86"/>
      <c r="J577" s="12"/>
      <c r="K577" s="33"/>
      <c r="L577" s="88"/>
      <c r="M577" s="12"/>
      <c r="N577" s="13"/>
      <c r="O577" s="12"/>
      <c r="P577" s="13"/>
      <c r="Q577" s="12"/>
      <c r="R577" s="13"/>
      <c r="S577" s="12"/>
      <c r="T577" s="13"/>
      <c r="U577" s="33"/>
      <c r="V577" s="13"/>
      <c r="W577" s="14"/>
      <c r="X577" s="13"/>
      <c r="Y577" s="16"/>
    </row>
    <row r="578" spans="2:26" x14ac:dyDescent="0.3">
      <c r="B578" s="81">
        <f>MAX(B$547:B577)+1</f>
        <v>298</v>
      </c>
      <c r="C578" s="83"/>
      <c r="D578" s="18" t="s">
        <v>61</v>
      </c>
      <c r="E578" s="81"/>
      <c r="F578" s="39" t="s">
        <v>62</v>
      </c>
      <c r="G578" s="81"/>
      <c r="H578" s="12">
        <v>6040.4639999999999</v>
      </c>
      <c r="I578" s="86"/>
      <c r="J578" s="12">
        <f>$H578*K578/100</f>
        <v>1689.4513356960001</v>
      </c>
      <c r="K578" s="33">
        <v>27.968900000000001</v>
      </c>
      <c r="L578" s="88"/>
      <c r="M578" s="12">
        <f t="shared" ref="M578:M579" si="176">J578-O578</f>
        <v>52.404188835449759</v>
      </c>
      <c r="N578" s="13"/>
      <c r="O578" s="12">
        <v>1637.0471468605504</v>
      </c>
      <c r="P578" s="13"/>
      <c r="Q578" s="12">
        <f t="shared" ref="Q578:Q579" si="177">S578-O578</f>
        <v>-53.639935450403527</v>
      </c>
      <c r="R578" s="13"/>
      <c r="S578" s="12">
        <f>$H578*U578/100</f>
        <v>1583.4072114101468</v>
      </c>
      <c r="T578" s="13"/>
      <c r="U578" s="33">
        <v>26.213337442457185</v>
      </c>
      <c r="V578" s="13"/>
      <c r="W578" s="14">
        <f t="shared" ref="W578:W579" si="178">S578/O578</f>
        <v>0.96723372594780088</v>
      </c>
      <c r="X578" s="13"/>
      <c r="Y578" s="15">
        <f t="shared" ref="Y578:Y579" si="179">U578/K578-1</f>
        <v>-6.2768380506305843E-2</v>
      </c>
    </row>
    <row r="579" spans="2:26" x14ac:dyDescent="0.3">
      <c r="B579" s="81">
        <f>MAX(B$547:B578)+1</f>
        <v>299</v>
      </c>
      <c r="D579" s="18" t="s">
        <v>37</v>
      </c>
      <c r="E579" s="81"/>
      <c r="F579" s="11" t="s">
        <v>39</v>
      </c>
      <c r="G579" s="81"/>
      <c r="H579" s="12">
        <v>90073.425800000012</v>
      </c>
      <c r="I579" s="86"/>
      <c r="J579" s="12">
        <f>$H579*K579/100</f>
        <v>245.17986502760002</v>
      </c>
      <c r="K579" s="33">
        <v>0.2722</v>
      </c>
      <c r="L579" s="88"/>
      <c r="M579" s="12">
        <f t="shared" si="176"/>
        <v>-36.70362745197005</v>
      </c>
      <c r="N579" s="13"/>
      <c r="O579" s="12">
        <v>281.88349247957007</v>
      </c>
      <c r="P579" s="13"/>
      <c r="Q579" s="12">
        <f t="shared" si="177"/>
        <v>0</v>
      </c>
      <c r="R579" s="13"/>
      <c r="S579" s="12">
        <f>$H579*U579/100</f>
        <v>281.88349247957007</v>
      </c>
      <c r="T579" s="13"/>
      <c r="U579" s="33">
        <v>0.31294856388105763</v>
      </c>
      <c r="V579" s="13"/>
      <c r="W579" s="14">
        <f t="shared" si="178"/>
        <v>1</v>
      </c>
      <c r="X579" s="13"/>
      <c r="Y579" s="15">
        <f t="shared" si="179"/>
        <v>0.1497008224873535</v>
      </c>
    </row>
    <row r="580" spans="2:26" x14ac:dyDescent="0.3">
      <c r="B580" s="81">
        <f>MAX(B$547:B579)+1</f>
        <v>300</v>
      </c>
      <c r="C580" s="83"/>
      <c r="D580" s="10" t="s">
        <v>43</v>
      </c>
      <c r="E580" s="81"/>
      <c r="F580" s="11"/>
      <c r="G580" s="81"/>
      <c r="H580" s="89">
        <f>H579</f>
        <v>90073.425800000012</v>
      </c>
      <c r="I580" s="86"/>
      <c r="J580" s="89">
        <f>SUM(J578:J579)</f>
        <v>1934.6312007236002</v>
      </c>
      <c r="K580" s="19">
        <f>J580/$H580*100</f>
        <v>2.1478379261595708</v>
      </c>
      <c r="L580" s="88"/>
      <c r="M580" s="89">
        <f>SUM(M578:M579)</f>
        <v>15.700561383479709</v>
      </c>
      <c r="N580" s="13"/>
      <c r="O580" s="89">
        <f>SUM(O578:O579)</f>
        <v>1918.9306393401205</v>
      </c>
      <c r="P580" s="13"/>
      <c r="Q580" s="89">
        <f>SUM(Q578:Q579)</f>
        <v>-53.639935450403527</v>
      </c>
      <c r="R580" s="13"/>
      <c r="S580" s="89">
        <f>SUM(S578:S579)</f>
        <v>1865.290703889717</v>
      </c>
      <c r="T580" s="13"/>
      <c r="U580" s="19">
        <f>S580/$H580*100</f>
        <v>2.0708557349993861</v>
      </c>
      <c r="V580" s="13"/>
      <c r="W580" s="90">
        <f>S580/O580</f>
        <v>0.97204696493415255</v>
      </c>
      <c r="X580" s="13"/>
      <c r="Y580" s="20">
        <f>U580/K580-1</f>
        <v>-3.5841713298094269E-2</v>
      </c>
    </row>
    <row r="581" spans="2:26" x14ac:dyDescent="0.3">
      <c r="E581" s="81"/>
      <c r="F581" s="11"/>
      <c r="G581" s="81"/>
      <c r="H581" s="12"/>
      <c r="I581" s="86"/>
      <c r="J581" s="12"/>
      <c r="K581" s="33"/>
      <c r="L581" s="88"/>
      <c r="M581" s="12"/>
      <c r="N581" s="13"/>
      <c r="O581" s="12"/>
      <c r="P581" s="13"/>
      <c r="Q581" s="12"/>
      <c r="R581" s="13"/>
      <c r="S581" s="12"/>
      <c r="T581" s="13"/>
      <c r="U581" s="33"/>
      <c r="V581" s="13"/>
      <c r="W581" s="14"/>
      <c r="X581" s="13"/>
      <c r="Y581" s="15"/>
    </row>
    <row r="582" spans="2:26" x14ac:dyDescent="0.3">
      <c r="B582" s="81"/>
      <c r="C582" s="83"/>
      <c r="D582" s="10" t="s">
        <v>44</v>
      </c>
      <c r="E582" s="81"/>
      <c r="F582" s="91"/>
      <c r="G582" s="81"/>
      <c r="H582" s="12"/>
      <c r="I582" s="86"/>
      <c r="J582" s="12"/>
      <c r="K582" s="33"/>
      <c r="L582" s="88"/>
      <c r="M582" s="12"/>
      <c r="N582" s="13"/>
      <c r="O582" s="12"/>
      <c r="P582" s="13"/>
      <c r="Q582" s="12"/>
      <c r="R582" s="13"/>
      <c r="S582" s="12"/>
      <c r="T582" s="13"/>
      <c r="U582" s="22"/>
      <c r="V582" s="13"/>
      <c r="W582" s="14"/>
      <c r="X582" s="13"/>
      <c r="Y582" s="23"/>
    </row>
    <row r="583" spans="2:26" x14ac:dyDescent="0.3">
      <c r="B583" s="81">
        <f>MAX(B$547:B582)+1</f>
        <v>301</v>
      </c>
      <c r="C583" s="83"/>
      <c r="D583" s="18" t="s">
        <v>45</v>
      </c>
      <c r="E583" s="81"/>
      <c r="F583" s="91" t="s">
        <v>39</v>
      </c>
      <c r="G583" s="81"/>
      <c r="H583" s="12">
        <v>15795.321699999999</v>
      </c>
      <c r="I583" s="86"/>
      <c r="J583" s="12">
        <f>$H583*K583/100</f>
        <v>0</v>
      </c>
      <c r="K583" s="33">
        <v>0</v>
      </c>
      <c r="L583" s="88"/>
      <c r="M583" s="12">
        <f t="shared" ref="M583:M584" si="180">J583-O583</f>
        <v>-1.6937348754209323</v>
      </c>
      <c r="N583" s="13"/>
      <c r="O583" s="12">
        <f>S583</f>
        <v>1.6937348754209323</v>
      </c>
      <c r="P583" s="13"/>
      <c r="Q583" s="12">
        <f t="shared" ref="Q583:Q584" si="181">S583-O583</f>
        <v>0</v>
      </c>
      <c r="R583" s="13"/>
      <c r="S583" s="12">
        <f>$H583*U583/100</f>
        <v>1.6937348754209323</v>
      </c>
      <c r="T583" s="13"/>
      <c r="U583" s="33">
        <v>1.0723016014424906E-2</v>
      </c>
      <c r="V583" s="13"/>
      <c r="W583" s="92"/>
      <c r="X583" s="13"/>
      <c r="Y583" s="15"/>
    </row>
    <row r="584" spans="2:26" x14ac:dyDescent="0.3">
      <c r="B584" s="81">
        <f>MAX(B$547:B583)+1</f>
        <v>302</v>
      </c>
      <c r="C584" s="83"/>
      <c r="D584" s="18" t="s">
        <v>46</v>
      </c>
      <c r="E584" s="81"/>
      <c r="F584" s="91" t="s">
        <v>39</v>
      </c>
      <c r="G584" s="81"/>
      <c r="H584" s="12">
        <f>H579-H583</f>
        <v>74278.104100000011</v>
      </c>
      <c r="I584" s="86"/>
      <c r="J584" s="12">
        <f>$H584*K584/100</f>
        <v>0</v>
      </c>
      <c r="K584" s="33">
        <v>0</v>
      </c>
      <c r="L584" s="88"/>
      <c r="M584" s="12">
        <f t="shared" si="180"/>
        <v>-7.9648529978542033</v>
      </c>
      <c r="N584" s="88"/>
      <c r="O584" s="12">
        <f>S584</f>
        <v>7.9648529978542033</v>
      </c>
      <c r="P584" s="88"/>
      <c r="Q584" s="12">
        <f t="shared" si="181"/>
        <v>0</v>
      </c>
      <c r="R584" s="88"/>
      <c r="S584" s="12">
        <f>$H584*U584/100</f>
        <v>7.9648529978542033</v>
      </c>
      <c r="T584" s="88"/>
      <c r="U584" s="33">
        <v>1.0723016014424906E-2</v>
      </c>
      <c r="V584" s="88"/>
      <c r="W584" s="92"/>
      <c r="X584" s="88"/>
      <c r="Y584" s="15"/>
      <c r="Z584" s="81"/>
    </row>
    <row r="585" spans="2:26" x14ac:dyDescent="0.3">
      <c r="B585" s="81">
        <f>MAX(B$547:B584)+1</f>
        <v>303</v>
      </c>
      <c r="C585" s="83"/>
      <c r="D585" s="10" t="s">
        <v>44</v>
      </c>
      <c r="E585" s="81"/>
      <c r="F585" s="11"/>
      <c r="G585" s="81"/>
      <c r="H585" s="89">
        <f>SUM(H583:H584)</f>
        <v>90073.425800000012</v>
      </c>
      <c r="I585" s="86"/>
      <c r="J585" s="89">
        <f>SUM(J583:J584)</f>
        <v>0</v>
      </c>
      <c r="K585" s="19">
        <f>J585/$H585*100</f>
        <v>0</v>
      </c>
      <c r="L585" s="88"/>
      <c r="M585" s="89">
        <f>SUM(M583:M584)</f>
        <v>-9.6585878732751347</v>
      </c>
      <c r="N585" s="13"/>
      <c r="O585" s="89">
        <f>SUM(O583:O584)</f>
        <v>9.6585878732751347</v>
      </c>
      <c r="P585" s="13"/>
      <c r="Q585" s="89">
        <f>SUM(Q583:Q584)</f>
        <v>0</v>
      </c>
      <c r="R585" s="13"/>
      <c r="S585" s="89">
        <f>SUM(S583:S584)</f>
        <v>9.6585878732751347</v>
      </c>
      <c r="T585" s="13"/>
      <c r="U585" s="19">
        <f>S585/$H585*100</f>
        <v>1.0723016014424904E-2</v>
      </c>
      <c r="V585" s="13"/>
      <c r="W585" s="90">
        <f>S585/O585</f>
        <v>1</v>
      </c>
      <c r="X585" s="13"/>
      <c r="Y585" s="20"/>
    </row>
    <row r="586" spans="2:26" x14ac:dyDescent="0.3"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24"/>
    </row>
    <row r="587" spans="2:26" x14ac:dyDescent="0.3">
      <c r="B587" s="81">
        <f>MAX(B$547:B586)+1</f>
        <v>304</v>
      </c>
      <c r="C587" s="83"/>
      <c r="D587" s="10" t="s">
        <v>49</v>
      </c>
      <c r="E587" s="81"/>
      <c r="F587" s="11" t="s">
        <v>39</v>
      </c>
      <c r="G587" s="81"/>
      <c r="H587" s="12">
        <f>H583</f>
        <v>15795.321699999999</v>
      </c>
      <c r="I587" s="86"/>
      <c r="J587" s="12">
        <f>$H587*K587/100</f>
        <v>2565.673695171351</v>
      </c>
      <c r="K587" s="33">
        <v>16.243250652953471</v>
      </c>
      <c r="L587" s="88"/>
      <c r="M587" s="12">
        <f>J587-O587</f>
        <v>53.594707278823989</v>
      </c>
      <c r="N587" s="13"/>
      <c r="O587" s="12">
        <f>S587</f>
        <v>2512.078987892527</v>
      </c>
      <c r="P587" s="13"/>
      <c r="Q587" s="12">
        <f>S587-O587</f>
        <v>0</v>
      </c>
      <c r="R587" s="13"/>
      <c r="S587" s="12">
        <f>$H587*U587/100</f>
        <v>2512.078987892527</v>
      </c>
      <c r="T587" s="13"/>
      <c r="U587" s="33">
        <v>15.903943177634218</v>
      </c>
      <c r="V587" s="13"/>
      <c r="W587" s="14">
        <f>S587/O587</f>
        <v>1</v>
      </c>
      <c r="X587" s="13"/>
      <c r="Y587" s="15">
        <f>U587/K587-1</f>
        <v>-2.0889136206092895E-2</v>
      </c>
    </row>
    <row r="588" spans="2:26" x14ac:dyDescent="0.3">
      <c r="B588" s="81"/>
      <c r="C588" s="83"/>
      <c r="D588" s="10"/>
      <c r="E588" s="81"/>
      <c r="F588" s="11"/>
      <c r="G588" s="81"/>
      <c r="H588" s="12"/>
      <c r="I588" s="86"/>
      <c r="J588" s="12"/>
      <c r="K588" s="33"/>
      <c r="L588" s="88"/>
      <c r="M588" s="12"/>
      <c r="N588" s="13"/>
      <c r="O588" s="12"/>
      <c r="P588" s="13"/>
      <c r="Q588" s="12"/>
      <c r="R588" s="13"/>
      <c r="S588" s="12"/>
      <c r="T588" s="13"/>
      <c r="U588" s="33"/>
      <c r="V588" s="13"/>
      <c r="W588" s="14"/>
      <c r="X588" s="13"/>
      <c r="Y588" s="15"/>
    </row>
    <row r="589" spans="2:26" ht="12.9" thickBot="1" x14ac:dyDescent="0.35">
      <c r="B589" s="81">
        <f>MAX(B$547:B588)+1</f>
        <v>305</v>
      </c>
      <c r="C589" s="83"/>
      <c r="D589" s="10" t="s">
        <v>173</v>
      </c>
      <c r="E589" s="81"/>
      <c r="F589" s="11"/>
      <c r="G589" s="81"/>
      <c r="H589" s="93">
        <f>H580</f>
        <v>90073.425800000012</v>
      </c>
      <c r="I589" s="86"/>
      <c r="J589" s="93">
        <f>SUM(J580,J585,J587)</f>
        <v>4500.3048958949512</v>
      </c>
      <c r="K589" s="25">
        <f>J589/$H589*100</f>
        <v>4.9962626112250641</v>
      </c>
      <c r="L589" s="88"/>
      <c r="M589" s="93">
        <f>SUM(M580,M585,M587)</f>
        <v>59.63668078902856</v>
      </c>
      <c r="N589" s="13"/>
      <c r="O589" s="93">
        <f>SUM(O580,O585,O587)</f>
        <v>4440.6682151059231</v>
      </c>
      <c r="P589" s="13"/>
      <c r="Q589" s="93">
        <f>SUM(Q580,Q585,Q587)</f>
        <v>-53.639935450403527</v>
      </c>
      <c r="R589" s="13"/>
      <c r="S589" s="93">
        <f>SUM(S580,S585,S587)</f>
        <v>4387.0282796555193</v>
      </c>
      <c r="T589" s="13"/>
      <c r="U589" s="25">
        <f>S589/$H589*100</f>
        <v>4.8705023048601737</v>
      </c>
      <c r="V589" s="13"/>
      <c r="W589" s="94">
        <f>S589/O589</f>
        <v>0.98792075137072044</v>
      </c>
      <c r="X589" s="13"/>
      <c r="Y589" s="26">
        <f>U589/K589-1</f>
        <v>-2.517087594281886E-2</v>
      </c>
    </row>
    <row r="590" spans="2:26" ht="12.9" thickTop="1" x14ac:dyDescent="0.3">
      <c r="B590" s="81"/>
      <c r="C590" s="83"/>
      <c r="E590" s="81"/>
      <c r="F590" s="91"/>
      <c r="G590" s="81"/>
      <c r="H590" s="88"/>
      <c r="I590" s="86"/>
      <c r="J590" s="88"/>
      <c r="K590" s="22"/>
      <c r="L590" s="88"/>
      <c r="M590" s="88"/>
      <c r="N590" s="13"/>
      <c r="O590" s="88"/>
      <c r="P590" s="13"/>
      <c r="Q590" s="88"/>
      <c r="R590" s="13"/>
      <c r="S590" s="88"/>
      <c r="T590" s="13"/>
      <c r="U590" s="22"/>
      <c r="V590" s="13"/>
      <c r="W590" s="92"/>
      <c r="X590" s="13"/>
      <c r="Y590" s="30"/>
    </row>
    <row r="591" spans="2:26" x14ac:dyDescent="0.3">
      <c r="B591" s="81"/>
      <c r="C591" s="83"/>
      <c r="D591" s="3" t="s">
        <v>174</v>
      </c>
      <c r="E591" s="81"/>
      <c r="F591" s="7"/>
      <c r="G591" s="81"/>
      <c r="H591" s="27"/>
      <c r="I591" s="86"/>
      <c r="J591" s="27"/>
      <c r="K591" s="86"/>
      <c r="L591" s="86"/>
      <c r="M591" s="28"/>
      <c r="N591" s="86"/>
      <c r="O591" s="29"/>
      <c r="P591" s="86"/>
      <c r="Q591" s="86"/>
      <c r="R591" s="86"/>
      <c r="S591" s="86"/>
      <c r="T591" s="86"/>
      <c r="U591" s="86"/>
      <c r="V591" s="86"/>
      <c r="W591" s="86"/>
      <c r="X591" s="86"/>
      <c r="Y591" s="98"/>
      <c r="Z591" s="81"/>
    </row>
    <row r="592" spans="2:26" x14ac:dyDescent="0.3">
      <c r="B592" s="81">
        <f>MAX(B$547:B591)+1</f>
        <v>306</v>
      </c>
      <c r="D592" s="10" t="s">
        <v>35</v>
      </c>
      <c r="E592" s="81"/>
      <c r="F592" s="37" t="s">
        <v>36</v>
      </c>
      <c r="G592" s="81"/>
      <c r="H592" s="12">
        <v>564.00000000000091</v>
      </c>
      <c r="I592" s="86"/>
      <c r="J592" s="12">
        <f>$H592*K592/1000</f>
        <v>1248.549360000002</v>
      </c>
      <c r="K592" s="87">
        <v>2213.7399999999998</v>
      </c>
      <c r="L592" s="88"/>
      <c r="M592" s="12">
        <f>J592-O592</f>
        <v>-443.5548689445468</v>
      </c>
      <c r="N592" s="13"/>
      <c r="O592" s="12">
        <v>1692.1042289445488</v>
      </c>
      <c r="P592" s="13"/>
      <c r="Q592" s="12">
        <f>S592-O592</f>
        <v>-443.5548689445468</v>
      </c>
      <c r="R592" s="13"/>
      <c r="S592" s="12">
        <f>$H592*U592/1000</f>
        <v>1248.549360000002</v>
      </c>
      <c r="T592" s="13"/>
      <c r="U592" s="87">
        <v>2213.7399999999998</v>
      </c>
      <c r="V592" s="13"/>
      <c r="W592" s="14">
        <f>S592/O592</f>
        <v>0.73786787991114799</v>
      </c>
      <c r="X592" s="13"/>
      <c r="Y592" s="15">
        <f>U592/K592-1</f>
        <v>0</v>
      </c>
    </row>
    <row r="593" spans="2:25" ht="14.15" x14ac:dyDescent="0.3">
      <c r="D593" s="10" t="s">
        <v>175</v>
      </c>
      <c r="E593" s="81"/>
      <c r="F593" s="11"/>
      <c r="G593" s="81"/>
      <c r="H593" s="12"/>
      <c r="I593" s="86"/>
      <c r="J593" s="12"/>
      <c r="K593" s="33"/>
      <c r="L593" s="88"/>
      <c r="M593" s="12"/>
      <c r="N593" s="13"/>
      <c r="O593" s="12"/>
      <c r="P593" s="13"/>
      <c r="Q593" s="12"/>
      <c r="R593" s="13"/>
      <c r="S593" s="12"/>
      <c r="T593" s="13"/>
      <c r="U593" s="33"/>
      <c r="V593" s="13"/>
      <c r="W593" s="14"/>
      <c r="X593" s="13"/>
      <c r="Y593" s="31"/>
    </row>
    <row r="594" spans="2:25" x14ac:dyDescent="0.3">
      <c r="B594" s="81"/>
      <c r="C594" s="83"/>
      <c r="D594" s="18" t="s">
        <v>176</v>
      </c>
      <c r="E594" s="81"/>
      <c r="F594" s="11"/>
      <c r="G594" s="81"/>
      <c r="H594" s="12"/>
      <c r="I594" s="86"/>
      <c r="J594" s="12"/>
      <c r="K594" s="33"/>
      <c r="L594" s="88"/>
      <c r="M594" s="12"/>
      <c r="N594" s="13"/>
      <c r="O594" s="12"/>
      <c r="P594" s="13"/>
      <c r="Q594" s="12"/>
      <c r="R594" s="13"/>
      <c r="S594" s="12"/>
      <c r="T594" s="13"/>
      <c r="U594" s="33"/>
      <c r="V594" s="13"/>
      <c r="W594" s="14"/>
      <c r="X594" s="13"/>
      <c r="Y594" s="31"/>
    </row>
    <row r="595" spans="2:25" x14ac:dyDescent="0.3">
      <c r="B595" s="81">
        <f>MAX(B$547:B594)+1</f>
        <v>307</v>
      </c>
      <c r="C595" s="83"/>
      <c r="D595" s="57" t="s">
        <v>177</v>
      </c>
      <c r="E595" s="81"/>
      <c r="F595" s="39" t="s">
        <v>62</v>
      </c>
      <c r="G595" s="81"/>
      <c r="H595" s="12">
        <v>14363.064</v>
      </c>
      <c r="I595" s="86"/>
      <c r="J595" s="12">
        <f>$H595*K595/100</f>
        <v>6143.5277277839996</v>
      </c>
      <c r="K595" s="33">
        <v>42.773099999999999</v>
      </c>
      <c r="L595" s="88"/>
      <c r="M595" s="12">
        <f t="shared" ref="M595" si="182">J595-O595</f>
        <v>985.57304357643716</v>
      </c>
      <c r="N595" s="13"/>
      <c r="O595" s="12">
        <v>5157.9546842075624</v>
      </c>
      <c r="P595" s="13"/>
      <c r="Q595" s="12">
        <f t="shared" ref="Q595:Q596" si="183">S595-O595</f>
        <v>-277.86532258117495</v>
      </c>
      <c r="R595" s="13"/>
      <c r="S595" s="12">
        <f>$H595*U595/100</f>
        <v>4880.0893616263875</v>
      </c>
      <c r="T595" s="13"/>
      <c r="U595" s="33">
        <v>33.976659587580947</v>
      </c>
      <c r="V595" s="13"/>
      <c r="W595" s="14"/>
      <c r="X595" s="13"/>
      <c r="Y595" s="15">
        <f t="shared" ref="Y595:Y602" si="184">U595/K595-1</f>
        <v>-0.20565356292667714</v>
      </c>
    </row>
    <row r="596" spans="2:25" x14ac:dyDescent="0.3">
      <c r="B596" s="81">
        <f>MAX(B$547:B595)+1</f>
        <v>308</v>
      </c>
      <c r="C596" s="83"/>
      <c r="D596" s="57" t="s">
        <v>178</v>
      </c>
      <c r="E596" s="81"/>
      <c r="F596" s="39" t="s">
        <v>62</v>
      </c>
      <c r="G596" s="81"/>
      <c r="H596" s="12">
        <v>12176.784</v>
      </c>
      <c r="I596" s="86"/>
      <c r="J596" s="12">
        <f>$H596*K596/100</f>
        <v>3717.4382105759996</v>
      </c>
      <c r="K596" s="33">
        <v>30.5289</v>
      </c>
      <c r="L596" s="88"/>
      <c r="M596" s="12">
        <f>J596-O596</f>
        <v>575.59589067279467</v>
      </c>
      <c r="N596" s="13"/>
      <c r="O596" s="12">
        <v>3141.842319903205</v>
      </c>
      <c r="P596" s="13"/>
      <c r="Q596" s="12">
        <f t="shared" si="183"/>
        <v>-198.4112118075609</v>
      </c>
      <c r="R596" s="13"/>
      <c r="S596" s="12">
        <f>$H596*U596/100</f>
        <v>2943.431108095644</v>
      </c>
      <c r="T596" s="13"/>
      <c r="U596" s="33">
        <v>24.172483539953113</v>
      </c>
      <c r="V596" s="13"/>
      <c r="W596" s="14"/>
      <c r="X596" s="13"/>
      <c r="Y596" s="15">
        <f t="shared" si="184"/>
        <v>-0.20820980972281633</v>
      </c>
    </row>
    <row r="597" spans="2:25" x14ac:dyDescent="0.3">
      <c r="B597" s="81"/>
      <c r="C597" s="83"/>
      <c r="D597" s="18" t="s">
        <v>179</v>
      </c>
      <c r="E597" s="81"/>
      <c r="F597" s="11"/>
      <c r="G597" s="81"/>
      <c r="H597" s="12"/>
      <c r="I597" s="86"/>
      <c r="J597" s="12"/>
      <c r="K597" s="33"/>
      <c r="L597" s="88"/>
      <c r="M597" s="12"/>
      <c r="N597" s="13"/>
      <c r="O597" s="12"/>
      <c r="P597" s="13"/>
      <c r="Q597" s="12"/>
      <c r="R597" s="13"/>
      <c r="S597" s="12"/>
      <c r="T597" s="13"/>
      <c r="U597" s="33"/>
      <c r="V597" s="13"/>
      <c r="W597" s="14"/>
      <c r="X597" s="13"/>
      <c r="Y597" s="31"/>
    </row>
    <row r="598" spans="2:25" x14ac:dyDescent="0.3">
      <c r="B598" s="81">
        <f>MAX(B$547:B597)+1</f>
        <v>309</v>
      </c>
      <c r="C598" s="83"/>
      <c r="D598" s="38" t="s">
        <v>180</v>
      </c>
      <c r="E598" s="81"/>
      <c r="F598" s="91" t="s">
        <v>39</v>
      </c>
      <c r="G598" s="81"/>
      <c r="H598" s="12">
        <v>393753.99073000008</v>
      </c>
      <c r="I598" s="86"/>
      <c r="J598" s="12">
        <f>$H598*K598/100</f>
        <v>646.93780676939014</v>
      </c>
      <c r="K598" s="33">
        <v>0.1643</v>
      </c>
      <c r="L598" s="88"/>
      <c r="M598" s="12">
        <f>J598-O598</f>
        <v>646.93780676939014</v>
      </c>
      <c r="N598" s="13"/>
      <c r="O598" s="12">
        <v>0</v>
      </c>
      <c r="P598" s="13"/>
      <c r="Q598" s="12">
        <f>S598-O598</f>
        <v>0</v>
      </c>
      <c r="R598" s="13"/>
      <c r="S598" s="12">
        <f>$H598*U598/100</f>
        <v>0</v>
      </c>
      <c r="T598" s="13"/>
      <c r="U598" s="33">
        <v>0</v>
      </c>
      <c r="V598" s="13"/>
      <c r="W598" s="14"/>
      <c r="X598" s="13"/>
      <c r="Y598" s="15">
        <f t="shared" si="184"/>
        <v>-1</v>
      </c>
    </row>
    <row r="599" spans="2:25" x14ac:dyDescent="0.3">
      <c r="B599" s="81">
        <f>MAX(B$547:B598)+1</f>
        <v>310</v>
      </c>
      <c r="C599" s="83"/>
      <c r="D599" s="38" t="s">
        <v>181</v>
      </c>
      <c r="E599" s="81"/>
      <c r="F599" s="91" t="s">
        <v>39</v>
      </c>
      <c r="G599" s="81"/>
      <c r="H599" s="12">
        <v>37535.500949999994</v>
      </c>
      <c r="I599" s="86"/>
      <c r="J599" s="12">
        <f>$H599*K599/100</f>
        <v>818.34899171189988</v>
      </c>
      <c r="K599" s="33">
        <v>2.1802000000000001</v>
      </c>
      <c r="L599" s="88"/>
      <c r="M599" s="12">
        <f>J599-O599</f>
        <v>693.49156673886489</v>
      </c>
      <c r="N599" s="13"/>
      <c r="O599" s="12">
        <v>124.85742497303502</v>
      </c>
      <c r="P599" s="13"/>
      <c r="Q599" s="12">
        <f>S599-O599</f>
        <v>-1.6178384399632506</v>
      </c>
      <c r="R599" s="13"/>
      <c r="S599" s="12">
        <f>$H599*U599/100</f>
        <v>123.23958653307177</v>
      </c>
      <c r="T599" s="13"/>
      <c r="U599" s="33">
        <v>0.32832807186251711</v>
      </c>
      <c r="V599" s="13"/>
      <c r="W599" s="14"/>
      <c r="X599" s="13"/>
      <c r="Y599" s="15">
        <f t="shared" si="184"/>
        <v>-0.84940460881455049</v>
      </c>
    </row>
    <row r="600" spans="2:25" x14ac:dyDescent="0.3">
      <c r="B600" s="81"/>
      <c r="C600" s="83"/>
      <c r="D600" s="10"/>
      <c r="E600" s="81"/>
      <c r="F600" s="11"/>
      <c r="G600" s="81"/>
      <c r="H600" s="12"/>
      <c r="I600" s="86"/>
      <c r="J600" s="12"/>
      <c r="K600" s="33"/>
      <c r="L600" s="88"/>
      <c r="M600" s="12"/>
      <c r="N600" s="13"/>
      <c r="O600" s="12"/>
      <c r="P600" s="13"/>
      <c r="Q600" s="12"/>
      <c r="R600" s="13"/>
      <c r="S600" s="12"/>
      <c r="T600" s="13"/>
      <c r="U600" s="33"/>
      <c r="V600" s="13"/>
      <c r="W600" s="14"/>
      <c r="X600" s="13"/>
      <c r="Y600" s="31"/>
    </row>
    <row r="601" spans="2:25" x14ac:dyDescent="0.3">
      <c r="B601" s="81">
        <f>MAX(B$547:B600)+1</f>
        <v>311</v>
      </c>
      <c r="C601" s="83"/>
      <c r="D601" s="18" t="s">
        <v>182</v>
      </c>
      <c r="E601" s="81"/>
      <c r="F601" s="91" t="s">
        <v>39</v>
      </c>
      <c r="G601" s="81"/>
      <c r="H601" s="12">
        <v>1410.373</v>
      </c>
      <c r="I601" s="86"/>
      <c r="J601" s="12">
        <f>$H601*K601/100</f>
        <v>2.3172428390000004</v>
      </c>
      <c r="K601" s="33">
        <v>0.1643</v>
      </c>
      <c r="L601" s="88"/>
      <c r="M601" s="12">
        <f t="shared" ref="M601" si="185">J601-O601</f>
        <v>2.3172428390000004</v>
      </c>
      <c r="N601" s="13"/>
      <c r="O601" s="12">
        <v>0</v>
      </c>
      <c r="P601" s="13"/>
      <c r="Q601" s="12">
        <f t="shared" ref="Q601" si="186">S601-O601</f>
        <v>0</v>
      </c>
      <c r="R601" s="13"/>
      <c r="S601" s="12">
        <f>$H601*U601/100</f>
        <v>0</v>
      </c>
      <c r="T601" s="13"/>
      <c r="U601" s="33">
        <v>0</v>
      </c>
      <c r="V601" s="13"/>
      <c r="W601" s="14"/>
      <c r="X601" s="13"/>
      <c r="Y601" s="15">
        <f t="shared" si="184"/>
        <v>-1</v>
      </c>
    </row>
    <row r="602" spans="2:25" x14ac:dyDescent="0.3">
      <c r="B602" s="81">
        <f>MAX(B$547:B601)+1</f>
        <v>312</v>
      </c>
      <c r="C602" s="83"/>
      <c r="D602" s="18" t="s">
        <v>183</v>
      </c>
      <c r="E602" s="81"/>
      <c r="F602" s="91" t="s">
        <v>39</v>
      </c>
      <c r="G602" s="81"/>
      <c r="H602" s="12">
        <v>350</v>
      </c>
      <c r="I602" s="86"/>
      <c r="J602" s="12">
        <f>$H602*K602/100</f>
        <v>10.819200000000002</v>
      </c>
      <c r="K602" s="33">
        <v>3.0912000000000006</v>
      </c>
      <c r="L602" s="88"/>
      <c r="M602" s="12">
        <f>J602-O602</f>
        <v>10.819200000000002</v>
      </c>
      <c r="N602" s="13"/>
      <c r="O602" s="12">
        <v>0</v>
      </c>
      <c r="P602" s="13"/>
      <c r="Q602" s="12">
        <f>S602-O602</f>
        <v>1.6178384399633052</v>
      </c>
      <c r="R602" s="13"/>
      <c r="S602" s="12">
        <f>$H602*U602/100</f>
        <v>1.6178384399633052</v>
      </c>
      <c r="T602" s="13"/>
      <c r="U602" s="33">
        <v>0.46223955427523006</v>
      </c>
      <c r="V602" s="13"/>
      <c r="W602" s="14"/>
      <c r="X602" s="13"/>
      <c r="Y602" s="15">
        <f t="shared" si="184"/>
        <v>-0.85046598270081852</v>
      </c>
    </row>
    <row r="603" spans="2:25" x14ac:dyDescent="0.3">
      <c r="B603" s="81"/>
      <c r="C603" s="83"/>
      <c r="D603" s="10"/>
      <c r="E603" s="81"/>
      <c r="F603" s="11"/>
      <c r="G603" s="81"/>
      <c r="H603" s="12"/>
      <c r="I603" s="86"/>
      <c r="J603" s="12"/>
      <c r="K603" s="33"/>
      <c r="L603" s="88"/>
      <c r="M603" s="12"/>
      <c r="N603" s="13"/>
      <c r="O603" s="12"/>
      <c r="P603" s="13"/>
      <c r="Q603" s="12"/>
      <c r="R603" s="13"/>
      <c r="S603" s="12"/>
      <c r="T603" s="13"/>
      <c r="U603" s="33"/>
      <c r="V603" s="13"/>
      <c r="W603" s="14"/>
      <c r="X603" s="13"/>
      <c r="Y603" s="31"/>
    </row>
    <row r="604" spans="2:25" x14ac:dyDescent="0.3">
      <c r="B604" s="81">
        <f>MAX(B$547:B603)+1</f>
        <v>313</v>
      </c>
      <c r="C604" s="83"/>
      <c r="D604" s="18" t="s">
        <v>184</v>
      </c>
      <c r="E604" s="81"/>
      <c r="F604" s="39"/>
      <c r="G604" s="81"/>
      <c r="H604" s="12"/>
      <c r="I604" s="86"/>
      <c r="J604" s="12">
        <v>257.69288354184994</v>
      </c>
      <c r="K604" s="97">
        <v>4.1900000000000001E-3</v>
      </c>
      <c r="L604" s="88"/>
      <c r="M604" s="12">
        <f>J604-O604</f>
        <v>-220.97050791427318</v>
      </c>
      <c r="N604" s="13"/>
      <c r="O604" s="12">
        <f>S604</f>
        <v>478.66339145612312</v>
      </c>
      <c r="P604" s="13"/>
      <c r="Q604" s="12">
        <f>S604-O604</f>
        <v>0</v>
      </c>
      <c r="R604" s="13"/>
      <c r="S604" s="12">
        <v>478.66339145612312</v>
      </c>
      <c r="T604" s="13"/>
      <c r="U604" s="97">
        <v>7.7829064684878718E-3</v>
      </c>
      <c r="V604" s="13"/>
      <c r="W604" s="14">
        <f>S604/O604</f>
        <v>1</v>
      </c>
      <c r="X604" s="13"/>
      <c r="Y604" s="15">
        <f>U604/K604-1</f>
        <v>0.85749557720474257</v>
      </c>
    </row>
    <row r="605" spans="2:25" x14ac:dyDescent="0.3">
      <c r="B605" s="81"/>
      <c r="C605" s="83"/>
      <c r="D605" s="10"/>
      <c r="E605" s="81"/>
      <c r="F605" s="11"/>
      <c r="G605" s="81"/>
      <c r="H605" s="12"/>
      <c r="I605" s="86"/>
      <c r="J605" s="12"/>
      <c r="K605" s="33"/>
      <c r="L605" s="88"/>
      <c r="M605" s="12"/>
      <c r="N605" s="13"/>
      <c r="O605" s="12"/>
      <c r="P605" s="13"/>
      <c r="Q605" s="12"/>
      <c r="R605" s="13"/>
      <c r="S605" s="12"/>
      <c r="T605" s="13"/>
      <c r="U605" s="33"/>
      <c r="V605" s="13"/>
      <c r="W605" s="14"/>
      <c r="X605" s="13"/>
      <c r="Y605" s="15"/>
    </row>
    <row r="606" spans="2:25" x14ac:dyDescent="0.3">
      <c r="B606" s="81">
        <f>MAX(B$547:B605)+1</f>
        <v>314</v>
      </c>
      <c r="C606" s="83"/>
      <c r="D606" s="10" t="s">
        <v>185</v>
      </c>
      <c r="E606" s="81"/>
      <c r="F606" s="11"/>
      <c r="G606" s="81"/>
      <c r="H606" s="89">
        <f>SUM(H598:H599)</f>
        <v>431289.49168000009</v>
      </c>
      <c r="I606" s="86"/>
      <c r="J606" s="89">
        <f>SUM(J592:J604)</f>
        <v>12845.631423222143</v>
      </c>
      <c r="K606" s="19">
        <f>J606/$H606*100</f>
        <v>2.978424392670596</v>
      </c>
      <c r="L606" s="88"/>
      <c r="M606" s="89">
        <f>SUM(M592:M604)</f>
        <v>2250.2093737376667</v>
      </c>
      <c r="N606" s="13"/>
      <c r="O606" s="89">
        <f>SUM(O592:O604)</f>
        <v>10595.422049484474</v>
      </c>
      <c r="P606" s="13"/>
      <c r="Q606" s="89">
        <f>SUM(Q592:Q604)</f>
        <v>-919.83140333328265</v>
      </c>
      <c r="R606" s="13"/>
      <c r="S606" s="89">
        <f>SUM(S592:S604)</f>
        <v>9675.5906461511895</v>
      </c>
      <c r="T606" s="13"/>
      <c r="U606" s="19">
        <f>S606/$H606*100</f>
        <v>2.2434097822467001</v>
      </c>
      <c r="V606" s="13"/>
      <c r="W606" s="90">
        <f>S606/O606</f>
        <v>0.91318595908333455</v>
      </c>
      <c r="X606" s="13"/>
      <c r="Y606" s="20">
        <f>U606/K606-1</f>
        <v>-0.24677967727924999</v>
      </c>
    </row>
    <row r="607" spans="2:25" x14ac:dyDescent="0.3">
      <c r="E607" s="81"/>
      <c r="F607" s="11"/>
      <c r="G607" s="81"/>
      <c r="H607" s="12"/>
      <c r="I607" s="86"/>
      <c r="J607" s="12"/>
      <c r="K607" s="33"/>
      <c r="L607" s="88"/>
      <c r="M607" s="12"/>
      <c r="N607" s="13"/>
      <c r="O607" s="12"/>
      <c r="P607" s="13"/>
      <c r="Q607" s="12"/>
      <c r="R607" s="13"/>
      <c r="S607" s="12"/>
      <c r="T607" s="13"/>
      <c r="U607" s="33"/>
      <c r="V607" s="13"/>
      <c r="W607" s="14"/>
      <c r="X607" s="13"/>
      <c r="Y607" s="15"/>
    </row>
    <row r="608" spans="2:25" x14ac:dyDescent="0.3">
      <c r="D608" s="45" t="s">
        <v>186</v>
      </c>
      <c r="E608" s="81"/>
      <c r="F608" s="11"/>
      <c r="G608" s="81"/>
      <c r="H608" s="12"/>
      <c r="I608" s="86"/>
      <c r="J608" s="12"/>
      <c r="K608" s="33"/>
      <c r="L608" s="88"/>
      <c r="M608" s="12"/>
      <c r="N608" s="13"/>
      <c r="O608" s="12"/>
      <c r="P608" s="13"/>
      <c r="Q608" s="12"/>
      <c r="R608" s="13"/>
      <c r="S608" s="12"/>
      <c r="T608" s="13"/>
      <c r="U608" s="33"/>
      <c r="V608" s="13"/>
      <c r="W608" s="14"/>
      <c r="X608" s="13"/>
      <c r="Y608" s="15"/>
    </row>
    <row r="609" spans="2:25" x14ac:dyDescent="0.3">
      <c r="D609" s="52" t="s">
        <v>187</v>
      </c>
      <c r="E609" s="81"/>
      <c r="F609" s="11"/>
      <c r="G609" s="81"/>
      <c r="H609" s="12"/>
      <c r="I609" s="86"/>
      <c r="J609" s="12"/>
      <c r="K609" s="33"/>
      <c r="L609" s="88"/>
      <c r="M609" s="12"/>
      <c r="N609" s="13"/>
      <c r="O609" s="12"/>
      <c r="P609" s="13"/>
      <c r="Q609" s="12"/>
      <c r="R609" s="13"/>
      <c r="S609" s="12"/>
      <c r="T609" s="13"/>
      <c r="U609" s="33"/>
      <c r="V609" s="13"/>
      <c r="W609" s="14"/>
      <c r="X609" s="13"/>
      <c r="Y609" s="15"/>
    </row>
    <row r="610" spans="2:25" x14ac:dyDescent="0.3">
      <c r="B610" s="81">
        <f>MAX(B$547:B609)+1</f>
        <v>315</v>
      </c>
      <c r="D610" s="57" t="s">
        <v>188</v>
      </c>
      <c r="E610" s="81"/>
      <c r="F610" s="11" t="s">
        <v>189</v>
      </c>
      <c r="G610" s="81"/>
      <c r="H610" s="12">
        <v>17815248</v>
      </c>
      <c r="I610" s="86"/>
      <c r="J610" s="12">
        <f>$H610*K610/1000</f>
        <v>213.78297599999999</v>
      </c>
      <c r="K610" s="53">
        <v>1.2E-2</v>
      </c>
      <c r="L610" s="88"/>
      <c r="M610" s="12">
        <f>J610-O610</f>
        <v>-52.496337266053189</v>
      </c>
      <c r="N610" s="13"/>
      <c r="O610" s="12">
        <v>266.27931326605318</v>
      </c>
      <c r="P610" s="13"/>
      <c r="Q610" s="12">
        <f>S610-O610</f>
        <v>3.5596204852254232E-2</v>
      </c>
      <c r="R610" s="13"/>
      <c r="S610" s="12">
        <f>$H610*U610/1000</f>
        <v>266.31490947090543</v>
      </c>
      <c r="T610" s="13"/>
      <c r="U610" s="53">
        <v>1.4948706269534132E-2</v>
      </c>
      <c r="V610" s="13"/>
      <c r="W610" s="14"/>
      <c r="X610" s="13"/>
      <c r="Y610" s="15">
        <f t="shared" ref="Y610" si="187">U610/K610-1</f>
        <v>0.24572552246117763</v>
      </c>
    </row>
    <row r="611" spans="2:25" x14ac:dyDescent="0.3">
      <c r="D611" s="52" t="s">
        <v>190</v>
      </c>
      <c r="E611" s="81"/>
      <c r="F611" s="11"/>
      <c r="G611" s="81"/>
      <c r="H611" s="12"/>
      <c r="I611" s="86"/>
      <c r="J611" s="12"/>
      <c r="K611" s="33"/>
      <c r="L611" s="88"/>
      <c r="M611" s="12"/>
      <c r="N611" s="13"/>
      <c r="O611" s="12"/>
      <c r="P611" s="13"/>
      <c r="Q611" s="12"/>
      <c r="R611" s="13"/>
      <c r="S611" s="12"/>
      <c r="T611" s="13"/>
      <c r="U611" s="33"/>
      <c r="V611" s="13"/>
      <c r="W611" s="14"/>
      <c r="X611" s="13"/>
      <c r="Y611" s="15"/>
    </row>
    <row r="612" spans="2:25" x14ac:dyDescent="0.3">
      <c r="B612" s="81">
        <f>MAX(B$547:B611)+1</f>
        <v>316</v>
      </c>
      <c r="D612" s="101" t="s">
        <v>191</v>
      </c>
      <c r="E612" s="81"/>
      <c r="F612" s="11" t="s">
        <v>189</v>
      </c>
      <c r="G612" s="81"/>
      <c r="H612" s="12">
        <v>674172</v>
      </c>
      <c r="I612" s="86"/>
      <c r="J612" s="12">
        <f>$H612*K612/1000</f>
        <v>1212.1612560000001</v>
      </c>
      <c r="K612" s="53">
        <v>1.798</v>
      </c>
      <c r="L612" s="88"/>
      <c r="M612" s="12">
        <f>J612-O612</f>
        <v>253.81222073142862</v>
      </c>
      <c r="N612" s="13"/>
      <c r="O612" s="12">
        <v>958.34903526857147</v>
      </c>
      <c r="P612" s="13"/>
      <c r="Q612" s="12">
        <f t="shared" ref="Q612:Q615" si="188">S612-O612</f>
        <v>776.50526150894484</v>
      </c>
      <c r="R612" s="13"/>
      <c r="S612" s="12">
        <f>$H612*U612/1000</f>
        <v>1734.8542967775163</v>
      </c>
      <c r="T612" s="13"/>
      <c r="U612" s="53">
        <v>2.5733111087044795</v>
      </c>
      <c r="V612" s="13"/>
      <c r="W612" s="14"/>
      <c r="X612" s="13"/>
      <c r="Y612" s="15">
        <f t="shared" ref="Y612:Y615" si="189">U612/K612-1</f>
        <v>0.43120751318380401</v>
      </c>
    </row>
    <row r="613" spans="2:25" x14ac:dyDescent="0.3">
      <c r="B613" s="81">
        <f>MAX(B$547:B612)+1</f>
        <v>317</v>
      </c>
      <c r="D613" s="101" t="s">
        <v>192</v>
      </c>
      <c r="E613" s="81"/>
      <c r="F613" s="11" t="s">
        <v>189</v>
      </c>
      <c r="G613" s="81"/>
      <c r="H613" s="12">
        <v>10476</v>
      </c>
      <c r="I613" s="86"/>
      <c r="J613" s="12">
        <f>$H613*K613/1000</f>
        <v>15.902567999999999</v>
      </c>
      <c r="K613" s="53">
        <v>1.518</v>
      </c>
      <c r="L613" s="88"/>
      <c r="M613" s="12">
        <f t="shared" ref="M613:M615" si="190">J613-O613</f>
        <v>2.5307395735065814</v>
      </c>
      <c r="N613" s="13"/>
      <c r="O613" s="12">
        <v>13.371828426493417</v>
      </c>
      <c r="P613" s="13"/>
      <c r="Q613" s="12">
        <f t="shared" si="188"/>
        <v>11.718432912512396</v>
      </c>
      <c r="R613" s="13"/>
      <c r="S613" s="12">
        <f>$H613*U613/1000</f>
        <v>25.090261339005814</v>
      </c>
      <c r="T613" s="13"/>
      <c r="U613" s="53">
        <v>2.3950230373239609</v>
      </c>
      <c r="V613" s="13"/>
      <c r="W613" s="14"/>
      <c r="X613" s="13"/>
      <c r="Y613" s="15">
        <f t="shared" si="189"/>
        <v>0.57774903644529707</v>
      </c>
    </row>
    <row r="614" spans="2:25" x14ac:dyDescent="0.3">
      <c r="B614" s="81">
        <f>MAX(B$547:B613)+1</f>
        <v>318</v>
      </c>
      <c r="D614" s="57" t="s">
        <v>193</v>
      </c>
      <c r="E614" s="81"/>
      <c r="F614" s="11" t="s">
        <v>189</v>
      </c>
      <c r="G614" s="81"/>
      <c r="H614" s="12">
        <v>0</v>
      </c>
      <c r="I614" s="86"/>
      <c r="J614" s="12">
        <f>$H614*K614/1000</f>
        <v>0</v>
      </c>
      <c r="K614" s="53">
        <v>1.518</v>
      </c>
      <c r="L614" s="88"/>
      <c r="M614" s="12">
        <f t="shared" si="190"/>
        <v>0</v>
      </c>
      <c r="N614" s="13"/>
      <c r="O614" s="12">
        <v>0</v>
      </c>
      <c r="P614" s="13"/>
      <c r="Q614" s="12">
        <f t="shared" si="188"/>
        <v>0</v>
      </c>
      <c r="R614" s="13"/>
      <c r="S614" s="12">
        <f>$H614*U614/1000</f>
        <v>0</v>
      </c>
      <c r="T614" s="13"/>
      <c r="U614" s="53">
        <v>2.3950230373239609</v>
      </c>
      <c r="V614" s="13"/>
      <c r="W614" s="14"/>
      <c r="X614" s="13"/>
      <c r="Y614" s="15">
        <f t="shared" si="189"/>
        <v>0.57774903644529707</v>
      </c>
    </row>
    <row r="615" spans="2:25" x14ac:dyDescent="0.3">
      <c r="B615" s="81">
        <f>MAX(B$547:B614)+1</f>
        <v>319</v>
      </c>
      <c r="D615" s="57" t="s">
        <v>194</v>
      </c>
      <c r="E615" s="81"/>
      <c r="F615" s="11" t="s">
        <v>189</v>
      </c>
      <c r="G615" s="81"/>
      <c r="H615" s="12">
        <v>0</v>
      </c>
      <c r="I615" s="86"/>
      <c r="J615" s="12">
        <f>$H615*K615/1000</f>
        <v>0</v>
      </c>
      <c r="K615" s="53">
        <v>1.518</v>
      </c>
      <c r="L615" s="88"/>
      <c r="M615" s="12">
        <f t="shared" si="190"/>
        <v>0</v>
      </c>
      <c r="N615" s="13"/>
      <c r="O615" s="12">
        <v>0</v>
      </c>
      <c r="P615" s="13"/>
      <c r="Q615" s="12">
        <f t="shared" si="188"/>
        <v>0</v>
      </c>
      <c r="R615" s="13"/>
      <c r="S615" s="12">
        <f>$H615*U615/1000</f>
        <v>0</v>
      </c>
      <c r="T615" s="13"/>
      <c r="U615" s="53">
        <v>2.3950230373239609</v>
      </c>
      <c r="V615" s="13"/>
      <c r="W615" s="14"/>
      <c r="X615" s="13"/>
      <c r="Y615" s="15">
        <f t="shared" si="189"/>
        <v>0.57774903644529707</v>
      </c>
    </row>
    <row r="616" spans="2:25" x14ac:dyDescent="0.3">
      <c r="D616" s="52" t="s">
        <v>195</v>
      </c>
      <c r="E616" s="81"/>
      <c r="F616" s="11"/>
      <c r="G616" s="81"/>
      <c r="H616" s="12"/>
      <c r="I616" s="86"/>
      <c r="J616" s="12"/>
      <c r="K616" s="33"/>
      <c r="L616" s="88"/>
      <c r="M616" s="12"/>
      <c r="N616" s="13"/>
      <c r="O616" s="12"/>
      <c r="P616" s="13"/>
      <c r="Q616" s="12"/>
      <c r="R616" s="13"/>
      <c r="S616" s="12"/>
      <c r="T616" s="13"/>
      <c r="U616" s="33"/>
      <c r="V616" s="13"/>
      <c r="W616" s="14"/>
      <c r="X616" s="13"/>
      <c r="Y616" s="15"/>
    </row>
    <row r="617" spans="2:25" x14ac:dyDescent="0.3">
      <c r="B617" s="81">
        <f>MAX(B$547:B616)+1</f>
        <v>320</v>
      </c>
      <c r="D617" s="57" t="s">
        <v>196</v>
      </c>
      <c r="E617" s="81"/>
      <c r="F617" s="11" t="s">
        <v>132</v>
      </c>
      <c r="G617" s="81"/>
      <c r="H617" s="12">
        <v>2989700.51</v>
      </c>
      <c r="I617" s="86"/>
      <c r="J617" s="12">
        <f>$H617*K617/1000</f>
        <v>35.876406119999999</v>
      </c>
      <c r="K617" s="53">
        <v>1.2E-2</v>
      </c>
      <c r="L617" s="88"/>
      <c r="M617" s="12">
        <f>J617-O617</f>
        <v>35.876406119999999</v>
      </c>
      <c r="N617" s="13"/>
      <c r="O617" s="12">
        <v>0</v>
      </c>
      <c r="P617" s="13"/>
      <c r="Q617" s="12">
        <f>S617-O617</f>
        <v>0</v>
      </c>
      <c r="R617" s="13"/>
      <c r="S617" s="12">
        <f>$H617*U617/1000</f>
        <v>0</v>
      </c>
      <c r="T617" s="13"/>
      <c r="U617" s="53">
        <v>0</v>
      </c>
      <c r="V617" s="13"/>
      <c r="W617" s="14"/>
      <c r="X617" s="13"/>
      <c r="Y617" s="15">
        <f t="shared" ref="Y617" si="191">U617/K617-1</f>
        <v>-1</v>
      </c>
    </row>
    <row r="618" spans="2:25" x14ac:dyDescent="0.3">
      <c r="D618" s="45"/>
      <c r="E618" s="81"/>
      <c r="F618" s="11"/>
      <c r="G618" s="81"/>
      <c r="H618" s="12"/>
      <c r="I618" s="86"/>
      <c r="J618" s="12"/>
      <c r="K618" s="33"/>
      <c r="L618" s="88"/>
      <c r="M618" s="12"/>
      <c r="N618" s="13"/>
      <c r="O618" s="12"/>
      <c r="P618" s="13"/>
      <c r="Q618" s="12"/>
      <c r="R618" s="13"/>
      <c r="S618" s="12"/>
      <c r="T618" s="13"/>
      <c r="U618" s="33"/>
      <c r="V618" s="13"/>
      <c r="W618" s="14"/>
      <c r="X618" s="13"/>
      <c r="Y618" s="15"/>
    </row>
    <row r="619" spans="2:25" x14ac:dyDescent="0.3">
      <c r="B619" s="81">
        <f>MAX(B$547:B618)+1</f>
        <v>321</v>
      </c>
      <c r="C619" s="83"/>
      <c r="D619" s="18" t="s">
        <v>197</v>
      </c>
      <c r="E619" s="81"/>
      <c r="F619" s="91"/>
      <c r="G619" s="81"/>
      <c r="H619" s="12"/>
      <c r="I619" s="86"/>
      <c r="J619" s="12">
        <v>54.095880203980798</v>
      </c>
      <c r="K619" s="97">
        <v>4.96E-3</v>
      </c>
      <c r="L619" s="88"/>
      <c r="M619" s="12">
        <f>J619-O619</f>
        <v>-33.093410187769152</v>
      </c>
      <c r="N619" s="13"/>
      <c r="O619" s="12">
        <f>S619</f>
        <v>87.18929039174995</v>
      </c>
      <c r="P619" s="13"/>
      <c r="Q619" s="12">
        <f>S619-O619</f>
        <v>0</v>
      </c>
      <c r="R619" s="13"/>
      <c r="S619" s="12">
        <v>87.18929039174995</v>
      </c>
      <c r="T619" s="13"/>
      <c r="U619" s="97">
        <v>7.994303424075833E-3</v>
      </c>
      <c r="V619" s="13"/>
      <c r="W619" s="14">
        <f>S619/O619</f>
        <v>1</v>
      </c>
      <c r="X619" s="13"/>
      <c r="Y619" s="15">
        <f>U619/K619-1</f>
        <v>0.61175472259593411</v>
      </c>
    </row>
    <row r="620" spans="2:25" x14ac:dyDescent="0.3"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24"/>
    </row>
    <row r="621" spans="2:25" x14ac:dyDescent="0.3">
      <c r="B621" s="81">
        <f>MAX(B$547:B620)+1</f>
        <v>322</v>
      </c>
      <c r="C621" s="83"/>
      <c r="D621" s="10" t="s">
        <v>198</v>
      </c>
      <c r="E621" s="81"/>
      <c r="F621" s="11"/>
      <c r="G621" s="81"/>
      <c r="H621" s="89">
        <f>H606</f>
        <v>431289.49168000009</v>
      </c>
      <c r="I621" s="86"/>
      <c r="J621" s="89">
        <f>SUM(J610:J619)</f>
        <v>1531.8190863239809</v>
      </c>
      <c r="K621" s="19">
        <f>J621/$H621*100</f>
        <v>0.35517190097933821</v>
      </c>
      <c r="L621" s="88"/>
      <c r="M621" s="89">
        <f>SUM(M610:M619)</f>
        <v>206.62961897111285</v>
      </c>
      <c r="N621" s="13"/>
      <c r="O621" s="89">
        <f>SUM(O610:O619)</f>
        <v>1325.189467352868</v>
      </c>
      <c r="P621" s="13"/>
      <c r="Q621" s="89">
        <f>SUM(Q610:Q619)</f>
        <v>788.25929062630951</v>
      </c>
      <c r="R621" s="13"/>
      <c r="S621" s="89">
        <f>SUM(S610:S619)</f>
        <v>2113.4487579791776</v>
      </c>
      <c r="T621" s="13"/>
      <c r="U621" s="19">
        <f>S621/$H621*100</f>
        <v>0.49003019984249324</v>
      </c>
      <c r="V621" s="13"/>
      <c r="W621" s="90">
        <f>S621/O621</f>
        <v>1.5948276152548184</v>
      </c>
      <c r="X621" s="13"/>
      <c r="Y621" s="20">
        <f>U621/K621-1</f>
        <v>0.37969867123863588</v>
      </c>
    </row>
    <row r="622" spans="2:25" x14ac:dyDescent="0.3">
      <c r="B622" s="81"/>
      <c r="C622" s="83"/>
      <c r="D622" s="10"/>
      <c r="E622" s="81"/>
      <c r="F622" s="11"/>
      <c r="G622" s="81"/>
      <c r="H622" s="12"/>
      <c r="I622" s="86"/>
      <c r="J622" s="12"/>
      <c r="K622" s="33"/>
      <c r="L622" s="88"/>
      <c r="M622" s="12"/>
      <c r="N622" s="13"/>
      <c r="O622" s="12"/>
      <c r="P622" s="13"/>
      <c r="Q622" s="12"/>
      <c r="R622" s="13"/>
      <c r="S622" s="12"/>
      <c r="T622" s="13"/>
      <c r="U622" s="33"/>
      <c r="V622" s="13"/>
      <c r="W622" s="14"/>
      <c r="X622" s="13"/>
      <c r="Y622" s="15"/>
    </row>
    <row r="623" spans="2:25" ht="12.9" thickBot="1" x14ac:dyDescent="0.35">
      <c r="B623" s="81">
        <f>MAX(B$547:B622)+1</f>
        <v>323</v>
      </c>
      <c r="C623" s="83"/>
      <c r="D623" s="10" t="s">
        <v>199</v>
      </c>
      <c r="E623" s="81"/>
      <c r="F623" s="11"/>
      <c r="G623" s="81"/>
      <c r="H623" s="93">
        <f>H606</f>
        <v>431289.49168000009</v>
      </c>
      <c r="I623" s="86"/>
      <c r="J623" s="93">
        <f>J606+J621</f>
        <v>14377.450509546125</v>
      </c>
      <c r="K623" s="25">
        <f>J623/$H623*100</f>
        <v>3.3335962936499342</v>
      </c>
      <c r="L623" s="88"/>
      <c r="M623" s="93">
        <f>M606+M621</f>
        <v>2456.8389927087796</v>
      </c>
      <c r="N623" s="13"/>
      <c r="O623" s="93">
        <f>O606+O621</f>
        <v>11920.611516837342</v>
      </c>
      <c r="P623" s="13"/>
      <c r="Q623" s="93">
        <f>Q606+Q621</f>
        <v>-131.57211270697314</v>
      </c>
      <c r="R623" s="13"/>
      <c r="S623" s="93">
        <f>S606+S621</f>
        <v>11789.039404130366</v>
      </c>
      <c r="T623" s="13"/>
      <c r="U623" s="25">
        <f>S623/$H623*100</f>
        <v>2.7334399820891928</v>
      </c>
      <c r="V623" s="13"/>
      <c r="W623" s="94">
        <f>S623/O623</f>
        <v>0.98896263731762957</v>
      </c>
      <c r="X623" s="13"/>
      <c r="Y623" s="26">
        <f>U623/K623-1</f>
        <v>-0.18003269103219266</v>
      </c>
    </row>
    <row r="624" spans="2:25" ht="12.9" thickTop="1" x14ac:dyDescent="0.3">
      <c r="B624" s="81"/>
      <c r="C624" s="83"/>
      <c r="E624" s="81"/>
      <c r="F624" s="91"/>
      <c r="G624" s="81"/>
      <c r="H624" s="88"/>
      <c r="I624" s="86"/>
      <c r="J624" s="88"/>
      <c r="K624" s="22"/>
      <c r="L624" s="88"/>
      <c r="M624" s="88"/>
      <c r="N624" s="13"/>
      <c r="O624" s="88"/>
      <c r="P624" s="13"/>
      <c r="Q624" s="88"/>
      <c r="R624" s="13"/>
      <c r="S624" s="88"/>
      <c r="T624" s="13"/>
      <c r="U624" s="22"/>
      <c r="V624" s="13"/>
      <c r="W624" s="92"/>
      <c r="X624" s="13"/>
      <c r="Y624" s="22"/>
    </row>
    <row r="625" spans="2:26" x14ac:dyDescent="0.3">
      <c r="B625" s="123" t="s">
        <v>0</v>
      </c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</row>
    <row r="626" spans="2:26" x14ac:dyDescent="0.3">
      <c r="B626" s="123" t="s">
        <v>59</v>
      </c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</row>
    <row r="627" spans="2:26" x14ac:dyDescent="0.3">
      <c r="B627" s="77"/>
      <c r="C627" s="77"/>
      <c r="D627" s="77"/>
      <c r="E627" s="77"/>
      <c r="F627" s="78"/>
      <c r="G627" s="77"/>
      <c r="H627" s="78"/>
      <c r="I627" s="77"/>
      <c r="J627" s="78"/>
      <c r="K627" s="78"/>
      <c r="L627" s="78"/>
      <c r="M627" s="78"/>
      <c r="N627" s="77"/>
      <c r="O627" s="77"/>
      <c r="P627" s="77"/>
      <c r="Q627" s="77"/>
      <c r="R627" s="77"/>
      <c r="S627" s="77"/>
      <c r="T627" s="77"/>
      <c r="U627" s="77"/>
      <c r="V627" s="77"/>
      <c r="W627" s="5"/>
      <c r="X627" s="77"/>
      <c r="Y627" s="5"/>
    </row>
    <row r="628" spans="2:26" x14ac:dyDescent="0.3">
      <c r="B628" s="78"/>
      <c r="C628" s="78"/>
      <c r="D628" s="78"/>
      <c r="E628" s="78"/>
      <c r="F628" s="77"/>
      <c r="G628" s="78"/>
      <c r="H628" s="77"/>
      <c r="I628" s="78"/>
      <c r="J628" s="79" t="s">
        <v>2</v>
      </c>
      <c r="K628" s="79"/>
      <c r="L628" s="78"/>
      <c r="M628" s="78"/>
      <c r="N628" s="78"/>
      <c r="O628" s="122" t="s">
        <v>3</v>
      </c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3"/>
    </row>
    <row r="629" spans="2:26" ht="37.299999999999997" x14ac:dyDescent="0.3">
      <c r="B629" s="80" t="s">
        <v>4</v>
      </c>
      <c r="C629" s="80"/>
      <c r="D629" s="80"/>
      <c r="E629" s="80"/>
      <c r="F629" s="81" t="s">
        <v>5</v>
      </c>
      <c r="G629" s="80"/>
      <c r="H629" s="6" t="s">
        <v>6</v>
      </c>
      <c r="I629" s="80"/>
      <c r="J629" s="6" t="s">
        <v>7</v>
      </c>
      <c r="K629" s="6" t="s">
        <v>8</v>
      </c>
      <c r="L629" s="80"/>
      <c r="M629" s="6" t="s">
        <v>9</v>
      </c>
      <c r="N629" s="80"/>
      <c r="O629" s="80" t="s">
        <v>10</v>
      </c>
      <c r="P629" s="80"/>
      <c r="Q629" s="6" t="s">
        <v>11</v>
      </c>
      <c r="R629" s="80"/>
      <c r="S629" s="6" t="s">
        <v>7</v>
      </c>
      <c r="T629" s="80"/>
      <c r="U629" s="6" t="s">
        <v>12</v>
      </c>
      <c r="V629" s="80"/>
      <c r="W629" s="80" t="s">
        <v>13</v>
      </c>
      <c r="X629" s="80"/>
      <c r="Y629" s="80" t="s">
        <v>14</v>
      </c>
    </row>
    <row r="630" spans="2:26" ht="14.15" x14ac:dyDescent="0.3">
      <c r="B630" s="82" t="s">
        <v>15</v>
      </c>
      <c r="C630" s="83"/>
      <c r="D630" s="84" t="s">
        <v>16</v>
      </c>
      <c r="E630" s="81"/>
      <c r="F630" s="82" t="s">
        <v>17</v>
      </c>
      <c r="G630" s="81"/>
      <c r="H630" s="82" t="s">
        <v>18</v>
      </c>
      <c r="I630" s="81"/>
      <c r="J630" s="82" t="s">
        <v>19</v>
      </c>
      <c r="K630" s="82" t="s">
        <v>20</v>
      </c>
      <c r="L630" s="81"/>
      <c r="M630" s="82" t="s">
        <v>19</v>
      </c>
      <c r="N630" s="81"/>
      <c r="O630" s="82" t="s">
        <v>19</v>
      </c>
      <c r="P630" s="81"/>
      <c r="Q630" s="82" t="s">
        <v>19</v>
      </c>
      <c r="R630" s="81"/>
      <c r="S630" s="82" t="s">
        <v>19</v>
      </c>
      <c r="T630" s="81"/>
      <c r="U630" s="82" t="s">
        <v>20</v>
      </c>
      <c r="V630" s="81"/>
      <c r="W630" s="82" t="s">
        <v>21</v>
      </c>
      <c r="X630" s="81"/>
      <c r="Y630" s="82" t="s">
        <v>22</v>
      </c>
    </row>
    <row r="631" spans="2:26" s="6" customFormat="1" x14ac:dyDescent="0.3">
      <c r="B631" s="81"/>
      <c r="C631" s="83"/>
      <c r="D631" s="83"/>
      <c r="E631" s="81"/>
      <c r="F631" s="81"/>
      <c r="G631" s="81"/>
      <c r="H631" s="81" t="s">
        <v>23</v>
      </c>
      <c r="I631" s="81"/>
      <c r="J631" s="81" t="s">
        <v>24</v>
      </c>
      <c r="K631" s="81" t="s">
        <v>25</v>
      </c>
      <c r="L631" s="81"/>
      <c r="M631" s="81" t="s">
        <v>26</v>
      </c>
      <c r="N631" s="81"/>
      <c r="O631" s="81" t="s">
        <v>27</v>
      </c>
      <c r="P631" s="81"/>
      <c r="Q631" s="81" t="s">
        <v>28</v>
      </c>
      <c r="R631" s="81"/>
      <c r="S631" s="85" t="s">
        <v>29</v>
      </c>
      <c r="T631" s="81"/>
      <c r="U631" s="85" t="s">
        <v>30</v>
      </c>
      <c r="V631" s="81"/>
      <c r="W631" s="85" t="s">
        <v>31</v>
      </c>
      <c r="X631" s="81"/>
      <c r="Y631" s="85" t="s">
        <v>32</v>
      </c>
      <c r="Z631" s="80"/>
    </row>
    <row r="632" spans="2:26" x14ac:dyDescent="0.3">
      <c r="B632" s="81"/>
      <c r="C632" s="83"/>
      <c r="E632" s="81"/>
      <c r="F632" s="91"/>
      <c r="G632" s="81"/>
      <c r="H632" s="88"/>
      <c r="I632" s="86"/>
      <c r="J632" s="88"/>
      <c r="K632" s="22"/>
      <c r="L632" s="88"/>
      <c r="M632" s="88"/>
      <c r="N632" s="13"/>
      <c r="O632" s="88"/>
      <c r="P632" s="13"/>
      <c r="Q632" s="88"/>
      <c r="R632" s="13"/>
      <c r="S632" s="88"/>
      <c r="T632" s="13"/>
      <c r="U632" s="22"/>
      <c r="V632" s="13"/>
      <c r="W632" s="92"/>
      <c r="X632" s="13"/>
      <c r="Y632" s="22"/>
    </row>
    <row r="633" spans="2:26" x14ac:dyDescent="0.3">
      <c r="B633" s="81"/>
      <c r="C633" s="83"/>
      <c r="D633" s="3" t="s">
        <v>200</v>
      </c>
      <c r="E633" s="81"/>
      <c r="F633" s="7"/>
      <c r="G633" s="81"/>
      <c r="H633" s="27"/>
      <c r="I633" s="86"/>
      <c r="J633" s="27"/>
      <c r="K633" s="86"/>
      <c r="L633" s="86"/>
      <c r="M633" s="28"/>
      <c r="N633" s="86"/>
      <c r="O633" s="29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1"/>
    </row>
    <row r="634" spans="2:26" x14ac:dyDescent="0.3">
      <c r="B634" s="81">
        <f>MAX(B$66:B633)+1</f>
        <v>324</v>
      </c>
      <c r="D634" s="10" t="s">
        <v>35</v>
      </c>
      <c r="E634" s="81"/>
      <c r="F634" s="39" t="s">
        <v>36</v>
      </c>
      <c r="G634" s="81"/>
      <c r="H634" s="12">
        <v>501.00000000000347</v>
      </c>
      <c r="I634" s="86"/>
      <c r="J634" s="12">
        <f>$H634*K634/1000</f>
        <v>3500.6272800000238</v>
      </c>
      <c r="K634" s="87">
        <v>6987.28</v>
      </c>
      <c r="L634" s="88"/>
      <c r="M634" s="12">
        <f>J634-O634</f>
        <v>18.940838285212976</v>
      </c>
      <c r="N634" s="13"/>
      <c r="O634" s="12">
        <v>3481.6864417148108</v>
      </c>
      <c r="P634" s="13"/>
      <c r="Q634" s="12">
        <f>S634-O634</f>
        <v>18.940838285212976</v>
      </c>
      <c r="R634" s="13"/>
      <c r="S634" s="12">
        <f>$H634*U634/1000</f>
        <v>3500.6272800000238</v>
      </c>
      <c r="T634" s="13"/>
      <c r="U634" s="87">
        <v>6987.28</v>
      </c>
      <c r="V634" s="13"/>
      <c r="W634" s="14">
        <f>S634/O634</f>
        <v>1.0054401332808949</v>
      </c>
      <c r="X634" s="13"/>
      <c r="Y634" s="15">
        <f>U634/K634-1</f>
        <v>0</v>
      </c>
    </row>
    <row r="635" spans="2:26" ht="14.15" x14ac:dyDescent="0.3">
      <c r="D635" s="10" t="s">
        <v>175</v>
      </c>
      <c r="E635" s="81"/>
      <c r="F635" s="11"/>
      <c r="G635" s="81"/>
      <c r="H635" s="12"/>
      <c r="I635" s="86"/>
      <c r="J635" s="12"/>
      <c r="K635" s="33"/>
      <c r="L635" s="88"/>
      <c r="M635" s="12"/>
      <c r="N635" s="13"/>
      <c r="O635" s="12"/>
      <c r="P635" s="13"/>
      <c r="Q635" s="12"/>
      <c r="R635" s="13"/>
      <c r="S635" s="12"/>
      <c r="T635" s="13"/>
      <c r="U635" s="33"/>
      <c r="V635" s="13"/>
      <c r="W635" s="14"/>
      <c r="X635" s="13"/>
      <c r="Y635" s="31"/>
    </row>
    <row r="636" spans="2:26" x14ac:dyDescent="0.3">
      <c r="B636" s="81"/>
      <c r="C636" s="83"/>
      <c r="D636" s="18" t="s">
        <v>176</v>
      </c>
      <c r="E636" s="81"/>
      <c r="F636" s="11"/>
      <c r="G636" s="81"/>
      <c r="H636" s="12"/>
      <c r="I636" s="86"/>
      <c r="J636" s="12"/>
      <c r="K636" s="33"/>
      <c r="L636" s="88"/>
      <c r="M636" s="12"/>
      <c r="N636" s="13"/>
      <c r="O636" s="12"/>
      <c r="P636" s="13"/>
      <c r="Q636" s="12"/>
      <c r="R636" s="13"/>
      <c r="S636" s="12"/>
      <c r="T636" s="13"/>
      <c r="U636" s="33"/>
      <c r="V636" s="13"/>
      <c r="W636" s="14"/>
      <c r="X636" s="13"/>
      <c r="Y636" s="31"/>
    </row>
    <row r="637" spans="2:26" x14ac:dyDescent="0.3">
      <c r="B637" s="81">
        <f>MAX(B$634:B636)+1</f>
        <v>325</v>
      </c>
      <c r="C637" s="83"/>
      <c r="D637" s="57" t="s">
        <v>201</v>
      </c>
      <c r="E637" s="81"/>
      <c r="F637" s="39" t="s">
        <v>62</v>
      </c>
      <c r="G637" s="81"/>
      <c r="H637" s="12">
        <v>60333.714</v>
      </c>
      <c r="I637" s="86"/>
      <c r="J637" s="12">
        <f>$H637*K637/100</f>
        <v>20060.718570143999</v>
      </c>
      <c r="K637" s="33">
        <v>33.249600000000001</v>
      </c>
      <c r="L637" s="88"/>
      <c r="M637" s="12">
        <f t="shared" ref="M637:M638" si="192">J637-O637</f>
        <v>-1769.8204081933654</v>
      </c>
      <c r="N637" s="13"/>
      <c r="O637" s="12">
        <v>21830.538978337365</v>
      </c>
      <c r="P637" s="13"/>
      <c r="Q637" s="12">
        <f t="shared" ref="Q637:Q638" si="193">S637-O637</f>
        <v>-1007.4969714408835</v>
      </c>
      <c r="R637" s="13"/>
      <c r="S637" s="12">
        <f>$H637*U637/100</f>
        <v>20823.042006896481</v>
      </c>
      <c r="T637" s="13"/>
      <c r="U637" s="33">
        <v>34.513111536439609</v>
      </c>
      <c r="V637" s="13"/>
      <c r="W637" s="14"/>
      <c r="X637" s="13"/>
      <c r="Y637" s="15">
        <f t="shared" ref="Y637:Y638" si="194">U637/K637-1</f>
        <v>3.8000804113120346E-2</v>
      </c>
    </row>
    <row r="638" spans="2:26" x14ac:dyDescent="0.3">
      <c r="B638" s="81">
        <f>MAX(B$634:B637)+1</f>
        <v>326</v>
      </c>
      <c r="C638" s="83"/>
      <c r="D638" s="57" t="s">
        <v>202</v>
      </c>
      <c r="E638" s="81"/>
      <c r="F638" s="39" t="s">
        <v>62</v>
      </c>
      <c r="G638" s="81"/>
      <c r="H638" s="12">
        <v>248379.71</v>
      </c>
      <c r="I638" s="86"/>
      <c r="J638" s="12">
        <f>$H638*K638/100</f>
        <v>46206.077451300007</v>
      </c>
      <c r="K638" s="33">
        <v>18.603000000000002</v>
      </c>
      <c r="L638" s="88"/>
      <c r="M638" s="12">
        <f t="shared" si="192"/>
        <v>-4894.6024643362252</v>
      </c>
      <c r="N638" s="13"/>
      <c r="O638" s="12">
        <v>51100.679915636232</v>
      </c>
      <c r="P638" s="13"/>
      <c r="Q638" s="12">
        <f t="shared" si="193"/>
        <v>-2601.7445485825374</v>
      </c>
      <c r="R638" s="13"/>
      <c r="S638" s="12">
        <f>$H638*U638/100</f>
        <v>48498.935367053695</v>
      </c>
      <c r="T638" s="13"/>
      <c r="U638" s="33">
        <v>19.526126094218281</v>
      </c>
      <c r="V638" s="13"/>
      <c r="W638" s="14"/>
      <c r="X638" s="13"/>
      <c r="Y638" s="15">
        <f t="shared" si="194"/>
        <v>4.9622431555033097E-2</v>
      </c>
    </row>
    <row r="639" spans="2:26" x14ac:dyDescent="0.3">
      <c r="B639" s="81"/>
      <c r="C639" s="83"/>
      <c r="D639" s="18" t="s">
        <v>179</v>
      </c>
      <c r="E639" s="81"/>
      <c r="F639" s="11"/>
      <c r="G639" s="81"/>
      <c r="H639" s="12"/>
      <c r="I639" s="86"/>
      <c r="J639" s="12"/>
      <c r="K639" s="33"/>
      <c r="L639" s="88"/>
      <c r="M639" s="12"/>
      <c r="N639" s="13"/>
      <c r="O639" s="12"/>
      <c r="P639" s="13"/>
      <c r="Q639" s="12"/>
      <c r="R639" s="13"/>
      <c r="S639" s="12"/>
      <c r="T639" s="13"/>
      <c r="U639" s="33"/>
      <c r="V639" s="13"/>
      <c r="W639" s="14"/>
      <c r="X639" s="13"/>
      <c r="Y639" s="31"/>
    </row>
    <row r="640" spans="2:26" x14ac:dyDescent="0.3">
      <c r="B640" s="81">
        <f>MAX(B$634:B639)+1</f>
        <v>327</v>
      </c>
      <c r="C640" s="83"/>
      <c r="D640" s="38" t="s">
        <v>180</v>
      </c>
      <c r="E640" s="81"/>
      <c r="F640" s="91" t="s">
        <v>39</v>
      </c>
      <c r="G640" s="81"/>
      <c r="H640" s="12">
        <v>4963881.1019000001</v>
      </c>
      <c r="I640" s="86"/>
      <c r="J640" s="12">
        <f>$H640*K640/100</f>
        <v>1999.7138340309423</v>
      </c>
      <c r="K640" s="33">
        <v>4.0285288728320302E-2</v>
      </c>
      <c r="L640" s="88"/>
      <c r="M640" s="12">
        <f>J640-O640</f>
        <v>1999.7138340309423</v>
      </c>
      <c r="N640" s="13"/>
      <c r="O640" s="12">
        <v>0</v>
      </c>
      <c r="P640" s="13"/>
      <c r="Q640" s="12">
        <f t="shared" ref="Q640:Q641" si="195">S640-O640</f>
        <v>0</v>
      </c>
      <c r="R640" s="13"/>
      <c r="S640" s="12">
        <f>$H640*U640/100</f>
        <v>0</v>
      </c>
      <c r="T640" s="13"/>
      <c r="U640" s="33">
        <v>0</v>
      </c>
      <c r="V640" s="13"/>
      <c r="W640" s="14"/>
      <c r="X640" s="13"/>
      <c r="Y640" s="15">
        <f t="shared" ref="Y640:Y641" si="196">U640/K640-1</f>
        <v>-1</v>
      </c>
    </row>
    <row r="641" spans="2:25" x14ac:dyDescent="0.3">
      <c r="B641" s="81">
        <f>MAX(B$634:B640)+1</f>
        <v>328</v>
      </c>
      <c r="C641" s="83"/>
      <c r="D641" s="38" t="s">
        <v>181</v>
      </c>
      <c r="E641" s="81"/>
      <c r="F641" s="91" t="s">
        <v>39</v>
      </c>
      <c r="G641" s="81"/>
      <c r="H641" s="12">
        <v>41762.222750000008</v>
      </c>
      <c r="I641" s="86"/>
      <c r="J641" s="12">
        <f>$H641*K641/100</f>
        <v>1189.8054858235796</v>
      </c>
      <c r="K641" s="33">
        <v>2.8489994245423143</v>
      </c>
      <c r="L641" s="88"/>
      <c r="M641" s="12">
        <f>J641-O641</f>
        <v>715.87715428467015</v>
      </c>
      <c r="N641" s="13"/>
      <c r="O641" s="12">
        <v>473.92833153890945</v>
      </c>
      <c r="P641" s="13"/>
      <c r="Q641" s="12">
        <f t="shared" si="195"/>
        <v>-2.3624249718222927</v>
      </c>
      <c r="R641" s="13"/>
      <c r="S641" s="12">
        <f>$H641*U641/100</f>
        <v>471.56590656708715</v>
      </c>
      <c r="T641" s="13"/>
      <c r="U641" s="33">
        <v>1.1291686014655125</v>
      </c>
      <c r="V641" s="13"/>
      <c r="W641" s="14"/>
      <c r="X641" s="13"/>
      <c r="Y641" s="15">
        <f t="shared" si="196"/>
        <v>-0.60366134449222963</v>
      </c>
    </row>
    <row r="642" spans="2:25" x14ac:dyDescent="0.3">
      <c r="B642" s="81"/>
      <c r="C642" s="83"/>
      <c r="D642" s="10"/>
      <c r="E642" s="81"/>
      <c r="F642" s="11"/>
      <c r="G642" s="81"/>
      <c r="H642" s="12"/>
      <c r="I642" s="86"/>
      <c r="J642" s="12"/>
      <c r="K642" s="33"/>
      <c r="L642" s="88"/>
      <c r="M642" s="12"/>
      <c r="N642" s="13"/>
      <c r="O642" s="12"/>
      <c r="P642" s="13"/>
      <c r="Q642" s="12"/>
      <c r="R642" s="13"/>
      <c r="S642" s="12"/>
      <c r="T642" s="13"/>
      <c r="U642" s="33"/>
      <c r="V642" s="13"/>
      <c r="W642" s="14"/>
      <c r="X642" s="13"/>
      <c r="Y642" s="31"/>
    </row>
    <row r="643" spans="2:25" x14ac:dyDescent="0.3">
      <c r="B643" s="81">
        <f>MAX(B$634:B642)+1</f>
        <v>329</v>
      </c>
      <c r="C643" s="83"/>
      <c r="D643" s="18" t="s">
        <v>182</v>
      </c>
      <c r="E643" s="81"/>
      <c r="F643" s="91" t="s">
        <v>39</v>
      </c>
      <c r="G643" s="81"/>
      <c r="H643" s="12">
        <v>24455.350999999999</v>
      </c>
      <c r="I643" s="86"/>
      <c r="J643" s="12">
        <f>$H643*K643/100</f>
        <v>9.8519087598741653</v>
      </c>
      <c r="K643" s="33">
        <v>4.0285288728320302E-2</v>
      </c>
      <c r="L643" s="88"/>
      <c r="M643" s="12">
        <f t="shared" ref="M643:M644" si="197">J643-O643</f>
        <v>9.8519087598741653</v>
      </c>
      <c r="N643" s="13"/>
      <c r="O643" s="12">
        <v>0</v>
      </c>
      <c r="P643" s="13"/>
      <c r="Q643" s="12">
        <f t="shared" ref="Q643:Q644" si="198">S643-O643</f>
        <v>0</v>
      </c>
      <c r="R643" s="13"/>
      <c r="S643" s="12">
        <f>$H643*U643/100</f>
        <v>0</v>
      </c>
      <c r="T643" s="13"/>
      <c r="U643" s="33">
        <v>0</v>
      </c>
      <c r="V643" s="13"/>
      <c r="W643" s="14"/>
      <c r="X643" s="13"/>
      <c r="Y643" s="15">
        <f t="shared" ref="Y643:Y644" si="199">U643/K643-1</f>
        <v>-1</v>
      </c>
    </row>
    <row r="644" spans="2:25" x14ac:dyDescent="0.3">
      <c r="B644" s="81">
        <f>MAX(B$634:B643)+1</f>
        <v>330</v>
      </c>
      <c r="C644" s="83"/>
      <c r="D644" s="18" t="s">
        <v>183</v>
      </c>
      <c r="E644" s="81"/>
      <c r="F644" s="91" t="s">
        <v>39</v>
      </c>
      <c r="G644" s="81"/>
      <c r="H644" s="12">
        <v>176.95000000000073</v>
      </c>
      <c r="I644" s="86"/>
      <c r="J644" s="12">
        <f>$H644*K644/100</f>
        <v>5.9651614499999992</v>
      </c>
      <c r="K644" s="33">
        <v>3.3710999999999856</v>
      </c>
      <c r="L644" s="88"/>
      <c r="M644" s="12">
        <f t="shared" si="197"/>
        <v>5.9651614499999992</v>
      </c>
      <c r="N644" s="13"/>
      <c r="O644" s="12">
        <v>0</v>
      </c>
      <c r="P644" s="13"/>
      <c r="Q644" s="12">
        <f t="shared" si="198"/>
        <v>2.3623389054781629</v>
      </c>
      <c r="R644" s="13"/>
      <c r="S644" s="12">
        <f>$H644*U644/100</f>
        <v>2.3623389054781629</v>
      </c>
      <c r="T644" s="13"/>
      <c r="U644" s="33">
        <v>1.3350318765064444</v>
      </c>
      <c r="V644" s="13"/>
      <c r="W644" s="14"/>
      <c r="X644" s="13"/>
      <c r="Y644" s="15">
        <f t="shared" si="199"/>
        <v>-0.60397737340735957</v>
      </c>
    </row>
    <row r="645" spans="2:25" x14ac:dyDescent="0.3">
      <c r="B645" s="81"/>
      <c r="C645" s="83"/>
      <c r="D645" s="10"/>
      <c r="E645" s="81"/>
      <c r="F645" s="11"/>
      <c r="G645" s="81"/>
      <c r="H645" s="12"/>
      <c r="I645" s="86"/>
      <c r="J645" s="12"/>
      <c r="K645" s="33"/>
      <c r="L645" s="88"/>
      <c r="M645" s="12"/>
      <c r="N645" s="13"/>
      <c r="O645" s="12"/>
      <c r="P645" s="13"/>
      <c r="Q645" s="12"/>
      <c r="R645" s="13"/>
      <c r="S645" s="12"/>
      <c r="T645" s="13"/>
      <c r="U645" s="33"/>
      <c r="V645" s="13"/>
      <c r="W645" s="14"/>
      <c r="X645" s="13"/>
      <c r="Y645" s="31"/>
    </row>
    <row r="646" spans="2:25" x14ac:dyDescent="0.3">
      <c r="B646" s="81">
        <f>MAX(B$634:B645)+1</f>
        <v>331</v>
      </c>
      <c r="C646" s="83"/>
      <c r="D646" s="18" t="s">
        <v>184</v>
      </c>
      <c r="E646" s="81"/>
      <c r="F646" s="39"/>
      <c r="G646" s="81"/>
      <c r="H646" s="12"/>
      <c r="I646" s="86"/>
      <c r="J646" s="12">
        <v>2598.2492466661274</v>
      </c>
      <c r="K646" s="97">
        <v>3.64E-3</v>
      </c>
      <c r="L646" s="88"/>
      <c r="M646" s="12">
        <f>J646-O646</f>
        <v>-2957.2262666914389</v>
      </c>
      <c r="N646" s="13"/>
      <c r="O646" s="12">
        <f>S646</f>
        <v>5555.4755133575663</v>
      </c>
      <c r="P646" s="13"/>
      <c r="Q646" s="12">
        <f>S646-O646</f>
        <v>0</v>
      </c>
      <c r="R646" s="13"/>
      <c r="S646" s="12">
        <v>5555.4755133575663</v>
      </c>
      <c r="T646" s="13"/>
      <c r="U646" s="97">
        <v>7.7829064684878718E-3</v>
      </c>
      <c r="V646" s="13"/>
      <c r="W646" s="14">
        <f>S646/O646</f>
        <v>1</v>
      </c>
      <c r="X646" s="13"/>
      <c r="Y646" s="15">
        <f>U646/K646-1</f>
        <v>1.1381611177164483</v>
      </c>
    </row>
    <row r="647" spans="2:25" x14ac:dyDescent="0.3">
      <c r="B647" s="81"/>
      <c r="C647" s="83"/>
      <c r="D647" s="10"/>
      <c r="E647" s="81"/>
      <c r="F647" s="11"/>
      <c r="G647" s="81"/>
      <c r="H647" s="12"/>
      <c r="I647" s="86"/>
      <c r="J647" s="12"/>
      <c r="K647" s="33"/>
      <c r="L647" s="88"/>
      <c r="M647" s="12"/>
      <c r="N647" s="13"/>
      <c r="O647" s="12"/>
      <c r="P647" s="13"/>
      <c r="Q647" s="12"/>
      <c r="R647" s="13"/>
      <c r="S647" s="12"/>
      <c r="T647" s="13"/>
      <c r="U647" s="33"/>
      <c r="V647" s="13"/>
      <c r="W647" s="14"/>
      <c r="X647" s="13"/>
      <c r="Y647" s="15"/>
    </row>
    <row r="648" spans="2:25" x14ac:dyDescent="0.3">
      <c r="B648" s="81">
        <f>MAX(B$634:B647)+1</f>
        <v>332</v>
      </c>
      <c r="C648" s="83"/>
      <c r="D648" s="10" t="s">
        <v>185</v>
      </c>
      <c r="E648" s="81"/>
      <c r="F648" s="11"/>
      <c r="G648" s="81"/>
      <c r="H648" s="89">
        <f>SUM(H640:H641)</f>
        <v>5005643.3246499998</v>
      </c>
      <c r="I648" s="86"/>
      <c r="J648" s="89">
        <f>SUM(J634:J646)</f>
        <v>75571.008938174549</v>
      </c>
      <c r="K648" s="19">
        <f>J648/$H648*100</f>
        <v>1.5097162150173487</v>
      </c>
      <c r="L648" s="88"/>
      <c r="M648" s="89">
        <f>SUM(M634:M646)</f>
        <v>-6871.3002424103306</v>
      </c>
      <c r="N648" s="13"/>
      <c r="O648" s="89">
        <f>SUM(O634:O646)</f>
        <v>82442.309180584882</v>
      </c>
      <c r="P648" s="13"/>
      <c r="Q648" s="89">
        <f>SUM(Q634:Q646)</f>
        <v>-3590.3007678045519</v>
      </c>
      <c r="R648" s="13"/>
      <c r="S648" s="89">
        <f>SUM(S634:S646)</f>
        <v>78852.008412780342</v>
      </c>
      <c r="T648" s="13"/>
      <c r="U648" s="19">
        <f>S648/$H648*100</f>
        <v>1.5752622250266655</v>
      </c>
      <c r="V648" s="13"/>
      <c r="W648" s="90">
        <f>S648/O648</f>
        <v>0.95645074957883336</v>
      </c>
      <c r="X648" s="13"/>
      <c r="Y648" s="20">
        <f>U648/K648-1</f>
        <v>4.3416113145849478E-2</v>
      </c>
    </row>
    <row r="649" spans="2:25" x14ac:dyDescent="0.3">
      <c r="E649" s="81"/>
      <c r="F649" s="11"/>
      <c r="G649" s="81"/>
      <c r="H649" s="12"/>
      <c r="I649" s="86"/>
      <c r="J649" s="12"/>
      <c r="K649" s="33"/>
      <c r="L649" s="88"/>
      <c r="M649" s="12"/>
      <c r="N649" s="13"/>
      <c r="O649" s="12"/>
      <c r="P649" s="13"/>
      <c r="Q649" s="12"/>
      <c r="R649" s="13"/>
      <c r="S649" s="12"/>
      <c r="T649" s="13"/>
      <c r="U649" s="33"/>
      <c r="V649" s="13"/>
      <c r="W649" s="14"/>
      <c r="X649" s="13"/>
      <c r="Y649" s="15"/>
    </row>
    <row r="650" spans="2:25" x14ac:dyDescent="0.3">
      <c r="D650" s="45" t="s">
        <v>186</v>
      </c>
      <c r="E650" s="81"/>
      <c r="F650" s="11"/>
      <c r="G650" s="81"/>
      <c r="H650" s="12"/>
      <c r="I650" s="86"/>
      <c r="J650" s="12"/>
      <c r="K650" s="33"/>
      <c r="L650" s="88"/>
      <c r="M650" s="12"/>
      <c r="N650" s="13"/>
      <c r="O650" s="12"/>
      <c r="P650" s="13"/>
      <c r="Q650" s="12"/>
      <c r="R650" s="13"/>
      <c r="S650" s="12"/>
      <c r="T650" s="13"/>
      <c r="U650" s="33"/>
      <c r="V650" s="13"/>
      <c r="W650" s="14"/>
      <c r="X650" s="13"/>
      <c r="Y650" s="15"/>
    </row>
    <row r="651" spans="2:25" x14ac:dyDescent="0.3">
      <c r="D651" s="52" t="s">
        <v>187</v>
      </c>
      <c r="E651" s="81"/>
      <c r="F651" s="11"/>
      <c r="G651" s="81"/>
      <c r="H651" s="12"/>
      <c r="I651" s="86"/>
      <c r="J651" s="12"/>
      <c r="K651" s="33"/>
      <c r="L651" s="88"/>
      <c r="M651" s="12"/>
      <c r="N651" s="13"/>
      <c r="O651" s="12"/>
      <c r="P651" s="13"/>
      <c r="Q651" s="12"/>
      <c r="R651" s="13"/>
      <c r="S651" s="12"/>
      <c r="T651" s="13"/>
      <c r="U651" s="33"/>
      <c r="V651" s="13"/>
      <c r="W651" s="14"/>
      <c r="X651" s="13"/>
      <c r="Y651" s="15"/>
    </row>
    <row r="652" spans="2:25" x14ac:dyDescent="0.3">
      <c r="B652" s="81">
        <f>MAX(B$634:B651)+1</f>
        <v>333</v>
      </c>
      <c r="D652" s="57" t="s">
        <v>188</v>
      </c>
      <c r="E652" s="81"/>
      <c r="F652" s="11" t="s">
        <v>189</v>
      </c>
      <c r="G652" s="81"/>
      <c r="H652" s="12">
        <v>113600526</v>
      </c>
      <c r="I652" s="86"/>
      <c r="J652" s="12">
        <f>$H652*K652/1000</f>
        <v>1363.206312</v>
      </c>
      <c r="K652" s="53">
        <v>1.2E-2</v>
      </c>
      <c r="L652" s="88"/>
      <c r="M652" s="12">
        <f>J652-O652</f>
        <v>-323.36475586124402</v>
      </c>
      <c r="N652" s="13"/>
      <c r="O652" s="12">
        <v>1686.571067861244</v>
      </c>
      <c r="P652" s="13"/>
      <c r="Q652" s="12">
        <f>S652-O652</f>
        <v>11.60982737733093</v>
      </c>
      <c r="R652" s="13"/>
      <c r="S652" s="12">
        <f>$H652*U652/1000</f>
        <v>1698.180895238575</v>
      </c>
      <c r="T652" s="13"/>
      <c r="U652" s="53">
        <v>1.4948706269534132E-2</v>
      </c>
      <c r="V652" s="13"/>
      <c r="W652" s="14"/>
      <c r="X652" s="13"/>
      <c r="Y652" s="15">
        <f t="shared" ref="Y652" si="200">U652/K652-1</f>
        <v>0.24572552246117763</v>
      </c>
    </row>
    <row r="653" spans="2:25" x14ac:dyDescent="0.3">
      <c r="D653" s="52" t="s">
        <v>190</v>
      </c>
      <c r="E653" s="81"/>
      <c r="F653" s="11"/>
      <c r="G653" s="81"/>
      <c r="H653" s="12"/>
      <c r="I653" s="86"/>
      <c r="J653" s="12"/>
      <c r="K653" s="33"/>
      <c r="L653" s="88"/>
      <c r="M653" s="12"/>
      <c r="N653" s="13"/>
      <c r="O653" s="12"/>
      <c r="P653" s="13"/>
      <c r="Q653" s="12"/>
      <c r="R653" s="13"/>
      <c r="S653" s="12"/>
      <c r="T653" s="13"/>
      <c r="U653" s="33"/>
      <c r="V653" s="13"/>
      <c r="W653" s="14"/>
      <c r="X653" s="13"/>
      <c r="Y653" s="15"/>
    </row>
    <row r="654" spans="2:25" x14ac:dyDescent="0.3">
      <c r="B654" s="81">
        <f>MAX(B$634:B653)+1</f>
        <v>334</v>
      </c>
      <c r="D654" s="57" t="s">
        <v>191</v>
      </c>
      <c r="E654" s="81"/>
      <c r="F654" s="11" t="s">
        <v>189</v>
      </c>
      <c r="G654" s="81"/>
      <c r="H654" s="12">
        <v>2398062</v>
      </c>
      <c r="I654" s="86"/>
      <c r="J654" s="12">
        <f>$H654*K654/1000</f>
        <v>4311.7154759999994</v>
      </c>
      <c r="K654" s="53">
        <v>1.798</v>
      </c>
      <c r="L654" s="88"/>
      <c r="M654" s="12">
        <f t="shared" ref="M654:M657" si="201">J654-O654</f>
        <v>6.8917057397784447</v>
      </c>
      <c r="N654" s="13"/>
      <c r="O654" s="12">
        <v>4304.823770260221</v>
      </c>
      <c r="P654" s="13"/>
      <c r="Q654" s="12">
        <f t="shared" ref="Q654:Q657" si="202">S654-O654</f>
        <v>1866.1358137018606</v>
      </c>
      <c r="R654" s="13"/>
      <c r="S654" s="12">
        <f>$H654*U654/1000</f>
        <v>6170.9595839620815</v>
      </c>
      <c r="T654" s="13"/>
      <c r="U654" s="53">
        <v>2.5733111087044795</v>
      </c>
      <c r="V654" s="13"/>
      <c r="W654" s="14"/>
      <c r="X654" s="13"/>
      <c r="Y654" s="15">
        <f t="shared" ref="Y654:Y657" si="203">U654/K654-1</f>
        <v>0.43120751318380401</v>
      </c>
    </row>
    <row r="655" spans="2:25" x14ac:dyDescent="0.3">
      <c r="B655" s="81">
        <f>MAX(B$634:B654)+1</f>
        <v>335</v>
      </c>
      <c r="D655" s="101" t="s">
        <v>192</v>
      </c>
      <c r="E655" s="81"/>
      <c r="F655" s="11" t="s">
        <v>189</v>
      </c>
      <c r="G655" s="81"/>
      <c r="H655" s="12">
        <v>900000</v>
      </c>
      <c r="I655" s="86"/>
      <c r="J655" s="12">
        <f>$H655*K655/1000</f>
        <v>1366.2</v>
      </c>
      <c r="K655" s="53">
        <v>1.518</v>
      </c>
      <c r="L655" s="88"/>
      <c r="M655" s="12">
        <f t="shared" si="201"/>
        <v>-81.824818424011255</v>
      </c>
      <c r="N655" s="13"/>
      <c r="O655" s="12">
        <v>1448.0248184240113</v>
      </c>
      <c r="P655" s="13"/>
      <c r="Q655" s="12">
        <f t="shared" si="202"/>
        <v>707.49591516755345</v>
      </c>
      <c r="R655" s="13"/>
      <c r="S655" s="12">
        <f>$H655*U655/1000</f>
        <v>2155.5207335915647</v>
      </c>
      <c r="T655" s="13"/>
      <c r="U655" s="53">
        <v>2.3950230373239609</v>
      </c>
      <c r="V655" s="13"/>
      <c r="W655" s="14"/>
      <c r="X655" s="13"/>
      <c r="Y655" s="15">
        <f t="shared" si="203"/>
        <v>0.57774903644529707</v>
      </c>
    </row>
    <row r="656" spans="2:25" x14ac:dyDescent="0.3">
      <c r="B656" s="81">
        <f>MAX(B$634:B655)+1</f>
        <v>336</v>
      </c>
      <c r="D656" s="57" t="s">
        <v>193</v>
      </c>
      <c r="E656" s="81"/>
      <c r="F656" s="11" t="s">
        <v>189</v>
      </c>
      <c r="G656" s="81"/>
      <c r="H656" s="12">
        <v>12000</v>
      </c>
      <c r="I656" s="86"/>
      <c r="J656" s="12">
        <f>$H656*K656/1000</f>
        <v>18.216000000000001</v>
      </c>
      <c r="K656" s="53">
        <v>1.518</v>
      </c>
      <c r="L656" s="88"/>
      <c r="M656" s="12">
        <f t="shared" si="201"/>
        <v>-1.0909975789868156</v>
      </c>
      <c r="N656" s="13"/>
      <c r="O656" s="12">
        <v>19.306997578986817</v>
      </c>
      <c r="P656" s="13"/>
      <c r="Q656" s="12">
        <f t="shared" si="202"/>
        <v>9.4332788689007145</v>
      </c>
      <c r="R656" s="13"/>
      <c r="S656" s="12">
        <f>$H656*U656/1000</f>
        <v>28.740276447887531</v>
      </c>
      <c r="T656" s="13"/>
      <c r="U656" s="53">
        <v>2.3950230373239609</v>
      </c>
      <c r="V656" s="13"/>
      <c r="W656" s="14"/>
      <c r="X656" s="13"/>
      <c r="Y656" s="15">
        <f t="shared" si="203"/>
        <v>0.57774903644529707</v>
      </c>
    </row>
    <row r="657" spans="2:26" x14ac:dyDescent="0.3">
      <c r="B657" s="81">
        <f>MAX(B$634:B656)+1</f>
        <v>337</v>
      </c>
      <c r="D657" s="57" t="s">
        <v>194</v>
      </c>
      <c r="E657" s="81"/>
      <c r="F657" s="11" t="s">
        <v>189</v>
      </c>
      <c r="G657" s="81"/>
      <c r="H657" s="12">
        <v>180000</v>
      </c>
      <c r="I657" s="86"/>
      <c r="J657" s="12">
        <f>$H657*K657/1000</f>
        <v>273.24</v>
      </c>
      <c r="K657" s="53">
        <v>1.518</v>
      </c>
      <c r="L657" s="88"/>
      <c r="M657" s="12">
        <f t="shared" si="201"/>
        <v>-16.364963684802206</v>
      </c>
      <c r="N657" s="13"/>
      <c r="O657" s="12">
        <v>289.60496368480221</v>
      </c>
      <c r="P657" s="13"/>
      <c r="Q657" s="12">
        <f t="shared" si="202"/>
        <v>141.49918303351075</v>
      </c>
      <c r="R657" s="13"/>
      <c r="S657" s="12">
        <f>$H657*U657/1000</f>
        <v>431.10414671831296</v>
      </c>
      <c r="T657" s="13"/>
      <c r="U657" s="53">
        <v>2.3950230373239609</v>
      </c>
      <c r="V657" s="13"/>
      <c r="W657" s="14"/>
      <c r="X657" s="13"/>
      <c r="Y657" s="15">
        <f t="shared" si="203"/>
        <v>0.57774903644529707</v>
      </c>
    </row>
    <row r="658" spans="2:26" x14ac:dyDescent="0.3">
      <c r="D658" s="52" t="s">
        <v>195</v>
      </c>
      <c r="E658" s="81"/>
      <c r="F658" s="11"/>
      <c r="G658" s="81"/>
      <c r="H658" s="12"/>
      <c r="I658" s="86"/>
      <c r="J658" s="12"/>
      <c r="K658" s="33"/>
      <c r="L658" s="88"/>
      <c r="M658" s="12"/>
      <c r="N658" s="13"/>
      <c r="O658" s="12"/>
      <c r="P658" s="13"/>
      <c r="Q658" s="12"/>
      <c r="R658" s="13"/>
      <c r="S658" s="12"/>
      <c r="T658" s="13"/>
      <c r="U658" s="33"/>
      <c r="V658" s="13"/>
      <c r="W658" s="14"/>
      <c r="X658" s="13"/>
      <c r="Y658" s="15"/>
    </row>
    <row r="659" spans="2:26" x14ac:dyDescent="0.3">
      <c r="B659" s="81">
        <f>MAX(B$634:B658)+1</f>
        <v>338</v>
      </c>
      <c r="D659" s="57" t="s">
        <v>196</v>
      </c>
      <c r="E659" s="81"/>
      <c r="F659" s="11" t="s">
        <v>132</v>
      </c>
      <c r="G659" s="81"/>
      <c r="H659" s="12">
        <v>31198326.559999999</v>
      </c>
      <c r="I659" s="86"/>
      <c r="J659" s="12">
        <f>$H659*K659/1000</f>
        <v>374.37991872000003</v>
      </c>
      <c r="K659" s="53">
        <v>1.2E-2</v>
      </c>
      <c r="L659" s="88"/>
      <c r="M659" s="12">
        <f>J659-O659</f>
        <v>374.37991872000003</v>
      </c>
      <c r="N659" s="13"/>
      <c r="O659" s="12">
        <v>0</v>
      </c>
      <c r="P659" s="13"/>
      <c r="Q659" s="12">
        <f>S659-O659</f>
        <v>0</v>
      </c>
      <c r="R659" s="13"/>
      <c r="S659" s="12">
        <f>$H659*U659/1000</f>
        <v>0</v>
      </c>
      <c r="T659" s="13"/>
      <c r="U659" s="53">
        <v>0</v>
      </c>
      <c r="V659" s="13"/>
      <c r="W659" s="14"/>
      <c r="X659" s="13"/>
      <c r="Y659" s="15">
        <f t="shared" ref="Y659" si="204">U659/K659-1</f>
        <v>-1</v>
      </c>
    </row>
    <row r="660" spans="2:26" x14ac:dyDescent="0.3">
      <c r="D660" s="45"/>
      <c r="E660" s="81"/>
      <c r="F660" s="11"/>
      <c r="G660" s="81"/>
      <c r="H660" s="12"/>
      <c r="I660" s="86"/>
      <c r="J660" s="12"/>
      <c r="K660" s="33"/>
      <c r="L660" s="88"/>
      <c r="M660" s="12"/>
      <c r="N660" s="13"/>
      <c r="O660" s="12"/>
      <c r="P660" s="13"/>
      <c r="Q660" s="12"/>
      <c r="R660" s="13"/>
      <c r="S660" s="12"/>
      <c r="T660" s="13"/>
      <c r="U660" s="33"/>
      <c r="V660" s="13"/>
      <c r="W660" s="14"/>
      <c r="X660" s="13"/>
      <c r="Y660" s="15"/>
    </row>
    <row r="661" spans="2:26" x14ac:dyDescent="0.3">
      <c r="B661" s="81">
        <f>MAX(B$634:B660)+1</f>
        <v>339</v>
      </c>
      <c r="C661" s="83"/>
      <c r="D661" s="18" t="s">
        <v>197</v>
      </c>
      <c r="E661" s="81"/>
      <c r="F661" s="91"/>
      <c r="G661" s="81"/>
      <c r="H661" s="12"/>
      <c r="I661" s="86"/>
      <c r="J661" s="12">
        <v>564.50501664276476</v>
      </c>
      <c r="K661" s="97">
        <v>4.96E-3</v>
      </c>
      <c r="L661" s="88"/>
      <c r="M661" s="12">
        <f>J661-O661</f>
        <v>-345.58801767638045</v>
      </c>
      <c r="N661" s="13"/>
      <c r="O661" s="12">
        <v>910.0930343191452</v>
      </c>
      <c r="P661" s="13"/>
      <c r="Q661" s="12">
        <f>ROUND(S661-O661,0)</f>
        <v>0</v>
      </c>
      <c r="R661" s="13"/>
      <c r="S661" s="12">
        <v>909.84362650307253</v>
      </c>
      <c r="T661" s="13"/>
      <c r="U661" s="97">
        <v>7.994303424075833E-3</v>
      </c>
      <c r="V661" s="13"/>
      <c r="W661" s="14">
        <f>S661/O661</f>
        <v>0.99972595349412907</v>
      </c>
      <c r="X661" s="13"/>
      <c r="Y661" s="15">
        <f>U661/K661-1</f>
        <v>0.61175472259593411</v>
      </c>
    </row>
    <row r="662" spans="2:26" x14ac:dyDescent="0.3"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24"/>
    </row>
    <row r="663" spans="2:26" x14ac:dyDescent="0.3">
      <c r="B663" s="81">
        <f>MAX(B$634:B662)+1</f>
        <v>340</v>
      </c>
      <c r="C663" s="83"/>
      <c r="D663" s="10" t="s">
        <v>198</v>
      </c>
      <c r="E663" s="81"/>
      <c r="F663" s="11"/>
      <c r="G663" s="81"/>
      <c r="H663" s="89">
        <f>H648</f>
        <v>5005643.3246499998</v>
      </c>
      <c r="I663" s="86"/>
      <c r="J663" s="89">
        <f>SUM(J652:J661)</f>
        <v>8271.4627233627652</v>
      </c>
      <c r="K663" s="19">
        <f>J663/$H663*100</f>
        <v>0.16524275076952502</v>
      </c>
      <c r="L663" s="88"/>
      <c r="M663" s="89">
        <f>SUM(M652:M661)</f>
        <v>-386.96192876564629</v>
      </c>
      <c r="N663" s="13"/>
      <c r="O663" s="89">
        <f>SUM(O652:O661)</f>
        <v>8658.4246521284113</v>
      </c>
      <c r="P663" s="13"/>
      <c r="Q663" s="89">
        <f>SUM(Q652:Q661)</f>
        <v>2736.1740181491564</v>
      </c>
      <c r="R663" s="13"/>
      <c r="S663" s="89">
        <f>SUM(S652:S661)</f>
        <v>11394.349262461494</v>
      </c>
      <c r="T663" s="13"/>
      <c r="U663" s="19">
        <f>S663/$H663*100</f>
        <v>0.22763006717539547</v>
      </c>
      <c r="V663" s="13"/>
      <c r="W663" s="90">
        <f>S663/O663</f>
        <v>1.3159841103035457</v>
      </c>
      <c r="X663" s="13"/>
      <c r="Y663" s="20">
        <f>U663/K663-1</f>
        <v>0.37754949076638256</v>
      </c>
    </row>
    <row r="664" spans="2:26" x14ac:dyDescent="0.3">
      <c r="B664" s="81"/>
      <c r="C664" s="83"/>
      <c r="D664" s="10"/>
      <c r="E664" s="81"/>
      <c r="F664" s="11"/>
      <c r="G664" s="81"/>
      <c r="H664" s="12"/>
      <c r="I664" s="86"/>
      <c r="J664" s="12"/>
      <c r="K664" s="33"/>
      <c r="L664" s="88"/>
      <c r="M664" s="12"/>
      <c r="N664" s="13"/>
      <c r="O664" s="12"/>
      <c r="P664" s="13"/>
      <c r="Q664" s="12"/>
      <c r="R664" s="13"/>
      <c r="S664" s="12"/>
      <c r="T664" s="13"/>
      <c r="U664" s="33"/>
      <c r="V664" s="13"/>
      <c r="W664" s="14"/>
      <c r="X664" s="13"/>
      <c r="Y664" s="15"/>
    </row>
    <row r="665" spans="2:26" ht="12.9" thickBot="1" x14ac:dyDescent="0.35">
      <c r="B665" s="81">
        <f>MAX(B$634:B664)+1</f>
        <v>341</v>
      </c>
      <c r="C665" s="83"/>
      <c r="D665" s="10" t="s">
        <v>203</v>
      </c>
      <c r="E665" s="81"/>
      <c r="F665" s="11"/>
      <c r="G665" s="81"/>
      <c r="H665" s="93">
        <f>H648</f>
        <v>5005643.3246499998</v>
      </c>
      <c r="I665" s="86"/>
      <c r="J665" s="93">
        <f>J648+J663</f>
        <v>83842.471661537318</v>
      </c>
      <c r="K665" s="25">
        <f>J665/$H665*100</f>
        <v>1.6749589657868738</v>
      </c>
      <c r="L665" s="88"/>
      <c r="M665" s="93">
        <f>M648+M663</f>
        <v>-7258.2621711759766</v>
      </c>
      <c r="N665" s="13"/>
      <c r="O665" s="93">
        <f>O648+O663</f>
        <v>91100.733832713289</v>
      </c>
      <c r="P665" s="13"/>
      <c r="Q665" s="93">
        <f>Q648+Q663</f>
        <v>-854.12674965539554</v>
      </c>
      <c r="R665" s="13"/>
      <c r="S665" s="93">
        <f>S648+S663</f>
        <v>90246.35767524183</v>
      </c>
      <c r="T665" s="13"/>
      <c r="U665" s="25">
        <f>S665/$H665*100</f>
        <v>1.8028922922020609</v>
      </c>
      <c r="V665" s="13"/>
      <c r="W665" s="94">
        <f>S665/O665</f>
        <v>0.9906216325431545</v>
      </c>
      <c r="X665" s="13"/>
      <c r="Y665" s="26">
        <f>U665/K665-1</f>
        <v>7.6379976482042311E-2</v>
      </c>
    </row>
    <row r="666" spans="2:26" ht="12.9" thickTop="1" x14ac:dyDescent="0.3">
      <c r="B666" s="81"/>
      <c r="C666" s="83"/>
      <c r="E666" s="81"/>
      <c r="F666" s="91"/>
      <c r="G666" s="81"/>
      <c r="H666" s="88"/>
      <c r="I666" s="86"/>
      <c r="J666" s="88"/>
      <c r="K666" s="22"/>
      <c r="L666" s="88"/>
      <c r="M666" s="88"/>
      <c r="N666" s="13"/>
      <c r="O666" s="88"/>
      <c r="P666" s="13"/>
      <c r="Q666" s="88"/>
      <c r="R666" s="13"/>
      <c r="S666" s="88"/>
      <c r="T666" s="13"/>
      <c r="U666" s="22"/>
      <c r="V666" s="13"/>
      <c r="W666" s="92"/>
      <c r="X666" s="13"/>
      <c r="Y666" s="30"/>
    </row>
    <row r="667" spans="2:26" x14ac:dyDescent="0.3">
      <c r="B667" s="81"/>
      <c r="C667" s="83"/>
      <c r="D667" s="3" t="s">
        <v>204</v>
      </c>
      <c r="E667" s="81"/>
      <c r="F667" s="7"/>
      <c r="G667" s="81"/>
      <c r="H667" s="27"/>
      <c r="I667" s="86"/>
      <c r="J667" s="27"/>
      <c r="K667" s="86"/>
      <c r="L667" s="86"/>
      <c r="M667" s="28"/>
      <c r="N667" s="86"/>
      <c r="O667" s="29"/>
      <c r="P667" s="86"/>
      <c r="Q667" s="86"/>
      <c r="R667" s="86"/>
      <c r="S667" s="86"/>
      <c r="T667" s="86"/>
      <c r="U667" s="86"/>
      <c r="V667" s="86"/>
      <c r="W667" s="86"/>
      <c r="X667" s="86"/>
      <c r="Y667" s="98"/>
      <c r="Z667" s="81"/>
    </row>
    <row r="668" spans="2:26" x14ac:dyDescent="0.3">
      <c r="B668" s="81">
        <f>MAX(B$634:B667)+1</f>
        <v>342</v>
      </c>
      <c r="D668" s="10" t="s">
        <v>35</v>
      </c>
      <c r="E668" s="81"/>
      <c r="F668" s="39" t="s">
        <v>36</v>
      </c>
      <c r="G668" s="81"/>
      <c r="H668" s="12">
        <v>12.000000000000004</v>
      </c>
      <c r="I668" s="86"/>
      <c r="J668" s="12">
        <f>$H668*K668/1000</f>
        <v>279.79130520000007</v>
      </c>
      <c r="K668" s="87">
        <v>23315.9421</v>
      </c>
      <c r="L668" s="88"/>
      <c r="M668" s="12">
        <f>J668-O668</f>
        <v>85.921983663660257</v>
      </c>
      <c r="N668" s="13"/>
      <c r="O668" s="12">
        <v>193.86932153633981</v>
      </c>
      <c r="P668" s="13"/>
      <c r="Q668" s="12">
        <f>S668-O668</f>
        <v>85.921983663660257</v>
      </c>
      <c r="R668" s="13"/>
      <c r="S668" s="12">
        <f>$H668*U668/1000</f>
        <v>279.79130520000007</v>
      </c>
      <c r="T668" s="13"/>
      <c r="U668" s="87">
        <v>23315.9421</v>
      </c>
      <c r="V668" s="13"/>
      <c r="W668" s="14">
        <f>S668/O668</f>
        <v>1.4431953595481821</v>
      </c>
      <c r="X668" s="13"/>
      <c r="Y668" s="15">
        <f>U668/K668-1</f>
        <v>0</v>
      </c>
    </row>
    <row r="669" spans="2:26" ht="14.15" x14ac:dyDescent="0.3">
      <c r="D669" s="10" t="s">
        <v>175</v>
      </c>
      <c r="E669" s="81"/>
      <c r="F669" s="11"/>
      <c r="G669" s="81"/>
      <c r="H669" s="12"/>
      <c r="I669" s="86"/>
      <c r="J669" s="12"/>
      <c r="K669" s="33"/>
      <c r="L669" s="88"/>
      <c r="M669" s="12"/>
      <c r="N669" s="13"/>
      <c r="O669" s="12"/>
      <c r="P669" s="13"/>
      <c r="Q669" s="12"/>
      <c r="R669" s="13"/>
      <c r="S669" s="12"/>
      <c r="T669" s="13"/>
      <c r="U669" s="33"/>
      <c r="V669" s="13"/>
      <c r="W669" s="14"/>
      <c r="X669" s="13"/>
      <c r="Y669" s="31"/>
    </row>
    <row r="670" spans="2:26" x14ac:dyDescent="0.3">
      <c r="B670" s="81">
        <f>MAX(B$547:B669)+1</f>
        <v>343</v>
      </c>
      <c r="C670" s="83"/>
      <c r="D670" s="18" t="s">
        <v>176</v>
      </c>
      <c r="E670" s="81"/>
      <c r="F670" s="39" t="s">
        <v>62</v>
      </c>
      <c r="G670" s="81"/>
      <c r="H670" s="12">
        <v>28200</v>
      </c>
      <c r="I670" s="86"/>
      <c r="J670" s="12">
        <f>$H670*K670/100</f>
        <v>6001.0445999999993</v>
      </c>
      <c r="K670" s="33">
        <v>21.2803</v>
      </c>
      <c r="L670" s="88"/>
      <c r="M670" s="12">
        <f t="shared" ref="M670:M672" si="205">J670-O670</f>
        <v>-61.57859008052219</v>
      </c>
      <c r="N670" s="13"/>
      <c r="O670" s="12">
        <v>6062.6231900805215</v>
      </c>
      <c r="P670" s="13"/>
      <c r="Q670" s="12">
        <f t="shared" ref="Q670:Q672" si="206">S670-O670</f>
        <v>-368.03502790504899</v>
      </c>
      <c r="R670" s="13"/>
      <c r="S670" s="12">
        <f>$H670*U670/100</f>
        <v>5694.5881621754725</v>
      </c>
      <c r="T670" s="13"/>
      <c r="U670" s="33">
        <v>20.193575043175436</v>
      </c>
      <c r="V670" s="13"/>
      <c r="W670" s="14"/>
      <c r="X670" s="13"/>
      <c r="Y670" s="15">
        <f t="shared" ref="Y670:Y671" si="207">U670/K670-1</f>
        <v>-5.1067182174338033E-2</v>
      </c>
    </row>
    <row r="671" spans="2:26" x14ac:dyDescent="0.3">
      <c r="B671" s="81">
        <f>MAX(B$547:B670)+1</f>
        <v>344</v>
      </c>
      <c r="C671" s="83"/>
      <c r="D671" s="18" t="s">
        <v>205</v>
      </c>
      <c r="E671" s="81"/>
      <c r="F671" s="91" t="s">
        <v>39</v>
      </c>
      <c r="G671" s="81"/>
      <c r="H671" s="12">
        <v>249200.14546999999</v>
      </c>
      <c r="I671" s="86"/>
      <c r="J671" s="12">
        <f>$H671*K671/100</f>
        <v>292.31177063630997</v>
      </c>
      <c r="K671" s="33">
        <v>0.11729999999999999</v>
      </c>
      <c r="L671" s="88"/>
      <c r="M671" s="12">
        <f t="shared" si="205"/>
        <v>292.31177063630997</v>
      </c>
      <c r="N671" s="13"/>
      <c r="O671" s="12">
        <v>0</v>
      </c>
      <c r="P671" s="13"/>
      <c r="Q671" s="12">
        <f t="shared" si="206"/>
        <v>0</v>
      </c>
      <c r="R671" s="13"/>
      <c r="S671" s="12">
        <f>$H671*U671/100</f>
        <v>0</v>
      </c>
      <c r="T671" s="13"/>
      <c r="U671" s="33">
        <v>0</v>
      </c>
      <c r="V671" s="13"/>
      <c r="W671" s="14"/>
      <c r="X671" s="13"/>
      <c r="Y671" s="15">
        <f t="shared" si="207"/>
        <v>-1</v>
      </c>
    </row>
    <row r="672" spans="2:26" x14ac:dyDescent="0.3">
      <c r="B672" s="81">
        <f>MAX(B$547:B671)+1</f>
        <v>345</v>
      </c>
      <c r="C672" s="83"/>
      <c r="D672" s="18" t="s">
        <v>184</v>
      </c>
      <c r="E672" s="81"/>
      <c r="F672" s="39"/>
      <c r="G672" s="81"/>
      <c r="H672" s="12"/>
      <c r="I672" s="86"/>
      <c r="J672" s="12">
        <v>170.92787497874582</v>
      </c>
      <c r="K672" s="97">
        <v>4.81E-3</v>
      </c>
      <c r="L672" s="88"/>
      <c r="M672" s="12">
        <f t="shared" si="205"/>
        <v>-105.64502810170472</v>
      </c>
      <c r="N672" s="13"/>
      <c r="O672" s="12">
        <f>S672</f>
        <v>276.57290308045054</v>
      </c>
      <c r="P672" s="13"/>
      <c r="Q672" s="12">
        <f t="shared" si="206"/>
        <v>0</v>
      </c>
      <c r="R672" s="13"/>
      <c r="S672" s="12">
        <v>276.57290308045054</v>
      </c>
      <c r="T672" s="13"/>
      <c r="U672" s="97">
        <v>7.7829064684878718E-3</v>
      </c>
      <c r="V672" s="13"/>
      <c r="W672" s="14">
        <f>S672/O672</f>
        <v>1</v>
      </c>
      <c r="X672" s="13"/>
      <c r="Y672" s="15">
        <f>U672/K672-1</f>
        <v>0.61806787286650144</v>
      </c>
    </row>
    <row r="673" spans="2:25" x14ac:dyDescent="0.3">
      <c r="B673" s="81">
        <f>MAX(B$547:B672)+1</f>
        <v>346</v>
      </c>
      <c r="C673" s="83"/>
      <c r="D673" s="10" t="s">
        <v>185</v>
      </c>
      <c r="E673" s="81"/>
      <c r="F673" s="11"/>
      <c r="G673" s="81"/>
      <c r="H673" s="89">
        <f>SUM(H671:H671)</f>
        <v>249200.14546999999</v>
      </c>
      <c r="I673" s="86"/>
      <c r="J673" s="89">
        <f>SUM(J668:J672)</f>
        <v>6744.0755508150551</v>
      </c>
      <c r="K673" s="19">
        <f>J673/$H673*100</f>
        <v>2.7062887696536047</v>
      </c>
      <c r="L673" s="88"/>
      <c r="M673" s="89">
        <f>SUM(M668:M672)</f>
        <v>211.01013611774329</v>
      </c>
      <c r="N673" s="13"/>
      <c r="O673" s="89">
        <f>SUM(O668:O672)</f>
        <v>6533.065414697312</v>
      </c>
      <c r="P673" s="13"/>
      <c r="Q673" s="89">
        <f>SUM(Q668:Q672)</f>
        <v>-282.11304424138871</v>
      </c>
      <c r="R673" s="13"/>
      <c r="S673" s="89">
        <f>SUM(S668:S672)</f>
        <v>6250.9523704559233</v>
      </c>
      <c r="T673" s="13"/>
      <c r="U673" s="19">
        <f>S673/$H673*100</f>
        <v>2.5084063890357742</v>
      </c>
      <c r="V673" s="13"/>
      <c r="W673" s="90">
        <f>S673/O673</f>
        <v>0.95681766118448397</v>
      </c>
      <c r="X673" s="13"/>
      <c r="Y673" s="20">
        <f>U673/K673-1</f>
        <v>-7.3119462651858314E-2</v>
      </c>
    </row>
    <row r="674" spans="2:25" x14ac:dyDescent="0.3">
      <c r="E674" s="81"/>
      <c r="F674" s="11"/>
      <c r="G674" s="81"/>
      <c r="H674" s="12"/>
      <c r="I674" s="86"/>
      <c r="J674" s="12"/>
      <c r="K674" s="33"/>
      <c r="L674" s="88"/>
      <c r="M674" s="12"/>
      <c r="N674" s="13"/>
      <c r="O674" s="12"/>
      <c r="P674" s="13"/>
      <c r="Q674" s="12"/>
      <c r="R674" s="13"/>
      <c r="S674" s="12"/>
      <c r="T674" s="13"/>
      <c r="U674" s="33"/>
      <c r="V674" s="13"/>
      <c r="W674" s="14"/>
      <c r="X674" s="13"/>
      <c r="Y674" s="15"/>
    </row>
    <row r="675" spans="2:25" x14ac:dyDescent="0.3">
      <c r="D675" s="45" t="s">
        <v>186</v>
      </c>
      <c r="E675" s="81"/>
      <c r="F675" s="11"/>
      <c r="G675" s="81"/>
      <c r="H675" s="12"/>
      <c r="I675" s="86"/>
      <c r="J675" s="12"/>
      <c r="K675" s="33"/>
      <c r="L675" s="88"/>
      <c r="M675" s="12"/>
      <c r="N675" s="13"/>
      <c r="O675" s="12"/>
      <c r="P675" s="13"/>
      <c r="Q675" s="12"/>
      <c r="R675" s="13"/>
      <c r="S675" s="12"/>
      <c r="T675" s="13"/>
      <c r="U675" s="33"/>
      <c r="V675" s="13"/>
      <c r="W675" s="14"/>
      <c r="X675" s="13"/>
      <c r="Y675" s="15"/>
    </row>
    <row r="676" spans="2:25" x14ac:dyDescent="0.3">
      <c r="D676" s="52" t="s">
        <v>187</v>
      </c>
      <c r="E676" s="81"/>
      <c r="F676" s="11"/>
      <c r="G676" s="81"/>
      <c r="H676" s="12"/>
      <c r="I676" s="86"/>
      <c r="J676" s="12"/>
      <c r="K676" s="33"/>
      <c r="L676" s="88"/>
      <c r="M676" s="12"/>
      <c r="N676" s="13"/>
      <c r="O676" s="12"/>
      <c r="P676" s="13"/>
      <c r="Q676" s="12"/>
      <c r="R676" s="13"/>
      <c r="S676" s="12"/>
      <c r="T676" s="13"/>
      <c r="U676" s="33"/>
      <c r="V676" s="13"/>
      <c r="W676" s="14"/>
      <c r="X676" s="13"/>
      <c r="Y676" s="15"/>
    </row>
    <row r="677" spans="2:25" x14ac:dyDescent="0.3">
      <c r="B677" s="81">
        <f>MAX(B$547:B676)+1</f>
        <v>347</v>
      </c>
      <c r="D677" s="57" t="s">
        <v>188</v>
      </c>
      <c r="E677" s="81"/>
      <c r="F677" s="11" t="s">
        <v>189</v>
      </c>
      <c r="G677" s="81"/>
      <c r="H677" s="12">
        <v>38472252</v>
      </c>
      <c r="I677" s="86"/>
      <c r="J677" s="12">
        <f>$H677*K677/1000</f>
        <v>461.66702400000003</v>
      </c>
      <c r="K677" s="53">
        <v>1.2E-2</v>
      </c>
      <c r="L677" s="88"/>
      <c r="M677" s="12">
        <f>J677-O677</f>
        <v>-113.3665002236616</v>
      </c>
      <c r="N677" s="13"/>
      <c r="O677" s="12">
        <v>575.03352422366163</v>
      </c>
      <c r="P677" s="13"/>
      <c r="Q677" s="12">
        <f>S677-O677</f>
        <v>7.6870451835475251E-2</v>
      </c>
      <c r="R677" s="13"/>
      <c r="S677" s="12">
        <f>$H677*U677/1000</f>
        <v>575.1103946754971</v>
      </c>
      <c r="T677" s="13"/>
      <c r="U677" s="53">
        <v>1.4948706269534132E-2</v>
      </c>
      <c r="V677" s="13"/>
      <c r="W677" s="14">
        <f>S677/O677</f>
        <v>1.0001336799483809</v>
      </c>
      <c r="X677" s="13"/>
      <c r="Y677" s="15">
        <f>U677/K677-1</f>
        <v>0.24572552246117763</v>
      </c>
    </row>
    <row r="678" spans="2:25" x14ac:dyDescent="0.3">
      <c r="D678" s="52" t="s">
        <v>190</v>
      </c>
      <c r="E678" s="81"/>
      <c r="F678" s="11"/>
      <c r="G678" s="81"/>
      <c r="H678" s="12"/>
      <c r="I678" s="86"/>
      <c r="J678" s="12"/>
      <c r="K678" s="33"/>
      <c r="L678" s="88"/>
      <c r="M678" s="12"/>
      <c r="N678" s="13"/>
      <c r="O678" s="12"/>
      <c r="P678" s="13"/>
      <c r="Q678" s="12"/>
      <c r="R678" s="13"/>
      <c r="S678" s="12"/>
      <c r="T678" s="13"/>
      <c r="U678" s="33"/>
      <c r="V678" s="13"/>
      <c r="W678" s="14"/>
      <c r="X678" s="13"/>
      <c r="Y678" s="15"/>
    </row>
    <row r="679" spans="2:25" x14ac:dyDescent="0.3">
      <c r="B679" s="81">
        <f>MAX(B$547:B678)+1</f>
        <v>348</v>
      </c>
      <c r="D679" s="57" t="s">
        <v>191</v>
      </c>
      <c r="E679" s="81"/>
      <c r="F679" s="11" t="s">
        <v>189</v>
      </c>
      <c r="G679" s="81"/>
      <c r="H679" s="12">
        <v>0</v>
      </c>
      <c r="I679" s="86"/>
      <c r="J679" s="12">
        <f>$H679*K679/1000</f>
        <v>0</v>
      </c>
      <c r="K679" s="53">
        <v>1.798</v>
      </c>
      <c r="L679" s="88"/>
      <c r="M679" s="12">
        <f t="shared" ref="M679:M682" si="208">J679-O679</f>
        <v>0</v>
      </c>
      <c r="N679" s="13"/>
      <c r="O679" s="12">
        <v>0</v>
      </c>
      <c r="P679" s="13"/>
      <c r="Q679" s="12">
        <f t="shared" ref="Q679:Q682" si="209">S679-O679</f>
        <v>0</v>
      </c>
      <c r="R679" s="13"/>
      <c r="S679" s="12">
        <f>$H679*U679/1000</f>
        <v>0</v>
      </c>
      <c r="T679" s="13"/>
      <c r="U679" s="53">
        <v>2.5733111087044795</v>
      </c>
      <c r="V679" s="13"/>
      <c r="W679" s="14"/>
      <c r="X679" s="13"/>
      <c r="Y679" s="15">
        <f t="shared" ref="Y679:Y682" si="210">U679/K679-1</f>
        <v>0.43120751318380401</v>
      </c>
    </row>
    <row r="680" spans="2:25" x14ac:dyDescent="0.3">
      <c r="B680" s="81">
        <f>MAX(B$547:B679)+1</f>
        <v>349</v>
      </c>
      <c r="D680" s="57" t="s">
        <v>192</v>
      </c>
      <c r="E680" s="81"/>
      <c r="F680" s="11" t="s">
        <v>189</v>
      </c>
      <c r="G680" s="81"/>
      <c r="H680" s="12">
        <v>649668</v>
      </c>
      <c r="I680" s="86"/>
      <c r="J680" s="12">
        <f>$H680*K680/1000</f>
        <v>986.19602399999997</v>
      </c>
      <c r="K680" s="53">
        <v>1.518</v>
      </c>
      <c r="L680" s="88"/>
      <c r="M680" s="12">
        <f t="shared" si="208"/>
        <v>-569.71568072236312</v>
      </c>
      <c r="N680" s="13"/>
      <c r="O680" s="12">
        <v>1555.9117047223631</v>
      </c>
      <c r="P680" s="13"/>
      <c r="Q680" s="12">
        <f t="shared" si="209"/>
        <v>5.8121889820085926E-2</v>
      </c>
      <c r="R680" s="13"/>
      <c r="S680" s="12">
        <f>$H680*U680/1000</f>
        <v>1555.9698266121832</v>
      </c>
      <c r="T680" s="13"/>
      <c r="U680" s="53">
        <v>2.3950230373239609</v>
      </c>
      <c r="V680" s="13"/>
      <c r="W680" s="14"/>
      <c r="X680" s="13"/>
      <c r="Y680" s="15">
        <f t="shared" si="210"/>
        <v>0.57774903644529707</v>
      </c>
    </row>
    <row r="681" spans="2:25" x14ac:dyDescent="0.3">
      <c r="B681" s="81">
        <f>MAX(B$547:B680)+1</f>
        <v>350</v>
      </c>
      <c r="D681" s="57" t="s">
        <v>193</v>
      </c>
      <c r="E681" s="81"/>
      <c r="F681" s="11" t="s">
        <v>189</v>
      </c>
      <c r="G681" s="81"/>
      <c r="H681" s="12">
        <v>0</v>
      </c>
      <c r="I681" s="86"/>
      <c r="J681" s="12">
        <f>$H681*K681/1000</f>
        <v>0</v>
      </c>
      <c r="K681" s="53">
        <v>1.518</v>
      </c>
      <c r="L681" s="88"/>
      <c r="M681" s="12">
        <f t="shared" si="208"/>
        <v>0</v>
      </c>
      <c r="N681" s="13"/>
      <c r="O681" s="12">
        <v>0</v>
      </c>
      <c r="P681" s="13"/>
      <c r="Q681" s="12">
        <f t="shared" si="209"/>
        <v>0</v>
      </c>
      <c r="R681" s="13"/>
      <c r="S681" s="12">
        <f>$H681*U681/1000</f>
        <v>0</v>
      </c>
      <c r="T681" s="13"/>
      <c r="U681" s="53">
        <v>2.3950230373239609</v>
      </c>
      <c r="V681" s="13"/>
      <c r="W681" s="14"/>
      <c r="X681" s="13"/>
      <c r="Y681" s="15">
        <f t="shared" si="210"/>
        <v>0.57774903644529707</v>
      </c>
    </row>
    <row r="682" spans="2:25" x14ac:dyDescent="0.3">
      <c r="B682" s="81">
        <f>MAX(B$547:B681)+1</f>
        <v>351</v>
      </c>
      <c r="D682" s="57" t="s">
        <v>194</v>
      </c>
      <c r="E682" s="81"/>
      <c r="F682" s="11" t="s">
        <v>189</v>
      </c>
      <c r="G682" s="81"/>
      <c r="H682" s="12">
        <v>0</v>
      </c>
      <c r="I682" s="86"/>
      <c r="J682" s="12">
        <f>$H682*K682/1000</f>
        <v>0</v>
      </c>
      <c r="K682" s="53">
        <v>1.518</v>
      </c>
      <c r="L682" s="88"/>
      <c r="M682" s="12">
        <f t="shared" si="208"/>
        <v>0</v>
      </c>
      <c r="N682" s="13"/>
      <c r="O682" s="12">
        <v>0</v>
      </c>
      <c r="P682" s="13"/>
      <c r="Q682" s="12">
        <f t="shared" si="209"/>
        <v>0</v>
      </c>
      <c r="R682" s="13"/>
      <c r="S682" s="12">
        <f>$H682*U682/1000</f>
        <v>0</v>
      </c>
      <c r="T682" s="13"/>
      <c r="U682" s="53">
        <v>2.3950230373239609</v>
      </c>
      <c r="V682" s="13"/>
      <c r="W682" s="14"/>
      <c r="X682" s="13"/>
      <c r="Y682" s="15">
        <f t="shared" si="210"/>
        <v>0.57774903644529707</v>
      </c>
    </row>
    <row r="683" spans="2:25" x14ac:dyDescent="0.3">
      <c r="D683" s="52" t="s">
        <v>195</v>
      </c>
      <c r="E683" s="81"/>
      <c r="F683" s="11"/>
      <c r="G683" s="81"/>
      <c r="H683" s="12"/>
      <c r="I683" s="86"/>
      <c r="J683" s="12"/>
      <c r="K683" s="33"/>
      <c r="L683" s="88"/>
      <c r="M683" s="12"/>
      <c r="N683" s="13"/>
      <c r="O683" s="12"/>
      <c r="P683" s="13"/>
      <c r="Q683" s="12"/>
      <c r="R683" s="13"/>
      <c r="S683" s="12"/>
      <c r="T683" s="13"/>
      <c r="U683" s="33"/>
      <c r="V683" s="13"/>
      <c r="W683" s="14"/>
      <c r="X683" s="13"/>
      <c r="Y683" s="15"/>
    </row>
    <row r="684" spans="2:25" x14ac:dyDescent="0.3">
      <c r="B684" s="81">
        <f>MAX(B$547:B683)+1</f>
        <v>352</v>
      </c>
      <c r="D684" s="57" t="s">
        <v>196</v>
      </c>
      <c r="E684" s="81"/>
      <c r="F684" s="11" t="s">
        <v>132</v>
      </c>
      <c r="G684" s="81"/>
      <c r="H684" s="12">
        <v>6433273.9199999999</v>
      </c>
      <c r="I684" s="86"/>
      <c r="J684" s="12">
        <f>$H684*K684/1000</f>
        <v>77.199287040000002</v>
      </c>
      <c r="K684" s="53">
        <v>1.2E-2</v>
      </c>
      <c r="L684" s="88"/>
      <c r="M684" s="12">
        <f>J684-O684</f>
        <v>77.199287040000002</v>
      </c>
      <c r="N684" s="13"/>
      <c r="O684" s="12">
        <v>0</v>
      </c>
      <c r="P684" s="13"/>
      <c r="Q684" s="12">
        <f>S684-O684</f>
        <v>0</v>
      </c>
      <c r="R684" s="13"/>
      <c r="S684" s="12">
        <f>$H684*U684/1000</f>
        <v>0</v>
      </c>
      <c r="T684" s="13"/>
      <c r="U684" s="53">
        <v>0</v>
      </c>
      <c r="V684" s="13"/>
      <c r="W684" s="14"/>
      <c r="X684" s="13"/>
      <c r="Y684" s="15">
        <f t="shared" ref="Y684" si="211">U684/K684-1</f>
        <v>-1</v>
      </c>
    </row>
    <row r="685" spans="2:25" x14ac:dyDescent="0.3">
      <c r="D685" s="45"/>
      <c r="E685" s="81"/>
      <c r="F685" s="11"/>
      <c r="G685" s="81"/>
      <c r="H685" s="12"/>
      <c r="I685" s="86"/>
      <c r="J685" s="12"/>
      <c r="K685" s="33"/>
      <c r="L685" s="88"/>
      <c r="M685" s="12"/>
      <c r="N685" s="13"/>
      <c r="O685" s="12"/>
      <c r="P685" s="13"/>
      <c r="Q685" s="12"/>
      <c r="R685" s="13"/>
      <c r="S685" s="12"/>
      <c r="T685" s="13"/>
      <c r="U685" s="33"/>
      <c r="V685" s="13"/>
      <c r="W685" s="14"/>
      <c r="X685" s="13"/>
      <c r="Y685" s="15"/>
    </row>
    <row r="686" spans="2:25" x14ac:dyDescent="0.3">
      <c r="B686" s="81">
        <f>MAX(B$547:B685)+1</f>
        <v>353</v>
      </c>
      <c r="C686" s="83"/>
      <c r="D686" s="18" t="s">
        <v>197</v>
      </c>
      <c r="E686" s="81"/>
      <c r="F686" s="91"/>
      <c r="G686" s="81"/>
      <c r="H686" s="12"/>
      <c r="I686" s="86"/>
      <c r="J686" s="12">
        <v>116.40417297039362</v>
      </c>
      <c r="K686" s="97">
        <v>4.96E-3</v>
      </c>
      <c r="L686" s="88"/>
      <c r="M686" s="12">
        <f>J686-O686</f>
        <v>-71.210802544512248</v>
      </c>
      <c r="N686" s="13"/>
      <c r="O686" s="12">
        <f>S686</f>
        <v>187.61497551490586</v>
      </c>
      <c r="P686" s="13"/>
      <c r="Q686" s="12">
        <f>S686-O686</f>
        <v>0</v>
      </c>
      <c r="R686" s="13"/>
      <c r="S686" s="12">
        <v>187.61497551490586</v>
      </c>
      <c r="T686" s="13"/>
      <c r="U686" s="97">
        <v>7.994303424075833E-3</v>
      </c>
      <c r="V686" s="13"/>
      <c r="W686" s="14">
        <f>S686/O686</f>
        <v>1</v>
      </c>
      <c r="X686" s="13"/>
      <c r="Y686" s="15">
        <f>U686/K686-1</f>
        <v>0.61175472259593411</v>
      </c>
    </row>
    <row r="687" spans="2:25" x14ac:dyDescent="0.3"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24"/>
    </row>
    <row r="688" spans="2:25" x14ac:dyDescent="0.3">
      <c r="B688" s="81">
        <f>MAX(B$547:B687)+1</f>
        <v>354</v>
      </c>
      <c r="C688" s="83"/>
      <c r="D688" s="10" t="s">
        <v>198</v>
      </c>
      <c r="E688" s="81"/>
      <c r="F688" s="11"/>
      <c r="G688" s="81"/>
      <c r="H688" s="89">
        <f>H673</f>
        <v>249200.14546999999</v>
      </c>
      <c r="I688" s="86"/>
      <c r="J688" s="89">
        <f>SUM(J677:J686)</f>
        <v>1641.4665080103935</v>
      </c>
      <c r="K688" s="19">
        <f>J688/$H688*100</f>
        <v>0.65869404085400174</v>
      </c>
      <c r="L688" s="88"/>
      <c r="M688" s="89">
        <f>SUM(M677:M686)</f>
        <v>-677.09369645053698</v>
      </c>
      <c r="N688" s="13"/>
      <c r="O688" s="89">
        <f>SUM(O677:O686)</f>
        <v>2318.5602044609304</v>
      </c>
      <c r="P688" s="13"/>
      <c r="Q688" s="89">
        <f>SUM(Q677:Q686)</f>
        <v>0.13499234165556118</v>
      </c>
      <c r="R688" s="13"/>
      <c r="S688" s="89">
        <f>SUM(S677:S686)</f>
        <v>2318.695196802586</v>
      </c>
      <c r="T688" s="13"/>
      <c r="U688" s="19">
        <f>S688/$H688*100</f>
        <v>0.93045499328639947</v>
      </c>
      <c r="V688" s="13"/>
      <c r="W688" s="90">
        <f>S688/O688</f>
        <v>1.0000582224871262</v>
      </c>
      <c r="X688" s="13"/>
      <c r="Y688" s="20">
        <f>U688/K688-1</f>
        <v>0.41257539248428232</v>
      </c>
    </row>
    <row r="689" spans="2:26" x14ac:dyDescent="0.3">
      <c r="B689" s="81"/>
      <c r="C689" s="83"/>
      <c r="D689" s="10"/>
      <c r="E689" s="81"/>
      <c r="F689" s="11"/>
      <c r="G689" s="81"/>
      <c r="H689" s="12"/>
      <c r="I689" s="86"/>
      <c r="J689" s="12"/>
      <c r="K689" s="33"/>
      <c r="L689" s="88"/>
      <c r="M689" s="12"/>
      <c r="N689" s="13"/>
      <c r="O689" s="12"/>
      <c r="P689" s="13"/>
      <c r="Q689" s="12"/>
      <c r="R689" s="13"/>
      <c r="S689" s="12"/>
      <c r="T689" s="13"/>
      <c r="U689" s="33"/>
      <c r="V689" s="13"/>
      <c r="W689" s="14"/>
      <c r="X689" s="13"/>
      <c r="Y689" s="15"/>
    </row>
    <row r="690" spans="2:26" ht="12.9" thickBot="1" x14ac:dyDescent="0.35">
      <c r="B690" s="81">
        <f>MAX(B$547:B689)+1</f>
        <v>355</v>
      </c>
      <c r="C690" s="83"/>
      <c r="D690" s="10" t="s">
        <v>206</v>
      </c>
      <c r="E690" s="81"/>
      <c r="F690" s="11"/>
      <c r="G690" s="81"/>
      <c r="H690" s="93">
        <f>H673</f>
        <v>249200.14546999999</v>
      </c>
      <c r="I690" s="86"/>
      <c r="J690" s="93">
        <f>J673+J688</f>
        <v>8385.5420588254492</v>
      </c>
      <c r="K690" s="25">
        <f>J690/$H690*100</f>
        <v>3.3649828105076067</v>
      </c>
      <c r="L690" s="88"/>
      <c r="M690" s="93">
        <f>M673+M688</f>
        <v>-466.0835603327937</v>
      </c>
      <c r="N690" s="13"/>
      <c r="O690" s="93">
        <f>O673+O688</f>
        <v>8851.6256191582434</v>
      </c>
      <c r="P690" s="13"/>
      <c r="Q690" s="93">
        <f>Q673+Q688</f>
        <v>-281.97805189973315</v>
      </c>
      <c r="R690" s="13"/>
      <c r="S690" s="93">
        <f>S673+S688</f>
        <v>8569.6475672585093</v>
      </c>
      <c r="T690" s="13"/>
      <c r="U690" s="25">
        <f>S690/$H690*100</f>
        <v>3.4388613823221741</v>
      </c>
      <c r="V690" s="13"/>
      <c r="W690" s="94">
        <f>S690/O690</f>
        <v>0.96814392473971922</v>
      </c>
      <c r="X690" s="13"/>
      <c r="Y690" s="26">
        <f>U690/K690-1</f>
        <v>2.1955111207068168E-2</v>
      </c>
    </row>
    <row r="691" spans="2:26" ht="12.9" thickTop="1" x14ac:dyDescent="0.3">
      <c r="B691" s="81"/>
      <c r="C691" s="83"/>
      <c r="D691" s="10"/>
      <c r="E691" s="81"/>
      <c r="F691" s="11"/>
      <c r="G691" s="81"/>
      <c r="H691" s="88"/>
      <c r="I691" s="86"/>
      <c r="J691" s="88"/>
      <c r="K691" s="33"/>
      <c r="L691" s="88"/>
      <c r="M691" s="88"/>
      <c r="N691" s="13"/>
      <c r="O691" s="88"/>
      <c r="P691" s="13"/>
      <c r="Q691" s="88"/>
      <c r="R691" s="13"/>
      <c r="S691" s="88"/>
      <c r="T691" s="13"/>
      <c r="U691" s="33"/>
      <c r="V691" s="13"/>
      <c r="W691" s="92"/>
      <c r="X691" s="13"/>
      <c r="Y691" s="15"/>
    </row>
    <row r="692" spans="2:26" ht="12.9" thickBot="1" x14ac:dyDescent="0.35">
      <c r="B692" s="81">
        <f>MAX(B$547:B691)+1</f>
        <v>356</v>
      </c>
      <c r="C692" s="83"/>
      <c r="D692" s="47" t="s">
        <v>207</v>
      </c>
      <c r="H692" s="17"/>
      <c r="I692" s="17"/>
      <c r="J692" s="93">
        <f xml:space="preserve"> J690 + J665 + J623 + J589 + J566 + J543 + J509 + J475 + J447 + J427 + J388 + J375 + J323 + J284 + J244 + J225 + J202 + J170 + J139 + J122 + J101 + J80 + J55 + J31</f>
        <v>5097037.5842274958</v>
      </c>
      <c r="K692" s="102"/>
      <c r="L692" s="102"/>
      <c r="M692" s="93">
        <f xml:space="preserve"> M690 + M665 + M623 + M589 + M566 + M543 + M509 + M475 + M447 + M427 + M388 + M375 + M323 + M284 + M244 + M225 + M202 + M170 + M139 + M122 + M101 + M80 + M55 + M31</f>
        <v>-6910.0960161308903</v>
      </c>
      <c r="N692" s="103"/>
      <c r="O692" s="93">
        <f xml:space="preserve"> O690 + O665 + O623 + O589 + O566 + O543 + O509 + O475 + O447 + O427 + O388 + O375 + O323 + O284 + O244 + O225 + O202 + O170 + O139 + O122 + O101 + O80 + O55 + O31 -0.12</f>
        <v>5108634.4920986537</v>
      </c>
      <c r="P692" s="103"/>
      <c r="Q692" s="93">
        <f xml:space="preserve"> Q690 + Q665 + Q623 + Q589 + Q566 + Q543 + Q509 + Q475 + Q447 + Q427 + Q388 + Q375 + Q323 + Q284 + Q244 + Q225 + Q202 + Q170 + Q139 + Q122 + Q101 + Q80 + Q55 + Q31</f>
        <v>-19200.49815120229</v>
      </c>
      <c r="R692" s="103"/>
      <c r="S692" s="93">
        <f xml:space="preserve"> S690 + S665 + S623 + S589 + S566 + S543 + S509 + S475 + S447 + S427 + S388 + S375 + S323 + S284 + S244 + S225 + S202 + S170 + S139 + S122 + S101 + S80 + S55 + S31</f>
        <v>5089434.113901116</v>
      </c>
      <c r="T692" s="103"/>
      <c r="U692" s="22"/>
      <c r="V692" s="103"/>
      <c r="W692" s="92"/>
      <c r="X692" s="103"/>
      <c r="Y692" s="30"/>
    </row>
    <row r="693" spans="2:26" ht="12.9" thickTop="1" x14ac:dyDescent="0.3">
      <c r="B693" s="81"/>
      <c r="C693" s="83"/>
      <c r="E693" s="81"/>
      <c r="F693" s="91"/>
      <c r="G693" s="81"/>
      <c r="H693" s="88"/>
      <c r="I693" s="86"/>
      <c r="J693" s="88"/>
      <c r="K693" s="22"/>
      <c r="L693" s="88"/>
      <c r="M693" s="88"/>
      <c r="N693" s="13"/>
      <c r="O693" s="88"/>
      <c r="P693" s="13"/>
      <c r="Q693" s="88"/>
      <c r="R693" s="13"/>
      <c r="S693" s="88"/>
      <c r="T693" s="13"/>
      <c r="U693" s="22"/>
      <c r="V693" s="13"/>
      <c r="W693" s="92"/>
      <c r="X693" s="13"/>
      <c r="Y693" s="30"/>
    </row>
    <row r="694" spans="2:26" x14ac:dyDescent="0.3">
      <c r="B694" s="3" t="s">
        <v>208</v>
      </c>
      <c r="E694" s="81"/>
      <c r="F694" s="91"/>
      <c r="G694" s="81"/>
      <c r="H694" s="88"/>
      <c r="I694" s="86"/>
      <c r="J694" s="88"/>
      <c r="K694" s="22"/>
      <c r="L694" s="88"/>
      <c r="M694" s="88"/>
      <c r="N694" s="13"/>
      <c r="O694" s="88"/>
      <c r="P694" s="13"/>
      <c r="Q694" s="88"/>
      <c r="R694" s="13"/>
      <c r="S694" s="88"/>
      <c r="T694" s="13"/>
      <c r="U694" s="22"/>
      <c r="V694" s="13"/>
      <c r="W694" s="92"/>
      <c r="X694" s="13"/>
      <c r="Y694" s="30"/>
    </row>
    <row r="695" spans="2:26" x14ac:dyDescent="0.3">
      <c r="B695" s="104" t="s">
        <v>209</v>
      </c>
      <c r="C695" s="41"/>
      <c r="D695" s="42" t="s">
        <v>210</v>
      </c>
      <c r="E695" s="81"/>
      <c r="F695" s="91"/>
      <c r="G695" s="81"/>
      <c r="H695" s="88"/>
      <c r="I695" s="86"/>
      <c r="J695" s="88"/>
      <c r="K695" s="22"/>
      <c r="L695" s="88"/>
      <c r="M695" s="88"/>
      <c r="N695" s="13"/>
      <c r="O695" s="88"/>
      <c r="P695" s="13"/>
      <c r="Q695" s="88"/>
      <c r="R695" s="13"/>
      <c r="S695" s="88"/>
      <c r="T695" s="13"/>
      <c r="U695" s="22"/>
      <c r="V695" s="13"/>
      <c r="W695" s="92"/>
      <c r="X695" s="13"/>
      <c r="Y695" s="30"/>
    </row>
    <row r="696" spans="2:26" x14ac:dyDescent="0.3">
      <c r="B696" s="104" t="s">
        <v>211</v>
      </c>
      <c r="D696" s="41" t="s">
        <v>212</v>
      </c>
      <c r="E696" s="81"/>
      <c r="F696" s="91"/>
      <c r="G696" s="81"/>
      <c r="H696" s="88"/>
      <c r="I696" s="86"/>
      <c r="J696" s="88"/>
      <c r="K696" s="22"/>
      <c r="L696" s="88"/>
      <c r="M696" s="88"/>
      <c r="N696" s="13"/>
      <c r="O696" s="88"/>
      <c r="P696" s="13"/>
      <c r="Q696" s="88"/>
      <c r="R696" s="13"/>
      <c r="S696" s="88"/>
      <c r="T696" s="13"/>
      <c r="U696" s="22"/>
      <c r="V696" s="13"/>
      <c r="W696" s="92"/>
      <c r="X696" s="13"/>
      <c r="Y696" s="30"/>
    </row>
    <row r="697" spans="2:26" x14ac:dyDescent="0.3">
      <c r="B697" s="104" t="s">
        <v>213</v>
      </c>
      <c r="D697" s="41" t="s">
        <v>214</v>
      </c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2:26" x14ac:dyDescent="0.3">
      <c r="B698" s="104" t="s">
        <v>215</v>
      </c>
      <c r="D698" s="41" t="s">
        <v>216</v>
      </c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2:26" x14ac:dyDescent="0.3">
      <c r="B699" s="104"/>
      <c r="D699" s="41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2:26" x14ac:dyDescent="0.3">
      <c r="B700" s="2" t="s">
        <v>0</v>
      </c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2:26" x14ac:dyDescent="0.3">
      <c r="B701" s="43" t="s">
        <v>217</v>
      </c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3"/>
    </row>
    <row r="702" spans="2:26" x14ac:dyDescent="0.3">
      <c r="C702" s="77"/>
      <c r="E702" s="77"/>
      <c r="F702" s="78"/>
      <c r="G702" s="77"/>
      <c r="I702" s="77"/>
      <c r="J702" s="78"/>
      <c r="K702" s="78"/>
      <c r="L702" s="78"/>
      <c r="M702" s="78"/>
      <c r="N702" s="77"/>
      <c r="O702" s="77"/>
      <c r="P702" s="77"/>
      <c r="Q702" s="77"/>
      <c r="R702" s="77"/>
      <c r="S702" s="77"/>
      <c r="T702" s="77"/>
      <c r="U702" s="77"/>
      <c r="V702" s="77"/>
      <c r="W702" s="5"/>
      <c r="X702" s="77"/>
      <c r="Y702" s="5"/>
    </row>
    <row r="703" spans="2:26" x14ac:dyDescent="0.3">
      <c r="B703" s="78"/>
      <c r="C703" s="78"/>
      <c r="D703" s="78"/>
      <c r="E703" s="78"/>
      <c r="F703" s="81"/>
      <c r="G703" s="78"/>
      <c r="H703" s="81"/>
      <c r="I703" s="78"/>
      <c r="J703" s="79" t="s">
        <v>2</v>
      </c>
      <c r="K703" s="79"/>
      <c r="L703" s="78"/>
      <c r="M703" s="78"/>
      <c r="N703" s="78"/>
      <c r="O703" s="122" t="s">
        <v>3</v>
      </c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</row>
    <row r="704" spans="2:26" s="6" customFormat="1" ht="39" customHeight="1" x14ac:dyDescent="0.3">
      <c r="B704" s="80" t="s">
        <v>4</v>
      </c>
      <c r="C704" s="80"/>
      <c r="D704" s="80"/>
      <c r="E704" s="80"/>
      <c r="F704" s="81" t="s">
        <v>5</v>
      </c>
      <c r="G704" s="80"/>
      <c r="H704" s="6" t="s">
        <v>6</v>
      </c>
      <c r="I704" s="80"/>
      <c r="J704" s="6" t="s">
        <v>7</v>
      </c>
      <c r="K704" s="6" t="s">
        <v>218</v>
      </c>
      <c r="L704" s="80"/>
      <c r="M704" s="6" t="s">
        <v>9</v>
      </c>
      <c r="N704" s="80"/>
      <c r="O704" s="80" t="s">
        <v>219</v>
      </c>
      <c r="P704" s="80"/>
      <c r="Q704" s="6" t="s">
        <v>220</v>
      </c>
      <c r="R704" s="80"/>
      <c r="S704" s="6" t="s">
        <v>7</v>
      </c>
      <c r="T704" s="80"/>
      <c r="U704" s="6" t="s">
        <v>12</v>
      </c>
      <c r="V704" s="80"/>
      <c r="W704" s="80" t="s">
        <v>13</v>
      </c>
      <c r="X704" s="80"/>
      <c r="Y704" s="80" t="s">
        <v>14</v>
      </c>
      <c r="Z704" s="80"/>
    </row>
    <row r="705" spans="2:26" x14ac:dyDescent="0.3">
      <c r="B705" s="82" t="s">
        <v>15</v>
      </c>
      <c r="C705" s="83"/>
      <c r="D705" s="84" t="s">
        <v>16</v>
      </c>
      <c r="E705" s="81"/>
      <c r="F705" s="82" t="s">
        <v>17</v>
      </c>
      <c r="G705" s="81"/>
      <c r="H705" s="82" t="s">
        <v>18</v>
      </c>
      <c r="I705" s="81"/>
      <c r="J705" s="82" t="s">
        <v>19</v>
      </c>
      <c r="K705" s="82" t="s">
        <v>221</v>
      </c>
      <c r="L705" s="81"/>
      <c r="M705" s="82" t="s">
        <v>19</v>
      </c>
      <c r="N705" s="81"/>
      <c r="O705" s="82" t="s">
        <v>19</v>
      </c>
      <c r="P705" s="81"/>
      <c r="Q705" s="82" t="s">
        <v>19</v>
      </c>
      <c r="R705" s="81"/>
      <c r="S705" s="82" t="s">
        <v>19</v>
      </c>
      <c r="T705" s="81"/>
      <c r="U705" s="82" t="s">
        <v>221</v>
      </c>
      <c r="V705" s="81"/>
      <c r="W705" s="82" t="s">
        <v>21</v>
      </c>
      <c r="X705" s="81"/>
      <c r="Y705" s="82" t="s">
        <v>22</v>
      </c>
      <c r="Z705" s="81"/>
    </row>
    <row r="706" spans="2:26" x14ac:dyDescent="0.3">
      <c r="B706" s="81"/>
      <c r="C706" s="83"/>
      <c r="D706" s="83"/>
      <c r="E706" s="81"/>
      <c r="F706" s="81"/>
      <c r="G706" s="81"/>
      <c r="H706" s="81" t="s">
        <v>23</v>
      </c>
      <c r="I706" s="81"/>
      <c r="J706" s="81" t="s">
        <v>24</v>
      </c>
      <c r="K706" s="81" t="s">
        <v>25</v>
      </c>
      <c r="L706" s="81"/>
      <c r="M706" s="81" t="s">
        <v>26</v>
      </c>
      <c r="N706" s="81"/>
      <c r="O706" s="81" t="s">
        <v>27</v>
      </c>
      <c r="P706" s="81"/>
      <c r="Q706" s="81" t="s">
        <v>28</v>
      </c>
      <c r="R706" s="81"/>
      <c r="S706" s="85" t="s">
        <v>29</v>
      </c>
      <c r="T706" s="81"/>
      <c r="U706" s="85" t="s">
        <v>30</v>
      </c>
      <c r="V706" s="81"/>
      <c r="W706" s="85" t="s">
        <v>31</v>
      </c>
      <c r="X706" s="81"/>
      <c r="Y706" s="85" t="s">
        <v>32</v>
      </c>
      <c r="Z706" s="81"/>
    </row>
    <row r="707" spans="2:26" x14ac:dyDescent="0.3">
      <c r="D707" s="100"/>
      <c r="H707" s="17"/>
      <c r="I707" s="17"/>
      <c r="J707" s="17"/>
      <c r="K707" s="44"/>
      <c r="L707" s="17"/>
      <c r="M707" s="17"/>
      <c r="N707" s="17"/>
      <c r="O707" s="17"/>
      <c r="P707" s="17"/>
      <c r="Q707" s="17"/>
      <c r="R707" s="17"/>
      <c r="S707" s="17"/>
      <c r="T707" s="17"/>
      <c r="U707" s="44"/>
      <c r="V707" s="17"/>
      <c r="W707" s="17"/>
      <c r="X707" s="17"/>
      <c r="Y707" s="17"/>
    </row>
    <row r="708" spans="2:26" x14ac:dyDescent="0.3">
      <c r="D708" s="3" t="s">
        <v>222</v>
      </c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24"/>
    </row>
    <row r="709" spans="2:26" x14ac:dyDescent="0.3">
      <c r="B709" s="81"/>
      <c r="D709" s="45" t="s">
        <v>223</v>
      </c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24"/>
    </row>
    <row r="710" spans="2:26" x14ac:dyDescent="0.3">
      <c r="B710" s="81">
        <f>MAX(B708:B$709)+1</f>
        <v>1</v>
      </c>
      <c r="D710" s="46" t="s">
        <v>224</v>
      </c>
      <c r="F710" s="39" t="s">
        <v>189</v>
      </c>
      <c r="H710" s="12">
        <v>91095.48</v>
      </c>
      <c r="I710" s="17"/>
      <c r="J710" s="103">
        <f>H710*12*K710/1000</f>
        <v>179.27590464000002</v>
      </c>
      <c r="K710" s="105">
        <v>0.16400000000000001</v>
      </c>
      <c r="L710" s="17"/>
      <c r="M710" s="106">
        <f>J710-O710</f>
        <v>175.41519975326241</v>
      </c>
      <c r="N710" s="17"/>
      <c r="O710" s="12">
        <v>3.8607048867376017</v>
      </c>
      <c r="P710" s="17"/>
      <c r="Q710" s="12">
        <f>S710-O710</f>
        <v>175.41519975326239</v>
      </c>
      <c r="R710" s="17"/>
      <c r="S710" s="12">
        <f>U710*H710*12/1000</f>
        <v>179.27590463999999</v>
      </c>
      <c r="T710" s="17"/>
      <c r="U710" s="105">
        <v>0.16400000000000001</v>
      </c>
      <c r="V710" s="17"/>
      <c r="W710" s="17"/>
      <c r="X710" s="17"/>
      <c r="Y710" s="107">
        <f>IFERROR((U710-K710)/K710,"")</f>
        <v>0</v>
      </c>
    </row>
    <row r="711" spans="2:26" x14ac:dyDescent="0.3">
      <c r="B711" s="81">
        <f>MAX(B709:B$710)+1</f>
        <v>2</v>
      </c>
      <c r="D711" s="46" t="s">
        <v>225</v>
      </c>
      <c r="F711" s="39" t="s">
        <v>132</v>
      </c>
      <c r="H711" s="12">
        <v>0</v>
      </c>
      <c r="I711" s="17"/>
      <c r="J711" s="17"/>
      <c r="K711" s="105">
        <v>6.0000000000000001E-3</v>
      </c>
      <c r="L711" s="17"/>
      <c r="M711" s="106">
        <f>J712-O712</f>
        <v>0</v>
      </c>
      <c r="N711" s="17"/>
      <c r="O711" s="12">
        <v>0</v>
      </c>
      <c r="P711" s="17"/>
      <c r="Q711" s="12">
        <f>S711-O711</f>
        <v>0</v>
      </c>
      <c r="R711" s="17"/>
      <c r="S711" s="12">
        <f>U711*H711/1000</f>
        <v>0</v>
      </c>
      <c r="T711" s="17"/>
      <c r="U711" s="105">
        <v>6.0000000000000001E-3</v>
      </c>
      <c r="V711" s="17"/>
      <c r="W711" s="17"/>
      <c r="X711" s="17"/>
      <c r="Y711" s="107">
        <f>IFERROR((U711-K711)/K711,"")</f>
        <v>0</v>
      </c>
    </row>
    <row r="712" spans="2:26" x14ac:dyDescent="0.3"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03"/>
      <c r="T712" s="17"/>
      <c r="U712" s="17"/>
      <c r="V712" s="17"/>
      <c r="W712" s="17"/>
      <c r="X712" s="17"/>
      <c r="Y712" s="24"/>
    </row>
    <row r="713" spans="2:26" ht="12.9" thickBot="1" x14ac:dyDescent="0.35">
      <c r="B713" s="81">
        <f>MAX(B$709:B711)+1</f>
        <v>3</v>
      </c>
      <c r="D713" s="47" t="s">
        <v>226</v>
      </c>
      <c r="E713" s="47"/>
      <c r="F713" s="47"/>
      <c r="G713" s="47"/>
      <c r="H713" s="93">
        <f>H710</f>
        <v>91095.48</v>
      </c>
      <c r="I713" s="86"/>
      <c r="J713" s="93">
        <f>SUM(J710:J711)</f>
        <v>179.27590464000002</v>
      </c>
      <c r="K713" s="25">
        <f>J713/$H713*100</f>
        <v>0.1968</v>
      </c>
      <c r="L713" s="88"/>
      <c r="M713" s="93">
        <f>SUM(M710:M711)</f>
        <v>175.41519975326241</v>
      </c>
      <c r="N713" s="13"/>
      <c r="O713" s="93">
        <f>SUM(O710:O711)</f>
        <v>3.8607048867376017</v>
      </c>
      <c r="P713" s="13"/>
      <c r="Q713" s="93">
        <f>SUM(Q710:Q711)</f>
        <v>175.41519975326239</v>
      </c>
      <c r="R713" s="13"/>
      <c r="S713" s="93">
        <f>SUM(S710:S711)</f>
        <v>179.27590463999999</v>
      </c>
      <c r="T713" s="13"/>
      <c r="U713" s="25"/>
      <c r="V713" s="13"/>
      <c r="W713" s="94">
        <f>S713/O713</f>
        <v>46.436055046800767</v>
      </c>
      <c r="X713" s="13"/>
      <c r="Y713" s="26">
        <f>(S713-J713)/J713</f>
        <v>-1.5853613728781351E-16</v>
      </c>
    </row>
    <row r="714" spans="2:26" ht="12.9" thickTop="1" x14ac:dyDescent="0.3">
      <c r="D714" s="48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24"/>
    </row>
    <row r="715" spans="2:26" x14ac:dyDescent="0.3">
      <c r="D715" s="3" t="s">
        <v>227</v>
      </c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24"/>
    </row>
    <row r="716" spans="2:26" x14ac:dyDescent="0.3">
      <c r="B716" s="81"/>
      <c r="D716" s="45" t="s">
        <v>228</v>
      </c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24"/>
    </row>
    <row r="717" spans="2:26" x14ac:dyDescent="0.3">
      <c r="B717" s="81">
        <f>MAX(B$709:B716)+1</f>
        <v>4</v>
      </c>
      <c r="D717" s="49" t="s">
        <v>224</v>
      </c>
      <c r="F717" s="39" t="s">
        <v>189</v>
      </c>
      <c r="H717" s="69">
        <v>1210000</v>
      </c>
      <c r="I717" s="17"/>
      <c r="J717" s="103">
        <f>H717*12*K717/1000</f>
        <v>19703.64</v>
      </c>
      <c r="K717" s="105">
        <v>1.357</v>
      </c>
      <c r="L717" s="17"/>
      <c r="M717" s="108">
        <f>J717-O717</f>
        <v>1329.4164231599098</v>
      </c>
      <c r="N717" s="17"/>
      <c r="O717" s="12">
        <v>18374.22357684009</v>
      </c>
      <c r="P717" s="17"/>
      <c r="Q717" s="12">
        <f>S717-O717</f>
        <v>0</v>
      </c>
      <c r="R717" s="17"/>
      <c r="S717" s="12">
        <f>U717*H717*12/1000</f>
        <v>18374.223576840086</v>
      </c>
      <c r="T717" s="17"/>
      <c r="U717" s="105">
        <v>1.2654423950991798</v>
      </c>
      <c r="V717" s="17"/>
      <c r="W717" s="17"/>
      <c r="X717" s="17"/>
      <c r="Y717" s="107">
        <f>IFERROR((U717-K717)/K717,"")</f>
        <v>-6.7470600516448209E-2</v>
      </c>
    </row>
    <row r="718" spans="2:26" x14ac:dyDescent="0.3">
      <c r="B718" s="81"/>
      <c r="D718" s="47"/>
      <c r="H718" s="17"/>
      <c r="I718" s="17"/>
      <c r="J718" s="103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07"/>
    </row>
    <row r="719" spans="2:26" ht="12.9" thickBot="1" x14ac:dyDescent="0.35">
      <c r="B719" s="81">
        <f>MAX(B$709:B718)+1</f>
        <v>5</v>
      </c>
      <c r="D719" s="47" t="s">
        <v>229</v>
      </c>
      <c r="H719" s="93">
        <f>H718</f>
        <v>0</v>
      </c>
      <c r="I719" s="86"/>
      <c r="J719" s="93">
        <f>SUM(J717:J718)</f>
        <v>19703.64</v>
      </c>
      <c r="K719" s="25"/>
      <c r="L719" s="88"/>
      <c r="M719" s="93">
        <f>SUM(M717:M718)</f>
        <v>1329.4164231599098</v>
      </c>
      <c r="N719" s="13"/>
      <c r="O719" s="93">
        <f>SUM(O717:O718)</f>
        <v>18374.22357684009</v>
      </c>
      <c r="P719" s="13"/>
      <c r="Q719" s="93">
        <f>SUM(Q717:Q718)</f>
        <v>0</v>
      </c>
      <c r="R719" s="13"/>
      <c r="S719" s="93">
        <f>SUM(S717:S718)</f>
        <v>18374.223576840086</v>
      </c>
      <c r="T719" s="13"/>
      <c r="U719" s="25"/>
      <c r="V719" s="13"/>
      <c r="W719" s="94">
        <f>S719/O719</f>
        <v>0.99999999999999978</v>
      </c>
      <c r="X719" s="13"/>
      <c r="Y719" s="26">
        <f>(S719-J719)/J719</f>
        <v>-6.7470600516448404E-2</v>
      </c>
    </row>
    <row r="720" spans="2:26" ht="12.9" thickTop="1" x14ac:dyDescent="0.3">
      <c r="B720" s="81"/>
      <c r="D720" s="47"/>
      <c r="H720" s="88"/>
      <c r="I720" s="86"/>
      <c r="J720" s="88"/>
      <c r="K720" s="33"/>
      <c r="L720" s="88"/>
      <c r="M720" s="88"/>
      <c r="N720" s="13"/>
      <c r="O720" s="88"/>
      <c r="P720" s="13"/>
      <c r="Q720" s="88"/>
      <c r="R720" s="13"/>
      <c r="S720" s="88"/>
      <c r="T720" s="13"/>
      <c r="U720" s="33"/>
      <c r="V720" s="13"/>
      <c r="W720" s="92"/>
      <c r="X720" s="13"/>
      <c r="Y720" s="15"/>
    </row>
    <row r="721" spans="2:25" x14ac:dyDescent="0.3">
      <c r="B721" s="81"/>
      <c r="D721" s="50" t="s">
        <v>230</v>
      </c>
      <c r="H721" s="88"/>
      <c r="I721" s="86"/>
      <c r="J721" s="88"/>
      <c r="K721" s="33"/>
      <c r="L721" s="88"/>
      <c r="M721" s="88"/>
      <c r="N721" s="13"/>
      <c r="O721" s="88"/>
      <c r="P721" s="13"/>
      <c r="Q721" s="88"/>
      <c r="R721" s="13"/>
      <c r="S721" s="88"/>
      <c r="T721" s="13"/>
      <c r="U721" s="33"/>
      <c r="V721" s="13"/>
      <c r="W721" s="92"/>
      <c r="X721" s="13"/>
      <c r="Y721" s="15"/>
    </row>
    <row r="722" spans="2:25" x14ac:dyDescent="0.3">
      <c r="B722" s="81">
        <f>MAX(B$709:B721)+1</f>
        <v>6</v>
      </c>
      <c r="D722" s="45" t="s">
        <v>231</v>
      </c>
      <c r="E722" s="47"/>
      <c r="F722" s="47"/>
      <c r="H722" s="12">
        <v>0</v>
      </c>
      <c r="I722" s="17"/>
      <c r="J722" s="12">
        <v>3560.977942268019</v>
      </c>
      <c r="K722" s="12">
        <v>0</v>
      </c>
      <c r="L722" s="17"/>
      <c r="M722" s="12">
        <f>J722-O722</f>
        <v>3560.977942268019</v>
      </c>
      <c r="N722" s="17"/>
      <c r="O722" s="12">
        <v>0</v>
      </c>
      <c r="P722" s="17"/>
      <c r="Q722" s="12">
        <v>3560.977942268019</v>
      </c>
      <c r="R722" s="17"/>
      <c r="S722" s="12">
        <v>3560.977942268019</v>
      </c>
      <c r="T722" s="17"/>
      <c r="U722" s="12">
        <v>0</v>
      </c>
      <c r="V722" s="17"/>
      <c r="W722" s="17"/>
      <c r="X722" s="17"/>
      <c r="Y722" s="107" t="str">
        <f>IFERROR((U722-K722)/K722,"")</f>
        <v/>
      </c>
    </row>
    <row r="724" spans="2:25" x14ac:dyDescent="0.3">
      <c r="D724" s="3" t="s">
        <v>232</v>
      </c>
      <c r="H724" s="17"/>
      <c r="I724" s="17"/>
      <c r="J724" s="17"/>
      <c r="K724" s="86"/>
      <c r="L724" s="17"/>
      <c r="M724" s="17"/>
      <c r="N724" s="17"/>
      <c r="O724" s="17"/>
      <c r="P724" s="17"/>
      <c r="Q724" s="17"/>
      <c r="R724" s="17"/>
      <c r="S724" s="17"/>
      <c r="T724" s="17"/>
      <c r="U724" s="86"/>
      <c r="V724" s="17"/>
      <c r="W724" s="17"/>
      <c r="X724" s="17"/>
      <c r="Y724" s="34"/>
    </row>
    <row r="725" spans="2:25" x14ac:dyDescent="0.3">
      <c r="D725" s="10" t="s">
        <v>233</v>
      </c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34"/>
    </row>
    <row r="726" spans="2:25" x14ac:dyDescent="0.3">
      <c r="B726" s="81">
        <f>MAX(B$709:B725)+1</f>
        <v>7</v>
      </c>
      <c r="D726" s="18" t="s">
        <v>234</v>
      </c>
      <c r="F726" s="39" t="s">
        <v>189</v>
      </c>
      <c r="H726" s="12">
        <v>1835035</v>
      </c>
      <c r="I726" s="17"/>
      <c r="J726" s="12">
        <f>(K726*H726*12/1000)</f>
        <v>85086.902879999994</v>
      </c>
      <c r="K726" s="53">
        <v>3.8639999999999999</v>
      </c>
      <c r="L726" s="17"/>
      <c r="M726" s="12">
        <f>J726-O726</f>
        <v>1964.4532366914354</v>
      </c>
      <c r="N726" s="17"/>
      <c r="O726" s="12">
        <v>83122.449643308559</v>
      </c>
      <c r="P726" s="17"/>
      <c r="Q726" s="12">
        <f>S726-O726</f>
        <v>-11218.185491722179</v>
      </c>
      <c r="R726" s="17"/>
      <c r="S726" s="12">
        <f>U726*(H726)*12/1000</f>
        <v>71904.26415158638</v>
      </c>
      <c r="T726" s="17"/>
      <c r="U726" s="53">
        <v>3.2653448095715878</v>
      </c>
      <c r="V726" s="17"/>
      <c r="W726" s="92">
        <f>IFERROR(S726/O726,"-")</f>
        <v>0.86504024436405369</v>
      </c>
      <c r="X726" s="17"/>
      <c r="Y726" s="15">
        <f>IFERROR(U726/K726-1,"-")</f>
        <v>-0.15493146750217701</v>
      </c>
    </row>
    <row r="727" spans="2:25" x14ac:dyDescent="0.3">
      <c r="B727" s="81">
        <f>MAX(B$709:B726)+1</f>
        <v>8</v>
      </c>
      <c r="D727" s="51" t="s">
        <v>235</v>
      </c>
      <c r="F727" s="39" t="s">
        <v>189</v>
      </c>
      <c r="H727" s="12">
        <v>451429</v>
      </c>
      <c r="I727" s="17"/>
      <c r="J727" s="12">
        <f>K727*H727*12/1000</f>
        <v>427.95469200000002</v>
      </c>
      <c r="K727" s="53">
        <v>7.9000000000000001E-2</v>
      </c>
      <c r="L727" s="17"/>
      <c r="M727" s="12">
        <f>J727-O727</f>
        <v>152.211294504509</v>
      </c>
      <c r="N727" s="17"/>
      <c r="O727" s="12">
        <v>275.74339749549102</v>
      </c>
      <c r="P727" s="17"/>
      <c r="Q727" s="12">
        <f>S727-O727</f>
        <v>0</v>
      </c>
      <c r="R727" s="17"/>
      <c r="S727" s="12">
        <f>O727</f>
        <v>275.74339749549102</v>
      </c>
      <c r="T727" s="17"/>
      <c r="U727" s="53">
        <v>5.0999999999999997E-2</v>
      </c>
      <c r="V727" s="17"/>
      <c r="W727" s="92">
        <f>IFERROR(S727/O727,"-")</f>
        <v>1</v>
      </c>
      <c r="X727" s="17"/>
      <c r="Y727" s="15">
        <f>IFERROR(U727/K727-1,"-")</f>
        <v>-0.35443037974683544</v>
      </c>
    </row>
    <row r="728" spans="2:25" x14ac:dyDescent="0.3">
      <c r="B728" s="81">
        <f>MAX(B$709:B727)+1</f>
        <v>9</v>
      </c>
      <c r="D728" s="18" t="s">
        <v>236</v>
      </c>
      <c r="F728" s="39" t="s">
        <v>189</v>
      </c>
      <c r="H728" s="12">
        <v>49500</v>
      </c>
      <c r="I728" s="17"/>
      <c r="J728" s="12">
        <f>(K728*H728*12/1000)</f>
        <v>1948.914</v>
      </c>
      <c r="K728" s="53">
        <v>3.2810000000000001</v>
      </c>
      <c r="L728" s="17"/>
      <c r="M728" s="12">
        <f>J728-O728</f>
        <v>384.97702931492017</v>
      </c>
      <c r="N728" s="17"/>
      <c r="O728" s="12">
        <v>1563.9369706850798</v>
      </c>
      <c r="P728" s="17"/>
      <c r="Q728" s="12">
        <f>S728-O728</f>
        <v>-212.82173630098441</v>
      </c>
      <c r="R728" s="17"/>
      <c r="S728" s="12">
        <f>U728*(H728)*12/1000</f>
        <v>1351.1152343840954</v>
      </c>
      <c r="T728" s="17"/>
      <c r="U728" s="53">
        <v>2.2746047716903961</v>
      </c>
      <c r="V728" s="17"/>
      <c r="W728" s="92">
        <f>IFERROR(S728/O728,"-")</f>
        <v>0.86391923697042716</v>
      </c>
      <c r="X728" s="17"/>
      <c r="Y728" s="15">
        <f>IFERROR(U728/K728-1,"-")</f>
        <v>-0.30673429695507592</v>
      </c>
    </row>
    <row r="729" spans="2:25" x14ac:dyDescent="0.3">
      <c r="B729" s="81">
        <f>MAX(B$709:B728)+1</f>
        <v>10</v>
      </c>
      <c r="D729" s="51" t="s">
        <v>235</v>
      </c>
      <c r="F729" s="39" t="s">
        <v>189</v>
      </c>
      <c r="H729" s="12">
        <v>49500</v>
      </c>
      <c r="I729" s="17"/>
      <c r="J729" s="12">
        <f>K729*H729*12/1000</f>
        <v>46.926000000000002</v>
      </c>
      <c r="K729" s="53">
        <v>7.9000000000000001E-2</v>
      </c>
      <c r="L729" s="17"/>
      <c r="M729" s="12">
        <f>J729-O729</f>
        <v>16.690241606040367</v>
      </c>
      <c r="N729" s="17"/>
      <c r="O729" s="12">
        <v>30.235758393959635</v>
      </c>
      <c r="P729" s="17"/>
      <c r="Q729" s="17"/>
      <c r="R729" s="17"/>
      <c r="S729" s="12">
        <f>O729</f>
        <v>30.235758393959635</v>
      </c>
      <c r="T729" s="17"/>
      <c r="U729" s="53">
        <v>5.0999999999999997E-2</v>
      </c>
      <c r="V729" s="17"/>
      <c r="W729" s="92">
        <f>IFERROR(S729/O729,"-")</f>
        <v>1</v>
      </c>
      <c r="X729" s="17"/>
      <c r="Y729" s="15">
        <f>IFERROR(U729/K729-1,"-")</f>
        <v>-0.35443037974683544</v>
      </c>
    </row>
    <row r="730" spans="2:25" x14ac:dyDescent="0.3">
      <c r="B730" s="81">
        <f>MAX(B$709:B729)+1</f>
        <v>11</v>
      </c>
      <c r="D730" s="52" t="s">
        <v>237</v>
      </c>
      <c r="F730" s="39" t="s">
        <v>189</v>
      </c>
      <c r="H730" s="12">
        <v>383738.83333333331</v>
      </c>
      <c r="I730" s="17"/>
      <c r="J730" s="12">
        <f>K730*H730*12/1000</f>
        <v>2684.6368779999993</v>
      </c>
      <c r="K730" s="53">
        <v>0.58299999999999996</v>
      </c>
      <c r="L730" s="17"/>
      <c r="M730" s="12">
        <f>J730-O730</f>
        <v>-4339.0589578586114</v>
      </c>
      <c r="N730" s="17"/>
      <c r="O730" s="12">
        <v>7023.6958358586107</v>
      </c>
      <c r="P730" s="17"/>
      <c r="Q730" s="12">
        <f>S730-O730</f>
        <v>-835.42369466450327</v>
      </c>
      <c r="R730" s="17"/>
      <c r="S730" s="12">
        <f>U730*H730*12/1000</f>
        <v>6188.2721411941075</v>
      </c>
      <c r="T730" s="17"/>
      <c r="U730" s="53">
        <v>1.3438549875705628</v>
      </c>
      <c r="V730" s="17"/>
      <c r="W730" s="92">
        <f>IFERROR(S730/O730,"-")</f>
        <v>0.88105639620677323</v>
      </c>
      <c r="X730" s="17"/>
      <c r="Y730" s="15">
        <f>IFERROR(U730/K730-1,"-")</f>
        <v>1.305068589314859</v>
      </c>
    </row>
    <row r="731" spans="2:25" x14ac:dyDescent="0.3">
      <c r="B731" s="81"/>
      <c r="D731" s="18" t="s">
        <v>238</v>
      </c>
      <c r="Y731" s="15"/>
    </row>
    <row r="732" spans="2:25" x14ac:dyDescent="0.3">
      <c r="B732" s="81">
        <f>MAX(B$709:B731)+1</f>
        <v>12</v>
      </c>
      <c r="D732" s="51" t="s">
        <v>239</v>
      </c>
      <c r="F732" s="39" t="s">
        <v>189</v>
      </c>
      <c r="H732" s="12">
        <v>54513</v>
      </c>
      <c r="I732" s="17"/>
      <c r="J732" s="12">
        <f>K732*H732*12/1000</f>
        <v>3121.6324319999999</v>
      </c>
      <c r="K732" s="53">
        <f>K726 + K738</f>
        <v>4.7720000000000002</v>
      </c>
      <c r="L732" s="17"/>
      <c r="M732" s="12">
        <f>J732-O732</f>
        <v>652.33124842274947</v>
      </c>
      <c r="N732" s="17"/>
      <c r="O732" s="12">
        <v>2469.3011835772504</v>
      </c>
      <c r="P732" s="17"/>
      <c r="Q732" s="12">
        <f>S732-O732</f>
        <v>251.96149628932972</v>
      </c>
      <c r="R732" s="17"/>
      <c r="S732" s="12">
        <f>U732*H732*12/1000</f>
        <v>2721.2626798665801</v>
      </c>
      <c r="T732" s="17"/>
      <c r="U732" s="53">
        <v>4.159959825892571</v>
      </c>
      <c r="V732" s="17"/>
      <c r="W732" s="92">
        <f>IFERROR(S732/O732,"-")</f>
        <v>1.1020375715870818</v>
      </c>
      <c r="X732" s="17"/>
      <c r="Y732" s="15">
        <f>IFERROR(U732/K732-1,"-")</f>
        <v>-0.12825653271320814</v>
      </c>
    </row>
    <row r="733" spans="2:25" ht="12" customHeight="1" x14ac:dyDescent="0.3">
      <c r="B733" s="81"/>
      <c r="D733" s="10"/>
      <c r="H733" s="17"/>
      <c r="I733" s="17"/>
      <c r="J733" s="12"/>
      <c r="K733" s="54"/>
      <c r="L733" s="17"/>
      <c r="M733" s="17"/>
      <c r="N733" s="17"/>
      <c r="O733" s="17"/>
      <c r="P733" s="17"/>
      <c r="Q733" s="17"/>
      <c r="R733" s="17"/>
      <c r="S733" s="12"/>
      <c r="T733" s="17"/>
      <c r="U733" s="53"/>
      <c r="V733" s="17"/>
      <c r="W733" s="17"/>
      <c r="X733" s="17"/>
      <c r="Y733" s="15"/>
    </row>
    <row r="734" spans="2:25" x14ac:dyDescent="0.3">
      <c r="B734" s="81"/>
      <c r="D734" s="45" t="s">
        <v>240</v>
      </c>
      <c r="H734" s="17"/>
      <c r="I734" s="17"/>
      <c r="J734" s="12"/>
      <c r="K734" s="54"/>
      <c r="L734" s="17"/>
      <c r="M734" s="17"/>
      <c r="N734" s="17"/>
      <c r="O734" s="17"/>
      <c r="P734" s="17"/>
      <c r="Q734" s="17"/>
      <c r="R734" s="17"/>
      <c r="S734" s="12"/>
      <c r="T734" s="17"/>
      <c r="U734" s="53"/>
      <c r="V734" s="17"/>
      <c r="W734" s="17"/>
      <c r="X734" s="17"/>
      <c r="Y734" s="15"/>
    </row>
    <row r="735" spans="2:25" x14ac:dyDescent="0.3">
      <c r="B735" s="81">
        <f>MAX(B$726:B734)+1</f>
        <v>13</v>
      </c>
      <c r="D735" s="18" t="s">
        <v>241</v>
      </c>
      <c r="F735" s="39" t="s">
        <v>189</v>
      </c>
      <c r="H735" s="12">
        <v>32826</v>
      </c>
      <c r="I735" s="17"/>
      <c r="J735" s="12">
        <f>K735*H735*12/1000</f>
        <v>1522.0759679999999</v>
      </c>
      <c r="K735" s="53">
        <v>3.8639999999999999</v>
      </c>
      <c r="L735" s="17"/>
      <c r="M735" s="12">
        <f>J735-O735</f>
        <v>35.141096462809855</v>
      </c>
      <c r="N735" s="17"/>
      <c r="O735" s="12">
        <v>1486.93487153719</v>
      </c>
      <c r="P735" s="17"/>
      <c r="Q735" s="12">
        <f>S735-O735</f>
        <v>-200.67636690922677</v>
      </c>
      <c r="R735" s="17"/>
      <c r="S735" s="12">
        <f>U735*H735*12/1000</f>
        <v>1286.2585046279632</v>
      </c>
      <c r="T735" s="17"/>
      <c r="U735" s="53">
        <v>3.2653448095715878</v>
      </c>
      <c r="V735" s="17"/>
      <c r="W735" s="92">
        <f>IFERROR(S735/O735,"-")</f>
        <v>0.86504024436405347</v>
      </c>
      <c r="X735" s="17"/>
      <c r="Y735" s="15">
        <f>IFERROR(U735/K735-1,"-")</f>
        <v>-0.15493146750217701</v>
      </c>
    </row>
    <row r="736" spans="2:25" x14ac:dyDescent="0.3">
      <c r="B736" s="81">
        <f>MAX(B$726:B735)+1</f>
        <v>14</v>
      </c>
      <c r="D736" s="18" t="s">
        <v>236</v>
      </c>
      <c r="F736" s="39" t="s">
        <v>189</v>
      </c>
      <c r="H736" s="12">
        <v>0</v>
      </c>
      <c r="J736" s="12">
        <v>0</v>
      </c>
      <c r="K736" s="53">
        <v>3.2810000000000001</v>
      </c>
      <c r="M736" s="12">
        <f>J736-O736</f>
        <v>0</v>
      </c>
      <c r="O736" s="12">
        <v>0</v>
      </c>
      <c r="Q736" s="12">
        <f>S736-O736</f>
        <v>0</v>
      </c>
      <c r="S736" s="12">
        <f>U736*H736*12/1000</f>
        <v>0</v>
      </c>
      <c r="U736" s="53"/>
      <c r="W736" s="92" t="str">
        <f>IFERROR(S736/O736,"-")</f>
        <v>-</v>
      </c>
      <c r="Y736" s="15">
        <f>IFERROR(U736/K736-1,"-")</f>
        <v>-1</v>
      </c>
    </row>
    <row r="737" spans="2:26" x14ac:dyDescent="0.3">
      <c r="B737" s="81">
        <f>MAX(B$726:B736)+1</f>
        <v>15</v>
      </c>
      <c r="D737" s="18" t="s">
        <v>237</v>
      </c>
      <c r="F737" s="39" t="s">
        <v>189</v>
      </c>
      <c r="H737" s="12">
        <v>0</v>
      </c>
      <c r="I737" s="17"/>
      <c r="J737" s="12">
        <f>K737*H737*12/1000</f>
        <v>0</v>
      </c>
      <c r="K737" s="53">
        <v>0.58299999999999996</v>
      </c>
      <c r="L737" s="17"/>
      <c r="M737" s="12">
        <f>J737-O737</f>
        <v>0</v>
      </c>
      <c r="N737" s="17"/>
      <c r="O737" s="12">
        <v>0</v>
      </c>
      <c r="P737" s="17"/>
      <c r="Q737" s="12">
        <f>S737-O737</f>
        <v>0</v>
      </c>
      <c r="R737" s="17"/>
      <c r="S737" s="12">
        <f>U737*H737*12/1000</f>
        <v>0</v>
      </c>
      <c r="T737" s="17"/>
      <c r="U737" s="53">
        <v>1.3438549875705628</v>
      </c>
      <c r="V737" s="17"/>
      <c r="W737" s="92" t="str">
        <f>IFERROR(S737/O737,"-")</f>
        <v>-</v>
      </c>
      <c r="X737" s="17"/>
      <c r="Y737" s="15">
        <f>IFERROR(U737/K737-1,"-")</f>
        <v>1.305068589314859</v>
      </c>
    </row>
    <row r="738" spans="2:26" x14ac:dyDescent="0.3">
      <c r="B738" s="81">
        <f>MAX(B$726:B737)+1</f>
        <v>16</v>
      </c>
      <c r="D738" s="18" t="s">
        <v>242</v>
      </c>
      <c r="F738" s="39" t="s">
        <v>189</v>
      </c>
      <c r="H738" s="12">
        <v>1047191</v>
      </c>
      <c r="I738" s="17"/>
      <c r="J738" s="12">
        <f>H738*K738*12/1000</f>
        <v>11410.193136</v>
      </c>
      <c r="K738" s="53">
        <v>0.90800000000000003</v>
      </c>
      <c r="L738" s="17"/>
      <c r="M738" s="12">
        <f>J738-O738</f>
        <v>11410.193136</v>
      </c>
      <c r="N738" s="17"/>
      <c r="O738" s="12">
        <v>0</v>
      </c>
      <c r="P738" s="17"/>
      <c r="Q738" s="12">
        <f>S738-O738</f>
        <v>11241.993522674238</v>
      </c>
      <c r="R738" s="17"/>
      <c r="S738" s="12">
        <f>U738*H738*12/1000</f>
        <v>11241.993522674238</v>
      </c>
      <c r="T738" s="17"/>
      <c r="U738" s="53">
        <v>0.89461501632098295</v>
      </c>
      <c r="V738" s="17"/>
      <c r="W738" s="92" t="str">
        <f>IFERROR(S738/O738,"-")</f>
        <v>-</v>
      </c>
      <c r="X738" s="17"/>
      <c r="Y738" s="15">
        <f>IFERROR(U738/K738-1,"-")</f>
        <v>-1.4741171452661961E-2</v>
      </c>
      <c r="Z738" s="3"/>
    </row>
    <row r="739" spans="2:26" x14ac:dyDescent="0.3">
      <c r="B739" s="81">
        <f>MAX(B$726:B738)+1</f>
        <v>17</v>
      </c>
      <c r="D739" s="18" t="s">
        <v>243</v>
      </c>
      <c r="F739" s="39" t="s">
        <v>189</v>
      </c>
      <c r="H739" s="12">
        <v>63329</v>
      </c>
      <c r="I739" s="17"/>
      <c r="J739" s="12">
        <f>K739*H739*12/1000</f>
        <v>1217.436696</v>
      </c>
      <c r="K739" s="53">
        <v>1.6020000000000001</v>
      </c>
      <c r="L739" s="17"/>
      <c r="M739" s="12">
        <f>J739-O739</f>
        <v>1217.436696</v>
      </c>
      <c r="N739" s="17"/>
      <c r="O739" s="12">
        <v>0</v>
      </c>
      <c r="P739" s="17"/>
      <c r="Q739" s="12">
        <f>S739-O739</f>
        <v>973.15227063335124</v>
      </c>
      <c r="R739" s="17"/>
      <c r="S739" s="12">
        <f>U739*H739*12/1000</f>
        <v>973.15227063335124</v>
      </c>
      <c r="T739" s="17"/>
      <c r="U739" s="53">
        <v>1.2805511306475592</v>
      </c>
      <c r="V739" s="17"/>
      <c r="W739" s="92" t="str">
        <f>IFERROR(S739/O739,"-")</f>
        <v>-</v>
      </c>
      <c r="X739" s="17"/>
      <c r="Y739" s="15">
        <f>IFERROR(U739/K739-1,"-")</f>
        <v>-0.20065472493910164</v>
      </c>
    </row>
    <row r="740" spans="2:26" x14ac:dyDescent="0.3">
      <c r="B740" s="81"/>
      <c r="D740" s="38"/>
      <c r="F740" s="39"/>
      <c r="H740" s="12"/>
      <c r="I740" s="17"/>
      <c r="J740" s="12"/>
      <c r="K740" s="53"/>
      <c r="L740" s="17"/>
      <c r="M740" s="12"/>
      <c r="N740" s="17"/>
      <c r="O740" s="12"/>
      <c r="P740" s="17"/>
      <c r="Q740" s="12"/>
      <c r="R740" s="17"/>
      <c r="S740" s="12"/>
      <c r="T740" s="17"/>
      <c r="U740" s="53"/>
      <c r="V740" s="17"/>
      <c r="W740" s="92"/>
      <c r="X740" s="17"/>
      <c r="Y740" s="15"/>
    </row>
    <row r="741" spans="2:26" s="6" customFormat="1" x14ac:dyDescent="0.3">
      <c r="B741" s="21"/>
      <c r="C741" s="4"/>
      <c r="D741" s="45" t="s">
        <v>244</v>
      </c>
      <c r="E741" s="4"/>
      <c r="F741" s="4"/>
      <c r="G741" s="4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24"/>
      <c r="Z741" s="80"/>
    </row>
    <row r="742" spans="2:26" x14ac:dyDescent="0.3">
      <c r="B742" s="81">
        <f>MAX(B$726:B741)+1</f>
        <v>18</v>
      </c>
      <c r="D742" s="18" t="s">
        <v>245</v>
      </c>
      <c r="F742" s="39" t="s">
        <v>132</v>
      </c>
      <c r="H742" s="12">
        <v>349244186.82099998</v>
      </c>
      <c r="I742" s="17"/>
      <c r="J742" s="12">
        <v>11136.002027595003</v>
      </c>
      <c r="K742" s="17"/>
      <c r="L742" s="17"/>
      <c r="M742" s="12">
        <f>J742-O742</f>
        <v>-1932.6307617903203</v>
      </c>
      <c r="N742" s="17"/>
      <c r="O742" s="12">
        <v>13068.632789385323</v>
      </c>
      <c r="P742" s="17"/>
      <c r="Q742" s="12">
        <f>S742-O742</f>
        <v>-31.793285184250635</v>
      </c>
      <c r="R742" s="17"/>
      <c r="S742" s="12">
        <v>13036.839504201072</v>
      </c>
      <c r="T742" s="17"/>
      <c r="U742" s="17"/>
      <c r="V742" s="17"/>
      <c r="W742" s="92">
        <f>IFERROR(S742/O742,"-")</f>
        <v>0.99756720647854813</v>
      </c>
      <c r="X742" s="17"/>
      <c r="Y742" s="15" t="str">
        <f>IFERROR(U742/K742-1,"-")</f>
        <v>-</v>
      </c>
      <c r="Z742" s="81"/>
    </row>
    <row r="743" spans="2:26" x14ac:dyDescent="0.3">
      <c r="B743" s="81">
        <f>MAX(B$726:B742)+1</f>
        <v>19</v>
      </c>
      <c r="D743" s="18" t="s">
        <v>246</v>
      </c>
      <c r="F743" s="39" t="s">
        <v>132</v>
      </c>
      <c r="H743" s="12">
        <v>17399687.223999999</v>
      </c>
      <c r="I743" s="17"/>
      <c r="J743" s="12">
        <v>134.62063489241831</v>
      </c>
      <c r="K743" s="17"/>
      <c r="L743" s="17"/>
      <c r="M743" s="12">
        <f>J743-O743</f>
        <v>-198.97591705035717</v>
      </c>
      <c r="N743" s="17"/>
      <c r="O743" s="12">
        <v>333.59655194277548</v>
      </c>
      <c r="P743" s="17"/>
      <c r="Q743" s="12">
        <f>S743-O743</f>
        <v>-55.537605034810952</v>
      </c>
      <c r="R743" s="17"/>
      <c r="S743" s="12">
        <v>278.05894690796453</v>
      </c>
      <c r="T743" s="17"/>
      <c r="U743" s="17"/>
      <c r="V743" s="17"/>
      <c r="W743" s="92">
        <f>IFERROR(S743/O743,"-")</f>
        <v>0.83351864786558771</v>
      </c>
      <c r="X743" s="17"/>
      <c r="Y743" s="15" t="str">
        <f>IFERROR(U743/K743-1,"-")</f>
        <v>-</v>
      </c>
      <c r="Z743" s="81"/>
    </row>
    <row r="744" spans="2:26" x14ac:dyDescent="0.3">
      <c r="D744" s="45"/>
      <c r="F744" s="4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24"/>
    </row>
    <row r="745" spans="2:26" x14ac:dyDescent="0.3">
      <c r="D745" s="45" t="s">
        <v>247</v>
      </c>
      <c r="F745" s="4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24"/>
    </row>
    <row r="746" spans="2:26" x14ac:dyDescent="0.3">
      <c r="B746" s="81">
        <f>MAX(B$726:B745)+1</f>
        <v>20</v>
      </c>
      <c r="D746" s="18" t="s">
        <v>245</v>
      </c>
      <c r="F746" s="39" t="s">
        <v>132</v>
      </c>
      <c r="H746" s="12">
        <v>4834911.8473035097</v>
      </c>
      <c r="I746" s="17"/>
      <c r="J746" s="12">
        <v>161.24272685646676</v>
      </c>
      <c r="K746" s="17"/>
      <c r="L746" s="17"/>
      <c r="M746" s="12">
        <f>J746-O746</f>
        <v>15.282689019440539</v>
      </c>
      <c r="N746" s="17"/>
      <c r="O746" s="12">
        <v>145.96003783702622</v>
      </c>
      <c r="P746" s="17"/>
      <c r="Q746" s="12">
        <f>S746-O746</f>
        <v>40.607138711510743</v>
      </c>
      <c r="R746" s="17"/>
      <c r="S746" s="12">
        <v>186.56717654853696</v>
      </c>
      <c r="T746" s="17"/>
      <c r="U746" s="17"/>
      <c r="V746" s="17"/>
      <c r="W746" s="92">
        <f>IFERROR(S746/O746,"-")</f>
        <v>1.2782072361261734</v>
      </c>
      <c r="X746" s="17"/>
      <c r="Y746" s="15" t="str">
        <f>IFERROR(U746/K746-1,"-")</f>
        <v>-</v>
      </c>
    </row>
    <row r="747" spans="2:26" x14ac:dyDescent="0.3">
      <c r="B747" s="81">
        <f>MAX(B$726:B746)+1</f>
        <v>21</v>
      </c>
      <c r="D747" s="18" t="s">
        <v>246</v>
      </c>
      <c r="F747" s="39" t="s">
        <v>132</v>
      </c>
      <c r="H747" s="12">
        <v>204967728.36268201</v>
      </c>
      <c r="I747" s="17"/>
      <c r="J747" s="12">
        <v>2370.8014150714107</v>
      </c>
      <c r="K747" s="17"/>
      <c r="L747" s="17"/>
      <c r="M747" s="12">
        <f>J747-O747</f>
        <v>-1273.4041292422162</v>
      </c>
      <c r="N747" s="17"/>
      <c r="O747" s="12">
        <v>3644.2055443136269</v>
      </c>
      <c r="P747" s="17"/>
      <c r="Q747" s="12">
        <f>S747-O747</f>
        <v>70.93394779067421</v>
      </c>
      <c r="R747" s="17"/>
      <c r="S747" s="12">
        <v>3715.1394921043011</v>
      </c>
      <c r="T747" s="17"/>
      <c r="U747" s="17"/>
      <c r="V747" s="17"/>
      <c r="W747" s="92">
        <f>IFERROR(S747/O747,"-")</f>
        <v>1.0194648591930713</v>
      </c>
      <c r="X747" s="17"/>
      <c r="Y747" s="15" t="str">
        <f>IFERROR(U747/K747-1,"-")</f>
        <v>-</v>
      </c>
    </row>
    <row r="748" spans="2:26" x14ac:dyDescent="0.3"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2"/>
      <c r="T748" s="17"/>
      <c r="U748" s="17"/>
      <c r="V748" s="17"/>
      <c r="W748" s="17"/>
      <c r="X748" s="17"/>
      <c r="Y748" s="24"/>
    </row>
    <row r="749" spans="2:26" ht="12.9" thickBot="1" x14ac:dyDescent="0.35">
      <c r="B749" s="81">
        <f>MAX(B$726:B748)+1</f>
        <v>22</v>
      </c>
      <c r="D749" s="42" t="s">
        <v>248</v>
      </c>
      <c r="E749" s="6"/>
      <c r="F749" s="6"/>
      <c r="H749" s="93">
        <f>SUM(H742:H747)</f>
        <v>576446514.25498545</v>
      </c>
      <c r="I749" s="88"/>
      <c r="J749" s="93">
        <f>SUM(J726:J747)</f>
        <v>121269.33948641532</v>
      </c>
      <c r="K749" s="25">
        <f>J749/$H749*100</f>
        <v>2.1037396616604923E-2</v>
      </c>
      <c r="L749" s="88"/>
      <c r="M749" s="93">
        <f>SUM(M726:M747)</f>
        <v>8104.6469020804007</v>
      </c>
      <c r="N749" s="13"/>
      <c r="O749" s="93">
        <f>SUM(O726:O747)</f>
        <v>113164.69258433487</v>
      </c>
      <c r="P749" s="13"/>
      <c r="Q749" s="93">
        <f>SUM(Q726:Q747)</f>
        <v>24.210196283149287</v>
      </c>
      <c r="R749" s="13"/>
      <c r="S749" s="93">
        <f>SUM(S726:S747)</f>
        <v>113188.90278061801</v>
      </c>
      <c r="T749" s="13"/>
      <c r="U749" s="25">
        <f>S749/$H749*100</f>
        <v>1.9635629669286198E-2</v>
      </c>
      <c r="V749" s="13"/>
      <c r="W749" s="94">
        <f>S749/O749</f>
        <v>1.0002139377197097</v>
      </c>
      <c r="X749" s="13"/>
      <c r="Y749" s="26">
        <f>U749/K749-1</f>
        <v>-6.663214906602577E-2</v>
      </c>
    </row>
    <row r="750" spans="2:26" ht="12.9" thickTop="1" x14ac:dyDescent="0.3"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34"/>
    </row>
    <row r="751" spans="2:26" x14ac:dyDescent="0.3">
      <c r="B751" s="1" t="s">
        <v>0</v>
      </c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2:26" x14ac:dyDescent="0.3">
      <c r="B752" s="43" t="s">
        <v>249</v>
      </c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2:25" x14ac:dyDescent="0.3">
      <c r="C753" s="81"/>
      <c r="D753" s="81"/>
      <c r="E753" s="81"/>
      <c r="F753" s="78"/>
      <c r="G753" s="81"/>
      <c r="H753" s="78"/>
      <c r="I753" s="81"/>
      <c r="J753" s="78"/>
      <c r="K753" s="78"/>
      <c r="L753" s="78"/>
      <c r="M753" s="78"/>
      <c r="N753" s="81"/>
      <c r="O753" s="81"/>
      <c r="P753" s="81"/>
      <c r="Q753" s="81"/>
      <c r="R753" s="81"/>
      <c r="S753" s="81"/>
      <c r="T753" s="81"/>
      <c r="U753" s="81"/>
      <c r="V753" s="81"/>
      <c r="W753" s="21"/>
      <c r="X753" s="81"/>
      <c r="Y753" s="21"/>
    </row>
    <row r="754" spans="2:25" x14ac:dyDescent="0.3">
      <c r="B754" s="78"/>
      <c r="C754" s="78"/>
      <c r="D754" s="78"/>
      <c r="E754" s="78"/>
      <c r="F754" s="81"/>
      <c r="G754" s="78"/>
      <c r="H754" s="81"/>
      <c r="I754" s="78"/>
      <c r="J754" s="79" t="s">
        <v>2</v>
      </c>
      <c r="K754" s="79"/>
      <c r="L754" s="78"/>
      <c r="M754" s="78"/>
      <c r="N754" s="78"/>
      <c r="O754" s="122" t="s">
        <v>3</v>
      </c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</row>
    <row r="755" spans="2:25" ht="37.299999999999997" x14ac:dyDescent="0.3">
      <c r="B755" s="80" t="s">
        <v>4</v>
      </c>
      <c r="C755" s="80"/>
      <c r="D755" s="80"/>
      <c r="E755" s="80"/>
      <c r="F755" s="81" t="s">
        <v>5</v>
      </c>
      <c r="G755" s="80"/>
      <c r="H755" s="6" t="s">
        <v>6</v>
      </c>
      <c r="I755" s="80"/>
      <c r="J755" s="6" t="s">
        <v>7</v>
      </c>
      <c r="K755" s="6" t="s">
        <v>218</v>
      </c>
      <c r="L755" s="80"/>
      <c r="M755" s="6" t="s">
        <v>9</v>
      </c>
      <c r="N755" s="80"/>
      <c r="O755" s="80" t="s">
        <v>219</v>
      </c>
      <c r="P755" s="80"/>
      <c r="Q755" s="6" t="s">
        <v>220</v>
      </c>
      <c r="R755" s="80"/>
      <c r="S755" s="6" t="s">
        <v>7</v>
      </c>
      <c r="T755" s="80"/>
      <c r="U755" s="6" t="s">
        <v>12</v>
      </c>
      <c r="V755" s="80"/>
      <c r="W755" s="80" t="s">
        <v>13</v>
      </c>
      <c r="X755" s="80"/>
      <c r="Y755" s="80" t="s">
        <v>14</v>
      </c>
    </row>
    <row r="756" spans="2:25" x14ac:dyDescent="0.3">
      <c r="B756" s="82" t="s">
        <v>15</v>
      </c>
      <c r="C756" s="83"/>
      <c r="D756" s="84" t="s">
        <v>16</v>
      </c>
      <c r="E756" s="81"/>
      <c r="F756" s="82" t="s">
        <v>17</v>
      </c>
      <c r="G756" s="81"/>
      <c r="H756" s="82" t="s">
        <v>18</v>
      </c>
      <c r="I756" s="81"/>
      <c r="J756" s="82" t="s">
        <v>19</v>
      </c>
      <c r="K756" s="82" t="s">
        <v>221</v>
      </c>
      <c r="L756" s="81"/>
      <c r="M756" s="82" t="s">
        <v>19</v>
      </c>
      <c r="N756" s="81"/>
      <c r="O756" s="82" t="s">
        <v>19</v>
      </c>
      <c r="P756" s="81"/>
      <c r="Q756" s="82" t="s">
        <v>19</v>
      </c>
      <c r="R756" s="81"/>
      <c r="S756" s="82" t="s">
        <v>19</v>
      </c>
      <c r="T756" s="81"/>
      <c r="U756" s="82" t="s">
        <v>221</v>
      </c>
      <c r="V756" s="81"/>
      <c r="W756" s="82" t="s">
        <v>21</v>
      </c>
      <c r="X756" s="81"/>
      <c r="Y756" s="82" t="s">
        <v>22</v>
      </c>
    </row>
    <row r="757" spans="2:25" x14ac:dyDescent="0.3">
      <c r="B757" s="81"/>
      <c r="C757" s="83"/>
      <c r="D757" s="83"/>
      <c r="E757" s="81"/>
      <c r="F757" s="81"/>
      <c r="G757" s="81"/>
      <c r="H757" s="81" t="s">
        <v>23</v>
      </c>
      <c r="I757" s="81"/>
      <c r="J757" s="81" t="s">
        <v>24</v>
      </c>
      <c r="K757" s="81" t="s">
        <v>25</v>
      </c>
      <c r="L757" s="81"/>
      <c r="M757" s="81" t="s">
        <v>26</v>
      </c>
      <c r="N757" s="81"/>
      <c r="O757" s="81" t="s">
        <v>27</v>
      </c>
      <c r="P757" s="81"/>
      <c r="Q757" s="81" t="s">
        <v>28</v>
      </c>
      <c r="R757" s="81"/>
      <c r="S757" s="85" t="s">
        <v>29</v>
      </c>
      <c r="T757" s="81"/>
      <c r="U757" s="85" t="s">
        <v>30</v>
      </c>
      <c r="V757" s="81"/>
      <c r="W757" s="85" t="s">
        <v>31</v>
      </c>
      <c r="X757" s="81"/>
      <c r="Y757" s="85" t="s">
        <v>32</v>
      </c>
    </row>
    <row r="758" spans="2:25" x14ac:dyDescent="0.3">
      <c r="B758" s="81"/>
      <c r="C758" s="83"/>
      <c r="D758" s="83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</row>
    <row r="759" spans="2:25" x14ac:dyDescent="0.3">
      <c r="D759" s="3" t="s">
        <v>250</v>
      </c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34"/>
    </row>
    <row r="760" spans="2:25" x14ac:dyDescent="0.3">
      <c r="D760" s="10" t="s">
        <v>251</v>
      </c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34"/>
    </row>
    <row r="761" spans="2:25" x14ac:dyDescent="0.3">
      <c r="B761" s="81">
        <f>MAX(B$726:B760)+1</f>
        <v>23</v>
      </c>
      <c r="D761" s="55" t="s">
        <v>252</v>
      </c>
      <c r="F761" s="39" t="s">
        <v>189</v>
      </c>
      <c r="H761" s="12">
        <v>0</v>
      </c>
      <c r="I761" s="17"/>
      <c r="J761" s="12">
        <f>H761*K761*12/1000</f>
        <v>0</v>
      </c>
      <c r="K761" s="53">
        <v>2.3839999999999999</v>
      </c>
      <c r="L761" s="17"/>
      <c r="M761" s="12">
        <f>J761-O761</f>
        <v>0</v>
      </c>
      <c r="N761" s="17"/>
      <c r="O761" s="12">
        <v>0</v>
      </c>
      <c r="P761" s="17"/>
      <c r="Q761" s="12">
        <f>S761-O761</f>
        <v>0</v>
      </c>
      <c r="R761" s="17"/>
      <c r="S761" s="56">
        <f>U761*H761*12/1000</f>
        <v>0</v>
      </c>
      <c r="T761" s="17"/>
      <c r="U761" s="53">
        <v>4.193246005082969</v>
      </c>
      <c r="V761" s="17"/>
      <c r="W761" s="92" t="str">
        <f>IFERROR(S761/O761,"-")</f>
        <v>-</v>
      </c>
      <c r="X761" s="17"/>
      <c r="Y761" s="15">
        <f>IFERROR(U761/K761-1,"-")</f>
        <v>0.75891191488379572</v>
      </c>
    </row>
    <row r="762" spans="2:25" x14ac:dyDescent="0.3">
      <c r="B762" s="81">
        <f>MAX(B761:B$761)+1</f>
        <v>24</v>
      </c>
      <c r="D762" s="55" t="s">
        <v>253</v>
      </c>
      <c r="F762" s="39" t="s">
        <v>189</v>
      </c>
      <c r="H762" s="12">
        <v>36927</v>
      </c>
      <c r="I762" s="17"/>
      <c r="J762" s="12">
        <f>H762*K762*12/1000</f>
        <v>1056.407616</v>
      </c>
      <c r="K762" s="53">
        <v>2.3839999999999999</v>
      </c>
      <c r="L762" s="17"/>
      <c r="M762" s="12">
        <f>J762-O762</f>
        <v>1056.407616</v>
      </c>
      <c r="N762" s="17"/>
      <c r="O762" s="12">
        <v>0</v>
      </c>
      <c r="P762" s="17"/>
      <c r="Q762" s="12">
        <f>S762-O762</f>
        <v>509.07614870037958</v>
      </c>
      <c r="R762" s="17"/>
      <c r="S762" s="12">
        <f>U762*H762*12/1000</f>
        <v>509.07614870037958</v>
      </c>
      <c r="T762" s="17"/>
      <c r="U762" s="53">
        <v>1.1488345219405394</v>
      </c>
      <c r="V762" s="17"/>
      <c r="W762" s="92" t="str">
        <f>IFERROR(S762/O762,"-")</f>
        <v>-</v>
      </c>
      <c r="X762" s="17"/>
      <c r="Y762" s="15">
        <f>IFERROR(U762/K762-1,"-")</f>
        <v>-0.51810632468937112</v>
      </c>
    </row>
    <row r="763" spans="2:25" x14ac:dyDescent="0.3">
      <c r="B763" s="81">
        <f>MAX(B$761:B762)+1</f>
        <v>25</v>
      </c>
      <c r="D763" s="18" t="s">
        <v>254</v>
      </c>
      <c r="F763" s="39" t="s">
        <v>189</v>
      </c>
      <c r="H763" s="12">
        <v>203626</v>
      </c>
      <c r="I763" s="17"/>
      <c r="J763" s="12">
        <f>H763*K763*12/1000</f>
        <v>80.635896000000002</v>
      </c>
      <c r="K763" s="53">
        <v>3.3000000000000002E-2</v>
      </c>
      <c r="L763" s="17"/>
      <c r="M763" s="12">
        <f>J763-O763</f>
        <v>80.635896000000002</v>
      </c>
      <c r="N763" s="17"/>
      <c r="O763" s="12">
        <v>0</v>
      </c>
      <c r="P763" s="17"/>
      <c r="Q763" s="12">
        <f>S763-O763</f>
        <v>34.003754328717498</v>
      </c>
      <c r="R763" s="17"/>
      <c r="S763" s="12">
        <f>U763*H763*12/1000</f>
        <v>34.003754328717498</v>
      </c>
      <c r="T763" s="17"/>
      <c r="U763" s="53">
        <v>1.3915935067524735E-2</v>
      </c>
      <c r="V763" s="17"/>
      <c r="W763" s="92" t="str">
        <f>IFERROR(S763/O763,"-")</f>
        <v>-</v>
      </c>
      <c r="X763" s="17"/>
      <c r="Y763" s="15">
        <f>IFERROR(U763/K763-1,"-")</f>
        <v>-0.57830499795379597</v>
      </c>
    </row>
    <row r="764" spans="2:25" x14ac:dyDescent="0.3">
      <c r="B764" s="81">
        <f>MAX(B$761:B763)+1</f>
        <v>26</v>
      </c>
      <c r="D764" s="38" t="s">
        <v>235</v>
      </c>
      <c r="F764" s="39" t="s">
        <v>189</v>
      </c>
      <c r="H764" s="12">
        <v>110781</v>
      </c>
      <c r="I764" s="17"/>
      <c r="J764" s="12">
        <f>H764*K764*12/1000</f>
        <v>105.02038800000001</v>
      </c>
      <c r="K764" s="53">
        <v>7.9000000000000001E-2</v>
      </c>
      <c r="L764" s="17"/>
      <c r="M764" s="12">
        <f>J764-O764</f>
        <v>37.352760714318336</v>
      </c>
      <c r="N764" s="17"/>
      <c r="O764" s="12">
        <v>67.667627285681675</v>
      </c>
      <c r="P764" s="17"/>
      <c r="Q764" s="12">
        <f>S764-O764</f>
        <v>0</v>
      </c>
      <c r="R764" s="17"/>
      <c r="S764" s="12">
        <f>O764</f>
        <v>67.667627285681675</v>
      </c>
      <c r="T764" s="17"/>
      <c r="U764" s="53">
        <v>5.0999999999999997E-2</v>
      </c>
      <c r="V764" s="17"/>
      <c r="W764" s="92">
        <f>IFERROR(S764/O764,"-")</f>
        <v>1</v>
      </c>
      <c r="X764" s="17"/>
      <c r="Y764" s="15">
        <f>IFERROR(U764/K764-1,"-")</f>
        <v>-0.35443037974683544</v>
      </c>
    </row>
    <row r="765" spans="2:25" x14ac:dyDescent="0.3">
      <c r="B765" s="81">
        <f>MAX(B$761:B764)+1</f>
        <v>27</v>
      </c>
      <c r="D765" s="18" t="s">
        <v>255</v>
      </c>
      <c r="F765" s="39" t="s">
        <v>189</v>
      </c>
      <c r="H765" s="12">
        <v>500000</v>
      </c>
      <c r="I765" s="17"/>
      <c r="J765" s="12">
        <f>H765*K765*12/1000</f>
        <v>936</v>
      </c>
      <c r="K765" s="53">
        <v>0.156</v>
      </c>
      <c r="L765" s="17"/>
      <c r="M765" s="12">
        <f>J765-O765</f>
        <v>936</v>
      </c>
      <c r="N765" s="17"/>
      <c r="O765" s="12">
        <v>0</v>
      </c>
      <c r="P765" s="17"/>
      <c r="Q765" s="12">
        <f>S765-O765</f>
        <v>141.15476268023593</v>
      </c>
      <c r="R765" s="17"/>
      <c r="S765" s="12">
        <v>141.15476268023593</v>
      </c>
      <c r="T765" s="17"/>
      <c r="U765" s="53">
        <v>2.0873902601287103E-2</v>
      </c>
      <c r="V765" s="17"/>
      <c r="W765" s="92" t="str">
        <f>IFERROR(S765/O765,"-")</f>
        <v>-</v>
      </c>
      <c r="X765" s="17"/>
      <c r="Y765" s="15">
        <f>IFERROR(U765/K765-1,"-")</f>
        <v>-0.86619293204303138</v>
      </c>
    </row>
    <row r="766" spans="2:25" x14ac:dyDescent="0.3"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3"/>
      <c r="T766" s="17"/>
      <c r="U766" s="17"/>
      <c r="V766" s="17"/>
      <c r="W766" s="17"/>
      <c r="X766" s="17"/>
      <c r="Y766" s="24"/>
    </row>
    <row r="767" spans="2:25" x14ac:dyDescent="0.3">
      <c r="D767" s="10" t="s">
        <v>256</v>
      </c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3"/>
      <c r="T767" s="17"/>
      <c r="U767" s="17"/>
      <c r="V767" s="17"/>
      <c r="W767" s="17"/>
      <c r="X767" s="17"/>
      <c r="Y767" s="34"/>
    </row>
    <row r="768" spans="2:25" x14ac:dyDescent="0.3">
      <c r="D768" s="52" t="s">
        <v>257</v>
      </c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3"/>
      <c r="T768" s="17"/>
      <c r="U768" s="17"/>
      <c r="V768" s="17"/>
      <c r="W768" s="17"/>
      <c r="X768" s="17"/>
      <c r="Y768" s="34"/>
    </row>
    <row r="769" spans="2:26" x14ac:dyDescent="0.3">
      <c r="D769" s="57" t="s">
        <v>258</v>
      </c>
      <c r="F769" s="4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3"/>
      <c r="T769" s="17"/>
      <c r="U769" s="17"/>
      <c r="V769" s="17"/>
      <c r="W769" s="17"/>
      <c r="X769" s="17"/>
      <c r="Y769" s="34"/>
    </row>
    <row r="770" spans="2:26" x14ac:dyDescent="0.3">
      <c r="B770" s="81">
        <f>MAX(B$761:B769)+1</f>
        <v>28</v>
      </c>
      <c r="D770" s="58" t="s">
        <v>259</v>
      </c>
      <c r="F770" s="39" t="s">
        <v>132</v>
      </c>
      <c r="H770" s="12">
        <v>182561.93109999999</v>
      </c>
      <c r="I770" s="17"/>
      <c r="J770" s="12">
        <v>2.8181078048574877</v>
      </c>
      <c r="K770" s="17"/>
      <c r="L770" s="17"/>
      <c r="M770" s="12">
        <f>J770-O770</f>
        <v>-1.506524777813194</v>
      </c>
      <c r="N770" s="17"/>
      <c r="O770" s="12">
        <v>4.3246325826706817</v>
      </c>
      <c r="P770" s="17"/>
      <c r="Q770" s="12">
        <f>S770-O770</f>
        <v>0</v>
      </c>
      <c r="R770" s="17"/>
      <c r="S770" s="12">
        <v>4.3246325826706817</v>
      </c>
      <c r="T770" s="17"/>
      <c r="U770" s="17"/>
      <c r="V770" s="17"/>
      <c r="W770" s="92">
        <f>IFERROR(S770/O770,"-")</f>
        <v>1</v>
      </c>
      <c r="X770" s="17"/>
      <c r="Y770" s="31" t="str">
        <f>IFERROR(U770/K770-1,"-")</f>
        <v>-</v>
      </c>
    </row>
    <row r="771" spans="2:26" x14ac:dyDescent="0.3">
      <c r="B771" s="81">
        <f>MAX(B$761:B770)+1</f>
        <v>29</v>
      </c>
      <c r="D771" s="58" t="s">
        <v>260</v>
      </c>
      <c r="F771" s="39" t="s">
        <v>132</v>
      </c>
      <c r="H771" s="12">
        <v>36496498.858000003</v>
      </c>
      <c r="I771" s="17"/>
      <c r="J771" s="12">
        <v>417.07269373881877</v>
      </c>
      <c r="K771" s="17"/>
      <c r="L771" s="17"/>
      <c r="M771" s="12">
        <f>J771-O771</f>
        <v>-284.16066504472087</v>
      </c>
      <c r="N771" s="17"/>
      <c r="O771" s="12">
        <v>701.23335878353964</v>
      </c>
      <c r="P771" s="17"/>
      <c r="Q771" s="12">
        <f>S771-O771</f>
        <v>0</v>
      </c>
      <c r="R771" s="17"/>
      <c r="S771" s="12">
        <v>701.23335878353964</v>
      </c>
      <c r="T771" s="17"/>
      <c r="U771" s="17"/>
      <c r="V771" s="17"/>
      <c r="W771" s="92">
        <f>IFERROR(S771/O771,"-")</f>
        <v>1</v>
      </c>
      <c r="X771" s="17"/>
      <c r="Y771" s="31" t="str">
        <f>IFERROR(U771/K771-1,"-")</f>
        <v>-</v>
      </c>
    </row>
    <row r="772" spans="2:26" x14ac:dyDescent="0.3">
      <c r="B772" s="81">
        <f>MAX(B$761:B771)+1</f>
        <v>30</v>
      </c>
      <c r="D772" s="58" t="s">
        <v>261</v>
      </c>
      <c r="F772" s="39" t="s">
        <v>132</v>
      </c>
      <c r="H772" s="12">
        <v>10101454.704</v>
      </c>
      <c r="I772" s="17"/>
      <c r="J772" s="12">
        <v>166.55063480704283</v>
      </c>
      <c r="K772" s="17"/>
      <c r="L772" s="17"/>
      <c r="M772" s="12">
        <f>J772-O772</f>
        <v>-146.8876974503236</v>
      </c>
      <c r="N772" s="17"/>
      <c r="O772" s="12">
        <v>313.43833225736643</v>
      </c>
      <c r="P772" s="17"/>
      <c r="Q772" s="12">
        <f>S772-O772</f>
        <v>0</v>
      </c>
      <c r="R772" s="17"/>
      <c r="S772" s="12">
        <v>313.43833225736643</v>
      </c>
      <c r="T772" s="17"/>
      <c r="U772" s="17"/>
      <c r="V772" s="17"/>
      <c r="W772" s="92">
        <f>IFERROR(S772/O772,"-")</f>
        <v>1</v>
      </c>
      <c r="X772" s="17"/>
      <c r="Y772" s="31" t="str">
        <f>IFERROR(U772/K772-1,"-")</f>
        <v>-</v>
      </c>
      <c r="Z772" s="3"/>
    </row>
    <row r="773" spans="2:26" x14ac:dyDescent="0.3">
      <c r="B773" s="81">
        <f>MAX(B$761:B772)+1</f>
        <v>31</v>
      </c>
      <c r="D773" s="58" t="s">
        <v>262</v>
      </c>
      <c r="F773" s="39" t="s">
        <v>132</v>
      </c>
      <c r="H773" s="12">
        <v>0</v>
      </c>
      <c r="I773" s="17"/>
      <c r="J773" s="12">
        <v>0</v>
      </c>
      <c r="K773" s="17"/>
      <c r="L773" s="17"/>
      <c r="M773" s="12">
        <f>J773-O773</f>
        <v>0</v>
      </c>
      <c r="N773" s="17"/>
      <c r="O773" s="12">
        <v>0</v>
      </c>
      <c r="P773" s="17"/>
      <c r="Q773" s="12">
        <f>S773-O773</f>
        <v>0</v>
      </c>
      <c r="R773" s="17"/>
      <c r="S773" s="12">
        <v>0</v>
      </c>
      <c r="T773" s="17"/>
      <c r="U773" s="17"/>
      <c r="V773" s="17"/>
      <c r="W773" s="17"/>
      <c r="X773" s="17"/>
      <c r="Y773" s="31" t="str">
        <f>IFERROR(U773/K773-1,"-")</f>
        <v>-</v>
      </c>
    </row>
    <row r="774" spans="2:26" ht="12" customHeight="1" x14ac:dyDescent="0.3">
      <c r="D774" s="47"/>
      <c r="F774" s="4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3"/>
      <c r="T774" s="17"/>
      <c r="U774" s="17"/>
      <c r="V774" s="17"/>
      <c r="W774" s="17"/>
      <c r="X774" s="17"/>
      <c r="Y774" s="34"/>
    </row>
    <row r="775" spans="2:26" s="6" customFormat="1" x14ac:dyDescent="0.3">
      <c r="B775" s="21"/>
      <c r="C775" s="4"/>
      <c r="D775" s="52" t="s">
        <v>263</v>
      </c>
      <c r="E775" s="4"/>
      <c r="F775" s="39"/>
      <c r="G775" s="4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3"/>
      <c r="T775" s="17"/>
      <c r="U775" s="17"/>
      <c r="V775" s="17"/>
      <c r="W775" s="17"/>
      <c r="X775" s="17"/>
      <c r="Y775" s="34"/>
      <c r="Z775" s="80"/>
    </row>
    <row r="776" spans="2:26" x14ac:dyDescent="0.3">
      <c r="D776" s="57" t="s">
        <v>258</v>
      </c>
      <c r="F776" s="4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3"/>
      <c r="T776" s="17"/>
      <c r="U776" s="17"/>
      <c r="V776" s="17"/>
      <c r="W776" s="17"/>
      <c r="X776" s="17"/>
      <c r="Y776" s="34"/>
      <c r="Z776" s="81"/>
    </row>
    <row r="777" spans="2:26" x14ac:dyDescent="0.3">
      <c r="B777" s="81">
        <f>MAX(B$761:B776)+1</f>
        <v>32</v>
      </c>
      <c r="D777" s="58" t="s">
        <v>264</v>
      </c>
      <c r="F777" s="39" t="s">
        <v>132</v>
      </c>
      <c r="H777" s="12">
        <v>0</v>
      </c>
      <c r="I777" s="17"/>
      <c r="J777" s="12">
        <v>0</v>
      </c>
      <c r="K777" s="17"/>
      <c r="L777" s="17"/>
      <c r="M777" s="12">
        <f>J777-O777</f>
        <v>0</v>
      </c>
      <c r="N777" s="17"/>
      <c r="O777" s="12">
        <v>0</v>
      </c>
      <c r="P777" s="17"/>
      <c r="Q777" s="12">
        <f>S777-O777</f>
        <v>0</v>
      </c>
      <c r="R777" s="17"/>
      <c r="S777" s="12">
        <v>0</v>
      </c>
      <c r="T777" s="17"/>
      <c r="U777" s="17"/>
      <c r="V777" s="17"/>
      <c r="W777" s="92" t="str">
        <f>IFERROR(S777/O777,"-")</f>
        <v>-</v>
      </c>
      <c r="X777" s="17"/>
      <c r="Y777" s="31" t="str">
        <f>IFERROR(U777/K777-1,"-")</f>
        <v>-</v>
      </c>
      <c r="Z777" s="81"/>
    </row>
    <row r="778" spans="2:26" x14ac:dyDescent="0.3">
      <c r="B778" s="81">
        <f>MAX(B$761:B777)+1</f>
        <v>33</v>
      </c>
      <c r="D778" s="58" t="s">
        <v>243</v>
      </c>
      <c r="F778" s="39" t="s">
        <v>132</v>
      </c>
      <c r="H778" s="12">
        <v>0</v>
      </c>
      <c r="I778" s="17"/>
      <c r="J778" s="12">
        <v>0</v>
      </c>
      <c r="K778" s="17"/>
      <c r="L778" s="17"/>
      <c r="M778" s="12">
        <f>J778-O778</f>
        <v>0</v>
      </c>
      <c r="N778" s="17"/>
      <c r="O778" s="12">
        <v>0</v>
      </c>
      <c r="P778" s="17"/>
      <c r="Q778" s="12">
        <f>S778-O778</f>
        <v>0</v>
      </c>
      <c r="R778" s="17"/>
      <c r="S778" s="12">
        <v>0</v>
      </c>
      <c r="T778" s="17"/>
      <c r="U778" s="17"/>
      <c r="V778" s="17"/>
      <c r="W778" s="92" t="str">
        <f>IFERROR(S778/O778,"-")</f>
        <v>-</v>
      </c>
      <c r="X778" s="17"/>
      <c r="Y778" s="31" t="str">
        <f>IFERROR(U778/K778-1,"-")</f>
        <v>-</v>
      </c>
    </row>
    <row r="779" spans="2:26" x14ac:dyDescent="0.3"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3"/>
      <c r="T779" s="17"/>
      <c r="U779" s="17"/>
      <c r="V779" s="17"/>
      <c r="W779" s="17"/>
      <c r="X779" s="17"/>
      <c r="Y779" s="34"/>
    </row>
    <row r="780" spans="2:26" x14ac:dyDescent="0.3">
      <c r="B780" s="81">
        <f>MAX(B$761:B779)+1</f>
        <v>34</v>
      </c>
      <c r="D780" s="4" t="s">
        <v>265</v>
      </c>
      <c r="F780" s="39" t="s">
        <v>132</v>
      </c>
      <c r="H780" s="12">
        <v>45665000</v>
      </c>
      <c r="I780" s="17"/>
      <c r="J780" s="12">
        <v>12813.702302499878</v>
      </c>
      <c r="K780" s="17"/>
      <c r="L780" s="17"/>
      <c r="M780" s="12">
        <f>J780-O780</f>
        <v>12799.20402218303</v>
      </c>
      <c r="N780" s="17"/>
      <c r="O780" s="12">
        <v>14.498280316848078</v>
      </c>
      <c r="P780" s="17"/>
      <c r="Q780" s="12">
        <f>S780-O780</f>
        <v>12799.20402218303</v>
      </c>
      <c r="R780" s="17"/>
      <c r="S780" s="12">
        <v>12813.702302499878</v>
      </c>
      <c r="T780" s="17"/>
      <c r="U780" s="17"/>
      <c r="V780" s="17"/>
      <c r="W780" s="92">
        <f>IFERROR(S780/O780,"-")</f>
        <v>883.80842572131849</v>
      </c>
      <c r="X780" s="17"/>
      <c r="Y780" s="31" t="str">
        <f>IFERROR(U780/K780-1,"-")</f>
        <v>-</v>
      </c>
    </row>
    <row r="781" spans="2:26" x14ac:dyDescent="0.3">
      <c r="B781" s="81">
        <f>MAX(B$761:B780)+1</f>
        <v>35</v>
      </c>
      <c r="D781" s="4" t="s">
        <v>266</v>
      </c>
      <c r="H781" s="17"/>
      <c r="I781" s="17"/>
      <c r="J781" s="12">
        <v>1713.29</v>
      </c>
      <c r="K781" s="17"/>
      <c r="L781" s="17"/>
      <c r="M781" s="12">
        <f>J781-O781</f>
        <v>-325.30794006532028</v>
      </c>
      <c r="N781" s="17"/>
      <c r="O781" s="12">
        <v>2038.5979400653202</v>
      </c>
      <c r="P781" s="17"/>
      <c r="Q781" s="12">
        <f>S781-O781</f>
        <v>-23.039681904287363</v>
      </c>
      <c r="R781" s="17"/>
      <c r="S781" s="12">
        <v>2015.5582581610329</v>
      </c>
      <c r="T781" s="17"/>
      <c r="U781" s="17"/>
      <c r="V781" s="17"/>
      <c r="W781" s="92">
        <f>IFERROR(S781/O781,"-")</f>
        <v>0.98869827078136396</v>
      </c>
      <c r="X781" s="17"/>
      <c r="Y781" s="31" t="str">
        <f>IFERROR(U781/K781-1,"-")</f>
        <v>-</v>
      </c>
    </row>
    <row r="782" spans="2:26" x14ac:dyDescent="0.3"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34"/>
    </row>
    <row r="783" spans="2:26" ht="12.9" thickBot="1" x14ac:dyDescent="0.35">
      <c r="B783" s="81">
        <f>MAX(B$761:B782)+1</f>
        <v>36</v>
      </c>
      <c r="D783" s="4" t="str">
        <f>"Total " &amp;D759</f>
        <v>Total Rate C1</v>
      </c>
      <c r="H783" s="109">
        <f>SUM(H769:H781)</f>
        <v>92445515.493100002</v>
      </c>
      <c r="I783" s="110"/>
      <c r="J783" s="109">
        <f>SUM(J759:J781)</f>
        <v>17291.497638850597</v>
      </c>
      <c r="K783" s="59">
        <f>J783/$H783*100</f>
        <v>1.8704528333925736E-2</v>
      </c>
      <c r="L783" s="110"/>
      <c r="M783" s="109">
        <f>SUM(M759:M781)</f>
        <v>14151.737467559169</v>
      </c>
      <c r="N783" s="60"/>
      <c r="O783" s="109">
        <f>SUM(O759:O781)</f>
        <v>3139.7601712914266</v>
      </c>
      <c r="P783" s="60"/>
      <c r="Q783" s="109">
        <f>SUM(Q759:Q781)</f>
        <v>13460.399005988076</v>
      </c>
      <c r="R783" s="60"/>
      <c r="S783" s="109">
        <f>SUM(S759:S781)</f>
        <v>16600.159177279504</v>
      </c>
      <c r="T783" s="60"/>
      <c r="U783" s="59">
        <f>S783/$H783*100</f>
        <v>1.7956694912387088E-2</v>
      </c>
      <c r="V783" s="60"/>
      <c r="W783" s="94">
        <f>S783/O783</f>
        <v>5.2870787167325677</v>
      </c>
      <c r="X783" s="60"/>
      <c r="Y783" s="26">
        <f>U783/K783-1</f>
        <v>-3.9981410286740515E-2</v>
      </c>
    </row>
    <row r="784" spans="2:26" ht="12.9" thickTop="1" x14ac:dyDescent="0.3"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34"/>
    </row>
    <row r="785" spans="2:25" x14ac:dyDescent="0.3">
      <c r="D785" s="61" t="s">
        <v>267</v>
      </c>
      <c r="E785" s="62"/>
      <c r="F785" s="62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34"/>
    </row>
    <row r="786" spans="2:25" x14ac:dyDescent="0.3">
      <c r="B786" s="81">
        <f>MAX(B$761:B785)+1</f>
        <v>37</v>
      </c>
      <c r="D786" s="45" t="s">
        <v>268</v>
      </c>
      <c r="F786" s="11" t="s">
        <v>36</v>
      </c>
      <c r="H786" s="12">
        <v>24</v>
      </c>
      <c r="I786" s="17"/>
      <c r="J786" s="12">
        <f>K786*H786/1000</f>
        <v>25.140720000000002</v>
      </c>
      <c r="K786" s="87">
        <v>1047.53</v>
      </c>
      <c r="L786" s="17"/>
      <c r="M786" s="12">
        <f>J786-O786</f>
        <v>24.857717090655481</v>
      </c>
      <c r="N786" s="17"/>
      <c r="O786" s="111">
        <v>0.28300290934452227</v>
      </c>
      <c r="P786" s="17"/>
      <c r="Q786" s="12">
        <f>S786-O786</f>
        <v>9.0980096715562411</v>
      </c>
      <c r="R786" s="17"/>
      <c r="S786" s="12">
        <f>U786*H786/1000</f>
        <v>9.3810125809007641</v>
      </c>
      <c r="T786" s="17"/>
      <c r="U786" s="87">
        <v>390.87552420419848</v>
      </c>
      <c r="V786" s="17"/>
      <c r="W786" s="92">
        <f>IFERROR(S786/O786,"-")</f>
        <v>33.148113574622307</v>
      </c>
      <c r="X786" s="17"/>
      <c r="Y786" s="15">
        <f>IFERROR(U786/K786-1,"-")</f>
        <v>-0.6268598281632044</v>
      </c>
    </row>
    <row r="787" spans="2:25" x14ac:dyDescent="0.3">
      <c r="B787" s="81">
        <f>MAX(B$786:B786)+1</f>
        <v>38</v>
      </c>
      <c r="D787" s="45" t="s">
        <v>269</v>
      </c>
      <c r="F787" s="11" t="s">
        <v>36</v>
      </c>
      <c r="H787" s="12">
        <v>105</v>
      </c>
      <c r="I787" s="17"/>
      <c r="J787" s="12">
        <f>K787*H787/1000</f>
        <v>109.99064999999999</v>
      </c>
      <c r="K787" s="87">
        <v>1047.53</v>
      </c>
      <c r="L787" s="17"/>
      <c r="M787" s="12">
        <f>J787-O787</f>
        <v>108.7525122716177</v>
      </c>
      <c r="N787" s="17"/>
      <c r="O787" s="12">
        <v>1.238137728382285</v>
      </c>
      <c r="P787" s="17"/>
      <c r="Q787" s="12">
        <f>S787-O787</f>
        <v>99.800462134205915</v>
      </c>
      <c r="R787" s="17"/>
      <c r="S787" s="12">
        <f>U787*H787/1000</f>
        <v>101.0385998625882</v>
      </c>
      <c r="T787" s="17"/>
      <c r="U787" s="87">
        <v>962.27237964369715</v>
      </c>
      <c r="V787" s="17"/>
      <c r="W787" s="92">
        <f>IFERROR(S787/O787,"-")</f>
        <v>81.605299270382716</v>
      </c>
      <c r="X787" s="17"/>
      <c r="Y787" s="15">
        <f>IFERROR(U787/K787-1,"-")</f>
        <v>-8.1389192057795823E-2</v>
      </c>
    </row>
    <row r="788" spans="2:25" x14ac:dyDescent="0.3">
      <c r="B788" s="81">
        <f>MAX(B$786:B787)+1</f>
        <v>39</v>
      </c>
      <c r="D788" s="45" t="s">
        <v>270</v>
      </c>
      <c r="F788" s="11" t="s">
        <v>271</v>
      </c>
      <c r="H788" s="12">
        <v>7.75</v>
      </c>
      <c r="I788" s="17"/>
      <c r="J788" s="12">
        <f>K788*H788/1000</f>
        <v>0</v>
      </c>
      <c r="K788" s="12">
        <v>0</v>
      </c>
      <c r="L788" s="17"/>
      <c r="M788" s="12">
        <f>J788-O788</f>
        <v>0</v>
      </c>
      <c r="N788" s="17"/>
      <c r="O788" s="67">
        <v>0</v>
      </c>
      <c r="P788" s="17"/>
      <c r="Q788" s="12">
        <f>S788-O788</f>
        <v>99.974999999999994</v>
      </c>
      <c r="R788" s="17"/>
      <c r="S788" s="12">
        <f>U788*H788/1000</f>
        <v>99.974999999999994</v>
      </c>
      <c r="T788" s="17"/>
      <c r="U788" s="87">
        <v>12900</v>
      </c>
      <c r="V788" s="17"/>
      <c r="W788" s="92" t="str">
        <f>IFERROR(S788/O788,"-")</f>
        <v>-</v>
      </c>
      <c r="X788" s="17"/>
      <c r="Y788" s="15" t="str">
        <f>IFERROR(U788/K788-1,"-")</f>
        <v>-</v>
      </c>
    </row>
    <row r="789" spans="2:25" x14ac:dyDescent="0.3">
      <c r="B789" s="81">
        <f>MAX(B$786:B788)+1</f>
        <v>40</v>
      </c>
      <c r="D789" s="45" t="s">
        <v>272</v>
      </c>
      <c r="F789" s="21" t="s">
        <v>132</v>
      </c>
      <c r="H789" s="12">
        <v>4791112.166666666</v>
      </c>
      <c r="I789" s="17"/>
      <c r="J789" s="12">
        <f>K789*H789/1000</f>
        <v>186.85337449999997</v>
      </c>
      <c r="K789" s="53">
        <v>3.9E-2</v>
      </c>
      <c r="L789" s="17"/>
      <c r="M789" s="12">
        <f>J789-O789</f>
        <v>186.85337449999997</v>
      </c>
      <c r="N789" s="17"/>
      <c r="O789" s="67">
        <v>0</v>
      </c>
      <c r="P789" s="17"/>
      <c r="Q789" s="12">
        <f>S789-O789</f>
        <v>197.6512547055315</v>
      </c>
      <c r="R789" s="17"/>
      <c r="S789" s="12">
        <f>U789*H789/1000</f>
        <v>197.6512547055315</v>
      </c>
      <c r="T789" s="17"/>
      <c r="U789" s="53">
        <v>4.125373145731296E-2</v>
      </c>
      <c r="V789" s="17"/>
      <c r="W789" s="92" t="str">
        <f>IFERROR(S789/O789,"-")</f>
        <v>-</v>
      </c>
      <c r="X789" s="17"/>
      <c r="Y789" s="15">
        <f>IFERROR(U789/K789-1,"-")</f>
        <v>5.7787986084947729E-2</v>
      </c>
    </row>
    <row r="790" spans="2:25" x14ac:dyDescent="0.3">
      <c r="B790" s="81">
        <f>MAX(B$786:B789)+1</f>
        <v>41</v>
      </c>
      <c r="D790" s="45" t="s">
        <v>273</v>
      </c>
      <c r="F790" s="21" t="s">
        <v>132</v>
      </c>
      <c r="H790" s="12">
        <v>4791112.166666666</v>
      </c>
      <c r="I790" s="17"/>
      <c r="J790" s="12">
        <f>K790*H790/1000</f>
        <v>38.32889733333333</v>
      </c>
      <c r="K790" s="53">
        <v>8.0000000000000002E-3</v>
      </c>
      <c r="L790" s="17"/>
      <c r="M790" s="12">
        <f>J790-O790</f>
        <v>-38.071709562647342</v>
      </c>
      <c r="N790" s="17"/>
      <c r="O790" s="12">
        <v>76.400606895980673</v>
      </c>
      <c r="P790" s="17"/>
      <c r="Q790" s="12">
        <f>S790-O790</f>
        <v>-3.1943386602506507E-8</v>
      </c>
      <c r="R790" s="17"/>
      <c r="S790" s="12">
        <f>U790*H790/1000</f>
        <v>76.400606864037286</v>
      </c>
      <c r="T790" s="17"/>
      <c r="U790" s="53">
        <v>1.5946319811834357E-2</v>
      </c>
      <c r="V790" s="17"/>
      <c r="W790" s="92">
        <f>IFERROR(S790/O790,"-")</f>
        <v>0.99999999958189612</v>
      </c>
      <c r="X790" s="17"/>
      <c r="Y790" s="15">
        <f>IFERROR(U790/K790-1,"-")</f>
        <v>0.99328997647929462</v>
      </c>
    </row>
    <row r="791" spans="2:25" x14ac:dyDescent="0.3">
      <c r="B791" s="81">
        <f>MAX(B$786:B790)+1</f>
        <v>42</v>
      </c>
      <c r="D791" s="45" t="s">
        <v>274</v>
      </c>
      <c r="F791" s="21" t="s">
        <v>132</v>
      </c>
      <c r="H791" s="12">
        <v>0</v>
      </c>
      <c r="I791" s="17"/>
      <c r="J791" s="17"/>
      <c r="K791" s="53"/>
      <c r="L791" s="17"/>
      <c r="M791" s="17"/>
      <c r="N791" s="17"/>
      <c r="O791" s="67"/>
      <c r="P791" s="17"/>
      <c r="Q791" s="17"/>
      <c r="R791" s="17"/>
      <c r="S791" s="17"/>
      <c r="T791" s="17"/>
      <c r="U791" s="17"/>
      <c r="V791" s="17"/>
      <c r="W791" s="17"/>
      <c r="X791" s="17"/>
      <c r="Y791" s="24"/>
    </row>
    <row r="792" spans="2:25" x14ac:dyDescent="0.3">
      <c r="D792" s="10"/>
    </row>
    <row r="793" spans="2:25" ht="12.9" thickBot="1" x14ac:dyDescent="0.35">
      <c r="B793" s="81">
        <f>MAX(B$786:B792)+1</f>
        <v>43</v>
      </c>
      <c r="D793" s="63" t="str">
        <f>"Total " &amp;D785</f>
        <v>Total Rate M13</v>
      </c>
      <c r="E793" s="64"/>
      <c r="F793" s="64"/>
      <c r="H793" s="93">
        <f>SUM(H790)</f>
        <v>4791112.166666666</v>
      </c>
      <c r="I793" s="88"/>
      <c r="J793" s="93">
        <f>SUM(J786:J790)</f>
        <v>360.31364183333329</v>
      </c>
      <c r="K793" s="65">
        <f>J793/$H793*100</f>
        <v>7.52045932758897E-3</v>
      </c>
      <c r="L793" s="88"/>
      <c r="M793" s="93">
        <f>SUM(M786:M790)</f>
        <v>282.39189429962579</v>
      </c>
      <c r="N793" s="13"/>
      <c r="O793" s="93">
        <f>SUM(O786:O790)</f>
        <v>77.921747533707475</v>
      </c>
      <c r="P793" s="13"/>
      <c r="Q793" s="93">
        <f>SUM(Q786:Q790)</f>
        <v>406.52472647935031</v>
      </c>
      <c r="R793" s="13"/>
      <c r="S793" s="93">
        <f>SUM(S786:S790)</f>
        <v>484.4464740130577</v>
      </c>
      <c r="T793" s="13"/>
      <c r="U793" s="65">
        <f>S793/$H793*100</f>
        <v>1.0111357387612634E-2</v>
      </c>
      <c r="V793" s="13"/>
      <c r="W793" s="94">
        <f>S793/O793</f>
        <v>6.2170894435278843</v>
      </c>
      <c r="X793" s="13"/>
      <c r="Y793" s="26">
        <f>U793/K793-1</f>
        <v>0.34451327334740012</v>
      </c>
    </row>
    <row r="794" spans="2:25" ht="12.9" thickTop="1" x14ac:dyDescent="0.3">
      <c r="D794" s="10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24"/>
    </row>
    <row r="795" spans="2:25" x14ac:dyDescent="0.3">
      <c r="B795" s="81">
        <f>MAX(B$786:B794)+1</f>
        <v>44</v>
      </c>
      <c r="D795" s="45" t="s">
        <v>275</v>
      </c>
      <c r="E795" s="47"/>
      <c r="F795" s="11" t="s">
        <v>36</v>
      </c>
      <c r="H795" s="12">
        <v>768</v>
      </c>
      <c r="I795" s="17"/>
      <c r="J795" s="12">
        <v>63.72</v>
      </c>
      <c r="K795" s="87">
        <v>90</v>
      </c>
      <c r="L795" s="17"/>
      <c r="M795" s="12">
        <f>J795-O795</f>
        <v>63.72</v>
      </c>
      <c r="N795" s="17"/>
      <c r="O795" s="12">
        <v>0</v>
      </c>
      <c r="P795" s="17"/>
      <c r="Q795" s="12">
        <f>S795-O795</f>
        <v>300.19240258882445</v>
      </c>
      <c r="R795" s="17"/>
      <c r="S795" s="12">
        <f>U795*H795/1000</f>
        <v>300.19240258882445</v>
      </c>
      <c r="T795" s="17"/>
      <c r="U795" s="87">
        <v>390.87552420419848</v>
      </c>
      <c r="V795" s="17"/>
      <c r="W795" s="17"/>
      <c r="X795" s="17"/>
      <c r="Y795" s="24"/>
    </row>
    <row r="796" spans="2:25" x14ac:dyDescent="0.3"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24"/>
    </row>
    <row r="797" spans="2:25" x14ac:dyDescent="0.3">
      <c r="D797" s="3" t="s">
        <v>276</v>
      </c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24"/>
    </row>
    <row r="798" spans="2:25" x14ac:dyDescent="0.3">
      <c r="B798" s="81">
        <f>MAX(B$786:B797)+1</f>
        <v>45</v>
      </c>
      <c r="D798" s="45" t="s">
        <v>277</v>
      </c>
      <c r="F798" s="11" t="s">
        <v>36</v>
      </c>
      <c r="H798" s="12">
        <v>24</v>
      </c>
      <c r="I798" s="17"/>
      <c r="J798" s="66">
        <f>K798*H798/1000</f>
        <v>41.074800000000003</v>
      </c>
      <c r="K798" s="87">
        <v>1711.45</v>
      </c>
      <c r="L798" s="17"/>
      <c r="M798" s="108">
        <f>J798-O798</f>
        <v>41.071269413901341</v>
      </c>
      <c r="N798" s="17"/>
      <c r="O798" s="12">
        <v>3.5305860986596677E-3</v>
      </c>
      <c r="P798" s="17"/>
      <c r="Q798" s="12">
        <f>S798-O798</f>
        <v>40.061517346299894</v>
      </c>
      <c r="R798" s="17"/>
      <c r="S798" s="12">
        <f>U798*H798/1000</f>
        <v>40.065047932398556</v>
      </c>
      <c r="T798" s="17"/>
      <c r="U798" s="87">
        <v>1669.3769971832733</v>
      </c>
      <c r="V798" s="17"/>
      <c r="W798" s="17"/>
      <c r="X798" s="17"/>
      <c r="Y798" s="15">
        <f>IFERROR(U798/K798-1,"-")</f>
        <v>-2.4583249768749815E-2</v>
      </c>
    </row>
    <row r="799" spans="2:25" x14ac:dyDescent="0.3">
      <c r="B799" s="81">
        <f>MAX(B$798:B798)+1</f>
        <v>46</v>
      </c>
      <c r="D799" s="45" t="s">
        <v>272</v>
      </c>
      <c r="F799" s="21" t="s">
        <v>132</v>
      </c>
      <c r="H799" s="12">
        <v>5198226.8965517245</v>
      </c>
      <c r="I799" s="17"/>
      <c r="J799" s="66">
        <f>K799*H799/1000</f>
        <v>202.73084896551725</v>
      </c>
      <c r="K799" s="53">
        <v>3.9E-2</v>
      </c>
      <c r="L799" s="17"/>
      <c r="M799" s="108">
        <f>J799-O799</f>
        <v>202.73084896551725</v>
      </c>
      <c r="N799" s="17"/>
      <c r="O799" s="12">
        <v>0</v>
      </c>
      <c r="P799" s="17"/>
      <c r="Q799" s="12">
        <f>S799-O799</f>
        <v>214.4462564445262</v>
      </c>
      <c r="R799" s="17"/>
      <c r="S799" s="12">
        <f>U799*H799/1000</f>
        <v>214.4462564445262</v>
      </c>
      <c r="T799" s="17"/>
      <c r="U799" s="53">
        <v>4.125373145731296E-2</v>
      </c>
      <c r="V799" s="17"/>
      <c r="W799" s="17"/>
      <c r="X799" s="17"/>
      <c r="Y799" s="15">
        <f>IFERROR(U799/K799-1,"-")</f>
        <v>5.7787986084947729E-2</v>
      </c>
    </row>
    <row r="800" spans="2:25" x14ac:dyDescent="0.3">
      <c r="D800" s="45" t="s">
        <v>278</v>
      </c>
      <c r="H800" s="17"/>
      <c r="I800" s="17"/>
      <c r="J800" s="66"/>
      <c r="K800" s="105"/>
      <c r="L800" s="17"/>
      <c r="M800" s="108"/>
      <c r="N800" s="17"/>
      <c r="O800" s="17"/>
      <c r="P800" s="17"/>
      <c r="Q800" s="17"/>
      <c r="R800" s="17"/>
      <c r="S800" s="12"/>
      <c r="T800" s="17"/>
      <c r="U800" s="17"/>
      <c r="V800" s="17"/>
      <c r="W800" s="17"/>
      <c r="X800" s="17"/>
      <c r="Y800" s="24"/>
    </row>
    <row r="801" spans="2:26" x14ac:dyDescent="0.3">
      <c r="B801" s="81">
        <f>MAX(B$798:B800)+1</f>
        <v>47</v>
      </c>
      <c r="D801" s="52" t="s">
        <v>279</v>
      </c>
      <c r="F801" s="39" t="s">
        <v>130</v>
      </c>
      <c r="H801" s="12">
        <v>7333.333333333333</v>
      </c>
      <c r="I801" s="17"/>
      <c r="J801" s="66">
        <f>K801*H801*12/1000</f>
        <v>209.79199999999997</v>
      </c>
      <c r="K801" s="53">
        <v>2.3839999999999999</v>
      </c>
      <c r="L801" s="17"/>
      <c r="M801" s="108">
        <f>J801-O801</f>
        <v>206.33830153895218</v>
      </c>
      <c r="N801" s="17"/>
      <c r="O801" s="12">
        <v>3.4536984610478032</v>
      </c>
      <c r="P801" s="17"/>
      <c r="Q801" s="12">
        <f>S801-O801</f>
        <v>97.643739469719662</v>
      </c>
      <c r="R801" s="17"/>
      <c r="S801" s="12">
        <f>U801*H801*12/1000</f>
        <v>101.09743793076747</v>
      </c>
      <c r="T801" s="17"/>
      <c r="U801" s="53">
        <v>1.1488345219405394</v>
      </c>
      <c r="V801" s="17"/>
      <c r="W801" s="17"/>
      <c r="X801" s="17"/>
      <c r="Y801" s="15">
        <f>IFERROR(U801/K801-1,"-")</f>
        <v>-0.51810632468937112</v>
      </c>
    </row>
    <row r="802" spans="2:26" x14ac:dyDescent="0.3">
      <c r="B802" s="81">
        <f>MAX(B$798:B801)+1</f>
        <v>48</v>
      </c>
      <c r="D802" s="52" t="s">
        <v>280</v>
      </c>
      <c r="F802" s="21" t="s">
        <v>132</v>
      </c>
      <c r="H802" s="12">
        <v>655235.89655172406</v>
      </c>
      <c r="I802" s="17"/>
      <c r="J802" s="66">
        <v>5.2418871724137919</v>
      </c>
      <c r="K802" s="53">
        <v>8.0000000000000002E-3</v>
      </c>
      <c r="L802" s="17"/>
      <c r="M802" s="108">
        <f>J802-O802</f>
        <v>-5.228667842162686</v>
      </c>
      <c r="N802" s="17"/>
      <c r="O802" s="12">
        <v>10.470555014576478</v>
      </c>
      <c r="P802" s="17"/>
      <c r="Q802" s="12">
        <f>S802-O802</f>
        <v>-2.1953855968673608E-2</v>
      </c>
      <c r="R802" s="17"/>
      <c r="S802" s="12">
        <f>(H802 * U802) / 1000</f>
        <v>10.448601158607804</v>
      </c>
      <c r="T802" s="17"/>
      <c r="U802" s="53">
        <v>1.5946319811834357E-2</v>
      </c>
      <c r="V802" s="17"/>
      <c r="W802" s="17"/>
      <c r="X802" s="17"/>
      <c r="Y802" s="15">
        <f>IFERROR(U802/K802-1,"-")</f>
        <v>0.99328997647929462</v>
      </c>
      <c r="Z802" s="3"/>
    </row>
    <row r="803" spans="2:26" x14ac:dyDescent="0.3">
      <c r="B803" s="81">
        <f>MAX(B$798:B802)+1</f>
        <v>49</v>
      </c>
      <c r="D803" s="52" t="s">
        <v>281</v>
      </c>
      <c r="F803" s="21" t="s">
        <v>132</v>
      </c>
      <c r="H803" s="12">
        <v>642043</v>
      </c>
      <c r="I803" s="17"/>
      <c r="J803" s="66">
        <v>12.198816999999998</v>
      </c>
      <c r="K803" s="53">
        <v>1.9E-2</v>
      </c>
      <c r="L803" s="17"/>
      <c r="M803" s="108">
        <f>J803-O803</f>
        <v>-11.294117989364572</v>
      </c>
      <c r="N803" s="17"/>
      <c r="O803" s="12">
        <v>23.492934989364571</v>
      </c>
      <c r="P803" s="17"/>
      <c r="Q803" s="12">
        <f>S803-O803</f>
        <v>-4.9258182619727364E-2</v>
      </c>
      <c r="R803" s="17"/>
      <c r="S803" s="12">
        <f>(H803 * U803) / 1000</f>
        <v>23.443676806744843</v>
      </c>
      <c r="T803" s="17"/>
      <c r="U803" s="53">
        <v>3.6514184885973126E-2</v>
      </c>
      <c r="V803" s="17"/>
      <c r="W803" s="17"/>
      <c r="X803" s="17"/>
      <c r="Y803" s="15">
        <f>IFERROR(U803/K803-1,"-")</f>
        <v>0.92179920452490149</v>
      </c>
    </row>
    <row r="804" spans="2:26" x14ac:dyDescent="0.3">
      <c r="B804" s="81">
        <f>MAX(B$798:B803)+1</f>
        <v>50</v>
      </c>
      <c r="D804" s="52" t="s">
        <v>282</v>
      </c>
      <c r="F804" s="21" t="s">
        <v>132</v>
      </c>
      <c r="H804" s="12">
        <v>4542991</v>
      </c>
      <c r="I804" s="17"/>
      <c r="J804" s="106">
        <v>34.980929575291832</v>
      </c>
      <c r="K804" s="53"/>
      <c r="L804" s="17"/>
      <c r="M804" s="108">
        <f>J804-O804</f>
        <v>-37.615271955420305</v>
      </c>
      <c r="N804" s="17"/>
      <c r="O804" s="12">
        <v>72.596201530712136</v>
      </c>
      <c r="P804" s="17"/>
      <c r="Q804" s="12">
        <f>S804-O804</f>
        <v>-0.1522141424269563</v>
      </c>
      <c r="R804" s="17"/>
      <c r="S804" s="12">
        <f>(H804 * U804) / 1000</f>
        <v>72.44398738828518</v>
      </c>
      <c r="T804" s="17"/>
      <c r="U804" s="53">
        <v>1.5946319811834357E-2</v>
      </c>
      <c r="V804" s="17"/>
      <c r="W804" s="17"/>
      <c r="X804" s="17"/>
      <c r="Y804" s="15" t="str">
        <f t="shared" ref="Y804:Y805" si="212">IFERROR(U804/K804-1,"-")</f>
        <v>-</v>
      </c>
    </row>
    <row r="805" spans="2:26" s="6" customFormat="1" x14ac:dyDescent="0.3">
      <c r="B805" s="81">
        <f>MAX(B$798:B804)+1</f>
        <v>51</v>
      </c>
      <c r="C805" s="4"/>
      <c r="D805" s="52" t="s">
        <v>283</v>
      </c>
      <c r="E805" s="4"/>
      <c r="F805" s="21" t="s">
        <v>132</v>
      </c>
      <c r="G805" s="4"/>
      <c r="H805" s="12">
        <v>5048908.75</v>
      </c>
      <c r="I805" s="17"/>
      <c r="J805" s="106">
        <v>97.283336844050595</v>
      </c>
      <c r="K805" s="53"/>
      <c r="L805" s="17"/>
      <c r="M805" s="108">
        <f>J805-O805</f>
        <v>-87.460808066779251</v>
      </c>
      <c r="N805" s="17"/>
      <c r="O805" s="12">
        <v>184.74414491082985</v>
      </c>
      <c r="P805" s="17"/>
      <c r="Q805" s="12">
        <f>S805-O805</f>
        <v>-0.38735734092239227</v>
      </c>
      <c r="R805" s="17"/>
      <c r="S805" s="12">
        <f>(H805 * U805) / 1000</f>
        <v>184.35678756990745</v>
      </c>
      <c r="T805" s="17"/>
      <c r="U805" s="53">
        <v>3.6514184885973126E-2</v>
      </c>
      <c r="V805" s="17"/>
      <c r="W805" s="17"/>
      <c r="X805" s="17"/>
      <c r="Y805" s="15" t="str">
        <f t="shared" si="212"/>
        <v>-</v>
      </c>
      <c r="Z805" s="80"/>
    </row>
    <row r="806" spans="2:26" x14ac:dyDescent="0.3">
      <c r="D806" s="45" t="s">
        <v>284</v>
      </c>
      <c r="H806" s="17"/>
      <c r="I806" s="17"/>
      <c r="J806" s="66"/>
      <c r="K806" s="112"/>
      <c r="L806" s="17"/>
      <c r="M806" s="106"/>
      <c r="N806" s="17"/>
      <c r="O806" s="67"/>
      <c r="P806" s="17"/>
      <c r="Q806" s="17"/>
      <c r="R806" s="17"/>
      <c r="S806" s="106"/>
      <c r="T806" s="17"/>
      <c r="U806" s="17"/>
      <c r="V806" s="17"/>
      <c r="W806" s="17"/>
      <c r="X806" s="17"/>
      <c r="Y806" s="24"/>
      <c r="Z806" s="81"/>
    </row>
    <row r="807" spans="2:26" x14ac:dyDescent="0.3">
      <c r="B807" s="81">
        <f>MAX(B$798:B806)+1</f>
        <v>52</v>
      </c>
      <c r="D807" s="52" t="s">
        <v>279</v>
      </c>
      <c r="F807" s="39" t="s">
        <v>130</v>
      </c>
      <c r="H807" s="12">
        <v>0</v>
      </c>
      <c r="I807" s="17"/>
      <c r="J807" s="66">
        <f>K807*H807*12/1000</f>
        <v>0</v>
      </c>
      <c r="K807" s="53">
        <v>0.86499999999999999</v>
      </c>
      <c r="L807" s="17"/>
      <c r="M807" s="108">
        <f>J807-O807</f>
        <v>0</v>
      </c>
      <c r="N807" s="17"/>
      <c r="O807" s="12">
        <v>0</v>
      </c>
      <c r="P807" s="17"/>
      <c r="Q807" s="12">
        <f>S807-O807</f>
        <v>0</v>
      </c>
      <c r="R807" s="17"/>
      <c r="S807" s="106">
        <v>0</v>
      </c>
      <c r="T807" s="17"/>
      <c r="U807" s="53">
        <v>1.0156072621074188</v>
      </c>
      <c r="V807" s="17"/>
      <c r="W807" s="17"/>
      <c r="X807" s="17"/>
      <c r="Y807" s="15">
        <f>IFERROR(U807/K807-1,"-")</f>
        <v>0.1741124417426807</v>
      </c>
      <c r="Z807" s="81"/>
    </row>
    <row r="808" spans="2:26" x14ac:dyDescent="0.3">
      <c r="B808" s="81">
        <f>MAX(B$798:B807)+1</f>
        <v>53</v>
      </c>
      <c r="D808" s="52" t="s">
        <v>280</v>
      </c>
      <c r="F808" s="21" t="s">
        <v>132</v>
      </c>
      <c r="H808" s="12">
        <v>0</v>
      </c>
      <c r="I808" s="17"/>
      <c r="J808" s="66">
        <f>K808*H808/1000</f>
        <v>0</v>
      </c>
      <c r="K808" s="53">
        <v>8.0000000000000002E-3</v>
      </c>
      <c r="L808" s="17"/>
      <c r="M808" s="108">
        <f>J808-O808</f>
        <v>0</v>
      </c>
      <c r="N808" s="17"/>
      <c r="O808" s="12">
        <v>0</v>
      </c>
      <c r="P808" s="17"/>
      <c r="Q808" s="12">
        <f>S808-O808</f>
        <v>0</v>
      </c>
      <c r="R808" s="17"/>
      <c r="S808" s="106">
        <v>0</v>
      </c>
      <c r="T808" s="17"/>
      <c r="U808" s="53">
        <v>1.5946319811834357E-2</v>
      </c>
      <c r="V808" s="17"/>
      <c r="W808" s="17"/>
      <c r="X808" s="17"/>
      <c r="Y808" s="15">
        <f>IFERROR(U808/K808-1,"-")</f>
        <v>0.99328997647929462</v>
      </c>
    </row>
    <row r="809" spans="2:26" x14ac:dyDescent="0.3">
      <c r="B809" s="81">
        <f>MAX(B$798:B808)+1</f>
        <v>54</v>
      </c>
      <c r="D809" s="52" t="s">
        <v>281</v>
      </c>
      <c r="F809" s="21" t="s">
        <v>132</v>
      </c>
      <c r="H809" s="12">
        <v>0</v>
      </c>
      <c r="I809" s="17"/>
      <c r="J809" s="66">
        <f>K809*H809/1000</f>
        <v>0</v>
      </c>
      <c r="K809" s="53">
        <v>8.9999999999999993E-3</v>
      </c>
      <c r="L809" s="17"/>
      <c r="M809" s="108">
        <f>J809-O809</f>
        <v>0</v>
      </c>
      <c r="N809" s="17"/>
      <c r="O809" s="12">
        <v>0</v>
      </c>
      <c r="P809" s="17"/>
      <c r="Q809" s="12">
        <f>S809-O809</f>
        <v>0</v>
      </c>
      <c r="R809" s="17"/>
      <c r="S809" s="106">
        <v>0</v>
      </c>
      <c r="T809" s="17"/>
      <c r="U809" s="53">
        <v>1.5946319811834357E-2</v>
      </c>
      <c r="V809" s="17"/>
      <c r="W809" s="17"/>
      <c r="X809" s="17"/>
      <c r="Y809" s="15">
        <f>IFERROR(U809/K809-1,"-")</f>
        <v>0.77181331242603979</v>
      </c>
    </row>
    <row r="810" spans="2:26" x14ac:dyDescent="0.3">
      <c r="D810" s="50"/>
      <c r="H810" s="17"/>
      <c r="I810" s="17"/>
      <c r="J810" s="66"/>
      <c r="K810" s="112"/>
      <c r="L810" s="17"/>
      <c r="M810" s="108"/>
      <c r="N810" s="17"/>
      <c r="O810" s="67"/>
      <c r="P810" s="17"/>
      <c r="Q810" s="17"/>
      <c r="R810" s="17"/>
      <c r="S810" s="106"/>
      <c r="T810" s="17"/>
      <c r="U810" s="53"/>
      <c r="V810" s="17"/>
      <c r="W810" s="17"/>
      <c r="X810" s="17"/>
      <c r="Y810" s="24"/>
    </row>
    <row r="811" spans="2:26" ht="12.9" thickBot="1" x14ac:dyDescent="0.35">
      <c r="B811" s="81">
        <f>MAX(B$798:B810)+1</f>
        <v>55</v>
      </c>
      <c r="D811" s="4" t="str">
        <f>"Total " &amp;D797</f>
        <v>Total Rate M16</v>
      </c>
      <c r="H811" s="93">
        <f>SUM(H798:H810)</f>
        <v>16094762.876436781</v>
      </c>
      <c r="I811" s="88"/>
      <c r="J811" s="93">
        <f>SUM(J798:J810)</f>
        <v>603.30261955727349</v>
      </c>
      <c r="K811" s="65">
        <f>J811/$H811*100</f>
        <v>3.748440559136952E-3</v>
      </c>
      <c r="L811" s="88"/>
      <c r="M811" s="93">
        <f>SUM(M798:M810)</f>
        <v>308.54155406464395</v>
      </c>
      <c r="N811" s="13"/>
      <c r="O811" s="93">
        <f>SUM(O798:O810)</f>
        <v>294.76106549262948</v>
      </c>
      <c r="P811" s="13"/>
      <c r="Q811" s="93">
        <f>SUM(Q798:Q810)</f>
        <v>351.54072973860804</v>
      </c>
      <c r="R811" s="13"/>
      <c r="S811" s="93">
        <f>SUM(S798:S810)</f>
        <v>646.30179523123752</v>
      </c>
      <c r="T811" s="13"/>
      <c r="U811" s="65">
        <f>S811/$H811*100</f>
        <v>4.0156030889864358E-3</v>
      </c>
      <c r="V811" s="13"/>
      <c r="W811" s="94">
        <f>S811/O811</f>
        <v>2.1926294578664369</v>
      </c>
      <c r="X811" s="13"/>
      <c r="Y811" s="26">
        <f>U811/K811-1</f>
        <v>7.1272980225941085E-2</v>
      </c>
    </row>
    <row r="812" spans="2:26" ht="12.9" thickTop="1" x14ac:dyDescent="0.3">
      <c r="B812" s="81"/>
      <c r="D812" s="47"/>
      <c r="H812" s="12"/>
      <c r="I812" s="17"/>
      <c r="J812" s="66"/>
      <c r="K812" s="53"/>
      <c r="L812" s="17"/>
      <c r="M812" s="108"/>
      <c r="N812" s="17"/>
      <c r="O812" s="12"/>
      <c r="P812" s="17"/>
      <c r="Q812" s="12"/>
      <c r="R812" s="17"/>
      <c r="S812" s="106"/>
      <c r="T812" s="17"/>
      <c r="U812" s="17"/>
      <c r="V812" s="17"/>
      <c r="W812" s="17"/>
      <c r="X812" s="17"/>
      <c r="Y812" s="24"/>
    </row>
    <row r="813" spans="2:26" x14ac:dyDescent="0.3">
      <c r="B813" s="1" t="s">
        <v>0</v>
      </c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2:26" x14ac:dyDescent="0.3">
      <c r="B814" s="43" t="s">
        <v>249</v>
      </c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2:26" x14ac:dyDescent="0.3">
      <c r="B815" s="81"/>
      <c r="C815" s="81"/>
      <c r="D815" s="81"/>
      <c r="E815" s="81"/>
      <c r="F815" s="78"/>
      <c r="G815" s="81"/>
      <c r="H815" s="78"/>
      <c r="I815" s="81"/>
      <c r="J815" s="78"/>
      <c r="K815" s="78"/>
      <c r="L815" s="78"/>
      <c r="M815" s="78"/>
      <c r="N815" s="81"/>
      <c r="O815" s="81"/>
      <c r="P815" s="81"/>
      <c r="Q815" s="81"/>
      <c r="R815" s="81"/>
      <c r="S815" s="81"/>
      <c r="T815" s="81"/>
      <c r="U815" s="81"/>
      <c r="V815" s="81"/>
      <c r="W815" s="21"/>
      <c r="X815" s="81"/>
      <c r="Y815" s="21"/>
    </row>
    <row r="816" spans="2:26" ht="25.5" customHeight="1" x14ac:dyDescent="0.3">
      <c r="B816" s="78"/>
      <c r="C816" s="78"/>
      <c r="D816" s="78"/>
      <c r="E816" s="78"/>
      <c r="F816" s="81"/>
      <c r="G816" s="78"/>
      <c r="H816" s="81"/>
      <c r="I816" s="78"/>
      <c r="J816" s="79" t="s">
        <v>2</v>
      </c>
      <c r="K816" s="79"/>
      <c r="L816" s="78"/>
      <c r="M816" s="78"/>
      <c r="N816" s="78"/>
      <c r="O816" s="122" t="s">
        <v>3</v>
      </c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</row>
    <row r="817" spans="2:25" ht="37.299999999999997" x14ac:dyDescent="0.3">
      <c r="B817" s="80" t="s">
        <v>4</v>
      </c>
      <c r="C817" s="80"/>
      <c r="D817" s="80"/>
      <c r="E817" s="80"/>
      <c r="F817" s="81" t="s">
        <v>5</v>
      </c>
      <c r="G817" s="80"/>
      <c r="H817" s="6" t="s">
        <v>6</v>
      </c>
      <c r="I817" s="80"/>
      <c r="J817" s="6" t="s">
        <v>7</v>
      </c>
      <c r="K817" s="6" t="s">
        <v>218</v>
      </c>
      <c r="L817" s="80"/>
      <c r="M817" s="6" t="s">
        <v>9</v>
      </c>
      <c r="N817" s="80"/>
      <c r="O817" s="80" t="s">
        <v>219</v>
      </c>
      <c r="P817" s="80"/>
      <c r="Q817" s="6" t="s">
        <v>220</v>
      </c>
      <c r="R817" s="80"/>
      <c r="S817" s="6" t="s">
        <v>7</v>
      </c>
      <c r="T817" s="80"/>
      <c r="U817" s="6" t="s">
        <v>12</v>
      </c>
      <c r="V817" s="80"/>
      <c r="W817" s="80" t="s">
        <v>13</v>
      </c>
      <c r="X817" s="80"/>
      <c r="Y817" s="80" t="s">
        <v>14</v>
      </c>
    </row>
    <row r="818" spans="2:25" x14ac:dyDescent="0.3">
      <c r="B818" s="82" t="s">
        <v>15</v>
      </c>
      <c r="C818" s="83"/>
      <c r="D818" s="84" t="s">
        <v>16</v>
      </c>
      <c r="E818" s="81"/>
      <c r="F818" s="82" t="s">
        <v>17</v>
      </c>
      <c r="G818" s="81"/>
      <c r="H818" s="82" t="s">
        <v>18</v>
      </c>
      <c r="I818" s="81"/>
      <c r="J818" s="82" t="s">
        <v>19</v>
      </c>
      <c r="K818" s="82" t="s">
        <v>221</v>
      </c>
      <c r="L818" s="81"/>
      <c r="M818" s="82" t="s">
        <v>19</v>
      </c>
      <c r="N818" s="81"/>
      <c r="O818" s="82" t="s">
        <v>19</v>
      </c>
      <c r="P818" s="81"/>
      <c r="Q818" s="82" t="s">
        <v>19</v>
      </c>
      <c r="R818" s="81"/>
      <c r="S818" s="82" t="s">
        <v>19</v>
      </c>
      <c r="T818" s="81"/>
      <c r="U818" s="82" t="s">
        <v>221</v>
      </c>
      <c r="V818" s="81"/>
      <c r="W818" s="82" t="s">
        <v>21</v>
      </c>
      <c r="X818" s="81"/>
      <c r="Y818" s="82" t="s">
        <v>22</v>
      </c>
    </row>
    <row r="819" spans="2:25" x14ac:dyDescent="0.3">
      <c r="B819" s="81"/>
      <c r="C819" s="83"/>
      <c r="D819" s="83"/>
      <c r="E819" s="81"/>
      <c r="F819" s="81"/>
      <c r="G819" s="81"/>
      <c r="H819" s="81" t="s">
        <v>23</v>
      </c>
      <c r="I819" s="81"/>
      <c r="J819" s="81" t="s">
        <v>24</v>
      </c>
      <c r="K819" s="81" t="s">
        <v>25</v>
      </c>
      <c r="L819" s="81"/>
      <c r="M819" s="81" t="s">
        <v>26</v>
      </c>
      <c r="N819" s="81"/>
      <c r="O819" s="81" t="s">
        <v>27</v>
      </c>
      <c r="P819" s="81"/>
      <c r="Q819" s="81" t="s">
        <v>28</v>
      </c>
      <c r="R819" s="81"/>
      <c r="S819" s="85" t="s">
        <v>29</v>
      </c>
      <c r="T819" s="81"/>
      <c r="U819" s="85" t="s">
        <v>30</v>
      </c>
      <c r="V819" s="81"/>
      <c r="W819" s="85" t="s">
        <v>31</v>
      </c>
      <c r="X819" s="81"/>
      <c r="Y819" s="85" t="s">
        <v>32</v>
      </c>
    </row>
    <row r="820" spans="2:25" x14ac:dyDescent="0.3"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 spans="2:25" x14ac:dyDescent="0.3">
      <c r="D821" s="3" t="s">
        <v>285</v>
      </c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 spans="2:25" ht="12" customHeight="1" x14ac:dyDescent="0.3">
      <c r="B822" s="81">
        <f>MAX(B$798:B821)+1</f>
        <v>56</v>
      </c>
      <c r="D822" s="45" t="s">
        <v>277</v>
      </c>
      <c r="F822" s="39" t="s">
        <v>36</v>
      </c>
      <c r="H822" s="12">
        <v>12</v>
      </c>
      <c r="I822" s="17"/>
      <c r="J822" s="66">
        <f>K822*H822/1000</f>
        <v>26.315159999999995</v>
      </c>
      <c r="K822" s="113">
        <v>2192.9299999999998</v>
      </c>
      <c r="L822" s="17"/>
      <c r="M822" s="106">
        <f>J822-O822</f>
        <v>26.315159999999995</v>
      </c>
      <c r="N822" s="17"/>
      <c r="O822" s="12">
        <v>0</v>
      </c>
      <c r="P822" s="17"/>
      <c r="Q822" s="12">
        <f>S822-O822</f>
        <v>25.345637999999994</v>
      </c>
      <c r="R822" s="17"/>
      <c r="S822" s="12">
        <f>U822*H822/1000</f>
        <v>25.345637999999994</v>
      </c>
      <c r="T822" s="17"/>
      <c r="U822" s="87">
        <v>2112.1364999999996</v>
      </c>
      <c r="V822" s="17"/>
      <c r="W822" s="17"/>
      <c r="X822" s="17"/>
      <c r="Y822" s="107">
        <f>IFERROR((U822-K822)/K822,"")</f>
        <v>-3.6842717277797386E-2</v>
      </c>
    </row>
    <row r="823" spans="2:25" ht="12" customHeight="1" x14ac:dyDescent="0.3">
      <c r="B823" s="81"/>
      <c r="D823" s="45" t="s">
        <v>251</v>
      </c>
      <c r="F823" s="47"/>
      <c r="H823" s="12"/>
      <c r="I823" s="17"/>
      <c r="J823" s="102"/>
      <c r="K823" s="102"/>
      <c r="L823" s="17"/>
      <c r="M823" s="102"/>
      <c r="N823" s="17"/>
      <c r="O823" s="17"/>
      <c r="P823" s="17"/>
      <c r="Q823" s="17"/>
      <c r="R823" s="17"/>
      <c r="S823" s="12"/>
      <c r="T823" s="17"/>
      <c r="U823" s="17"/>
      <c r="V823" s="17"/>
      <c r="W823" s="17"/>
      <c r="X823" s="17"/>
      <c r="Y823" s="114"/>
    </row>
    <row r="824" spans="2:25" ht="12" customHeight="1" x14ac:dyDescent="0.3">
      <c r="B824" s="81">
        <f>MAX(B$798:B823)+1</f>
        <v>57</v>
      </c>
      <c r="D824" s="46" t="s">
        <v>286</v>
      </c>
      <c r="F824" s="39" t="s">
        <v>189</v>
      </c>
      <c r="H824" s="12">
        <v>8863</v>
      </c>
      <c r="I824" s="17"/>
      <c r="J824" s="108">
        <f>H824*K824*12/1000</f>
        <v>517.10287200000005</v>
      </c>
      <c r="K824" s="105">
        <v>4.8620000000000001</v>
      </c>
      <c r="L824" s="17"/>
      <c r="M824" s="108">
        <f>J824-O824</f>
        <v>-11.834352329137573</v>
      </c>
      <c r="N824" s="17"/>
      <c r="O824" s="12">
        <v>528.93722432913762</v>
      </c>
      <c r="P824" s="17"/>
      <c r="Q824" s="12">
        <f>S824-O824</f>
        <v>0</v>
      </c>
      <c r="R824" s="17"/>
      <c r="S824" s="12">
        <f>U824*H824*12/1000</f>
        <v>528.93722432913762</v>
      </c>
      <c r="T824" s="17"/>
      <c r="U824" s="53">
        <v>4.9732711302525257</v>
      </c>
      <c r="V824" s="17"/>
      <c r="W824" s="17"/>
      <c r="X824" s="17"/>
      <c r="Y824" s="107">
        <f>IFERROR((U824-K824)/K824,"")</f>
        <v>2.2885876234579505E-2</v>
      </c>
    </row>
    <row r="825" spans="2:25" ht="12" customHeight="1" x14ac:dyDescent="0.3">
      <c r="B825" s="81">
        <f>MAX(B$798:B824)+1</f>
        <v>58</v>
      </c>
      <c r="D825" s="46" t="s">
        <v>287</v>
      </c>
      <c r="F825" s="39" t="s">
        <v>189</v>
      </c>
      <c r="H825" s="12">
        <v>0</v>
      </c>
      <c r="I825" s="17"/>
      <c r="J825" s="108">
        <v>0</v>
      </c>
      <c r="K825" s="105">
        <v>2.9820000000000002</v>
      </c>
      <c r="L825" s="17"/>
      <c r="M825" s="108">
        <f>J825-O825</f>
        <v>0</v>
      </c>
      <c r="N825" s="17"/>
      <c r="O825" s="12">
        <v>0</v>
      </c>
      <c r="P825" s="17"/>
      <c r="Q825" s="12">
        <f>S825-O825</f>
        <v>0</v>
      </c>
      <c r="R825" s="17"/>
      <c r="S825" s="12">
        <f>U825*H825/1000</f>
        <v>0</v>
      </c>
      <c r="T825" s="17"/>
      <c r="U825" s="53">
        <v>3.8532952667772644</v>
      </c>
      <c r="V825" s="17"/>
      <c r="W825" s="17"/>
      <c r="X825" s="17"/>
      <c r="Y825" s="107">
        <f>IFERROR((U825-K825)/K825,"")</f>
        <v>0.29218486478110806</v>
      </c>
    </row>
    <row r="826" spans="2:25" ht="12" customHeight="1" x14ac:dyDescent="0.3">
      <c r="B826" s="81">
        <f>MAX(B$798:B825)+1</f>
        <v>59</v>
      </c>
      <c r="D826" s="46" t="s">
        <v>288</v>
      </c>
      <c r="F826" s="39" t="s">
        <v>189</v>
      </c>
      <c r="H826" s="12">
        <v>0</v>
      </c>
      <c r="I826" s="17"/>
      <c r="J826" s="108">
        <v>0</v>
      </c>
      <c r="K826" s="105">
        <v>2.9820000000000002</v>
      </c>
      <c r="L826" s="17"/>
      <c r="M826" s="108">
        <f>J826-O826</f>
        <v>0</v>
      </c>
      <c r="N826" s="17"/>
      <c r="O826" s="12">
        <v>0</v>
      </c>
      <c r="P826" s="17"/>
      <c r="Q826" s="12">
        <f>S826-O826</f>
        <v>0</v>
      </c>
      <c r="R826" s="17"/>
      <c r="S826" s="12">
        <f>U826*H826/1000</f>
        <v>0</v>
      </c>
      <c r="T826" s="17"/>
      <c r="U826" s="53">
        <v>3.8532952667772644</v>
      </c>
      <c r="V826" s="17"/>
      <c r="W826" s="17"/>
      <c r="X826" s="17"/>
      <c r="Y826" s="107">
        <f>IFERROR((U826-K826)/K826,"")</f>
        <v>0.29218486478110806</v>
      </c>
    </row>
    <row r="827" spans="2:25" ht="12" customHeight="1" x14ac:dyDescent="0.3">
      <c r="B827" s="81"/>
      <c r="D827" s="45" t="s">
        <v>256</v>
      </c>
      <c r="F827" s="47"/>
      <c r="H827" s="12"/>
      <c r="I827" s="17"/>
      <c r="J827" s="102"/>
      <c r="K827" s="17"/>
      <c r="L827" s="17"/>
      <c r="M827" s="102"/>
      <c r="N827" s="17"/>
      <c r="O827" s="12"/>
      <c r="P827" s="17"/>
      <c r="Q827" s="17"/>
      <c r="R827" s="17"/>
      <c r="S827" s="12"/>
      <c r="T827" s="17"/>
      <c r="U827" s="17"/>
      <c r="V827" s="17"/>
      <c r="W827" s="17"/>
      <c r="X827" s="17"/>
      <c r="Y827" s="24"/>
    </row>
    <row r="828" spans="2:25" ht="12" customHeight="1" x14ac:dyDescent="0.3">
      <c r="B828" s="81">
        <f>MAX(B$798:B827)+1</f>
        <v>60</v>
      </c>
      <c r="D828" s="57" t="s">
        <v>289</v>
      </c>
      <c r="E828" s="47"/>
      <c r="F828" s="39" t="s">
        <v>132</v>
      </c>
      <c r="H828" s="12">
        <v>1303506.0105505299</v>
      </c>
      <c r="I828" s="17"/>
      <c r="J828" s="108">
        <v>30.009116698507842</v>
      </c>
      <c r="K828" s="17"/>
      <c r="L828" s="17"/>
      <c r="M828" s="108">
        <f>J828-O828</f>
        <v>-8.3922869167096472</v>
      </c>
      <c r="N828" s="17"/>
      <c r="O828" s="12">
        <v>38.40140361521749</v>
      </c>
      <c r="P828" s="17"/>
      <c r="Q828" s="12">
        <f>S828-O828</f>
        <v>-0.53078408826032586</v>
      </c>
      <c r="R828" s="17"/>
      <c r="S828" s="12">
        <v>37.870619526957164</v>
      </c>
      <c r="T828" s="17"/>
      <c r="U828" s="12">
        <v>0</v>
      </c>
      <c r="V828" s="17"/>
      <c r="W828" s="17"/>
      <c r="X828" s="17"/>
      <c r="Y828" s="24"/>
    </row>
    <row r="829" spans="2:25" x14ac:dyDescent="0.3">
      <c r="B829" s="81"/>
      <c r="D829" s="47"/>
      <c r="H829" s="12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2"/>
      <c r="T829" s="17"/>
      <c r="U829" s="12"/>
      <c r="V829" s="17"/>
      <c r="W829" s="17"/>
      <c r="X829" s="17"/>
      <c r="Y829" s="24"/>
    </row>
    <row r="830" spans="2:25" ht="12.9" thickBot="1" x14ac:dyDescent="0.35">
      <c r="B830" s="81">
        <f>MAX(B$798:B829)+1</f>
        <v>61</v>
      </c>
      <c r="D830" s="47" t="s">
        <v>290</v>
      </c>
      <c r="H830" s="93">
        <f>H828</f>
        <v>1303506.0105505299</v>
      </c>
      <c r="I830" s="86"/>
      <c r="J830" s="93">
        <f>SUM(J822:J828)</f>
        <v>573.42714869850784</v>
      </c>
      <c r="K830" s="25">
        <f>J830/$H830*100</f>
        <v>4.3991139592545754E-2</v>
      </c>
      <c r="L830" s="88"/>
      <c r="M830" s="93">
        <f>SUM(M822:M828)</f>
        <v>6.0885207541527748</v>
      </c>
      <c r="N830" s="13"/>
      <c r="O830" s="93">
        <f>SUM(O822:O828)</f>
        <v>567.33862794435515</v>
      </c>
      <c r="P830" s="13"/>
      <c r="Q830" s="93">
        <f>SUM(Q822:Q828)</f>
        <v>24.814853911739668</v>
      </c>
      <c r="R830" s="13"/>
      <c r="S830" s="93">
        <f>SUM(S822:S828)</f>
        <v>592.1534818560948</v>
      </c>
      <c r="T830" s="13"/>
      <c r="U830" s="25">
        <f>S830/$H830*100</f>
        <v>4.5427752312856728E-2</v>
      </c>
      <c r="V830" s="13"/>
      <c r="W830" s="94">
        <f>S830/O830</f>
        <v>1.0437390522863772</v>
      </c>
      <c r="X830" s="13"/>
      <c r="Y830" s="26">
        <f>(S830-J830)/J830</f>
        <v>3.2656865305539892E-2</v>
      </c>
    </row>
    <row r="831" spans="2:25" ht="12.9" thickTop="1" x14ac:dyDescent="0.3">
      <c r="B831" s="81"/>
      <c r="D831" s="4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 spans="2:25" x14ac:dyDescent="0.3">
      <c r="B832" s="81">
        <f>MAX(B$798:B831)+1</f>
        <v>62</v>
      </c>
      <c r="D832" s="68" t="s">
        <v>291</v>
      </c>
      <c r="H832" s="17"/>
      <c r="I832" s="17"/>
      <c r="J832" s="69">
        <v>1208.6017580038929</v>
      </c>
      <c r="K832" s="106">
        <v>0</v>
      </c>
      <c r="L832" s="17"/>
      <c r="M832" s="69">
        <v>1208.6017580038929</v>
      </c>
      <c r="N832" s="17"/>
      <c r="O832" s="106">
        <v>0</v>
      </c>
      <c r="P832" s="17"/>
      <c r="Q832" s="106">
        <v>896.45224575377028</v>
      </c>
      <c r="R832" s="17"/>
      <c r="S832" s="106">
        <v>896.45224575377028</v>
      </c>
      <c r="T832" s="17"/>
      <c r="U832" s="17"/>
      <c r="V832" s="17"/>
      <c r="W832" s="17"/>
      <c r="X832" s="17"/>
      <c r="Y832" s="17"/>
    </row>
    <row r="833" spans="2:25" x14ac:dyDescent="0.3">
      <c r="B833" s="81"/>
      <c r="D833" s="70" t="s">
        <v>292</v>
      </c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 spans="2:25" ht="12.9" thickBot="1" x14ac:dyDescent="0.35">
      <c r="B834" s="81">
        <f>MAX(B$798:B833)+1</f>
        <v>63</v>
      </c>
      <c r="D834" s="47" t="s">
        <v>293</v>
      </c>
      <c r="H834" s="17"/>
      <c r="I834" s="17"/>
      <c r="J834" s="93">
        <f>J832 + J719 + J713 + J830 + J811 + J722 + J795 + J793 + J783 + J749</f>
        <v>164814.09614026695</v>
      </c>
      <c r="K834" s="102"/>
      <c r="L834" s="102"/>
      <c r="M834" s="93">
        <f>M832 + M719 + M713 + M830 + M811 + M722 + M795 + M793 + M783 + M749</f>
        <v>29191.537661943075</v>
      </c>
      <c r="N834" s="103"/>
      <c r="O834" s="93">
        <f>O832 + O719 + O713 + O830 + O811 + O722 + O795 + O793 + O783 + O749</f>
        <v>135622.5584783238</v>
      </c>
      <c r="P834" s="103"/>
      <c r="Q834" s="93">
        <f>Q832 + Q719 + Q713 + Q830 + Q811 + Q722 + Q795 + Q793 + Q783 + Q749</f>
        <v>19200.527302764796</v>
      </c>
      <c r="R834" s="103"/>
      <c r="S834" s="115">
        <f>S832 + S719 + S713 + S830 + S811 + S722 + S795 + S793 + S783 + S749</f>
        <v>154823.08578108859</v>
      </c>
      <c r="T834" s="103"/>
      <c r="U834" s="17"/>
      <c r="V834" s="103"/>
      <c r="W834" s="17"/>
      <c r="X834" s="103"/>
      <c r="Y834" s="17"/>
    </row>
    <row r="835" spans="2:25" ht="12.9" thickTop="1" x14ac:dyDescent="0.3">
      <c r="B835" s="81"/>
    </row>
    <row r="836" spans="2:25" ht="12.9" thickBot="1" x14ac:dyDescent="0.35">
      <c r="B836" s="81">
        <f>MAX(B$798:B835)+1</f>
        <v>64</v>
      </c>
      <c r="D836" s="70" t="s">
        <v>294</v>
      </c>
      <c r="H836" s="71"/>
      <c r="J836" s="93">
        <f>J834+J692</f>
        <v>5261851.6803677632</v>
      </c>
      <c r="K836" s="102"/>
      <c r="L836" s="116"/>
      <c r="M836" s="93">
        <f>M834+M692</f>
        <v>22281.441645812185</v>
      </c>
      <c r="N836" s="103"/>
      <c r="O836" s="93">
        <f>O834+O692</f>
        <v>5244257.0505769774</v>
      </c>
      <c r="P836" s="103"/>
      <c r="Q836" s="93">
        <f>ROUND(Q834+Q692, 0)</f>
        <v>0</v>
      </c>
      <c r="R836" s="103"/>
      <c r="S836" s="93">
        <f>S834+S692</f>
        <v>5244257.199682205</v>
      </c>
      <c r="T836" s="103"/>
      <c r="V836" s="103"/>
      <c r="X836" s="103"/>
    </row>
    <row r="837" spans="2:25" ht="12.9" thickTop="1" x14ac:dyDescent="0.3">
      <c r="B837" s="81"/>
    </row>
    <row r="838" spans="2:25" x14ac:dyDescent="0.3">
      <c r="B838" s="3" t="s">
        <v>208</v>
      </c>
    </row>
    <row r="839" spans="2:25" x14ac:dyDescent="0.3">
      <c r="B839" s="104" t="s">
        <v>209</v>
      </c>
      <c r="C839" s="41"/>
      <c r="D839" s="42" t="s">
        <v>210</v>
      </c>
    </row>
    <row r="840" spans="2:25" x14ac:dyDescent="0.3">
      <c r="B840" s="104" t="s">
        <v>211</v>
      </c>
      <c r="D840" s="41" t="s">
        <v>295</v>
      </c>
    </row>
    <row r="841" spans="2:25" x14ac:dyDescent="0.3">
      <c r="B841" s="104" t="s">
        <v>213</v>
      </c>
      <c r="D841" s="41" t="s">
        <v>296</v>
      </c>
    </row>
    <row r="842" spans="2:25" x14ac:dyDescent="0.3">
      <c r="B842" s="104"/>
      <c r="D842" s="41"/>
    </row>
    <row r="843" spans="2:25" x14ac:dyDescent="0.3">
      <c r="B843" s="104"/>
      <c r="D843" s="41"/>
    </row>
    <row r="845" spans="2:25" x14ac:dyDescent="0.3">
      <c r="Y845" s="40"/>
    </row>
    <row r="847" spans="2:25" x14ac:dyDescent="0.3">
      <c r="J847" s="6"/>
      <c r="K847" s="6"/>
      <c r="L847" s="80"/>
      <c r="M847" s="6"/>
      <c r="N847" s="80"/>
      <c r="O847" s="80"/>
      <c r="P847" s="80"/>
      <c r="Q847" s="6"/>
      <c r="R847" s="80"/>
      <c r="S847" s="6"/>
      <c r="T847" s="80"/>
      <c r="V847" s="80"/>
      <c r="X847" s="80"/>
    </row>
    <row r="848" spans="2:25" x14ac:dyDescent="0.3"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V848" s="81"/>
      <c r="X848" s="81"/>
    </row>
    <row r="851" spans="8:24" ht="14.15" x14ac:dyDescent="0.35">
      <c r="H851" s="117"/>
      <c r="I851" s="118"/>
      <c r="J851" s="119"/>
      <c r="K851" s="11"/>
      <c r="L851" s="11"/>
      <c r="M851" s="119"/>
      <c r="N851" s="119"/>
      <c r="O851" s="119"/>
      <c r="P851" s="119"/>
      <c r="Q851" s="119"/>
      <c r="R851" s="119"/>
      <c r="S851" s="119"/>
      <c r="T851" s="119"/>
      <c r="V851" s="119"/>
      <c r="X851" s="119"/>
    </row>
    <row r="852" spans="8:24" ht="14.15" x14ac:dyDescent="0.35">
      <c r="H852" s="118"/>
      <c r="I852" s="118"/>
      <c r="J852" s="119"/>
      <c r="K852" s="11"/>
      <c r="L852" s="11"/>
      <c r="M852" s="119"/>
      <c r="N852" s="119"/>
      <c r="O852" s="119"/>
      <c r="P852" s="119"/>
      <c r="Q852" s="119"/>
      <c r="R852" s="119"/>
      <c r="S852" s="119"/>
      <c r="T852" s="119"/>
      <c r="V852" s="119"/>
      <c r="X852" s="119"/>
    </row>
    <row r="853" spans="8:24" ht="14.15" x14ac:dyDescent="0.35">
      <c r="H853" s="118"/>
      <c r="I853" s="118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V853" s="11"/>
      <c r="X853" s="11"/>
    </row>
    <row r="854" spans="8:24" ht="14.15" x14ac:dyDescent="0.35">
      <c r="H854" s="118"/>
      <c r="I854" s="118"/>
      <c r="J854" s="91"/>
      <c r="K854" s="91"/>
      <c r="L854" s="91"/>
      <c r="M854" s="120"/>
      <c r="N854" s="91"/>
      <c r="O854" s="91"/>
      <c r="P854" s="91"/>
      <c r="Q854" s="121"/>
      <c r="R854" s="91"/>
      <c r="S854" s="121"/>
      <c r="T854" s="91"/>
      <c r="V854" s="91"/>
      <c r="X854" s="91"/>
    </row>
    <row r="856" spans="8:24" x14ac:dyDescent="0.3">
      <c r="U856" s="40"/>
      <c r="W856" s="40"/>
    </row>
    <row r="858" spans="8:24" x14ac:dyDescent="0.3"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V858" s="72"/>
      <c r="X858" s="72"/>
    </row>
    <row r="859" spans="8:24" x14ac:dyDescent="0.3"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V859" s="72"/>
      <c r="X859" s="72"/>
    </row>
    <row r="860" spans="8:24" x14ac:dyDescent="0.3">
      <c r="J860" s="40"/>
      <c r="K860" s="40"/>
      <c r="L860" s="40"/>
      <c r="M860" s="73"/>
      <c r="N860" s="73"/>
      <c r="O860" s="73"/>
      <c r="P860" s="73"/>
      <c r="Q860" s="73"/>
      <c r="R860" s="73"/>
      <c r="S860" s="74"/>
      <c r="T860" s="73"/>
      <c r="V860" s="73"/>
      <c r="X860" s="73"/>
    </row>
    <row r="863" spans="8:24" x14ac:dyDescent="0.3">
      <c r="Q863" s="75"/>
    </row>
  </sheetData>
  <mergeCells count="31">
    <mergeCell ref="B450:Y450"/>
    <mergeCell ref="B511:Y511"/>
    <mergeCell ref="B512:Y512"/>
    <mergeCell ref="O5:Y5"/>
    <mergeCell ref="B326:Y326"/>
    <mergeCell ref="B173:Y173"/>
    <mergeCell ref="B247:Y247"/>
    <mergeCell ref="B286:Y286"/>
    <mergeCell ref="B287:Y287"/>
    <mergeCell ref="B325:Y325"/>
    <mergeCell ref="O60:Y60"/>
    <mergeCell ref="O127:Y127"/>
    <mergeCell ref="O175:Y175"/>
    <mergeCell ref="O249:Y249"/>
    <mergeCell ref="O289:Y289"/>
    <mergeCell ref="O628:Y628"/>
    <mergeCell ref="O703:Y703"/>
    <mergeCell ref="O754:Y754"/>
    <mergeCell ref="O816:Y816"/>
    <mergeCell ref="O328:Y328"/>
    <mergeCell ref="O393:Y393"/>
    <mergeCell ref="O452:Y452"/>
    <mergeCell ref="O514:Y514"/>
    <mergeCell ref="O571:Y571"/>
    <mergeCell ref="B568:Y568"/>
    <mergeCell ref="B569:Y569"/>
    <mergeCell ref="B625:Y625"/>
    <mergeCell ref="B626:Y626"/>
    <mergeCell ref="B390:Y390"/>
    <mergeCell ref="B391:Y391"/>
    <mergeCell ref="B449:Y449"/>
  </mergeCells>
  <pageMargins left="0.7" right="0.7" top="0.75" bottom="0.75" header="0.3" footer="0.3"/>
  <pageSetup scale="46" fitToWidth="0" fitToHeight="0" orientation="landscape" blackAndWhite="1" r:id="rId1"/>
  <headerFooter>
    <oddHeader>&amp;R&amp;"Arial,Regular"&amp;10Filed: 2025-02-28
EB-2025-0064
Phase 3 Exhibit 8
Tab 2
Schedule 15
Attachment 2
Page &amp;P of &amp;N</oddHeader>
  </headerFooter>
  <rowBreaks count="14" manualBreakCount="14">
    <brk id="55" min="1" max="24" man="1"/>
    <brk id="122" min="1" max="24" man="1"/>
    <brk id="170" min="1" max="24" man="1"/>
    <brk id="244" min="1" max="24" man="1"/>
    <brk id="284" min="1" max="24" man="1"/>
    <brk id="323" min="1" max="24" man="1"/>
    <brk id="388" min="1" max="24" man="1"/>
    <brk id="447" min="1" max="24" man="1"/>
    <brk id="509" min="1" max="24" man="1"/>
    <brk id="566" min="1" max="24" man="1"/>
    <brk id="623" min="1" max="24" man="1"/>
    <brk id="698" min="1" max="24" man="1"/>
    <brk id="749" min="1" max="24" man="1"/>
    <brk id="811" min="1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D16FB706-4FE1-4134-8612-B2588819D35E}"/>
</file>

<file path=customXml/itemProps2.xml><?xml version="1.0" encoding="utf-8"?>
<ds:datastoreItem xmlns:ds="http://schemas.openxmlformats.org/officeDocument/2006/customXml" ds:itemID="{AB96CE2C-0FAE-48FE-ADF5-074ADD7A6E87}"/>
</file>

<file path=customXml/itemProps3.xml><?xml version="1.0" encoding="utf-8"?>
<ds:datastoreItem xmlns:ds="http://schemas.openxmlformats.org/officeDocument/2006/customXml" ds:itemID="{C61E0BCD-518A-4A54-B35D-CBB157991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8.2.15.2</vt:lpstr>
      <vt:lpstr>'8.2.15.2'!Print_Area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2025-02-28T16:06:26Z</dcterms:created>
  <dcterms:modified xsi:type="dcterms:W3CDTF">2025-02-28T16:06:39Z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2025-02-28T16:06:32Z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d1a11cdb-3eff-478b-a99a-4920cdb7e574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