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2025 CoS Application\Application Submission - COS Models\"/>
    </mc:Choice>
  </mc:AlternateContent>
  <xr:revisionPtr revIDLastSave="0" documentId="13_ncr:1_{E0FDE7C0-5509-42A9-9EE0-D45329F6DEC4}" xr6:coauthVersionLast="47" xr6:coauthVersionMax="47" xr10:uidLastSave="{00000000-0000-0000-0000-000000000000}"/>
  <bookViews>
    <workbookView xWindow="28680" yWindow="-120" windowWidth="29040" windowHeight="17520" xr2:uid="{FD9EEB03-CDF7-484F-BC38-2E66E9F575A6}"/>
  </bookViews>
  <sheets>
    <sheet name="1592 Balance Calculation" sheetId="2" r:id="rId1"/>
    <sheet name="OEB Prescribed Int Rates" sheetId="3" r:id="rId2"/>
    <sheet name="CCA incl. AIIP" sheetId="4" r:id="rId3"/>
    <sheet name="CCA excl. AIIP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3" l="1"/>
  <c r="J3" i="2"/>
  <c r="H9" i="2"/>
  <c r="C4" i="2"/>
  <c r="C5" i="2"/>
  <c r="C6" i="2"/>
  <c r="C7" i="2"/>
  <c r="C3" i="2"/>
  <c r="J86" i="5"/>
  <c r="J85" i="5"/>
  <c r="K85" i="5" s="1"/>
  <c r="J82" i="5"/>
  <c r="J80" i="5"/>
  <c r="K80" i="5" s="1"/>
  <c r="J79" i="5"/>
  <c r="K79" i="5" s="1"/>
  <c r="J75" i="5"/>
  <c r="J68" i="5"/>
  <c r="J67" i="5"/>
  <c r="K67" i="5" s="1"/>
  <c r="J64" i="5"/>
  <c r="J62" i="5"/>
  <c r="J61" i="5"/>
  <c r="J57" i="5"/>
  <c r="J50" i="5"/>
  <c r="J49" i="5"/>
  <c r="J46" i="5"/>
  <c r="K46" i="5" s="1"/>
  <c r="J44" i="5"/>
  <c r="J43" i="5"/>
  <c r="J39" i="5"/>
  <c r="J32" i="5"/>
  <c r="J31" i="5"/>
  <c r="J28" i="5"/>
  <c r="J26" i="5"/>
  <c r="J25" i="5"/>
  <c r="J21" i="5"/>
  <c r="J13" i="5"/>
  <c r="K13" i="5" s="1"/>
  <c r="M13" i="5" s="1"/>
  <c r="N13" i="5" s="1"/>
  <c r="C31" i="5" s="1"/>
  <c r="J10" i="5"/>
  <c r="J8" i="5"/>
  <c r="K8" i="5" s="1"/>
  <c r="J7" i="5"/>
  <c r="J3" i="5"/>
  <c r="H89" i="5"/>
  <c r="G89" i="5"/>
  <c r="E89" i="5"/>
  <c r="D89" i="5"/>
  <c r="A89" i="5"/>
  <c r="I80" i="5"/>
  <c r="I79" i="5"/>
  <c r="I89" i="5" s="1"/>
  <c r="I71" i="5"/>
  <c r="H71" i="5"/>
  <c r="G71" i="5"/>
  <c r="D71" i="5"/>
  <c r="A71" i="5"/>
  <c r="K68" i="5"/>
  <c r="I62" i="5"/>
  <c r="I61" i="5"/>
  <c r="E71" i="5"/>
  <c r="H53" i="5"/>
  <c r="G53" i="5"/>
  <c r="E53" i="5"/>
  <c r="D53" i="5"/>
  <c r="A53" i="5"/>
  <c r="I44" i="5"/>
  <c r="I43" i="5"/>
  <c r="I53" i="5" s="1"/>
  <c r="H35" i="5"/>
  <c r="G35" i="5"/>
  <c r="F35" i="5"/>
  <c r="D35" i="5"/>
  <c r="A35" i="5"/>
  <c r="K32" i="5"/>
  <c r="K31" i="5"/>
  <c r="C30" i="5"/>
  <c r="M30" i="5" s="1"/>
  <c r="K28" i="5"/>
  <c r="I26" i="5"/>
  <c r="I35" i="5" s="1"/>
  <c r="C23" i="5"/>
  <c r="E35" i="5"/>
  <c r="H17" i="5"/>
  <c r="G17" i="5"/>
  <c r="F17" i="5"/>
  <c r="D17" i="5"/>
  <c r="C17" i="5"/>
  <c r="A17" i="5"/>
  <c r="M14" i="5"/>
  <c r="N14" i="5" s="1"/>
  <c r="C32" i="5" s="1"/>
  <c r="N12" i="5"/>
  <c r="M12" i="5"/>
  <c r="M11" i="5"/>
  <c r="N11" i="5" s="1"/>
  <c r="C29" i="5" s="1"/>
  <c r="M9" i="5"/>
  <c r="N9" i="5" s="1"/>
  <c r="C27" i="5" s="1"/>
  <c r="I8" i="5"/>
  <c r="I17" i="5" s="1"/>
  <c r="N6" i="5"/>
  <c r="C24" i="5" s="1"/>
  <c r="M6" i="5"/>
  <c r="N5" i="5"/>
  <c r="M5" i="5"/>
  <c r="M4" i="5"/>
  <c r="N4" i="5" s="1"/>
  <c r="C22" i="5" s="1"/>
  <c r="B4" i="2"/>
  <c r="B5" i="2"/>
  <c r="B6" i="2"/>
  <c r="B7" i="2"/>
  <c r="B3" i="2"/>
  <c r="C80" i="4"/>
  <c r="E86" i="4"/>
  <c r="E85" i="4"/>
  <c r="E82" i="4"/>
  <c r="F82" i="4" s="1"/>
  <c r="A17" i="4"/>
  <c r="A35" i="4"/>
  <c r="A53" i="4"/>
  <c r="A71" i="4"/>
  <c r="A89" i="4"/>
  <c r="H89" i="4"/>
  <c r="G89" i="4"/>
  <c r="D89" i="4"/>
  <c r="C86" i="4"/>
  <c r="J85" i="4"/>
  <c r="K85" i="4" s="1"/>
  <c r="M85" i="4" s="1"/>
  <c r="N85" i="4" s="1"/>
  <c r="C85" i="4"/>
  <c r="C84" i="4"/>
  <c r="C83" i="4"/>
  <c r="M83" i="4" s="1"/>
  <c r="N83" i="4" s="1"/>
  <c r="C82" i="4"/>
  <c r="M81" i="4"/>
  <c r="N81" i="4" s="1"/>
  <c r="C81" i="4"/>
  <c r="I80" i="4"/>
  <c r="E80" i="4"/>
  <c r="J80" i="4" s="1"/>
  <c r="I79" i="4"/>
  <c r="E79" i="4"/>
  <c r="C79" i="4"/>
  <c r="C78" i="4"/>
  <c r="M77" i="4"/>
  <c r="N77" i="4" s="1"/>
  <c r="C77" i="4"/>
  <c r="C76" i="4"/>
  <c r="M76" i="4" s="1"/>
  <c r="N76" i="4" s="1"/>
  <c r="E75" i="4"/>
  <c r="C75" i="4"/>
  <c r="K86" i="5" l="1"/>
  <c r="K64" i="5"/>
  <c r="K49" i="5"/>
  <c r="K44" i="5"/>
  <c r="K43" i="5"/>
  <c r="K25" i="5"/>
  <c r="M8" i="5"/>
  <c r="N8" i="5" s="1"/>
  <c r="C26" i="5" s="1"/>
  <c r="M26" i="5" s="1"/>
  <c r="N26" i="5" s="1"/>
  <c r="C44" i="5" s="1"/>
  <c r="M24" i="5"/>
  <c r="N24" i="5" s="1"/>
  <c r="C42" i="5" s="1"/>
  <c r="K7" i="5"/>
  <c r="M7" i="5" s="1"/>
  <c r="N7" i="5" s="1"/>
  <c r="C25" i="5" s="1"/>
  <c r="K61" i="5"/>
  <c r="K3" i="5"/>
  <c r="M3" i="5" s="1"/>
  <c r="J17" i="5"/>
  <c r="K39" i="5"/>
  <c r="J53" i="5"/>
  <c r="K10" i="5"/>
  <c r="M10" i="5" s="1"/>
  <c r="N10" i="5" s="1"/>
  <c r="C28" i="5" s="1"/>
  <c r="M29" i="5"/>
  <c r="N29" i="5" s="1"/>
  <c r="C47" i="5" s="1"/>
  <c r="M22" i="5"/>
  <c r="N22" i="5" s="1"/>
  <c r="C40" i="5" s="1"/>
  <c r="M31" i="5"/>
  <c r="N31" i="5" s="1"/>
  <c r="C49" i="5" s="1"/>
  <c r="N27" i="5"/>
  <c r="C45" i="5" s="1"/>
  <c r="M27" i="5"/>
  <c r="M32" i="5"/>
  <c r="N32" i="5" s="1"/>
  <c r="C50" i="5" s="1"/>
  <c r="K50" i="5"/>
  <c r="M23" i="5"/>
  <c r="N23" i="5" s="1"/>
  <c r="C41" i="5" s="1"/>
  <c r="N30" i="5"/>
  <c r="C48" i="5" s="1"/>
  <c r="F89" i="5"/>
  <c r="K26" i="5"/>
  <c r="F53" i="5"/>
  <c r="E17" i="5"/>
  <c r="K75" i="5"/>
  <c r="J89" i="5"/>
  <c r="C89" i="4"/>
  <c r="I89" i="4"/>
  <c r="E89" i="4"/>
  <c r="J75" i="4"/>
  <c r="K75" i="4" s="1"/>
  <c r="M75" i="4" s="1"/>
  <c r="F89" i="4"/>
  <c r="N78" i="4"/>
  <c r="J86" i="4"/>
  <c r="K86" i="4" s="1"/>
  <c r="M86" i="4" s="1"/>
  <c r="N86" i="4" s="1"/>
  <c r="J79" i="4"/>
  <c r="K80" i="4"/>
  <c r="J82" i="4"/>
  <c r="K82" i="4" s="1"/>
  <c r="M84" i="4"/>
  <c r="N84" i="4" s="1"/>
  <c r="M78" i="4"/>
  <c r="E57" i="4"/>
  <c r="J57" i="4" s="1"/>
  <c r="K57" i="4" s="1"/>
  <c r="J68" i="4"/>
  <c r="J67" i="4"/>
  <c r="J64" i="4"/>
  <c r="K64" i="4" s="1"/>
  <c r="K68" i="4"/>
  <c r="K67" i="4"/>
  <c r="K50" i="4"/>
  <c r="K49" i="4"/>
  <c r="K46" i="4"/>
  <c r="M46" i="4" s="1"/>
  <c r="K44" i="4"/>
  <c r="K39" i="4"/>
  <c r="K43" i="4"/>
  <c r="M43" i="4" s="1"/>
  <c r="K21" i="4"/>
  <c r="M49" i="4"/>
  <c r="F64" i="4"/>
  <c r="F61" i="4"/>
  <c r="H71" i="4"/>
  <c r="G71" i="4"/>
  <c r="D71" i="4"/>
  <c r="F68" i="4"/>
  <c r="M66" i="4"/>
  <c r="C66" i="4"/>
  <c r="N66" i="4" s="1"/>
  <c r="C65" i="4"/>
  <c r="M63" i="4"/>
  <c r="N63" i="4" s="1"/>
  <c r="C63" i="4"/>
  <c r="I62" i="4"/>
  <c r="E62" i="4"/>
  <c r="I61" i="4"/>
  <c r="I71" i="4" s="1"/>
  <c r="E61" i="4"/>
  <c r="C60" i="4"/>
  <c r="M59" i="4"/>
  <c r="C59" i="4"/>
  <c r="N59" i="4" s="1"/>
  <c r="C58" i="4"/>
  <c r="F50" i="4"/>
  <c r="J50" i="4" s="1"/>
  <c r="J49" i="4"/>
  <c r="J46" i="4"/>
  <c r="J44" i="4"/>
  <c r="J39" i="4"/>
  <c r="M48" i="4"/>
  <c r="N48" i="4" s="1"/>
  <c r="M47" i="4"/>
  <c r="M45" i="4"/>
  <c r="M42" i="4"/>
  <c r="M41" i="4"/>
  <c r="M40" i="4"/>
  <c r="J43" i="4"/>
  <c r="I43" i="4"/>
  <c r="H53" i="4"/>
  <c r="G53" i="4"/>
  <c r="D53" i="4"/>
  <c r="E50" i="4"/>
  <c r="C50" i="4"/>
  <c r="E49" i="4"/>
  <c r="C49" i="4"/>
  <c r="C48" i="4"/>
  <c r="C47" i="4"/>
  <c r="E46" i="4"/>
  <c r="C46" i="4"/>
  <c r="C45" i="4"/>
  <c r="I44" i="4"/>
  <c r="E44" i="4"/>
  <c r="C44" i="4"/>
  <c r="E43" i="4"/>
  <c r="C43" i="4"/>
  <c r="C42" i="4"/>
  <c r="C41" i="4"/>
  <c r="C40" i="4"/>
  <c r="E39" i="4"/>
  <c r="J26" i="4"/>
  <c r="J32" i="4"/>
  <c r="K32" i="4" s="1"/>
  <c r="E32" i="4"/>
  <c r="C22" i="4"/>
  <c r="C23" i="4"/>
  <c r="C24" i="4"/>
  <c r="C25" i="4"/>
  <c r="C26" i="4"/>
  <c r="C27" i="4"/>
  <c r="C28" i="4"/>
  <c r="C29" i="4"/>
  <c r="M29" i="4" s="1"/>
  <c r="N29" i="4" s="1"/>
  <c r="C30" i="4"/>
  <c r="C31" i="4"/>
  <c r="C32" i="4"/>
  <c r="C21" i="4"/>
  <c r="H35" i="4"/>
  <c r="G35" i="4"/>
  <c r="F35" i="4"/>
  <c r="D35" i="4"/>
  <c r="J31" i="4"/>
  <c r="K31" i="4" s="1"/>
  <c r="E31" i="4"/>
  <c r="M30" i="4"/>
  <c r="N30" i="4" s="1"/>
  <c r="E28" i="4"/>
  <c r="J28" i="4" s="1"/>
  <c r="M27" i="4"/>
  <c r="N27" i="4" s="1"/>
  <c r="I26" i="4"/>
  <c r="I35" i="4" s="1"/>
  <c r="E26" i="4"/>
  <c r="E25" i="4"/>
  <c r="J25" i="4" s="1"/>
  <c r="M24" i="4"/>
  <c r="N24" i="4" s="1"/>
  <c r="M22" i="4"/>
  <c r="N22" i="4" s="1"/>
  <c r="E21" i="4"/>
  <c r="N4" i="4"/>
  <c r="N11" i="4"/>
  <c r="N12" i="4"/>
  <c r="M4" i="4"/>
  <c r="M5" i="4"/>
  <c r="N5" i="4" s="1"/>
  <c r="M6" i="4"/>
  <c r="N6" i="4" s="1"/>
  <c r="M9" i="4"/>
  <c r="N9" i="4" s="1"/>
  <c r="M11" i="4"/>
  <c r="M12" i="4"/>
  <c r="M14" i="4"/>
  <c r="N14" i="4" s="1"/>
  <c r="I8" i="4"/>
  <c r="I17" i="4" s="1"/>
  <c r="E13" i="4"/>
  <c r="J13" i="4" s="1"/>
  <c r="E10" i="4"/>
  <c r="J10" i="4" s="1"/>
  <c r="K10" i="4" s="1"/>
  <c r="E8" i="4"/>
  <c r="E7" i="4"/>
  <c r="J7" i="4" s="1"/>
  <c r="K7" i="4" s="1"/>
  <c r="M7" i="4" s="1"/>
  <c r="N7" i="4" s="1"/>
  <c r="E3" i="4"/>
  <c r="D17" i="4"/>
  <c r="F17" i="4"/>
  <c r="G17" i="4"/>
  <c r="H17" i="4"/>
  <c r="C17" i="4"/>
  <c r="K53" i="5" l="1"/>
  <c r="M44" i="5"/>
  <c r="N44" i="5" s="1"/>
  <c r="C62" i="5" s="1"/>
  <c r="M41" i="5"/>
  <c r="N41" i="5" s="1"/>
  <c r="C59" i="5" s="1"/>
  <c r="M40" i="5"/>
  <c r="N40" i="5" s="1"/>
  <c r="C58" i="5" s="1"/>
  <c r="M25" i="5"/>
  <c r="N25" i="5" s="1"/>
  <c r="C43" i="5" s="1"/>
  <c r="M50" i="5"/>
  <c r="N50" i="5" s="1"/>
  <c r="C68" i="5" s="1"/>
  <c r="M47" i="5"/>
  <c r="N47" i="5" s="1"/>
  <c r="C65" i="5" s="1"/>
  <c r="M42" i="5"/>
  <c r="N42" i="5" s="1"/>
  <c r="C60" i="5" s="1"/>
  <c r="J71" i="5"/>
  <c r="K57" i="5"/>
  <c r="K71" i="5" s="1"/>
  <c r="M45" i="5"/>
  <c r="N45" i="5" s="1"/>
  <c r="C63" i="5" s="1"/>
  <c r="M17" i="5"/>
  <c r="N3" i="5"/>
  <c r="K62" i="5"/>
  <c r="K17" i="5"/>
  <c r="M48" i="5"/>
  <c r="N48" i="5" s="1"/>
  <c r="C66" i="5" s="1"/>
  <c r="K82" i="5"/>
  <c r="K89" i="5" s="1"/>
  <c r="M28" i="5"/>
  <c r="N28" i="5" s="1"/>
  <c r="C46" i="5" s="1"/>
  <c r="F71" i="5"/>
  <c r="J35" i="5"/>
  <c r="K21" i="5"/>
  <c r="K35" i="5" s="1"/>
  <c r="M49" i="5"/>
  <c r="N49" i="5" s="1"/>
  <c r="C67" i="5" s="1"/>
  <c r="M82" i="4"/>
  <c r="N82" i="4" s="1"/>
  <c r="N75" i="4"/>
  <c r="M80" i="4"/>
  <c r="N80" i="4" s="1"/>
  <c r="J89" i="4"/>
  <c r="K79" i="4"/>
  <c r="K89" i="4" s="1"/>
  <c r="J61" i="4"/>
  <c r="K61" i="4" s="1"/>
  <c r="F62" i="4"/>
  <c r="J62" i="4" s="1"/>
  <c r="M44" i="4"/>
  <c r="N44" i="4" s="1"/>
  <c r="C62" i="4" s="1"/>
  <c r="E71" i="4"/>
  <c r="M60" i="4"/>
  <c r="N60" i="4" s="1"/>
  <c r="M65" i="4"/>
  <c r="N65" i="4" s="1"/>
  <c r="M58" i="4"/>
  <c r="N58" i="4" s="1"/>
  <c r="M50" i="4"/>
  <c r="N50" i="4" s="1"/>
  <c r="C68" i="4" s="1"/>
  <c r="M68" i="4" s="1"/>
  <c r="N68" i="4" s="1"/>
  <c r="N47" i="4"/>
  <c r="N40" i="4"/>
  <c r="F53" i="4"/>
  <c r="N49" i="4"/>
  <c r="C67" i="4" s="1"/>
  <c r="M67" i="4" s="1"/>
  <c r="N67" i="4" s="1"/>
  <c r="N46" i="4"/>
  <c r="C64" i="4" s="1"/>
  <c r="M64" i="4" s="1"/>
  <c r="N64" i="4" s="1"/>
  <c r="N41" i="4"/>
  <c r="E53" i="4"/>
  <c r="N42" i="4"/>
  <c r="N45" i="4"/>
  <c r="I53" i="4"/>
  <c r="N43" i="4"/>
  <c r="C61" i="4" s="1"/>
  <c r="M32" i="4"/>
  <c r="N32" i="4" s="1"/>
  <c r="E35" i="4"/>
  <c r="M23" i="4"/>
  <c r="N23" i="4" s="1"/>
  <c r="C35" i="4"/>
  <c r="M31" i="4"/>
  <c r="N31" i="4" s="1"/>
  <c r="K26" i="4"/>
  <c r="M26" i="4" s="1"/>
  <c r="N26" i="4" s="1"/>
  <c r="K28" i="4"/>
  <c r="M28" i="4" s="1"/>
  <c r="N28" i="4" s="1"/>
  <c r="K25" i="4"/>
  <c r="M25" i="4" s="1"/>
  <c r="N25" i="4" s="1"/>
  <c r="J21" i="4"/>
  <c r="K13" i="4"/>
  <c r="M13" i="4"/>
  <c r="N13" i="4" s="1"/>
  <c r="J8" i="4"/>
  <c r="E17" i="4"/>
  <c r="M10" i="4"/>
  <c r="N10" i="4" s="1"/>
  <c r="J3" i="4"/>
  <c r="M68" i="5" l="1"/>
  <c r="N68" i="5" s="1"/>
  <c r="C86" i="5" s="1"/>
  <c r="M58" i="5"/>
  <c r="N58" i="5" s="1"/>
  <c r="C76" i="5" s="1"/>
  <c r="M63" i="5"/>
  <c r="N63" i="5" s="1"/>
  <c r="C81" i="5" s="1"/>
  <c r="M66" i="5"/>
  <c r="N66" i="5" s="1"/>
  <c r="C84" i="5" s="1"/>
  <c r="M43" i="5"/>
  <c r="N43" i="5" s="1"/>
  <c r="C61" i="5" s="1"/>
  <c r="M60" i="5"/>
  <c r="N60" i="5" s="1"/>
  <c r="C78" i="5" s="1"/>
  <c r="M67" i="5"/>
  <c r="N67" i="5" s="1"/>
  <c r="C85" i="5" s="1"/>
  <c r="C21" i="5"/>
  <c r="N17" i="5"/>
  <c r="M46" i="5"/>
  <c r="N46" i="5" s="1"/>
  <c r="C64" i="5" s="1"/>
  <c r="M65" i="5"/>
  <c r="N65" i="5" s="1"/>
  <c r="C83" i="5" s="1"/>
  <c r="M59" i="5"/>
  <c r="N59" i="5" s="1"/>
  <c r="C77" i="5" s="1"/>
  <c r="M62" i="5"/>
  <c r="N62" i="5" s="1"/>
  <c r="C80" i="5" s="1"/>
  <c r="M79" i="4"/>
  <c r="M61" i="4"/>
  <c r="N61" i="4" s="1"/>
  <c r="K62" i="4"/>
  <c r="K71" i="4" s="1"/>
  <c r="J71" i="4"/>
  <c r="F71" i="4"/>
  <c r="J53" i="4"/>
  <c r="K53" i="4"/>
  <c r="K35" i="4"/>
  <c r="J35" i="4"/>
  <c r="K8" i="4"/>
  <c r="M8" i="4"/>
  <c r="N8" i="4" s="1"/>
  <c r="J17" i="4"/>
  <c r="K3" i="4"/>
  <c r="M3" i="4" s="1"/>
  <c r="M78" i="5" l="1"/>
  <c r="N78" i="5" s="1"/>
  <c r="M85" i="5"/>
  <c r="N85" i="5" s="1"/>
  <c r="M84" i="5"/>
  <c r="N84" i="5" s="1"/>
  <c r="M77" i="5"/>
  <c r="N77" i="5" s="1"/>
  <c r="M64" i="5"/>
  <c r="N64" i="5" s="1"/>
  <c r="C82" i="5" s="1"/>
  <c r="M76" i="5"/>
  <c r="N76" i="5" s="1"/>
  <c r="M80" i="5"/>
  <c r="N80" i="5" s="1"/>
  <c r="M81" i="5"/>
  <c r="N81" i="5" s="1"/>
  <c r="M86" i="5"/>
  <c r="N86" i="5" s="1"/>
  <c r="M21" i="5"/>
  <c r="M35" i="5" s="1"/>
  <c r="C35" i="5"/>
  <c r="M83" i="5"/>
  <c r="N83" i="5" s="1"/>
  <c r="M61" i="5"/>
  <c r="N61" i="5" s="1"/>
  <c r="C79" i="5" s="1"/>
  <c r="N79" i="4"/>
  <c r="N89" i="4" s="1"/>
  <c r="M89" i="4"/>
  <c r="M62" i="4"/>
  <c r="N62" i="4" s="1"/>
  <c r="M21" i="4"/>
  <c r="N3" i="4"/>
  <c r="N17" i="4" s="1"/>
  <c r="M17" i="4"/>
  <c r="K17" i="4"/>
  <c r="M79" i="5" l="1"/>
  <c r="N79" i="5" s="1"/>
  <c r="N21" i="5"/>
  <c r="M82" i="5"/>
  <c r="N82" i="5" s="1"/>
  <c r="M35" i="4"/>
  <c r="N21" i="4"/>
  <c r="C39" i="5" l="1"/>
  <c r="N35" i="5"/>
  <c r="N35" i="4"/>
  <c r="C39" i="4"/>
  <c r="G3" i="3"/>
  <c r="G4" i="3"/>
  <c r="G2" i="3"/>
  <c r="F3" i="3"/>
  <c r="F4" i="3"/>
  <c r="F2" i="3"/>
  <c r="E3" i="3"/>
  <c r="E4" i="3"/>
  <c r="E5" i="3"/>
  <c r="E2" i="3"/>
  <c r="M39" i="5" l="1"/>
  <c r="M53" i="5" s="1"/>
  <c r="C53" i="5"/>
  <c r="C53" i="4"/>
  <c r="M39" i="4"/>
  <c r="M53" i="4" s="1"/>
  <c r="F5" i="3"/>
  <c r="N39" i="5" l="1"/>
  <c r="C57" i="5" s="1"/>
  <c r="N39" i="4"/>
  <c r="D6" i="2"/>
  <c r="E6" i="2" s="1"/>
  <c r="F6" i="2" s="1"/>
  <c r="G6" i="2" s="1"/>
  <c r="D5" i="2"/>
  <c r="E5" i="2" s="1"/>
  <c r="F5" i="2" s="1"/>
  <c r="G5" i="2" s="1"/>
  <c r="D4" i="2"/>
  <c r="E4" i="2" s="1"/>
  <c r="F4" i="2" s="1"/>
  <c r="G4" i="2" s="1"/>
  <c r="D3" i="2"/>
  <c r="D7" i="2"/>
  <c r="E7" i="2" s="1"/>
  <c r="F7" i="2" s="1"/>
  <c r="G7" i="2" s="1"/>
  <c r="G5" i="3"/>
  <c r="E3" i="2" l="1"/>
  <c r="F3" i="2" s="1"/>
  <c r="G3" i="2" s="1"/>
  <c r="D10" i="2"/>
  <c r="E10" i="2" s="1"/>
  <c r="F10" i="2" s="1"/>
  <c r="N53" i="5"/>
  <c r="M57" i="5"/>
  <c r="M71" i="5" s="1"/>
  <c r="C71" i="5"/>
  <c r="C57" i="4"/>
  <c r="N53" i="4"/>
  <c r="D7" i="3"/>
  <c r="E6" i="3"/>
  <c r="F6" i="3" s="1"/>
  <c r="G6" i="3" s="1"/>
  <c r="H3" i="2" l="1"/>
  <c r="H4" i="2" s="1"/>
  <c r="H5" i="2" s="1"/>
  <c r="H6" i="2" s="1"/>
  <c r="H7" i="2" s="1"/>
  <c r="H8" i="2" s="1"/>
  <c r="D10" i="3"/>
  <c r="N57" i="5"/>
  <c r="C71" i="4"/>
  <c r="M57" i="4"/>
  <c r="M71" i="4" s="1"/>
  <c r="D8" i="3"/>
  <c r="E7" i="3"/>
  <c r="F7" i="3" s="1"/>
  <c r="G7" i="3" s="1"/>
  <c r="C75" i="5" l="1"/>
  <c r="N71" i="5"/>
  <c r="N57" i="4"/>
  <c r="N71" i="4" s="1"/>
  <c r="E8" i="3"/>
  <c r="F8" i="3" s="1"/>
  <c r="D9" i="3"/>
  <c r="C89" i="5" l="1"/>
  <c r="M75" i="5"/>
  <c r="M89" i="5" s="1"/>
  <c r="G8" i="3"/>
  <c r="E9" i="3"/>
  <c r="N75" i="5" l="1"/>
  <c r="N89" i="5" s="1"/>
  <c r="D11" i="3"/>
  <c r="E10" i="3"/>
  <c r="K3" i="2"/>
  <c r="F9" i="3"/>
  <c r="E11" i="3" l="1"/>
  <c r="D12" i="3"/>
  <c r="G9" i="3"/>
  <c r="F10" i="3"/>
  <c r="D13" i="3" l="1"/>
  <c r="E12" i="3"/>
  <c r="F11" i="3"/>
  <c r="G10" i="3"/>
  <c r="E13" i="3" l="1"/>
  <c r="I4" i="2" s="1"/>
  <c r="D14" i="3"/>
  <c r="F12" i="3"/>
  <c r="G11" i="3"/>
  <c r="J4" i="2" l="1"/>
  <c r="K4" i="2" s="1"/>
  <c r="E14" i="3"/>
  <c r="D15" i="3"/>
  <c r="G12" i="3"/>
  <c r="F13" i="3"/>
  <c r="E15" i="3" l="1"/>
  <c r="D16" i="3"/>
  <c r="F14" i="3"/>
  <c r="G13" i="3"/>
  <c r="D17" i="3" l="1"/>
  <c r="E16" i="3"/>
  <c r="F15" i="3"/>
  <c r="G14" i="3"/>
  <c r="E17" i="3" l="1"/>
  <c r="I5" i="2" s="1"/>
  <c r="D18" i="3"/>
  <c r="G15" i="3"/>
  <c r="F16" i="3"/>
  <c r="J5" i="2" l="1"/>
  <c r="K5" i="2" s="1"/>
  <c r="D19" i="3"/>
  <c r="E18" i="3"/>
  <c r="G16" i="3"/>
  <c r="F17" i="3"/>
  <c r="G17" i="3" l="1"/>
  <c r="F18" i="3"/>
  <c r="D20" i="3"/>
  <c r="E19" i="3"/>
  <c r="F19" i="3" l="1"/>
  <c r="G18" i="3"/>
  <c r="D21" i="3"/>
  <c r="E20" i="3"/>
  <c r="F20" i="3" l="1"/>
  <c r="G19" i="3"/>
  <c r="D22" i="3"/>
  <c r="E21" i="3"/>
  <c r="I6" i="2" s="1"/>
  <c r="J6" i="2" l="1"/>
  <c r="K6" i="2" s="1"/>
  <c r="G20" i="3"/>
  <c r="F21" i="3"/>
  <c r="E22" i="3"/>
  <c r="D23" i="3"/>
  <c r="D24" i="3" l="1"/>
  <c r="E23" i="3"/>
  <c r="G21" i="3"/>
  <c r="F22" i="3"/>
  <c r="F23" i="3" l="1"/>
  <c r="G22" i="3"/>
  <c r="E24" i="3"/>
  <c r="D25" i="3"/>
  <c r="D26" i="3" l="1"/>
  <c r="E25" i="3"/>
  <c r="I7" i="2" s="1"/>
  <c r="G23" i="3"/>
  <c r="F24" i="3"/>
  <c r="J7" i="2" l="1"/>
  <c r="F25" i="3"/>
  <c r="G24" i="3"/>
  <c r="D27" i="3"/>
  <c r="E26" i="3"/>
  <c r="K7" i="2" l="1"/>
  <c r="F26" i="3"/>
  <c r="G25" i="3"/>
  <c r="D28" i="3"/>
  <c r="E27" i="3"/>
  <c r="F27" i="3" l="1"/>
  <c r="G26" i="3"/>
  <c r="E28" i="3"/>
  <c r="D29" i="3"/>
  <c r="D30" i="3" l="1"/>
  <c r="E29" i="3"/>
  <c r="I8" i="2" s="1"/>
  <c r="J8" i="2" s="1"/>
  <c r="K8" i="2" s="1"/>
  <c r="F28" i="3"/>
  <c r="G27" i="3"/>
  <c r="E30" i="3" l="1"/>
  <c r="D31" i="3"/>
  <c r="E31" i="3" s="1"/>
  <c r="G28" i="3"/>
  <c r="F29" i="3"/>
  <c r="G29" i="3" s="1"/>
  <c r="I9" i="2" l="1"/>
  <c r="J9" i="2" s="1"/>
  <c r="K9" i="2" s="1"/>
  <c r="F30" i="3"/>
  <c r="G30" i="3" l="1"/>
  <c r="F31" i="3"/>
  <c r="G31" i="3" s="1"/>
</calcChain>
</file>

<file path=xl/sharedStrings.xml><?xml version="1.0" encoding="utf-8"?>
<sst xmlns="http://schemas.openxmlformats.org/spreadsheetml/2006/main" count="341" uniqueCount="75">
  <si>
    <t>CCA</t>
  </si>
  <si>
    <t>Difference</t>
  </si>
  <si>
    <t>Year</t>
  </si>
  <si>
    <t>PILs Gross Up</t>
  </si>
  <si>
    <t>Carrying Charges</t>
  </si>
  <si>
    <t>Credit Entry to 1592</t>
  </si>
  <si>
    <t>Account 1592 Balance (Principal)</t>
  </si>
  <si>
    <t>CCA with Accelerated CCA</t>
  </si>
  <si>
    <t>CCA - No Accerlated CCA</t>
  </si>
  <si>
    <t>PILs Impact</t>
  </si>
  <si>
    <t>Period</t>
  </si>
  <si>
    <t>Interest Rate</t>
  </si>
  <si>
    <t>Q1 2018 (Actual)</t>
  </si>
  <si>
    <t>Q2 2018 (Actual)</t>
  </si>
  <si>
    <t>Q3 2018 (Actual)</t>
  </si>
  <si>
    <t>Q4 2018 (Actual)</t>
  </si>
  <si>
    <t>Q1 2019 (Actual)</t>
  </si>
  <si>
    <t>Q2 2019 (Actual)</t>
  </si>
  <si>
    <t>Q3 2019 (Actual)</t>
  </si>
  <si>
    <t>Q4 2019 (Actual)</t>
  </si>
  <si>
    <t>Q1 2020 (Actual)</t>
  </si>
  <si>
    <t>Q2 2020 (Actual)</t>
  </si>
  <si>
    <t>Q3 2020 (Actual)</t>
  </si>
  <si>
    <t>Q4 2020 (Actual)</t>
  </si>
  <si>
    <t>Q1 2021 (Actual)</t>
  </si>
  <si>
    <t>Q2 2021 (Actual)</t>
  </si>
  <si>
    <t>Q3 2021 (Actual)</t>
  </si>
  <si>
    <t>Q4 2021 (Actual)</t>
  </si>
  <si>
    <t>Q1 2022 (Actual)</t>
  </si>
  <si>
    <t>Q2 2022 (Actual)</t>
  </si>
  <si>
    <t>Q3 2022 (Actual)</t>
  </si>
  <si>
    <t>Q4 2022 (Actual)</t>
  </si>
  <si>
    <t>Q1 2023 (Actual)</t>
  </si>
  <si>
    <t>Q2 2023 (Actual)</t>
  </si>
  <si>
    <t>Q3 2023 (Actual)</t>
  </si>
  <si>
    <t>Q4 2023 (Actual)</t>
  </si>
  <si>
    <t>Q1 2024 (Actual)</t>
  </si>
  <si>
    <t>Q2 2024 (Actual)</t>
  </si>
  <si>
    <t>Q3 2024 (Actual)</t>
  </si>
  <si>
    <t>Principal Balance</t>
  </si>
  <si>
    <t>Quarterly Interest</t>
  </si>
  <si>
    <t>Cumulative Interest</t>
  </si>
  <si>
    <t>Total Balance</t>
  </si>
  <si>
    <t>N/A</t>
  </si>
  <si>
    <t>Cumulative Carrying Charges</t>
  </si>
  <si>
    <t>Class</t>
  </si>
  <si>
    <t>Class Description</t>
  </si>
  <si>
    <t>Total</t>
  </si>
  <si>
    <t>1</t>
  </si>
  <si>
    <t>Building</t>
  </si>
  <si>
    <t>Distribution</t>
  </si>
  <si>
    <t>Valuation Bump</t>
  </si>
  <si>
    <t>Portable Office</t>
  </si>
  <si>
    <t>Equipment</t>
  </si>
  <si>
    <t>Automotive</t>
  </si>
  <si>
    <t>Computers</t>
  </si>
  <si>
    <t>Computer Software</t>
  </si>
  <si>
    <t>Fibre Optic Communication</t>
  </si>
  <si>
    <t>Distribution System</t>
  </si>
  <si>
    <t>Opening UCC</t>
  </si>
  <si>
    <t>Total Additions</t>
  </si>
  <si>
    <t>AIIP Additions</t>
  </si>
  <si>
    <t xml:space="preserve">Immediate Expensing </t>
  </si>
  <si>
    <t xml:space="preserve">Adjustments </t>
  </si>
  <si>
    <t>Disposals</t>
  </si>
  <si>
    <t xml:space="preserve">Disposals Reducing AIIP </t>
  </si>
  <si>
    <t xml:space="preserve">Net AIIP Additions </t>
  </si>
  <si>
    <t xml:space="preserve">Rate (%) </t>
  </si>
  <si>
    <t xml:space="preserve">Closing UCC </t>
  </si>
  <si>
    <t>Non-AIIP Additions</t>
  </si>
  <si>
    <t>Non-AIIP/DIEP Additions</t>
  </si>
  <si>
    <t>April 2025 (Forecast)</t>
  </si>
  <si>
    <t>2025 (Jan-Apr)</t>
  </si>
  <si>
    <t>Q4 2024 (Actual)</t>
  </si>
  <si>
    <t>Q1 2025 (Actual)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</si>
</sst>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&quot;$&quot;#,##0.00"/>
    <numFmt numFmtId="166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0"/>
      <color theme="0"/>
      <name val="Arial Nova"/>
      <family val="2"/>
    </font>
    <font>
      <sz val="10"/>
      <name val="Arial Nova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809EC2"/>
        <bgColor indexed="64"/>
      </patternFill>
    </fill>
    <fill>
      <patternFill patternType="solid">
        <fgColor rgb="FFE5EBF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809EC2"/>
      </left>
      <right/>
      <top style="medium">
        <color rgb="FF809EC2"/>
      </top>
      <bottom style="medium">
        <color rgb="FF809EC2"/>
      </bottom>
      <diagonal/>
    </border>
    <border>
      <left/>
      <right style="medium">
        <color rgb="FF809EC2"/>
      </right>
      <top style="medium">
        <color rgb="FF809EC2"/>
      </top>
      <bottom style="medium">
        <color rgb="FF809EC2"/>
      </bottom>
      <diagonal/>
    </border>
    <border>
      <left style="medium">
        <color rgb="FFB2C4DA"/>
      </left>
      <right style="medium">
        <color rgb="FFB2C4DA"/>
      </right>
      <top/>
      <bottom style="medium">
        <color rgb="FFB2C4DA"/>
      </bottom>
      <diagonal/>
    </border>
    <border>
      <left/>
      <right style="medium">
        <color rgb="FFB2C4DA"/>
      </right>
      <top/>
      <bottom style="medium">
        <color rgb="FFB2C4D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45">
    <xf numFmtId="0" fontId="0" fillId="0" borderId="0" xfId="0"/>
    <xf numFmtId="0" fontId="3" fillId="0" borderId="0" xfId="0" applyFont="1"/>
    <xf numFmtId="164" fontId="0" fillId="0" borderId="0" xfId="1" applyNumberFormat="1" applyFont="1"/>
    <xf numFmtId="164" fontId="0" fillId="0" borderId="0" xfId="0" applyNumberFormat="1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0" fontId="6" fillId="4" borderId="6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0" fontId="8" fillId="0" borderId="6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0" fontId="7" fillId="2" borderId="6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164" fontId="3" fillId="2" borderId="0" xfId="1" applyNumberFormat="1" applyFont="1" applyFill="1"/>
    <xf numFmtId="164" fontId="3" fillId="2" borderId="0" xfId="0" applyNumberFormat="1" applyFont="1" applyFill="1"/>
    <xf numFmtId="0" fontId="2" fillId="5" borderId="7" xfId="0" applyFont="1" applyFill="1" applyBorder="1" applyAlignment="1">
      <alignment horizontal="center" vertical="center" wrapText="1"/>
    </xf>
    <xf numFmtId="0" fontId="3" fillId="6" borderId="7" xfId="0" applyFont="1" applyFill="1" applyBorder="1"/>
    <xf numFmtId="0" fontId="10" fillId="8" borderId="7" xfId="3" applyFont="1" applyFill="1" applyBorder="1" applyAlignment="1">
      <alignment horizontal="center" vertical="center" wrapText="1"/>
    </xf>
    <xf numFmtId="49" fontId="11" fillId="7" borderId="7" xfId="3" applyNumberFormat="1" applyFont="1" applyFill="1" applyBorder="1" applyAlignment="1">
      <alignment horizontal="center"/>
    </xf>
    <xf numFmtId="0" fontId="11" fillId="7" borderId="7" xfId="3" applyFont="1" applyFill="1" applyBorder="1" applyAlignment="1">
      <alignment horizontal="left"/>
    </xf>
    <xf numFmtId="0" fontId="11" fillId="7" borderId="7" xfId="3" applyFont="1" applyFill="1" applyBorder="1" applyAlignment="1">
      <alignment horizontal="center"/>
    </xf>
    <xf numFmtId="0" fontId="11" fillId="7" borderId="7" xfId="3" applyFont="1" applyFill="1" applyBorder="1" applyAlignment="1">
      <alignment horizontal="center" wrapText="1"/>
    </xf>
    <xf numFmtId="0" fontId="11" fillId="7" borderId="7" xfId="3" applyFont="1" applyFill="1" applyBorder="1" applyAlignment="1" applyProtection="1">
      <alignment horizontal="left"/>
      <protection locked="0"/>
    </xf>
    <xf numFmtId="0" fontId="13" fillId="0" borderId="0" xfId="0" applyFont="1"/>
    <xf numFmtId="165" fontId="0" fillId="0" borderId="0" xfId="0" applyNumberFormat="1"/>
    <xf numFmtId="166" fontId="0" fillId="0" borderId="0" xfId="0" applyNumberFormat="1"/>
    <xf numFmtId="166" fontId="0" fillId="0" borderId="7" xfId="0" applyNumberFormat="1" applyBorder="1"/>
    <xf numFmtId="0" fontId="12" fillId="6" borderId="7" xfId="0" applyFont="1" applyFill="1" applyBorder="1"/>
    <xf numFmtId="166" fontId="3" fillId="6" borderId="7" xfId="0" applyNumberFormat="1" applyFont="1" applyFill="1" applyBorder="1"/>
    <xf numFmtId="9" fontId="3" fillId="6" borderId="7" xfId="2" applyFont="1" applyFill="1" applyBorder="1"/>
    <xf numFmtId="9" fontId="0" fillId="0" borderId="7" xfId="2" applyFont="1" applyBorder="1" applyAlignment="1">
      <alignment horizontal="center" vertical="center"/>
    </xf>
    <xf numFmtId="0" fontId="12" fillId="6" borderId="7" xfId="0" applyFont="1" applyFill="1" applyBorder="1" applyAlignment="1">
      <alignment horizontal="right"/>
    </xf>
    <xf numFmtId="166" fontId="0" fillId="7" borderId="7" xfId="1" applyNumberFormat="1" applyFont="1" applyFill="1" applyBorder="1"/>
    <xf numFmtId="166" fontId="0" fillId="7" borderId="7" xfId="1" applyNumberFormat="1" applyFont="1" applyFill="1" applyBorder="1" applyAlignment="1">
      <alignment horizontal="center" vertical="center"/>
    </xf>
    <xf numFmtId="166" fontId="0" fillId="7" borderId="7" xfId="0" applyNumberFormat="1" applyFill="1" applyBorder="1"/>
    <xf numFmtId="0" fontId="3" fillId="6" borderId="7" xfId="0" applyFont="1" applyFill="1" applyBorder="1" applyAlignment="1">
      <alignment horizontal="right"/>
    </xf>
    <xf numFmtId="0" fontId="3" fillId="6" borderId="2" xfId="0" applyFont="1" applyFill="1" applyBorder="1" applyAlignment="1">
      <alignment horizontal="right"/>
    </xf>
    <xf numFmtId="166" fontId="3" fillId="6" borderId="2" xfId="0" applyNumberFormat="1" applyFont="1" applyFill="1" applyBorder="1"/>
    <xf numFmtId="166" fontId="3" fillId="6" borderId="2" xfId="1" applyNumberFormat="1" applyFont="1" applyFill="1" applyBorder="1" applyAlignment="1">
      <alignment horizontal="center" vertical="center"/>
    </xf>
    <xf numFmtId="166" fontId="3" fillId="6" borderId="2" xfId="1" applyNumberFormat="1" applyFont="1" applyFill="1" applyBorder="1"/>
    <xf numFmtId="166" fontId="0" fillId="7" borderId="1" xfId="1" applyNumberFormat="1" applyFont="1" applyFill="1" applyBorder="1"/>
    <xf numFmtId="166" fontId="0" fillId="7" borderId="7" xfId="1" applyNumberFormat="1" applyFont="1" applyFill="1" applyBorder="1" applyAlignment="1">
      <alignment horizontal="center"/>
    </xf>
    <xf numFmtId="10" fontId="7" fillId="0" borderId="6" xfId="0" applyNumberFormat="1" applyFont="1" applyBorder="1" applyAlignment="1">
      <alignment horizontal="center" vertical="center" wrapText="1"/>
    </xf>
    <xf numFmtId="164" fontId="3" fillId="0" borderId="0" xfId="1" applyNumberFormat="1" applyFont="1" applyFill="1"/>
    <xf numFmtId="164" fontId="3" fillId="0" borderId="0" xfId="0" applyNumberFormat="1" applyFont="1"/>
  </cellXfs>
  <cellStyles count="4">
    <cellStyle name="Currency" xfId="1" builtinId="4"/>
    <cellStyle name="Normal" xfId="0" builtinId="0"/>
    <cellStyle name="Normal 2" xfId="3" xr:uid="{1B2EDFD3-78D3-4810-B826-D392397F25C5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499F0-9CA4-4854-BFAC-D6E818F7E26A}">
  <dimension ref="A2:K10"/>
  <sheetViews>
    <sheetView showGridLines="0" tabSelected="1" zoomScaleNormal="100" workbookViewId="0">
      <selection activeCell="A2" sqref="A2:K10"/>
    </sheetView>
  </sheetViews>
  <sheetFormatPr defaultRowHeight="15" x14ac:dyDescent="0.25"/>
  <cols>
    <col min="1" max="1" width="14.7109375" customWidth="1"/>
    <col min="2" max="2" width="13.140625" bestFit="1" customWidth="1"/>
    <col min="3" max="3" width="13.140625" customWidth="1"/>
    <col min="4" max="4" width="12.7109375" bestFit="1" customWidth="1"/>
    <col min="5" max="8" width="12.5703125" bestFit="1" customWidth="1"/>
    <col min="9" max="9" width="11.140625" customWidth="1"/>
    <col min="10" max="10" width="11.140625" bestFit="1" customWidth="1"/>
    <col min="11" max="11" width="12.7109375" bestFit="1" customWidth="1"/>
  </cols>
  <sheetData>
    <row r="2" spans="1:11" ht="45" x14ac:dyDescent="0.25">
      <c r="A2" s="15" t="s">
        <v>2</v>
      </c>
      <c r="B2" s="15" t="s">
        <v>7</v>
      </c>
      <c r="C2" s="15" t="s">
        <v>8</v>
      </c>
      <c r="D2" s="15" t="s">
        <v>1</v>
      </c>
      <c r="E2" s="15" t="s">
        <v>9</v>
      </c>
      <c r="F2" s="15" t="s">
        <v>3</v>
      </c>
      <c r="G2" s="15" t="s">
        <v>5</v>
      </c>
      <c r="H2" s="15" t="s">
        <v>6</v>
      </c>
      <c r="I2" s="15" t="s">
        <v>4</v>
      </c>
      <c r="J2" s="15" t="s">
        <v>44</v>
      </c>
      <c r="K2" s="15" t="s">
        <v>42</v>
      </c>
    </row>
    <row r="3" spans="1:11" x14ac:dyDescent="0.25">
      <c r="A3" s="16">
        <v>2019</v>
      </c>
      <c r="B3" s="32">
        <f>SUMIF('CCA incl. AIIP'!A:A,'1592 Balance Calculation'!A3,'CCA incl. AIIP'!M:M)</f>
        <v>2207862</v>
      </c>
      <c r="C3" s="32">
        <f>SUMIF('CCA excl. AIIP'!A:A,'1592 Balance Calculation'!A3,'CCA excl. AIIP'!M:M)</f>
        <v>1924312</v>
      </c>
      <c r="D3" s="33">
        <f t="shared" ref="D3:D7" si="0">C3-B3</f>
        <v>-283550</v>
      </c>
      <c r="E3" s="33">
        <f>D3*0.265</f>
        <v>-75140.75</v>
      </c>
      <c r="F3" s="32">
        <f t="shared" ref="F3:F10" si="1">E3/(1-0.265)</f>
        <v>-102232.31292517007</v>
      </c>
      <c r="G3" s="32">
        <f t="shared" ref="G3:G7" si="2">F3</f>
        <v>-102232.31292517007</v>
      </c>
      <c r="H3" s="34">
        <f>G3</f>
        <v>-102232.31292517007</v>
      </c>
      <c r="I3" s="32">
        <v>0</v>
      </c>
      <c r="J3" s="32">
        <f>I3</f>
        <v>0</v>
      </c>
      <c r="K3" s="28">
        <f t="shared" ref="K3:K9" si="3">J3+H3</f>
        <v>-102232.31292517007</v>
      </c>
    </row>
    <row r="4" spans="1:11" x14ac:dyDescent="0.25">
      <c r="A4" s="16">
        <v>2020</v>
      </c>
      <c r="B4" s="32">
        <f>SUMIF('CCA incl. AIIP'!A:A,'1592 Balance Calculation'!A4,'CCA incl. AIIP'!M:M)</f>
        <v>2119796</v>
      </c>
      <c r="C4" s="32">
        <f>SUMIF('CCA excl. AIIP'!A:A,'1592 Balance Calculation'!A4,'CCA excl. AIIP'!M:M)</f>
        <v>1998371</v>
      </c>
      <c r="D4" s="33">
        <f t="shared" si="0"/>
        <v>-121425</v>
      </c>
      <c r="E4" s="33">
        <f t="shared" ref="E4:E10" si="4">D4*0.265</f>
        <v>-32177.625</v>
      </c>
      <c r="F4" s="32">
        <f t="shared" si="1"/>
        <v>-43779.081632653062</v>
      </c>
      <c r="G4" s="32">
        <f t="shared" si="2"/>
        <v>-43779.081632653062</v>
      </c>
      <c r="H4" s="34">
        <f>H3+G4</f>
        <v>-146011.39455782314</v>
      </c>
      <c r="I4" s="32">
        <f>SUM('OEB Prescribed Int Rates'!E10:E13)</f>
        <v>-1405.6943027210884</v>
      </c>
      <c r="J4" s="32">
        <f t="shared" ref="J4:J9" si="5">I4+J3</f>
        <v>-1405.6943027210884</v>
      </c>
      <c r="K4" s="28">
        <f t="shared" si="3"/>
        <v>-147417.08886054423</v>
      </c>
    </row>
    <row r="5" spans="1:11" x14ac:dyDescent="0.25">
      <c r="A5" s="16">
        <v>2021</v>
      </c>
      <c r="B5" s="32">
        <f>SUMIF('CCA incl. AIIP'!A:A,'1592 Balance Calculation'!A5,'CCA incl. AIIP'!M:M)</f>
        <v>2697101</v>
      </c>
      <c r="C5" s="32">
        <f>SUMIF('CCA excl. AIIP'!A:A,'1592 Balance Calculation'!A5,'CCA excl. AIIP'!M:M)</f>
        <v>2050965</v>
      </c>
      <c r="D5" s="33">
        <f t="shared" si="0"/>
        <v>-646136</v>
      </c>
      <c r="E5" s="33">
        <f t="shared" si="4"/>
        <v>-171226.04</v>
      </c>
      <c r="F5" s="32">
        <f t="shared" si="1"/>
        <v>-232960.5986394558</v>
      </c>
      <c r="G5" s="32">
        <f t="shared" si="2"/>
        <v>-232960.5986394558</v>
      </c>
      <c r="H5" s="34">
        <f t="shared" ref="H5:H6" si="6">H4+G5</f>
        <v>-378971.99319727893</v>
      </c>
      <c r="I5" s="32">
        <f>SUM('OEB Prescribed Int Rates'!E14:E17)</f>
        <v>-832.26494897959185</v>
      </c>
      <c r="J5" s="32">
        <f t="shared" si="5"/>
        <v>-2237.9592517006804</v>
      </c>
      <c r="K5" s="28">
        <f t="shared" si="3"/>
        <v>-381209.9524489796</v>
      </c>
    </row>
    <row r="6" spans="1:11" x14ac:dyDescent="0.25">
      <c r="A6" s="16">
        <v>2022</v>
      </c>
      <c r="B6" s="32">
        <f>SUMIF('CCA incl. AIIP'!A:A,'1592 Balance Calculation'!A6,'CCA incl. AIIP'!M:M)</f>
        <v>2693769</v>
      </c>
      <c r="C6" s="32">
        <f>SUMIF('CCA excl. AIIP'!A:A,'1592 Balance Calculation'!A6,'CCA excl. AIIP'!M:M)</f>
        <v>2181474</v>
      </c>
      <c r="D6" s="33">
        <f t="shared" si="0"/>
        <v>-512295</v>
      </c>
      <c r="E6" s="33">
        <f t="shared" si="4"/>
        <v>-135758.17500000002</v>
      </c>
      <c r="F6" s="32">
        <f t="shared" si="1"/>
        <v>-184705.00000000003</v>
      </c>
      <c r="G6" s="32">
        <f t="shared" si="2"/>
        <v>-184705.00000000003</v>
      </c>
      <c r="H6" s="34">
        <f t="shared" si="6"/>
        <v>-563676.99319727893</v>
      </c>
      <c r="I6" s="32">
        <f>SUM('OEB Prescribed Int Rates'!E18:E21)</f>
        <v>-7257.3136697278915</v>
      </c>
      <c r="J6" s="32">
        <f t="shared" si="5"/>
        <v>-9495.2729214285719</v>
      </c>
      <c r="K6" s="28">
        <f t="shared" si="3"/>
        <v>-573172.26611870748</v>
      </c>
    </row>
    <row r="7" spans="1:11" x14ac:dyDescent="0.25">
      <c r="A7" s="16">
        <v>2023</v>
      </c>
      <c r="B7" s="32">
        <f>SUMIF('CCA incl. AIIP'!A:A,'1592 Balance Calculation'!A7,'CCA incl. AIIP'!M:M)</f>
        <v>2543831</v>
      </c>
      <c r="C7" s="32">
        <f>SUMIF('CCA excl. AIIP'!A:A,'1592 Balance Calculation'!A7,'CCA excl. AIIP'!M:M)</f>
        <v>2380319</v>
      </c>
      <c r="D7" s="33">
        <f t="shared" si="0"/>
        <v>-163512</v>
      </c>
      <c r="E7" s="33">
        <f t="shared" si="4"/>
        <v>-43330.68</v>
      </c>
      <c r="F7" s="32">
        <f t="shared" si="1"/>
        <v>-58953.306122448979</v>
      </c>
      <c r="G7" s="32">
        <f t="shared" si="2"/>
        <v>-58953.306122448979</v>
      </c>
      <c r="H7" s="34">
        <f>H6+G7</f>
        <v>-622630.29931972793</v>
      </c>
      <c r="I7" s="32">
        <f>SUM('OEB Prescribed Int Rates'!E22:E25)</f>
        <v>-28437.504306802719</v>
      </c>
      <c r="J7" s="32">
        <f t="shared" si="5"/>
        <v>-37932.777228231294</v>
      </c>
      <c r="K7" s="28">
        <f t="shared" si="3"/>
        <v>-660563.07654795924</v>
      </c>
    </row>
    <row r="8" spans="1:11" x14ac:dyDescent="0.25">
      <c r="A8" s="16">
        <v>2024</v>
      </c>
      <c r="B8" s="41" t="s">
        <v>43</v>
      </c>
      <c r="C8" s="41" t="s">
        <v>43</v>
      </c>
      <c r="D8" s="41" t="s">
        <v>43</v>
      </c>
      <c r="E8" s="41" t="s">
        <v>43</v>
      </c>
      <c r="F8" s="41" t="s">
        <v>43</v>
      </c>
      <c r="G8" s="41" t="s">
        <v>43</v>
      </c>
      <c r="H8" s="34">
        <f>H7</f>
        <v>-622630.29931972793</v>
      </c>
      <c r="I8" s="32">
        <f>SUM('OEB Prescribed Int Rates'!E26:E29)</f>
        <v>-32034.328899999997</v>
      </c>
      <c r="J8" s="32">
        <f t="shared" si="5"/>
        <v>-69967.106128231288</v>
      </c>
      <c r="K8" s="28">
        <f t="shared" si="3"/>
        <v>-692597.4054479592</v>
      </c>
    </row>
    <row r="9" spans="1:11" x14ac:dyDescent="0.25">
      <c r="A9" s="35" t="s">
        <v>72</v>
      </c>
      <c r="B9" s="41" t="s">
        <v>43</v>
      </c>
      <c r="C9" s="41" t="s">
        <v>43</v>
      </c>
      <c r="D9" s="41" t="s">
        <v>43</v>
      </c>
      <c r="E9" s="41" t="s">
        <v>43</v>
      </c>
      <c r="F9" s="41" t="s">
        <v>43</v>
      </c>
      <c r="G9" s="41" t="s">
        <v>43</v>
      </c>
      <c r="H9" s="34">
        <f>H8</f>
        <v>-622630.29931972793</v>
      </c>
      <c r="I9" s="32">
        <f>SUM('OEB Prescribed Int Rates'!E30:E31)</f>
        <v>-7554.5809650793663</v>
      </c>
      <c r="J9" s="32">
        <f t="shared" si="5"/>
        <v>-77521.687093310655</v>
      </c>
      <c r="K9" s="28">
        <f t="shared" si="3"/>
        <v>-700151.98641303857</v>
      </c>
    </row>
    <row r="10" spans="1:11" x14ac:dyDescent="0.25">
      <c r="C10" s="36" t="s">
        <v>47</v>
      </c>
      <c r="D10" s="37">
        <f>SUM(D3:D7)</f>
        <v>-1726918</v>
      </c>
      <c r="E10" s="38">
        <f t="shared" si="4"/>
        <v>-457633.27</v>
      </c>
      <c r="F10" s="39">
        <f t="shared" si="1"/>
        <v>-622630.29931972793</v>
      </c>
      <c r="G10" s="40"/>
    </row>
  </sheetData>
  <pageMargins left="0.7" right="0.7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EF782-FE36-4BFA-BC39-8EF430992083}">
  <dimension ref="A1:G31"/>
  <sheetViews>
    <sheetView zoomScaleNormal="100" workbookViewId="0">
      <selection activeCell="B31" sqref="B31"/>
    </sheetView>
  </sheetViews>
  <sheetFormatPr defaultRowHeight="15" x14ac:dyDescent="0.25"/>
  <cols>
    <col min="1" max="2" width="18.7109375" customWidth="1"/>
    <col min="4" max="7" width="17.5703125" customWidth="1"/>
  </cols>
  <sheetData>
    <row r="1" spans="1:7" ht="18" customHeight="1" thickBot="1" x14ac:dyDescent="0.3">
      <c r="A1" s="4" t="s">
        <v>10</v>
      </c>
      <c r="B1" s="5" t="s">
        <v>11</v>
      </c>
      <c r="D1" t="s">
        <v>39</v>
      </c>
      <c r="E1" t="s">
        <v>40</v>
      </c>
      <c r="F1" t="s">
        <v>41</v>
      </c>
      <c r="G1" t="s">
        <v>42</v>
      </c>
    </row>
    <row r="2" spans="1:7" ht="15.75" thickBot="1" x14ac:dyDescent="0.3">
      <c r="A2" s="6" t="s">
        <v>12</v>
      </c>
      <c r="B2" s="7">
        <v>1.4999999999999999E-2</v>
      </c>
      <c r="D2" s="2">
        <v>0</v>
      </c>
      <c r="E2" s="2">
        <f>D2*(B2/4)</f>
        <v>0</v>
      </c>
      <c r="F2" s="2">
        <f>E2</f>
        <v>0</v>
      </c>
      <c r="G2" s="3">
        <f>F2+D2</f>
        <v>0</v>
      </c>
    </row>
    <row r="3" spans="1:7" ht="15.75" thickBot="1" x14ac:dyDescent="0.3">
      <c r="A3" s="8" t="s">
        <v>13</v>
      </c>
      <c r="B3" s="9">
        <v>1.89E-2</v>
      </c>
      <c r="D3" s="2">
        <v>0</v>
      </c>
      <c r="E3" s="2">
        <f t="shared" ref="E3:E28" si="0">D3*(B3/4)</f>
        <v>0</v>
      </c>
      <c r="F3" s="2">
        <f>F2+E3</f>
        <v>0</v>
      </c>
      <c r="G3" s="3">
        <f t="shared" ref="G3:G29" si="1">F3+D3</f>
        <v>0</v>
      </c>
    </row>
    <row r="4" spans="1:7" ht="15.75" thickBot="1" x14ac:dyDescent="0.3">
      <c r="A4" s="6" t="s">
        <v>14</v>
      </c>
      <c r="B4" s="7">
        <v>1.89E-2</v>
      </c>
      <c r="D4" s="2">
        <v>0</v>
      </c>
      <c r="E4" s="2">
        <f t="shared" si="0"/>
        <v>0</v>
      </c>
      <c r="F4" s="2">
        <f t="shared" ref="F4:F29" si="2">F3+E4</f>
        <v>0</v>
      </c>
      <c r="G4" s="3">
        <f t="shared" si="1"/>
        <v>0</v>
      </c>
    </row>
    <row r="5" spans="1:7" ht="15.75" thickBot="1" x14ac:dyDescent="0.3">
      <c r="A5" s="8" t="s">
        <v>15</v>
      </c>
      <c r="B5" s="9">
        <v>2.1700000000000001E-2</v>
      </c>
      <c r="D5" s="2">
        <v>0</v>
      </c>
      <c r="E5" s="2">
        <f t="shared" si="0"/>
        <v>0</v>
      </c>
      <c r="F5" s="2">
        <f t="shared" si="2"/>
        <v>0</v>
      </c>
      <c r="G5" s="3">
        <f t="shared" si="1"/>
        <v>0</v>
      </c>
    </row>
    <row r="6" spans="1:7" ht="15.75" thickBot="1" x14ac:dyDescent="0.3">
      <c r="A6" s="6" t="s">
        <v>16</v>
      </c>
      <c r="B6" s="7">
        <v>2.4500000000000001E-2</v>
      </c>
      <c r="D6" s="2">
        <v>0</v>
      </c>
      <c r="E6" s="2">
        <f t="shared" si="0"/>
        <v>0</v>
      </c>
      <c r="F6" s="2">
        <f t="shared" si="2"/>
        <v>0</v>
      </c>
      <c r="G6" s="3">
        <f t="shared" si="1"/>
        <v>0</v>
      </c>
    </row>
    <row r="7" spans="1:7" ht="15.75" thickBot="1" x14ac:dyDescent="0.3">
      <c r="A7" s="8" t="s">
        <v>17</v>
      </c>
      <c r="B7" s="9">
        <v>2.18E-2</v>
      </c>
      <c r="D7" s="2">
        <f>D6</f>
        <v>0</v>
      </c>
      <c r="E7" s="2">
        <f t="shared" si="0"/>
        <v>0</v>
      </c>
      <c r="F7" s="2">
        <f t="shared" si="2"/>
        <v>0</v>
      </c>
      <c r="G7" s="3">
        <f t="shared" si="1"/>
        <v>0</v>
      </c>
    </row>
    <row r="8" spans="1:7" ht="15.75" thickBot="1" x14ac:dyDescent="0.3">
      <c r="A8" s="6" t="s">
        <v>18</v>
      </c>
      <c r="B8" s="7">
        <v>2.18E-2</v>
      </c>
      <c r="D8" s="2">
        <f>D7</f>
        <v>0</v>
      </c>
      <c r="E8" s="2">
        <f t="shared" si="0"/>
        <v>0</v>
      </c>
      <c r="F8" s="2">
        <f t="shared" si="2"/>
        <v>0</v>
      </c>
      <c r="G8" s="3">
        <f t="shared" si="1"/>
        <v>0</v>
      </c>
    </row>
    <row r="9" spans="1:7" ht="15.75" thickBot="1" x14ac:dyDescent="0.3">
      <c r="A9" s="8" t="s">
        <v>19</v>
      </c>
      <c r="B9" s="9">
        <v>2.18E-2</v>
      </c>
      <c r="D9" s="2">
        <f>D8</f>
        <v>0</v>
      </c>
      <c r="E9" s="2">
        <f t="shared" si="0"/>
        <v>0</v>
      </c>
      <c r="F9" s="2">
        <f t="shared" si="2"/>
        <v>0</v>
      </c>
      <c r="G9" s="3">
        <f t="shared" si="1"/>
        <v>0</v>
      </c>
    </row>
    <row r="10" spans="1:7" ht="15.75" thickBot="1" x14ac:dyDescent="0.3">
      <c r="A10" s="6" t="s">
        <v>20</v>
      </c>
      <c r="B10" s="7">
        <v>2.18E-2</v>
      </c>
      <c r="D10" s="2">
        <f>'1592 Balance Calculation'!G3</f>
        <v>-102232.31292517007</v>
      </c>
      <c r="E10" s="2">
        <f t="shared" si="0"/>
        <v>-557.1661054421769</v>
      </c>
      <c r="F10" s="2">
        <f t="shared" si="2"/>
        <v>-557.1661054421769</v>
      </c>
      <c r="G10" s="3">
        <f t="shared" si="1"/>
        <v>-102789.47903061224</v>
      </c>
    </row>
    <row r="11" spans="1:7" ht="15.75" thickBot="1" x14ac:dyDescent="0.3">
      <c r="A11" s="8" t="s">
        <v>21</v>
      </c>
      <c r="B11" s="9">
        <v>2.18E-2</v>
      </c>
      <c r="D11" s="2">
        <f>D10</f>
        <v>-102232.31292517007</v>
      </c>
      <c r="E11" s="2">
        <f t="shared" si="0"/>
        <v>-557.1661054421769</v>
      </c>
      <c r="F11" s="2">
        <f t="shared" si="2"/>
        <v>-1114.3322108843538</v>
      </c>
      <c r="G11" s="3">
        <f t="shared" si="1"/>
        <v>-103346.64513605443</v>
      </c>
    </row>
    <row r="12" spans="1:7" ht="15.75" thickBot="1" x14ac:dyDescent="0.3">
      <c r="A12" s="6" t="s">
        <v>22</v>
      </c>
      <c r="B12" s="7">
        <v>5.7000000000000002E-3</v>
      </c>
      <c r="D12" s="2">
        <f>D11</f>
        <v>-102232.31292517007</v>
      </c>
      <c r="E12" s="2">
        <f t="shared" si="0"/>
        <v>-145.68104591836737</v>
      </c>
      <c r="F12" s="2">
        <f t="shared" si="2"/>
        <v>-1260.0132568027211</v>
      </c>
      <c r="G12" s="3">
        <f t="shared" si="1"/>
        <v>-103492.32618197279</v>
      </c>
    </row>
    <row r="13" spans="1:7" ht="15.75" thickBot="1" x14ac:dyDescent="0.3">
      <c r="A13" s="8" t="s">
        <v>23</v>
      </c>
      <c r="B13" s="9">
        <v>5.7000000000000002E-3</v>
      </c>
      <c r="D13" s="2">
        <f>D12</f>
        <v>-102232.31292517007</v>
      </c>
      <c r="E13" s="2">
        <f t="shared" si="0"/>
        <v>-145.68104591836737</v>
      </c>
      <c r="F13" s="2">
        <f t="shared" si="2"/>
        <v>-1405.6943027210884</v>
      </c>
      <c r="G13" s="3">
        <f t="shared" si="1"/>
        <v>-103638.00722789117</v>
      </c>
    </row>
    <row r="14" spans="1:7" ht="15.75" thickBot="1" x14ac:dyDescent="0.3">
      <c r="A14" s="6" t="s">
        <v>24</v>
      </c>
      <c r="B14" s="7">
        <v>5.7000000000000002E-3</v>
      </c>
      <c r="D14" s="2">
        <f>D13+'1592 Balance Calculation'!G4</f>
        <v>-146011.39455782314</v>
      </c>
      <c r="E14" s="2">
        <f t="shared" si="0"/>
        <v>-208.06623724489796</v>
      </c>
      <c r="F14" s="2">
        <f t="shared" si="2"/>
        <v>-1613.7605399659865</v>
      </c>
      <c r="G14" s="3">
        <f t="shared" si="1"/>
        <v>-147625.15509778913</v>
      </c>
    </row>
    <row r="15" spans="1:7" ht="15.75" thickBot="1" x14ac:dyDescent="0.3">
      <c r="A15" s="8" t="s">
        <v>25</v>
      </c>
      <c r="B15" s="9">
        <v>5.7000000000000002E-3</v>
      </c>
      <c r="D15" s="2">
        <f t="shared" ref="D15:D16" si="3">D14</f>
        <v>-146011.39455782314</v>
      </c>
      <c r="E15" s="2">
        <f t="shared" si="0"/>
        <v>-208.06623724489796</v>
      </c>
      <c r="F15" s="2">
        <f t="shared" si="2"/>
        <v>-1821.8267772108845</v>
      </c>
      <c r="G15" s="3">
        <f t="shared" si="1"/>
        <v>-147833.22133503403</v>
      </c>
    </row>
    <row r="16" spans="1:7" ht="15.75" thickBot="1" x14ac:dyDescent="0.3">
      <c r="A16" s="6" t="s">
        <v>26</v>
      </c>
      <c r="B16" s="7">
        <v>5.7000000000000002E-3</v>
      </c>
      <c r="D16" s="2">
        <f t="shared" si="3"/>
        <v>-146011.39455782314</v>
      </c>
      <c r="E16" s="2">
        <f t="shared" si="0"/>
        <v>-208.06623724489796</v>
      </c>
      <c r="F16" s="2">
        <f t="shared" si="2"/>
        <v>-2029.8930144557826</v>
      </c>
      <c r="G16" s="3">
        <f t="shared" si="1"/>
        <v>-148041.28757227893</v>
      </c>
    </row>
    <row r="17" spans="1:7" ht="15.75" thickBot="1" x14ac:dyDescent="0.3">
      <c r="A17" s="8" t="s">
        <v>27</v>
      </c>
      <c r="B17" s="9">
        <v>5.7000000000000002E-3</v>
      </c>
      <c r="D17" s="2">
        <f>D16</f>
        <v>-146011.39455782314</v>
      </c>
      <c r="E17" s="2">
        <f t="shared" si="0"/>
        <v>-208.06623724489796</v>
      </c>
      <c r="F17" s="2">
        <f t="shared" si="2"/>
        <v>-2237.9592517006804</v>
      </c>
      <c r="G17" s="3">
        <f t="shared" si="1"/>
        <v>-148249.3538095238</v>
      </c>
    </row>
    <row r="18" spans="1:7" ht="15.75" thickBot="1" x14ac:dyDescent="0.3">
      <c r="A18" s="6" t="s">
        <v>28</v>
      </c>
      <c r="B18" s="7">
        <v>5.7000000000000002E-3</v>
      </c>
      <c r="D18" s="2">
        <f>D17+'1592 Balance Calculation'!G5</f>
        <v>-378971.99319727893</v>
      </c>
      <c r="E18" s="2">
        <f t="shared" si="0"/>
        <v>-540.03509030612247</v>
      </c>
      <c r="F18" s="2">
        <f t="shared" si="2"/>
        <v>-2777.994342006803</v>
      </c>
      <c r="G18" s="3">
        <f t="shared" si="1"/>
        <v>-381749.98753928574</v>
      </c>
    </row>
    <row r="19" spans="1:7" ht="15.75" thickBot="1" x14ac:dyDescent="0.3">
      <c r="A19" s="8" t="s">
        <v>29</v>
      </c>
      <c r="B19" s="9">
        <v>1.0200000000000001E-2</v>
      </c>
      <c r="D19" s="2">
        <f t="shared" ref="D19:D20" si="4">D18</f>
        <v>-378971.99319727893</v>
      </c>
      <c r="E19" s="2">
        <f t="shared" si="0"/>
        <v>-966.37858265306136</v>
      </c>
      <c r="F19" s="2">
        <f t="shared" si="2"/>
        <v>-3744.3729246598641</v>
      </c>
      <c r="G19" s="3">
        <f t="shared" si="1"/>
        <v>-382716.3661219388</v>
      </c>
    </row>
    <row r="20" spans="1:7" ht="15.75" thickBot="1" x14ac:dyDescent="0.3">
      <c r="A20" s="6" t="s">
        <v>30</v>
      </c>
      <c r="B20" s="7">
        <v>2.1999999999999999E-2</v>
      </c>
      <c r="D20" s="2">
        <f t="shared" si="4"/>
        <v>-378971.99319727893</v>
      </c>
      <c r="E20" s="2">
        <f t="shared" si="0"/>
        <v>-2084.3459625850342</v>
      </c>
      <c r="F20" s="2">
        <f t="shared" si="2"/>
        <v>-5828.7188872448987</v>
      </c>
      <c r="G20" s="3">
        <f t="shared" si="1"/>
        <v>-384800.71208452381</v>
      </c>
    </row>
    <row r="21" spans="1:7" ht="15.75" thickBot="1" x14ac:dyDescent="0.3">
      <c r="A21" s="8" t="s">
        <v>31</v>
      </c>
      <c r="B21" s="9">
        <v>3.8699999999999998E-2</v>
      </c>
      <c r="D21" s="2">
        <f>D20</f>
        <v>-378971.99319727893</v>
      </c>
      <c r="E21" s="2">
        <f t="shared" si="0"/>
        <v>-3666.5540341836736</v>
      </c>
      <c r="F21" s="2">
        <f t="shared" si="2"/>
        <v>-9495.2729214285719</v>
      </c>
      <c r="G21" s="3">
        <f t="shared" si="1"/>
        <v>-388467.26611870748</v>
      </c>
    </row>
    <row r="22" spans="1:7" ht="15.75" thickBot="1" x14ac:dyDescent="0.3">
      <c r="A22" s="6" t="s">
        <v>32</v>
      </c>
      <c r="B22" s="7">
        <v>4.7300000000000002E-2</v>
      </c>
      <c r="D22" s="2">
        <f>D21+'1592 Balance Calculation'!G6</f>
        <v>-563676.99319727893</v>
      </c>
      <c r="E22" s="2">
        <f t="shared" si="0"/>
        <v>-6665.4804445578238</v>
      </c>
      <c r="F22" s="2">
        <f t="shared" si="2"/>
        <v>-16160.753365986395</v>
      </c>
      <c r="G22" s="3">
        <f t="shared" si="1"/>
        <v>-579837.74656326533</v>
      </c>
    </row>
    <row r="23" spans="1:7" ht="15.75" thickBot="1" x14ac:dyDescent="0.3">
      <c r="A23" s="8" t="s">
        <v>33</v>
      </c>
      <c r="B23" s="9">
        <v>4.9799999999999997E-2</v>
      </c>
      <c r="D23" s="2">
        <f t="shared" ref="D23:D24" si="5">D22</f>
        <v>-563676.99319727893</v>
      </c>
      <c r="E23" s="2">
        <f t="shared" si="0"/>
        <v>-7017.7785653061219</v>
      </c>
      <c r="F23" s="2">
        <f t="shared" si="2"/>
        <v>-23178.531931292517</v>
      </c>
      <c r="G23" s="3">
        <f t="shared" si="1"/>
        <v>-586855.52512857143</v>
      </c>
    </row>
    <row r="24" spans="1:7" ht="15.75" thickBot="1" x14ac:dyDescent="0.3">
      <c r="A24" s="6" t="s">
        <v>34</v>
      </c>
      <c r="B24" s="7">
        <v>4.9799999999999997E-2</v>
      </c>
      <c r="D24" s="2">
        <f t="shared" si="5"/>
        <v>-563676.99319727893</v>
      </c>
      <c r="E24" s="2">
        <f t="shared" si="0"/>
        <v>-7017.7785653061219</v>
      </c>
      <c r="F24" s="2">
        <f t="shared" si="2"/>
        <v>-30196.310496598639</v>
      </c>
      <c r="G24" s="3">
        <f t="shared" si="1"/>
        <v>-593873.30369387753</v>
      </c>
    </row>
    <row r="25" spans="1:7" ht="15.75" thickBot="1" x14ac:dyDescent="0.3">
      <c r="A25" s="8" t="s">
        <v>35</v>
      </c>
      <c r="B25" s="9">
        <v>5.4899999999999997E-2</v>
      </c>
      <c r="D25" s="2">
        <f>D24</f>
        <v>-563676.99319727893</v>
      </c>
      <c r="E25" s="2">
        <f t="shared" si="0"/>
        <v>-7736.4667316326531</v>
      </c>
      <c r="F25" s="2">
        <f t="shared" si="2"/>
        <v>-37932.777228231294</v>
      </c>
      <c r="G25" s="3">
        <f t="shared" si="1"/>
        <v>-601609.77042551024</v>
      </c>
    </row>
    <row r="26" spans="1:7" ht="15.75" thickBot="1" x14ac:dyDescent="0.3">
      <c r="A26" s="6" t="s">
        <v>36</v>
      </c>
      <c r="B26" s="7">
        <v>5.4899999999999997E-2</v>
      </c>
      <c r="D26" s="2">
        <f>D25+'1592 Balance Calculation'!G7</f>
        <v>-622630.29931972793</v>
      </c>
      <c r="E26" s="2">
        <f t="shared" si="0"/>
        <v>-8545.600858163265</v>
      </c>
      <c r="F26" s="2">
        <f t="shared" si="2"/>
        <v>-46478.378086394558</v>
      </c>
      <c r="G26" s="3">
        <f t="shared" si="1"/>
        <v>-669108.67740612244</v>
      </c>
    </row>
    <row r="27" spans="1:7" ht="15.75" thickBot="1" x14ac:dyDescent="0.3">
      <c r="A27" s="8" t="s">
        <v>37</v>
      </c>
      <c r="B27" s="9">
        <v>5.4899999999999997E-2</v>
      </c>
      <c r="D27" s="2">
        <f t="shared" ref="D27:D31" si="6">D26</f>
        <v>-622630.29931972793</v>
      </c>
      <c r="E27" s="2">
        <f t="shared" si="0"/>
        <v>-8545.600858163265</v>
      </c>
      <c r="F27" s="2">
        <f t="shared" si="2"/>
        <v>-55023.978944557821</v>
      </c>
      <c r="G27" s="3">
        <f t="shared" si="1"/>
        <v>-677654.27826428576</v>
      </c>
    </row>
    <row r="28" spans="1:7" ht="15.75" thickBot="1" x14ac:dyDescent="0.3">
      <c r="A28" s="6" t="s">
        <v>38</v>
      </c>
      <c r="B28" s="7">
        <v>5.1999999999999998E-2</v>
      </c>
      <c r="D28" s="2">
        <f t="shared" si="6"/>
        <v>-622630.29931972793</v>
      </c>
      <c r="E28" s="2">
        <f t="shared" si="0"/>
        <v>-8094.193891156463</v>
      </c>
      <c r="F28" s="2">
        <f t="shared" si="2"/>
        <v>-63118.172835714286</v>
      </c>
      <c r="G28" s="3">
        <f t="shared" si="1"/>
        <v>-685748.47215544223</v>
      </c>
    </row>
    <row r="29" spans="1:7" ht="15.75" thickBot="1" x14ac:dyDescent="0.3">
      <c r="A29" s="8" t="s">
        <v>73</v>
      </c>
      <c r="B29" s="42">
        <v>4.3999999999999997E-2</v>
      </c>
      <c r="C29" s="1"/>
      <c r="D29" s="43">
        <f t="shared" si="6"/>
        <v>-622630.29931972793</v>
      </c>
      <c r="E29" s="43">
        <f>D29*(B29/4)</f>
        <v>-6848.9332925170065</v>
      </c>
      <c r="F29" s="43">
        <f t="shared" si="2"/>
        <v>-69967.106128231288</v>
      </c>
      <c r="G29" s="44">
        <f t="shared" si="1"/>
        <v>-692597.4054479592</v>
      </c>
    </row>
    <row r="30" spans="1:7" ht="15.75" thickBot="1" x14ac:dyDescent="0.3">
      <c r="A30" s="6" t="s">
        <v>74</v>
      </c>
      <c r="B30" s="7">
        <v>3.6400000000000002E-2</v>
      </c>
      <c r="C30" s="12"/>
      <c r="D30" s="13">
        <f t="shared" si="6"/>
        <v>-622630.29931972793</v>
      </c>
      <c r="E30" s="13">
        <f>D30*(B30/4)</f>
        <v>-5665.9357238095245</v>
      </c>
      <c r="F30" s="13">
        <f t="shared" ref="F30:F31" si="7">F29+E30</f>
        <v>-75633.041852040813</v>
      </c>
      <c r="G30" s="14">
        <f t="shared" ref="G30:G31" si="8">F30+D30</f>
        <v>-698263.34117176873</v>
      </c>
    </row>
    <row r="31" spans="1:7" ht="15.75" thickBot="1" x14ac:dyDescent="0.3">
      <c r="A31" s="10" t="s">
        <v>71</v>
      </c>
      <c r="B31" s="11">
        <f>B30</f>
        <v>3.6400000000000002E-2</v>
      </c>
      <c r="C31" s="12"/>
      <c r="D31" s="13">
        <f t="shared" si="6"/>
        <v>-622630.29931972793</v>
      </c>
      <c r="E31" s="13">
        <f>(D31*(B31/4))/3</f>
        <v>-1888.6452412698416</v>
      </c>
      <c r="F31" s="13">
        <f t="shared" si="7"/>
        <v>-77521.687093310655</v>
      </c>
      <c r="G31" s="14">
        <f t="shared" si="8"/>
        <v>-700151.98641303857</v>
      </c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0363C-39C7-4E24-B43D-11341B523603}">
  <dimension ref="A1:O90"/>
  <sheetViews>
    <sheetView zoomScaleNormal="100" workbookViewId="0">
      <selection activeCell="G24" sqref="G24"/>
    </sheetView>
  </sheetViews>
  <sheetFormatPr defaultRowHeight="15" x14ac:dyDescent="0.25"/>
  <cols>
    <col min="2" max="2" width="26.42578125" customWidth="1"/>
    <col min="3" max="14" width="14.5703125" customWidth="1"/>
    <col min="15" max="15" width="11.140625" customWidth="1"/>
  </cols>
  <sheetData>
    <row r="1" spans="1:14" ht="23.25" x14ac:dyDescent="0.35">
      <c r="B1" s="23">
        <v>2019</v>
      </c>
    </row>
    <row r="2" spans="1:14" ht="25.5" x14ac:dyDescent="0.25">
      <c r="A2" s="17" t="s">
        <v>45</v>
      </c>
      <c r="B2" s="17" t="s">
        <v>46</v>
      </c>
      <c r="C2" s="17" t="s">
        <v>59</v>
      </c>
      <c r="D2" s="17" t="s">
        <v>60</v>
      </c>
      <c r="E2" s="17" t="s">
        <v>61</v>
      </c>
      <c r="F2" s="17" t="s">
        <v>62</v>
      </c>
      <c r="G2" s="17" t="s">
        <v>63</v>
      </c>
      <c r="H2" s="17" t="s">
        <v>64</v>
      </c>
      <c r="I2" s="17" t="s">
        <v>65</v>
      </c>
      <c r="J2" s="17" t="s">
        <v>66</v>
      </c>
      <c r="K2" s="17" t="s">
        <v>69</v>
      </c>
      <c r="L2" s="17" t="s">
        <v>67</v>
      </c>
      <c r="M2" s="17" t="s">
        <v>0</v>
      </c>
      <c r="N2" s="17" t="s">
        <v>68</v>
      </c>
    </row>
    <row r="3" spans="1:14" x14ac:dyDescent="0.25">
      <c r="A3" s="18" t="s">
        <v>48</v>
      </c>
      <c r="B3" s="19" t="s">
        <v>49</v>
      </c>
      <c r="C3" s="26">
        <v>1610838</v>
      </c>
      <c r="D3" s="26">
        <v>15561</v>
      </c>
      <c r="E3" s="26">
        <f>D3</f>
        <v>15561</v>
      </c>
      <c r="F3" s="26"/>
      <c r="G3" s="26"/>
      <c r="H3" s="26"/>
      <c r="I3" s="26"/>
      <c r="J3" s="26">
        <f>E3-I3</f>
        <v>15561</v>
      </c>
      <c r="K3" s="26">
        <f>IF(J3=0,D3-I3,D3-J3-I3)</f>
        <v>0</v>
      </c>
      <c r="L3" s="30">
        <v>0.04</v>
      </c>
      <c r="M3" s="26">
        <f t="shared" ref="M3:M14" si="0">ROUND(IF((C3*L3+(J3*1.5)*L3+(K3*0.5)*L3)&gt;=C3+J3+K3,C3+J3+K3,C3*L3+(J3*1.5)*L3+(K3*0.5)*L3),0)</f>
        <v>65367</v>
      </c>
      <c r="N3" s="26">
        <f t="shared" ref="N3:N14" si="1">ROUND(IF((C3+D3-M3-H3)&lt;=0,0,C3+D3-M3-H3),0)</f>
        <v>1561032</v>
      </c>
    </row>
    <row r="4" spans="1:14" x14ac:dyDescent="0.25">
      <c r="A4" s="20">
        <v>1</v>
      </c>
      <c r="B4" s="19" t="s">
        <v>50</v>
      </c>
      <c r="C4" s="26">
        <v>9454624</v>
      </c>
      <c r="D4" s="26"/>
      <c r="E4" s="26"/>
      <c r="F4" s="26"/>
      <c r="G4" s="26"/>
      <c r="H4" s="26"/>
      <c r="I4" s="26"/>
      <c r="J4" s="26"/>
      <c r="K4" s="26"/>
      <c r="L4" s="30">
        <v>0.04</v>
      </c>
      <c r="M4" s="26">
        <f t="shared" si="0"/>
        <v>378185</v>
      </c>
      <c r="N4" s="26">
        <f t="shared" si="1"/>
        <v>9076439</v>
      </c>
    </row>
    <row r="5" spans="1:14" x14ac:dyDescent="0.25">
      <c r="A5" s="20">
        <v>1</v>
      </c>
      <c r="B5" s="19" t="s">
        <v>51</v>
      </c>
      <c r="C5" s="26">
        <v>923930</v>
      </c>
      <c r="D5" s="26"/>
      <c r="E5" s="26"/>
      <c r="F5" s="26"/>
      <c r="G5" s="26"/>
      <c r="H5" s="26"/>
      <c r="I5" s="26"/>
      <c r="J5" s="26"/>
      <c r="K5" s="26"/>
      <c r="L5" s="30">
        <v>0.04</v>
      </c>
      <c r="M5" s="26">
        <f t="shared" si="0"/>
        <v>36957</v>
      </c>
      <c r="N5" s="26">
        <f t="shared" si="1"/>
        <v>886973</v>
      </c>
    </row>
    <row r="6" spans="1:14" x14ac:dyDescent="0.25">
      <c r="A6" s="20">
        <v>6</v>
      </c>
      <c r="B6" s="19" t="s">
        <v>52</v>
      </c>
      <c r="C6" s="26">
        <v>20911</v>
      </c>
      <c r="D6" s="26"/>
      <c r="E6" s="26"/>
      <c r="F6" s="26"/>
      <c r="G6" s="26"/>
      <c r="H6" s="26"/>
      <c r="I6" s="26"/>
      <c r="J6" s="26"/>
      <c r="K6" s="26"/>
      <c r="L6" s="30">
        <v>0.1</v>
      </c>
      <c r="M6" s="26">
        <f t="shared" si="0"/>
        <v>2091</v>
      </c>
      <c r="N6" s="26">
        <f t="shared" si="1"/>
        <v>18820</v>
      </c>
    </row>
    <row r="7" spans="1:14" x14ac:dyDescent="0.25">
      <c r="A7" s="20">
        <v>8</v>
      </c>
      <c r="B7" s="19" t="s">
        <v>53</v>
      </c>
      <c r="C7" s="26">
        <v>71276</v>
      </c>
      <c r="D7" s="26">
        <v>45566</v>
      </c>
      <c r="E7" s="26">
        <f>D7</f>
        <v>45566</v>
      </c>
      <c r="F7" s="26"/>
      <c r="G7" s="26"/>
      <c r="H7" s="26"/>
      <c r="I7" s="26"/>
      <c r="J7" s="26">
        <f>E7-I7</f>
        <v>45566</v>
      </c>
      <c r="K7" s="26">
        <f>IF(J7=0,D7-I7,D7-J7-I7)</f>
        <v>0</v>
      </c>
      <c r="L7" s="30">
        <v>0.2</v>
      </c>
      <c r="M7" s="26">
        <f t="shared" si="0"/>
        <v>27925</v>
      </c>
      <c r="N7" s="26">
        <f t="shared" si="1"/>
        <v>88917</v>
      </c>
    </row>
    <row r="8" spans="1:14" x14ac:dyDescent="0.25">
      <c r="A8" s="20">
        <v>10</v>
      </c>
      <c r="B8" s="19" t="s">
        <v>54</v>
      </c>
      <c r="C8" s="26">
        <v>209203</v>
      </c>
      <c r="D8" s="26">
        <v>253823</v>
      </c>
      <c r="E8" s="26">
        <f>D8</f>
        <v>253823</v>
      </c>
      <c r="F8" s="26"/>
      <c r="G8" s="26"/>
      <c r="H8" s="26">
        <v>9500</v>
      </c>
      <c r="I8" s="26">
        <f>H8</f>
        <v>9500</v>
      </c>
      <c r="J8" s="26">
        <f>E8-I8</f>
        <v>244323</v>
      </c>
      <c r="K8" s="26">
        <f>IF(J8=0,D8-I8,D8-J8-I8)</f>
        <v>0</v>
      </c>
      <c r="L8" s="30">
        <v>0.3</v>
      </c>
      <c r="M8" s="26">
        <f t="shared" si="0"/>
        <v>172706</v>
      </c>
      <c r="N8" s="26">
        <f t="shared" si="1"/>
        <v>280820</v>
      </c>
    </row>
    <row r="9" spans="1:14" x14ac:dyDescent="0.25">
      <c r="A9" s="20">
        <v>10</v>
      </c>
      <c r="B9" s="19" t="s">
        <v>55</v>
      </c>
      <c r="C9" s="26">
        <v>1085</v>
      </c>
      <c r="D9" s="26"/>
      <c r="E9" s="26"/>
      <c r="F9" s="26"/>
      <c r="G9" s="26"/>
      <c r="H9" s="26"/>
      <c r="I9" s="26"/>
      <c r="J9" s="26"/>
      <c r="K9" s="26"/>
      <c r="L9" s="30">
        <v>0.3</v>
      </c>
      <c r="M9" s="26">
        <f t="shared" si="0"/>
        <v>326</v>
      </c>
      <c r="N9" s="26">
        <f t="shared" si="1"/>
        <v>759</v>
      </c>
    </row>
    <row r="10" spans="1:14" x14ac:dyDescent="0.25">
      <c r="A10" s="20">
        <v>12</v>
      </c>
      <c r="B10" s="19" t="s">
        <v>56</v>
      </c>
      <c r="C10" s="26">
        <v>2504</v>
      </c>
      <c r="D10" s="26">
        <v>47649</v>
      </c>
      <c r="E10" s="26">
        <f>D10</f>
        <v>47649</v>
      </c>
      <c r="F10" s="26"/>
      <c r="G10" s="26"/>
      <c r="H10" s="26"/>
      <c r="I10" s="26"/>
      <c r="J10" s="26">
        <f>E10-I10</f>
        <v>47649</v>
      </c>
      <c r="K10" s="26">
        <f>IF(J10=0,D10-I10,D10-J10-I10)</f>
        <v>0</v>
      </c>
      <c r="L10" s="30">
        <v>1</v>
      </c>
      <c r="M10" s="26">
        <f t="shared" si="0"/>
        <v>50153</v>
      </c>
      <c r="N10" s="26">
        <f t="shared" si="1"/>
        <v>0</v>
      </c>
    </row>
    <row r="11" spans="1:14" x14ac:dyDescent="0.25">
      <c r="A11" s="20">
        <v>42</v>
      </c>
      <c r="B11" s="19" t="s">
        <v>57</v>
      </c>
      <c r="C11" s="26">
        <v>22207</v>
      </c>
      <c r="D11" s="26"/>
      <c r="E11" s="26"/>
      <c r="F11" s="26"/>
      <c r="G11" s="26"/>
      <c r="H11" s="26"/>
      <c r="I11" s="26"/>
      <c r="J11" s="26"/>
      <c r="K11" s="26"/>
      <c r="L11" s="30">
        <v>0.12</v>
      </c>
      <c r="M11" s="26">
        <f t="shared" si="0"/>
        <v>2665</v>
      </c>
      <c r="N11" s="26">
        <f t="shared" si="1"/>
        <v>19542</v>
      </c>
    </row>
    <row r="12" spans="1:14" x14ac:dyDescent="0.25">
      <c r="A12" s="21">
        <v>45</v>
      </c>
      <c r="B12" s="19" t="s">
        <v>55</v>
      </c>
      <c r="C12" s="26">
        <v>23</v>
      </c>
      <c r="D12" s="26"/>
      <c r="E12" s="26"/>
      <c r="F12" s="26"/>
      <c r="G12" s="26"/>
      <c r="H12" s="26"/>
      <c r="I12" s="26"/>
      <c r="J12" s="26"/>
      <c r="K12" s="26"/>
      <c r="L12" s="30">
        <v>0.45</v>
      </c>
      <c r="M12" s="26">
        <f t="shared" si="0"/>
        <v>10</v>
      </c>
      <c r="N12" s="26">
        <f t="shared" si="1"/>
        <v>13</v>
      </c>
    </row>
    <row r="13" spans="1:14" x14ac:dyDescent="0.25">
      <c r="A13" s="20">
        <v>47</v>
      </c>
      <c r="B13" s="19" t="s">
        <v>58</v>
      </c>
      <c r="C13" s="26">
        <v>14906094</v>
      </c>
      <c r="D13" s="26">
        <v>2208673</v>
      </c>
      <c r="E13" s="26">
        <f>D13</f>
        <v>2208673</v>
      </c>
      <c r="F13" s="26"/>
      <c r="G13" s="26"/>
      <c r="H13" s="26"/>
      <c r="I13" s="26"/>
      <c r="J13" s="26">
        <f>E13-I13</f>
        <v>2208673</v>
      </c>
      <c r="K13" s="26">
        <f>IF(J13=0,D13-I13,D13-J13-I13)</f>
        <v>0</v>
      </c>
      <c r="L13" s="30">
        <v>0.08</v>
      </c>
      <c r="M13" s="26">
        <f t="shared" si="0"/>
        <v>1457528</v>
      </c>
      <c r="N13" s="26">
        <f t="shared" si="1"/>
        <v>15657239</v>
      </c>
    </row>
    <row r="14" spans="1:14" x14ac:dyDescent="0.25">
      <c r="A14" s="20">
        <v>50</v>
      </c>
      <c r="B14" s="22" t="s">
        <v>55</v>
      </c>
      <c r="C14" s="26">
        <v>25362</v>
      </c>
      <c r="D14" s="26"/>
      <c r="E14" s="26"/>
      <c r="F14" s="26"/>
      <c r="G14" s="26"/>
      <c r="H14" s="26"/>
      <c r="I14" s="26"/>
      <c r="J14" s="26"/>
      <c r="K14" s="26"/>
      <c r="L14" s="30">
        <v>0.55000000000000004</v>
      </c>
      <c r="M14" s="26">
        <f t="shared" si="0"/>
        <v>13949</v>
      </c>
      <c r="N14" s="26">
        <f t="shared" si="1"/>
        <v>11413</v>
      </c>
    </row>
    <row r="15" spans="1:14" x14ac:dyDescent="0.25">
      <c r="A15" s="20"/>
      <c r="B15" s="19"/>
      <c r="C15" s="26"/>
      <c r="D15" s="26"/>
      <c r="E15" s="26"/>
      <c r="F15" s="26"/>
      <c r="G15" s="26"/>
      <c r="H15" s="26"/>
      <c r="I15" s="26"/>
      <c r="J15" s="26"/>
      <c r="K15" s="26"/>
      <c r="L15" s="30"/>
      <c r="M15" s="26"/>
      <c r="N15" s="26"/>
    </row>
    <row r="16" spans="1:14" x14ac:dyDescent="0.25">
      <c r="A16" s="20"/>
      <c r="B16" s="19"/>
      <c r="C16" s="26"/>
      <c r="D16" s="26"/>
      <c r="E16" s="26"/>
      <c r="F16" s="26"/>
      <c r="G16" s="26"/>
      <c r="H16" s="26"/>
      <c r="I16" s="26"/>
      <c r="J16" s="26"/>
      <c r="K16" s="26"/>
      <c r="L16" s="30"/>
      <c r="M16" s="26"/>
      <c r="N16" s="26"/>
    </row>
    <row r="17" spans="1:14" s="1" customFormat="1" ht="15.75" x14ac:dyDescent="0.25">
      <c r="A17" s="27">
        <f>B1</f>
        <v>2019</v>
      </c>
      <c r="B17" s="31" t="s">
        <v>47</v>
      </c>
      <c r="C17" s="28">
        <f>SUM(C3:C16)</f>
        <v>27248057</v>
      </c>
      <c r="D17" s="28">
        <f t="shared" ref="D17:N17" si="2">SUM(D3:D16)</f>
        <v>2571272</v>
      </c>
      <c r="E17" s="28">
        <f t="shared" si="2"/>
        <v>2571272</v>
      </c>
      <c r="F17" s="28">
        <f t="shared" si="2"/>
        <v>0</v>
      </c>
      <c r="G17" s="28">
        <f t="shared" si="2"/>
        <v>0</v>
      </c>
      <c r="H17" s="28">
        <f t="shared" si="2"/>
        <v>9500</v>
      </c>
      <c r="I17" s="28">
        <f t="shared" si="2"/>
        <v>9500</v>
      </c>
      <c r="J17" s="28">
        <f t="shared" si="2"/>
        <v>2561772</v>
      </c>
      <c r="K17" s="28">
        <f t="shared" si="2"/>
        <v>0</v>
      </c>
      <c r="L17" s="29"/>
      <c r="M17" s="28">
        <f t="shared" si="2"/>
        <v>2207862</v>
      </c>
      <c r="N17" s="28">
        <f t="shared" si="2"/>
        <v>27601967</v>
      </c>
    </row>
    <row r="19" spans="1:14" ht="23.25" x14ac:dyDescent="0.35">
      <c r="B19" s="23">
        <v>2020</v>
      </c>
    </row>
    <row r="20" spans="1:14" ht="25.5" x14ac:dyDescent="0.25">
      <c r="A20" s="17" t="s">
        <v>45</v>
      </c>
      <c r="B20" s="17" t="s">
        <v>46</v>
      </c>
      <c r="C20" s="17" t="s">
        <v>59</v>
      </c>
      <c r="D20" s="17" t="s">
        <v>60</v>
      </c>
      <c r="E20" s="17" t="s">
        <v>61</v>
      </c>
      <c r="F20" s="17" t="s">
        <v>62</v>
      </c>
      <c r="G20" s="17" t="s">
        <v>63</v>
      </c>
      <c r="H20" s="17" t="s">
        <v>64</v>
      </c>
      <c r="I20" s="17" t="s">
        <v>65</v>
      </c>
      <c r="J20" s="17" t="s">
        <v>66</v>
      </c>
      <c r="K20" s="17" t="s">
        <v>69</v>
      </c>
      <c r="L20" s="17" t="s">
        <v>67</v>
      </c>
      <c r="M20" s="17" t="s">
        <v>0</v>
      </c>
      <c r="N20" s="17" t="s">
        <v>68</v>
      </c>
    </row>
    <row r="21" spans="1:14" x14ac:dyDescent="0.25">
      <c r="A21" s="18" t="s">
        <v>48</v>
      </c>
      <c r="B21" s="19" t="s">
        <v>49</v>
      </c>
      <c r="C21" s="26">
        <f>N3</f>
        <v>1561032</v>
      </c>
      <c r="D21" s="26"/>
      <c r="E21" s="26">
        <f>D21</f>
        <v>0</v>
      </c>
      <c r="F21" s="26"/>
      <c r="G21" s="26"/>
      <c r="H21" s="26"/>
      <c r="I21" s="26"/>
      <c r="J21" s="26">
        <f>E21-I21</f>
        <v>0</v>
      </c>
      <c r="K21" s="26">
        <f>IF(J21=0,D21-I21,D21-J21-I21)</f>
        <v>0</v>
      </c>
      <c r="L21" s="30">
        <v>0.04</v>
      </c>
      <c r="M21" s="26">
        <f t="shared" ref="M21:M32" si="3">ROUND(IF((C21*L21+(J21*1.5)*L21+(K21*0.5)*L21)&gt;=C21+J21+K21,C21+J21+K21,C21*L21+(J21*1.5)*L21+(K21*0.5)*L21),0)</f>
        <v>62441</v>
      </c>
      <c r="N21" s="26">
        <f t="shared" ref="N21:N32" si="4">ROUND(IF((C21+D21-M21-H21)&lt;=0,0,C21+D21-M21-H21),0)</f>
        <v>1498591</v>
      </c>
    </row>
    <row r="22" spans="1:14" x14ac:dyDescent="0.25">
      <c r="A22" s="20">
        <v>1</v>
      </c>
      <c r="B22" s="19" t="s">
        <v>50</v>
      </c>
      <c r="C22" s="26">
        <f t="shared" ref="C22:C32" si="5">N4</f>
        <v>9076439</v>
      </c>
      <c r="D22" s="26"/>
      <c r="E22" s="26"/>
      <c r="F22" s="26"/>
      <c r="G22" s="26"/>
      <c r="H22" s="26"/>
      <c r="I22" s="26"/>
      <c r="J22" s="26"/>
      <c r="K22" s="26"/>
      <c r="L22" s="30">
        <v>0.04</v>
      </c>
      <c r="M22" s="26">
        <f t="shared" si="3"/>
        <v>363058</v>
      </c>
      <c r="N22" s="26">
        <f t="shared" si="4"/>
        <v>8713381</v>
      </c>
    </row>
    <row r="23" spans="1:14" x14ac:dyDescent="0.25">
      <c r="A23" s="20">
        <v>1</v>
      </c>
      <c r="B23" s="19" t="s">
        <v>51</v>
      </c>
      <c r="C23" s="26">
        <f t="shared" si="5"/>
        <v>886973</v>
      </c>
      <c r="D23" s="26"/>
      <c r="E23" s="26"/>
      <c r="F23" s="26"/>
      <c r="G23" s="26"/>
      <c r="H23" s="26"/>
      <c r="I23" s="26"/>
      <c r="J23" s="26"/>
      <c r="K23" s="26"/>
      <c r="L23" s="30">
        <v>0.04</v>
      </c>
      <c r="M23" s="26">
        <f t="shared" si="3"/>
        <v>35479</v>
      </c>
      <c r="N23" s="26">
        <f t="shared" si="4"/>
        <v>851494</v>
      </c>
    </row>
    <row r="24" spans="1:14" x14ac:dyDescent="0.25">
      <c r="A24" s="20">
        <v>6</v>
      </c>
      <c r="B24" s="19" t="s">
        <v>52</v>
      </c>
      <c r="C24" s="26">
        <f t="shared" si="5"/>
        <v>18820</v>
      </c>
      <c r="D24" s="26"/>
      <c r="E24" s="26"/>
      <c r="F24" s="26"/>
      <c r="G24" s="26"/>
      <c r="H24" s="26"/>
      <c r="I24" s="26"/>
      <c r="J24" s="26"/>
      <c r="K24" s="26"/>
      <c r="L24" s="30">
        <v>0.1</v>
      </c>
      <c r="M24" s="26">
        <f t="shared" si="3"/>
        <v>1882</v>
      </c>
      <c r="N24" s="26">
        <f t="shared" si="4"/>
        <v>16938</v>
      </c>
    </row>
    <row r="25" spans="1:14" x14ac:dyDescent="0.25">
      <c r="A25" s="20">
        <v>8</v>
      </c>
      <c r="B25" s="19" t="s">
        <v>53</v>
      </c>
      <c r="C25" s="26">
        <f t="shared" si="5"/>
        <v>88917</v>
      </c>
      <c r="D25" s="26">
        <v>230058</v>
      </c>
      <c r="E25" s="26">
        <f>D25</f>
        <v>230058</v>
      </c>
      <c r="F25" s="26"/>
      <c r="G25" s="26"/>
      <c r="H25" s="26"/>
      <c r="I25" s="26"/>
      <c r="J25" s="26">
        <f>E25-I25</f>
        <v>230058</v>
      </c>
      <c r="K25" s="26">
        <f>IF(J25=0,D25-I25,D25-J25-I25)</f>
        <v>0</v>
      </c>
      <c r="L25" s="30">
        <v>0.2</v>
      </c>
      <c r="M25" s="26">
        <f t="shared" si="3"/>
        <v>86801</v>
      </c>
      <c r="N25" s="26">
        <f t="shared" si="4"/>
        <v>232174</v>
      </c>
    </row>
    <row r="26" spans="1:14" x14ac:dyDescent="0.25">
      <c r="A26" s="20">
        <v>10</v>
      </c>
      <c r="B26" s="19" t="s">
        <v>54</v>
      </c>
      <c r="C26" s="26">
        <f t="shared" si="5"/>
        <v>280820</v>
      </c>
      <c r="D26" s="26">
        <v>40148</v>
      </c>
      <c r="E26" s="26">
        <f>D26</f>
        <v>40148</v>
      </c>
      <c r="F26" s="26"/>
      <c r="G26" s="26"/>
      <c r="H26" s="26">
        <v>38214</v>
      </c>
      <c r="I26" s="26">
        <f>H26</f>
        <v>38214</v>
      </c>
      <c r="J26" s="26">
        <f>E26-I26</f>
        <v>1934</v>
      </c>
      <c r="K26" s="26">
        <f>IF(J26=0,D26-I26,D26-J26-I26)</f>
        <v>0</v>
      </c>
      <c r="L26" s="30">
        <v>0.3</v>
      </c>
      <c r="M26" s="26">
        <f t="shared" si="3"/>
        <v>85116</v>
      </c>
      <c r="N26" s="26">
        <f t="shared" si="4"/>
        <v>197638</v>
      </c>
    </row>
    <row r="27" spans="1:14" x14ac:dyDescent="0.25">
      <c r="A27" s="20">
        <v>10</v>
      </c>
      <c r="B27" s="19" t="s">
        <v>55</v>
      </c>
      <c r="C27" s="26">
        <f t="shared" si="5"/>
        <v>759</v>
      </c>
      <c r="D27" s="26"/>
      <c r="E27" s="26"/>
      <c r="F27" s="26"/>
      <c r="G27" s="26"/>
      <c r="H27" s="26"/>
      <c r="I27" s="26"/>
      <c r="J27" s="26"/>
      <c r="K27" s="26"/>
      <c r="L27" s="30">
        <v>0.3</v>
      </c>
      <c r="M27" s="26">
        <f t="shared" si="3"/>
        <v>228</v>
      </c>
      <c r="N27" s="26">
        <f t="shared" si="4"/>
        <v>531</v>
      </c>
    </row>
    <row r="28" spans="1:14" x14ac:dyDescent="0.25">
      <c r="A28" s="20">
        <v>12</v>
      </c>
      <c r="B28" s="19" t="s">
        <v>56</v>
      </c>
      <c r="C28" s="26">
        <f t="shared" si="5"/>
        <v>0</v>
      </c>
      <c r="D28" s="26">
        <v>74557</v>
      </c>
      <c r="E28" s="26">
        <f>D28</f>
        <v>74557</v>
      </c>
      <c r="F28" s="26"/>
      <c r="G28" s="26"/>
      <c r="H28" s="26"/>
      <c r="I28" s="26"/>
      <c r="J28" s="26">
        <f>E28-I28</f>
        <v>74557</v>
      </c>
      <c r="K28" s="26">
        <f>IF(J28=0,D28-I28,D28-J28-I28)</f>
        <v>0</v>
      </c>
      <c r="L28" s="30">
        <v>1</v>
      </c>
      <c r="M28" s="26">
        <f t="shared" si="3"/>
        <v>74557</v>
      </c>
      <c r="N28" s="26">
        <f t="shared" si="4"/>
        <v>0</v>
      </c>
    </row>
    <row r="29" spans="1:14" x14ac:dyDescent="0.25">
      <c r="A29" s="20">
        <v>42</v>
      </c>
      <c r="B29" s="19" t="s">
        <v>57</v>
      </c>
      <c r="C29" s="26">
        <f t="shared" si="5"/>
        <v>19542</v>
      </c>
      <c r="D29" s="26"/>
      <c r="E29" s="26"/>
      <c r="F29" s="26"/>
      <c r="G29" s="26"/>
      <c r="H29" s="26"/>
      <c r="I29" s="26"/>
      <c r="J29" s="26"/>
      <c r="K29" s="26"/>
      <c r="L29" s="30">
        <v>0.12</v>
      </c>
      <c r="M29" s="26">
        <f t="shared" si="3"/>
        <v>2345</v>
      </c>
      <c r="N29" s="26">
        <f t="shared" si="4"/>
        <v>17197</v>
      </c>
    </row>
    <row r="30" spans="1:14" x14ac:dyDescent="0.25">
      <c r="A30" s="21">
        <v>45</v>
      </c>
      <c r="B30" s="19" t="s">
        <v>55</v>
      </c>
      <c r="C30" s="26">
        <f t="shared" si="5"/>
        <v>13</v>
      </c>
      <c r="D30" s="26"/>
      <c r="E30" s="26"/>
      <c r="F30" s="26"/>
      <c r="G30" s="26"/>
      <c r="H30" s="26"/>
      <c r="I30" s="26"/>
      <c r="J30" s="26"/>
      <c r="K30" s="26"/>
      <c r="L30" s="30">
        <v>0.45</v>
      </c>
      <c r="M30" s="26">
        <f t="shared" si="3"/>
        <v>6</v>
      </c>
      <c r="N30" s="26">
        <f t="shared" si="4"/>
        <v>7</v>
      </c>
    </row>
    <row r="31" spans="1:14" x14ac:dyDescent="0.25">
      <c r="A31" s="20">
        <v>47</v>
      </c>
      <c r="B31" s="19" t="s">
        <v>58</v>
      </c>
      <c r="C31" s="26">
        <f t="shared" si="5"/>
        <v>15657239</v>
      </c>
      <c r="D31" s="26">
        <v>1224571</v>
      </c>
      <c r="E31" s="26">
        <f>D31</f>
        <v>1224571</v>
      </c>
      <c r="F31" s="26"/>
      <c r="G31" s="26"/>
      <c r="H31" s="26"/>
      <c r="I31" s="26"/>
      <c r="J31" s="26">
        <f>E31-I31</f>
        <v>1224571</v>
      </c>
      <c r="K31" s="26">
        <f>IF(J31=0,D31-I31,D31-J31-I31)</f>
        <v>0</v>
      </c>
      <c r="L31" s="30">
        <v>0.08</v>
      </c>
      <c r="M31" s="26">
        <f t="shared" si="3"/>
        <v>1399528</v>
      </c>
      <c r="N31" s="26">
        <f t="shared" si="4"/>
        <v>15482282</v>
      </c>
    </row>
    <row r="32" spans="1:14" x14ac:dyDescent="0.25">
      <c r="A32" s="20">
        <v>50</v>
      </c>
      <c r="B32" s="22" t="s">
        <v>55</v>
      </c>
      <c r="C32" s="26">
        <f t="shared" si="5"/>
        <v>11413</v>
      </c>
      <c r="D32" s="26">
        <v>2518</v>
      </c>
      <c r="E32" s="26">
        <f>D32</f>
        <v>2518</v>
      </c>
      <c r="F32" s="26"/>
      <c r="G32" s="26"/>
      <c r="H32" s="26"/>
      <c r="I32" s="26"/>
      <c r="J32" s="26">
        <f>E32-I32</f>
        <v>2518</v>
      </c>
      <c r="K32" s="26">
        <f>IF(J32=0,D32-I32,D32-J32-I32)</f>
        <v>0</v>
      </c>
      <c r="L32" s="30">
        <v>0.55000000000000004</v>
      </c>
      <c r="M32" s="26">
        <f t="shared" si="3"/>
        <v>8355</v>
      </c>
      <c r="N32" s="26">
        <f t="shared" si="4"/>
        <v>5576</v>
      </c>
    </row>
    <row r="33" spans="1:15" x14ac:dyDescent="0.25">
      <c r="A33" s="20"/>
      <c r="B33" s="19"/>
      <c r="C33" s="26"/>
      <c r="D33" s="26"/>
      <c r="E33" s="26"/>
      <c r="F33" s="26"/>
      <c r="G33" s="26"/>
      <c r="H33" s="26"/>
      <c r="I33" s="26"/>
      <c r="J33" s="26"/>
      <c r="K33" s="26"/>
      <c r="L33" s="30"/>
      <c r="M33" s="26"/>
      <c r="N33" s="26"/>
    </row>
    <row r="34" spans="1:15" x14ac:dyDescent="0.25">
      <c r="A34" s="20"/>
      <c r="B34" s="19"/>
      <c r="C34" s="26"/>
      <c r="D34" s="26"/>
      <c r="E34" s="26"/>
      <c r="F34" s="26"/>
      <c r="G34" s="26"/>
      <c r="H34" s="26"/>
      <c r="I34" s="26"/>
      <c r="J34" s="26"/>
      <c r="K34" s="26"/>
      <c r="L34" s="30"/>
      <c r="M34" s="26"/>
      <c r="N34" s="26"/>
    </row>
    <row r="35" spans="1:15" ht="15.75" x14ac:dyDescent="0.25">
      <c r="A35" s="27">
        <f>B19</f>
        <v>2020</v>
      </c>
      <c r="B35" s="31" t="s">
        <v>47</v>
      </c>
      <c r="C35" s="28">
        <f>SUM(C21:C34)</f>
        <v>27601967</v>
      </c>
      <c r="D35" s="28">
        <f t="shared" ref="D35" si="6">SUM(D21:D34)</f>
        <v>1571852</v>
      </c>
      <c r="E35" s="28">
        <f t="shared" ref="E35" si="7">SUM(E21:E34)</f>
        <v>1571852</v>
      </c>
      <c r="F35" s="28">
        <f t="shared" ref="F35" si="8">SUM(F21:F34)</f>
        <v>0</v>
      </c>
      <c r="G35" s="28">
        <f t="shared" ref="G35" si="9">SUM(G21:G34)</f>
        <v>0</v>
      </c>
      <c r="H35" s="28">
        <f t="shared" ref="H35" si="10">SUM(H21:H34)</f>
        <v>38214</v>
      </c>
      <c r="I35" s="28">
        <f t="shared" ref="I35" si="11">SUM(I21:I34)</f>
        <v>38214</v>
      </c>
      <c r="J35" s="28">
        <f t="shared" ref="J35" si="12">SUM(J21:J34)</f>
        <v>1533638</v>
      </c>
      <c r="K35" s="28">
        <f t="shared" ref="K35" si="13">SUM(K21:K34)</f>
        <v>0</v>
      </c>
      <c r="L35" s="29"/>
      <c r="M35" s="28">
        <f t="shared" ref="M35" si="14">SUM(M21:M34)</f>
        <v>2119796</v>
      </c>
      <c r="N35" s="28">
        <f t="shared" ref="N35" si="15">SUM(N21:N34)</f>
        <v>27015809</v>
      </c>
    </row>
    <row r="37" spans="1:15" ht="23.25" x14ac:dyDescent="0.35">
      <c r="B37" s="23">
        <v>2021</v>
      </c>
    </row>
    <row r="38" spans="1:15" ht="25.5" x14ac:dyDescent="0.25">
      <c r="A38" s="17" t="s">
        <v>45</v>
      </c>
      <c r="B38" s="17" t="s">
        <v>46</v>
      </c>
      <c r="C38" s="17" t="s">
        <v>59</v>
      </c>
      <c r="D38" s="17" t="s">
        <v>60</v>
      </c>
      <c r="E38" s="17" t="s">
        <v>61</v>
      </c>
      <c r="F38" s="17" t="s">
        <v>62</v>
      </c>
      <c r="G38" s="17" t="s">
        <v>63</v>
      </c>
      <c r="H38" s="17" t="s">
        <v>64</v>
      </c>
      <c r="I38" s="17" t="s">
        <v>65</v>
      </c>
      <c r="J38" s="17" t="s">
        <v>66</v>
      </c>
      <c r="K38" s="17" t="s">
        <v>70</v>
      </c>
      <c r="L38" s="17" t="s">
        <v>67</v>
      </c>
      <c r="M38" s="17" t="s">
        <v>0</v>
      </c>
      <c r="N38" s="17" t="s">
        <v>68</v>
      </c>
    </row>
    <row r="39" spans="1:15" x14ac:dyDescent="0.25">
      <c r="A39" s="18" t="s">
        <v>48</v>
      </c>
      <c r="B39" s="19" t="s">
        <v>49</v>
      </c>
      <c r="C39" s="26">
        <f>N21</f>
        <v>1498591</v>
      </c>
      <c r="D39" s="26"/>
      <c r="E39" s="26">
        <f>D39</f>
        <v>0</v>
      </c>
      <c r="F39" s="26"/>
      <c r="G39" s="26"/>
      <c r="H39" s="26"/>
      <c r="I39" s="26"/>
      <c r="J39" s="26">
        <f>E39-I39-F39</f>
        <v>0</v>
      </c>
      <c r="K39" s="26">
        <f>IF((D39-F39-I39-J39)&lt;=0,0,D39-F39-I39-J39)</f>
        <v>0</v>
      </c>
      <c r="L39" s="30">
        <v>0.04</v>
      </c>
      <c r="M39" s="26">
        <f t="shared" ref="M39:M50" si="16">ROUND(IF((C39*L39+(J39*1.5)*L39+(K39*0.5)*L39)&gt;=C39+J39+K39,C39+J39+K39,C39*L39+(J39*1.5)*L39+(K39*0.5)*L39)+F39,0)</f>
        <v>59944</v>
      </c>
      <c r="N39" s="26">
        <f t="shared" ref="N39:N50" si="17">ROUND(IF((C39+D39-M39-H39)&lt;=0,0,C39+D39-M39-H39),0)</f>
        <v>1438647</v>
      </c>
    </row>
    <row r="40" spans="1:15" x14ac:dyDescent="0.25">
      <c r="A40" s="20">
        <v>1</v>
      </c>
      <c r="B40" s="19" t="s">
        <v>50</v>
      </c>
      <c r="C40" s="26">
        <f t="shared" ref="C40:C50" si="18">N22</f>
        <v>8713381</v>
      </c>
      <c r="D40" s="26"/>
      <c r="E40" s="26"/>
      <c r="F40" s="26"/>
      <c r="G40" s="26"/>
      <c r="H40" s="26"/>
      <c r="I40" s="26"/>
      <c r="J40" s="26"/>
      <c r="K40" s="26"/>
      <c r="L40" s="30">
        <v>0.04</v>
      </c>
      <c r="M40" s="26">
        <f t="shared" si="16"/>
        <v>348535</v>
      </c>
      <c r="N40" s="26">
        <f t="shared" si="17"/>
        <v>8364846</v>
      </c>
    </row>
    <row r="41" spans="1:15" x14ac:dyDescent="0.25">
      <c r="A41" s="20">
        <v>1</v>
      </c>
      <c r="B41" s="19" t="s">
        <v>51</v>
      </c>
      <c r="C41" s="26">
        <f t="shared" si="18"/>
        <v>851494</v>
      </c>
      <c r="D41" s="26"/>
      <c r="E41" s="26"/>
      <c r="F41" s="26"/>
      <c r="G41" s="26"/>
      <c r="H41" s="26"/>
      <c r="I41" s="26"/>
      <c r="J41" s="26"/>
      <c r="K41" s="26"/>
      <c r="L41" s="30">
        <v>0.04</v>
      </c>
      <c r="M41" s="26">
        <f t="shared" si="16"/>
        <v>34060</v>
      </c>
      <c r="N41" s="26">
        <f t="shared" si="17"/>
        <v>817434</v>
      </c>
    </row>
    <row r="42" spans="1:15" x14ac:dyDescent="0.25">
      <c r="A42" s="20">
        <v>6</v>
      </c>
      <c r="B42" s="19" t="s">
        <v>52</v>
      </c>
      <c r="C42" s="26">
        <f t="shared" si="18"/>
        <v>16938</v>
      </c>
      <c r="D42" s="26"/>
      <c r="E42" s="26"/>
      <c r="F42" s="26"/>
      <c r="G42" s="26"/>
      <c r="H42" s="26"/>
      <c r="I42" s="26"/>
      <c r="J42" s="26"/>
      <c r="K42" s="26"/>
      <c r="L42" s="30">
        <v>0.1</v>
      </c>
      <c r="M42" s="26">
        <f t="shared" si="16"/>
        <v>1694</v>
      </c>
      <c r="N42" s="26">
        <f t="shared" si="17"/>
        <v>15244</v>
      </c>
    </row>
    <row r="43" spans="1:15" x14ac:dyDescent="0.25">
      <c r="A43" s="20">
        <v>8</v>
      </c>
      <c r="B43" s="19" t="s">
        <v>53</v>
      </c>
      <c r="C43" s="26">
        <f t="shared" si="18"/>
        <v>232174</v>
      </c>
      <c r="D43" s="26">
        <v>304784</v>
      </c>
      <c r="E43" s="26">
        <f>D43</f>
        <v>304784</v>
      </c>
      <c r="F43" s="26">
        <v>186808</v>
      </c>
      <c r="G43" s="26"/>
      <c r="H43" s="26">
        <v>32024</v>
      </c>
      <c r="I43" s="26">
        <f>H43</f>
        <v>32024</v>
      </c>
      <c r="J43" s="26">
        <f>E43-I43-F43</f>
        <v>85952</v>
      </c>
      <c r="K43" s="26">
        <f>IF((D43-F43-I43-J43)&lt;=0,0,D43-F43-I43-J43)</f>
        <v>0</v>
      </c>
      <c r="L43" s="30">
        <v>0.2</v>
      </c>
      <c r="M43" s="26">
        <f t="shared" si="16"/>
        <v>259028</v>
      </c>
      <c r="N43" s="26">
        <f t="shared" si="17"/>
        <v>245906</v>
      </c>
      <c r="O43" s="24"/>
    </row>
    <row r="44" spans="1:15" x14ac:dyDescent="0.25">
      <c r="A44" s="20">
        <v>10</v>
      </c>
      <c r="B44" s="19" t="s">
        <v>54</v>
      </c>
      <c r="C44" s="26">
        <f t="shared" si="18"/>
        <v>197638</v>
      </c>
      <c r="D44" s="26">
        <v>495647</v>
      </c>
      <c r="E44" s="26">
        <f>D44</f>
        <v>495647</v>
      </c>
      <c r="F44" s="26">
        <v>465864</v>
      </c>
      <c r="G44" s="26"/>
      <c r="H44" s="26">
        <v>0</v>
      </c>
      <c r="I44" s="26">
        <f>H44</f>
        <v>0</v>
      </c>
      <c r="J44" s="26">
        <f>E44-I44-F44</f>
        <v>29783</v>
      </c>
      <c r="K44" s="26">
        <f>IF((D44-F44-I44-J44)&lt;=0,0,D44-F44-I44-J44)</f>
        <v>0</v>
      </c>
      <c r="L44" s="30">
        <v>0.3</v>
      </c>
      <c r="M44" s="26">
        <f t="shared" si="16"/>
        <v>538558</v>
      </c>
      <c r="N44" s="26">
        <f t="shared" si="17"/>
        <v>154727</v>
      </c>
    </row>
    <row r="45" spans="1:15" x14ac:dyDescent="0.25">
      <c r="A45" s="20">
        <v>10</v>
      </c>
      <c r="B45" s="19" t="s">
        <v>55</v>
      </c>
      <c r="C45" s="26">
        <f t="shared" si="18"/>
        <v>531</v>
      </c>
      <c r="D45" s="26"/>
      <c r="E45" s="26"/>
      <c r="F45" s="26"/>
      <c r="G45" s="26"/>
      <c r="H45" s="26"/>
      <c r="I45" s="26"/>
      <c r="J45" s="26"/>
      <c r="K45" s="26"/>
      <c r="L45" s="30">
        <v>0.3</v>
      </c>
      <c r="M45" s="26">
        <f t="shared" si="16"/>
        <v>159</v>
      </c>
      <c r="N45" s="26">
        <f t="shared" si="17"/>
        <v>372</v>
      </c>
    </row>
    <row r="46" spans="1:15" x14ac:dyDescent="0.25">
      <c r="A46" s="20">
        <v>12</v>
      </c>
      <c r="B46" s="19" t="s">
        <v>56</v>
      </c>
      <c r="C46" s="26">
        <f t="shared" si="18"/>
        <v>0</v>
      </c>
      <c r="D46" s="26">
        <v>0</v>
      </c>
      <c r="E46" s="26">
        <f>D46</f>
        <v>0</v>
      </c>
      <c r="F46" s="26"/>
      <c r="G46" s="26"/>
      <c r="H46" s="26"/>
      <c r="I46" s="26"/>
      <c r="J46" s="26">
        <f>E46-I46-F46</f>
        <v>0</v>
      </c>
      <c r="K46" s="26">
        <f>IF((D46-F46-I46-J46)&lt;=0,0,D46-F46-I46-J46)</f>
        <v>0</v>
      </c>
      <c r="L46" s="30">
        <v>1</v>
      </c>
      <c r="M46" s="26">
        <f t="shared" si="16"/>
        <v>0</v>
      </c>
      <c r="N46" s="26">
        <f t="shared" si="17"/>
        <v>0</v>
      </c>
    </row>
    <row r="47" spans="1:15" x14ac:dyDescent="0.25">
      <c r="A47" s="20">
        <v>42</v>
      </c>
      <c r="B47" s="19" t="s">
        <v>57</v>
      </c>
      <c r="C47" s="26">
        <f t="shared" si="18"/>
        <v>17197</v>
      </c>
      <c r="D47" s="26"/>
      <c r="E47" s="26"/>
      <c r="F47" s="26"/>
      <c r="G47" s="26"/>
      <c r="H47" s="26"/>
      <c r="I47" s="26"/>
      <c r="J47" s="26"/>
      <c r="K47" s="26"/>
      <c r="L47" s="30">
        <v>0.12</v>
      </c>
      <c r="M47" s="26">
        <f t="shared" si="16"/>
        <v>2064</v>
      </c>
      <c r="N47" s="26">
        <f t="shared" si="17"/>
        <v>15133</v>
      </c>
    </row>
    <row r="48" spans="1:15" x14ac:dyDescent="0.25">
      <c r="A48" s="21">
        <v>45</v>
      </c>
      <c r="B48" s="19" t="s">
        <v>55</v>
      </c>
      <c r="C48" s="26">
        <f t="shared" si="18"/>
        <v>7</v>
      </c>
      <c r="D48" s="26"/>
      <c r="E48" s="26"/>
      <c r="F48" s="26"/>
      <c r="G48" s="26"/>
      <c r="H48" s="26"/>
      <c r="I48" s="26"/>
      <c r="J48" s="26"/>
      <c r="K48" s="26"/>
      <c r="L48" s="30">
        <v>0.45</v>
      </c>
      <c r="M48" s="26">
        <f t="shared" si="16"/>
        <v>3</v>
      </c>
      <c r="N48" s="26">
        <f t="shared" si="17"/>
        <v>4</v>
      </c>
    </row>
    <row r="49" spans="1:15" x14ac:dyDescent="0.25">
      <c r="A49" s="20">
        <v>47</v>
      </c>
      <c r="B49" s="19" t="s">
        <v>58</v>
      </c>
      <c r="C49" s="26">
        <f t="shared" si="18"/>
        <v>15482282</v>
      </c>
      <c r="D49" s="26">
        <v>1748302</v>
      </c>
      <c r="E49" s="26">
        <f>D49</f>
        <v>1748302</v>
      </c>
      <c r="F49" s="26"/>
      <c r="G49" s="26"/>
      <c r="H49" s="26"/>
      <c r="I49" s="26"/>
      <c r="J49" s="26">
        <f>E49-I49-F49</f>
        <v>1748302</v>
      </c>
      <c r="K49" s="26">
        <f>IF((D49-F49-I49-J49)&lt;=0,0,D49-F49-I49-J49)</f>
        <v>0</v>
      </c>
      <c r="L49" s="30">
        <v>0.08</v>
      </c>
      <c r="M49" s="26">
        <f t="shared" si="16"/>
        <v>1448379</v>
      </c>
      <c r="N49" s="26">
        <f t="shared" si="17"/>
        <v>15782205</v>
      </c>
    </row>
    <row r="50" spans="1:15" x14ac:dyDescent="0.25">
      <c r="A50" s="20">
        <v>50</v>
      </c>
      <c r="B50" s="22" t="s">
        <v>55</v>
      </c>
      <c r="C50" s="26">
        <f t="shared" si="18"/>
        <v>5576</v>
      </c>
      <c r="D50" s="26">
        <v>1610</v>
      </c>
      <c r="E50" s="26">
        <f>D50</f>
        <v>1610</v>
      </c>
      <c r="F50" s="26">
        <f>E50</f>
        <v>1610</v>
      </c>
      <c r="G50" s="26"/>
      <c r="H50" s="26"/>
      <c r="I50" s="26"/>
      <c r="J50" s="26">
        <f>E50-I50-F50</f>
        <v>0</v>
      </c>
      <c r="K50" s="26">
        <f>IF((D50-F50-I50-J50)&lt;=0,0,D50-F50-I50-J50)</f>
        <v>0</v>
      </c>
      <c r="L50" s="30">
        <v>0.55000000000000004</v>
      </c>
      <c r="M50" s="26">
        <f t="shared" si="16"/>
        <v>4677</v>
      </c>
      <c r="N50" s="26">
        <f t="shared" si="17"/>
        <v>2509</v>
      </c>
    </row>
    <row r="51" spans="1:15" x14ac:dyDescent="0.25">
      <c r="A51" s="20"/>
      <c r="B51" s="19"/>
      <c r="C51" s="26"/>
      <c r="D51" s="26"/>
      <c r="E51" s="26"/>
      <c r="F51" s="26"/>
      <c r="G51" s="26"/>
      <c r="H51" s="26"/>
      <c r="I51" s="26"/>
      <c r="J51" s="26"/>
      <c r="K51" s="26"/>
      <c r="L51" s="30"/>
      <c r="M51" s="26"/>
      <c r="N51" s="26"/>
    </row>
    <row r="52" spans="1:15" x14ac:dyDescent="0.25">
      <c r="A52" s="20"/>
      <c r="B52" s="19"/>
      <c r="C52" s="26"/>
      <c r="D52" s="26"/>
      <c r="E52" s="26"/>
      <c r="F52" s="26"/>
      <c r="G52" s="26"/>
      <c r="H52" s="26"/>
      <c r="I52" s="26"/>
      <c r="J52" s="26"/>
      <c r="K52" s="26"/>
      <c r="L52" s="30"/>
      <c r="M52" s="26"/>
      <c r="N52" s="26"/>
    </row>
    <row r="53" spans="1:15" ht="15.75" x14ac:dyDescent="0.25">
      <c r="A53" s="27">
        <f>B37</f>
        <v>2021</v>
      </c>
      <c r="B53" s="31" t="s">
        <v>47</v>
      </c>
      <c r="C53" s="28">
        <f>SUM(C39:C52)</f>
        <v>27015809</v>
      </c>
      <c r="D53" s="28">
        <f t="shared" ref="D53" si="19">SUM(D39:D52)</f>
        <v>2550343</v>
      </c>
      <c r="E53" s="28">
        <f t="shared" ref="E53" si="20">SUM(E39:E52)</f>
        <v>2550343</v>
      </c>
      <c r="F53" s="28">
        <f t="shared" ref="F53" si="21">SUM(F39:F52)</f>
        <v>654282</v>
      </c>
      <c r="G53" s="28">
        <f t="shared" ref="G53" si="22">SUM(G39:G52)</f>
        <v>0</v>
      </c>
      <c r="H53" s="28">
        <f t="shared" ref="H53" si="23">SUM(H39:H52)</f>
        <v>32024</v>
      </c>
      <c r="I53" s="28">
        <f t="shared" ref="I53" si="24">SUM(I39:I52)</f>
        <v>32024</v>
      </c>
      <c r="J53" s="28">
        <f t="shared" ref="J53" si="25">SUM(J39:J52)</f>
        <v>1864037</v>
      </c>
      <c r="K53" s="28">
        <f t="shared" ref="K53" si="26">SUM(K39:K52)</f>
        <v>0</v>
      </c>
      <c r="L53" s="29"/>
      <c r="M53" s="28">
        <f t="shared" ref="M53" si="27">SUM(M39:M52)</f>
        <v>2697101</v>
      </c>
      <c r="N53" s="28">
        <f t="shared" ref="N53" si="28">SUM(N39:N52)</f>
        <v>26837027</v>
      </c>
    </row>
    <row r="55" spans="1:15" ht="23.25" x14ac:dyDescent="0.35">
      <c r="B55" s="23">
        <v>2022</v>
      </c>
    </row>
    <row r="56" spans="1:15" ht="25.5" x14ac:dyDescent="0.25">
      <c r="A56" s="17" t="s">
        <v>45</v>
      </c>
      <c r="B56" s="17" t="s">
        <v>46</v>
      </c>
      <c r="C56" s="17" t="s">
        <v>59</v>
      </c>
      <c r="D56" s="17" t="s">
        <v>60</v>
      </c>
      <c r="E56" s="17" t="s">
        <v>61</v>
      </c>
      <c r="F56" s="17" t="s">
        <v>62</v>
      </c>
      <c r="G56" s="17" t="s">
        <v>63</v>
      </c>
      <c r="H56" s="17" t="s">
        <v>64</v>
      </c>
      <c r="I56" s="17" t="s">
        <v>65</v>
      </c>
      <c r="J56" s="17" t="s">
        <v>66</v>
      </c>
      <c r="K56" s="17" t="s">
        <v>70</v>
      </c>
      <c r="L56" s="17" t="s">
        <v>67</v>
      </c>
      <c r="M56" s="17" t="s">
        <v>0</v>
      </c>
      <c r="N56" s="17" t="s">
        <v>68</v>
      </c>
    </row>
    <row r="57" spans="1:15" x14ac:dyDescent="0.25">
      <c r="A57" s="18" t="s">
        <v>48</v>
      </c>
      <c r="B57" s="19" t="s">
        <v>49</v>
      </c>
      <c r="C57" s="26">
        <f>N39</f>
        <v>1438647</v>
      </c>
      <c r="D57" s="26">
        <v>7271</v>
      </c>
      <c r="E57" s="26">
        <f>D57</f>
        <v>7271</v>
      </c>
      <c r="F57" s="26"/>
      <c r="G57" s="26"/>
      <c r="H57" s="26"/>
      <c r="I57" s="26"/>
      <c r="J57" s="26">
        <f>IF((E57-I57-F57)&lt;=0,0,E57-I57-F57)</f>
        <v>7271</v>
      </c>
      <c r="K57" s="26">
        <f>IF((D57-F57-I57-J57)&lt;=0,0,D57-F57-I57-J57)</f>
        <v>0</v>
      </c>
      <c r="L57" s="30">
        <v>0.04</v>
      </c>
      <c r="M57" s="26">
        <f t="shared" ref="M57:M68" si="29">ROUND(IF((C57*L57+(J57*1.5)*L57+(K57*0.5)*L57)&gt;=C57+J57+K57,C57+J57+K57,C57*L57+(J57*1.5)*L57+(K57*0.5)*L57)+F57,0)</f>
        <v>57982</v>
      </c>
      <c r="N57" s="26">
        <f t="shared" ref="N57:N68" si="30">ROUND(IF((C57+D57-M57-H57)&lt;=0,0,C57+D57-M57-H57),0)</f>
        <v>1387936</v>
      </c>
    </row>
    <row r="58" spans="1:15" x14ac:dyDescent="0.25">
      <c r="A58" s="20">
        <v>1</v>
      </c>
      <c r="B58" s="19" t="s">
        <v>50</v>
      </c>
      <c r="C58" s="26">
        <f t="shared" ref="C58:C68" si="31">N40</f>
        <v>8364846</v>
      </c>
      <c r="D58" s="26"/>
      <c r="E58" s="26"/>
      <c r="F58" s="26"/>
      <c r="G58" s="26"/>
      <c r="H58" s="26"/>
      <c r="I58" s="26"/>
      <c r="J58" s="26"/>
      <c r="K58" s="26"/>
      <c r="L58" s="30">
        <v>0.04</v>
      </c>
      <c r="M58" s="26">
        <f t="shared" si="29"/>
        <v>334594</v>
      </c>
      <c r="N58" s="26">
        <f t="shared" si="30"/>
        <v>8030252</v>
      </c>
    </row>
    <row r="59" spans="1:15" x14ac:dyDescent="0.25">
      <c r="A59" s="20">
        <v>1</v>
      </c>
      <c r="B59" s="19" t="s">
        <v>51</v>
      </c>
      <c r="C59" s="26">
        <f t="shared" si="31"/>
        <v>817434</v>
      </c>
      <c r="D59" s="26"/>
      <c r="E59" s="26"/>
      <c r="F59" s="26"/>
      <c r="G59" s="26"/>
      <c r="H59" s="26"/>
      <c r="I59" s="26"/>
      <c r="J59" s="26"/>
      <c r="K59" s="26"/>
      <c r="L59" s="30">
        <v>0.04</v>
      </c>
      <c r="M59" s="26">
        <f t="shared" si="29"/>
        <v>32697</v>
      </c>
      <c r="N59" s="26">
        <f t="shared" si="30"/>
        <v>784737</v>
      </c>
    </row>
    <row r="60" spans="1:15" x14ac:dyDescent="0.25">
      <c r="A60" s="20">
        <v>6</v>
      </c>
      <c r="B60" s="19" t="s">
        <v>52</v>
      </c>
      <c r="C60" s="26">
        <f t="shared" si="31"/>
        <v>15244</v>
      </c>
      <c r="D60" s="26"/>
      <c r="E60" s="26"/>
      <c r="F60" s="26"/>
      <c r="G60" s="26"/>
      <c r="H60" s="26"/>
      <c r="I60" s="26"/>
      <c r="J60" s="26"/>
      <c r="K60" s="26"/>
      <c r="L60" s="30">
        <v>0.1</v>
      </c>
      <c r="M60" s="26">
        <f t="shared" si="29"/>
        <v>1524</v>
      </c>
      <c r="N60" s="26">
        <f t="shared" si="30"/>
        <v>13720</v>
      </c>
    </row>
    <row r="61" spans="1:15" x14ac:dyDescent="0.25">
      <c r="A61" s="20">
        <v>8</v>
      </c>
      <c r="B61" s="19" t="s">
        <v>53</v>
      </c>
      <c r="C61" s="26">
        <f t="shared" si="31"/>
        <v>245906</v>
      </c>
      <c r="D61" s="26">
        <v>431326</v>
      </c>
      <c r="E61" s="26">
        <f>D61</f>
        <v>431326</v>
      </c>
      <c r="F61" s="26">
        <f>E61</f>
        <v>431326</v>
      </c>
      <c r="G61" s="26"/>
      <c r="H61" s="26">
        <v>0</v>
      </c>
      <c r="I61" s="26">
        <f>H61</f>
        <v>0</v>
      </c>
      <c r="J61" s="26">
        <f>IF((E61-I61-F61)&lt;=0,0,E61-I61-F61)</f>
        <v>0</v>
      </c>
      <c r="K61" s="26">
        <f>IF((D61-F61-I61-J61)&lt;=0,0,D61-F61-I61-J61)</f>
        <v>0</v>
      </c>
      <c r="L61" s="30">
        <v>0.2</v>
      </c>
      <c r="M61" s="26">
        <f t="shared" si="29"/>
        <v>480507</v>
      </c>
      <c r="N61" s="26">
        <f t="shared" si="30"/>
        <v>196725</v>
      </c>
      <c r="O61" s="24"/>
    </row>
    <row r="62" spans="1:15" x14ac:dyDescent="0.25">
      <c r="A62" s="20">
        <v>10</v>
      </c>
      <c r="B62" s="19" t="s">
        <v>54</v>
      </c>
      <c r="C62" s="26">
        <f t="shared" si="31"/>
        <v>154727</v>
      </c>
      <c r="D62" s="26">
        <v>139889</v>
      </c>
      <c r="E62" s="26">
        <f>D62</f>
        <v>139889</v>
      </c>
      <c r="F62" s="26">
        <f>E62</f>
        <v>139889</v>
      </c>
      <c r="G62" s="26"/>
      <c r="H62" s="26">
        <v>0</v>
      </c>
      <c r="I62" s="26">
        <f>H62</f>
        <v>0</v>
      </c>
      <c r="J62" s="26">
        <f>IF((E62-I62-F62)&lt;=0,0,E62-I62-F62)</f>
        <v>0</v>
      </c>
      <c r="K62" s="26">
        <f>IF((D62-F62-I62-J62)&lt;=0,0,D62-F62-I62-J62)</f>
        <v>0</v>
      </c>
      <c r="L62" s="30">
        <v>0.3</v>
      </c>
      <c r="M62" s="26">
        <f t="shared" si="29"/>
        <v>186307</v>
      </c>
      <c r="N62" s="26">
        <f t="shared" si="30"/>
        <v>108309</v>
      </c>
    </row>
    <row r="63" spans="1:15" x14ac:dyDescent="0.25">
      <c r="A63" s="20">
        <v>10</v>
      </c>
      <c r="B63" s="19" t="s">
        <v>55</v>
      </c>
      <c r="C63" s="26">
        <f t="shared" si="31"/>
        <v>372</v>
      </c>
      <c r="D63" s="26"/>
      <c r="E63" s="26"/>
      <c r="F63" s="26"/>
      <c r="G63" s="26"/>
      <c r="H63" s="26"/>
      <c r="I63" s="26"/>
      <c r="J63" s="26"/>
      <c r="K63" s="26"/>
      <c r="L63" s="30">
        <v>0.3</v>
      </c>
      <c r="M63" s="26">
        <f t="shared" si="29"/>
        <v>112</v>
      </c>
      <c r="N63" s="26">
        <f t="shared" si="30"/>
        <v>260</v>
      </c>
    </row>
    <row r="64" spans="1:15" x14ac:dyDescent="0.25">
      <c r="A64" s="20">
        <v>12</v>
      </c>
      <c r="B64" s="19" t="s">
        <v>56</v>
      </c>
      <c r="C64" s="26">
        <f t="shared" si="31"/>
        <v>0</v>
      </c>
      <c r="D64" s="26">
        <v>65472</v>
      </c>
      <c r="E64" s="26">
        <v>65472</v>
      </c>
      <c r="F64" s="26">
        <f>E64</f>
        <v>65472</v>
      </c>
      <c r="G64" s="26"/>
      <c r="H64" s="26"/>
      <c r="I64" s="26"/>
      <c r="J64" s="26">
        <f>IF((E64-I64-F64)&lt;=0,0,E64-I64-F64)</f>
        <v>0</v>
      </c>
      <c r="K64" s="26">
        <f>IF((D64-F64-I64-J64)&lt;=0,0,D64-F64-I64-J64)</f>
        <v>0</v>
      </c>
      <c r="L64" s="30">
        <v>1</v>
      </c>
      <c r="M64" s="26">
        <f t="shared" si="29"/>
        <v>65472</v>
      </c>
      <c r="N64" s="26">
        <f t="shared" si="30"/>
        <v>0</v>
      </c>
    </row>
    <row r="65" spans="1:15" x14ac:dyDescent="0.25">
      <c r="A65" s="20">
        <v>42</v>
      </c>
      <c r="B65" s="19" t="s">
        <v>57</v>
      </c>
      <c r="C65" s="26">
        <f t="shared" si="31"/>
        <v>15133</v>
      </c>
      <c r="D65" s="26"/>
      <c r="E65" s="26"/>
      <c r="F65" s="26"/>
      <c r="G65" s="26"/>
      <c r="H65" s="26"/>
      <c r="I65" s="26"/>
      <c r="J65" s="26"/>
      <c r="K65" s="26"/>
      <c r="L65" s="30">
        <v>0.12</v>
      </c>
      <c r="M65" s="26">
        <f t="shared" si="29"/>
        <v>1816</v>
      </c>
      <c r="N65" s="26">
        <f t="shared" si="30"/>
        <v>13317</v>
      </c>
    </row>
    <row r="66" spans="1:15" x14ac:dyDescent="0.25">
      <c r="A66" s="21">
        <v>45</v>
      </c>
      <c r="B66" s="19" t="s">
        <v>55</v>
      </c>
      <c r="C66" s="26">
        <f t="shared" si="31"/>
        <v>4</v>
      </c>
      <c r="D66" s="26"/>
      <c r="E66" s="26"/>
      <c r="F66" s="26"/>
      <c r="G66" s="26"/>
      <c r="H66" s="26"/>
      <c r="I66" s="26"/>
      <c r="J66" s="26"/>
      <c r="K66" s="26"/>
      <c r="L66" s="30">
        <v>0.45</v>
      </c>
      <c r="M66" s="26">
        <f t="shared" si="29"/>
        <v>2</v>
      </c>
      <c r="N66" s="26">
        <f t="shared" si="30"/>
        <v>2</v>
      </c>
    </row>
    <row r="67" spans="1:15" x14ac:dyDescent="0.25">
      <c r="A67" s="20">
        <v>47</v>
      </c>
      <c r="B67" s="19" t="s">
        <v>58</v>
      </c>
      <c r="C67" s="26">
        <f t="shared" si="31"/>
        <v>15782205</v>
      </c>
      <c r="D67" s="26">
        <v>1910499</v>
      </c>
      <c r="E67" s="26">
        <v>1910499</v>
      </c>
      <c r="F67" s="26"/>
      <c r="G67" s="26"/>
      <c r="H67" s="26"/>
      <c r="I67" s="26"/>
      <c r="J67" s="26">
        <f>IF((E67-I67-F67)&lt;=0,0,E67-I67-F67)</f>
        <v>1910499</v>
      </c>
      <c r="K67" s="26">
        <f>IF((D67-F67-I67-J67)&lt;=0,0,D67-F67-I67-J67)</f>
        <v>0</v>
      </c>
      <c r="L67" s="30">
        <v>0.08</v>
      </c>
      <c r="M67" s="26">
        <f t="shared" si="29"/>
        <v>1491836</v>
      </c>
      <c r="N67" s="26">
        <f t="shared" si="30"/>
        <v>16200868</v>
      </c>
    </row>
    <row r="68" spans="1:15" x14ac:dyDescent="0.25">
      <c r="A68" s="20">
        <v>50</v>
      </c>
      <c r="B68" s="22" t="s">
        <v>55</v>
      </c>
      <c r="C68" s="26">
        <f t="shared" si="31"/>
        <v>2509</v>
      </c>
      <c r="D68" s="26">
        <v>39540</v>
      </c>
      <c r="E68" s="26">
        <v>39540</v>
      </c>
      <c r="F68" s="26">
        <f>E68</f>
        <v>39540</v>
      </c>
      <c r="G68" s="26"/>
      <c r="H68" s="26"/>
      <c r="I68" s="26"/>
      <c r="J68" s="26">
        <f>IF((E68-I68-F68)&lt;=0,0,E68-I68-F68)</f>
        <v>0</v>
      </c>
      <c r="K68" s="26">
        <f>IF((D68-F68-I68-J68)&lt;=0,0,D68-F68-I68-J68)</f>
        <v>0</v>
      </c>
      <c r="L68" s="30">
        <v>0.55000000000000004</v>
      </c>
      <c r="M68" s="26">
        <f t="shared" si="29"/>
        <v>40920</v>
      </c>
      <c r="N68" s="26">
        <f t="shared" si="30"/>
        <v>1129</v>
      </c>
    </row>
    <row r="69" spans="1:15" x14ac:dyDescent="0.25">
      <c r="A69" s="20"/>
      <c r="B69" s="19"/>
      <c r="C69" s="26"/>
      <c r="D69" s="26"/>
      <c r="E69" s="26"/>
      <c r="F69" s="26"/>
      <c r="G69" s="26"/>
      <c r="H69" s="26"/>
      <c r="I69" s="26"/>
      <c r="J69" s="26"/>
      <c r="K69" s="26"/>
      <c r="L69" s="30"/>
      <c r="M69" s="26"/>
      <c r="N69" s="26"/>
    </row>
    <row r="70" spans="1:15" x14ac:dyDescent="0.25">
      <c r="A70" s="20"/>
      <c r="B70" s="19"/>
      <c r="C70" s="26"/>
      <c r="D70" s="26"/>
      <c r="E70" s="26"/>
      <c r="F70" s="26"/>
      <c r="G70" s="26"/>
      <c r="H70" s="26"/>
      <c r="I70" s="26"/>
      <c r="J70" s="26"/>
      <c r="K70" s="26"/>
      <c r="L70" s="30"/>
      <c r="M70" s="26"/>
      <c r="N70" s="26"/>
    </row>
    <row r="71" spans="1:15" ht="15.75" x14ac:dyDescent="0.25">
      <c r="A71" s="27">
        <f>B55</f>
        <v>2022</v>
      </c>
      <c r="B71" s="31" t="s">
        <v>47</v>
      </c>
      <c r="C71" s="28">
        <f>SUM(C57:C70)</f>
        <v>26837027</v>
      </c>
      <c r="D71" s="28">
        <f t="shared" ref="D71" si="32">SUM(D57:D70)</f>
        <v>2593997</v>
      </c>
      <c r="E71" s="28">
        <f t="shared" ref="E71" si="33">SUM(E57:E70)</f>
        <v>2593997</v>
      </c>
      <c r="F71" s="28">
        <f t="shared" ref="F71" si="34">SUM(F57:F70)</f>
        <v>676227</v>
      </c>
      <c r="G71" s="28">
        <f t="shared" ref="G71" si="35">SUM(G57:G70)</f>
        <v>0</v>
      </c>
      <c r="H71" s="28">
        <f t="shared" ref="H71" si="36">SUM(H57:H70)</f>
        <v>0</v>
      </c>
      <c r="I71" s="28">
        <f t="shared" ref="I71" si="37">SUM(I57:I70)</f>
        <v>0</v>
      </c>
      <c r="J71" s="28">
        <f t="shared" ref="J71" si="38">SUM(J57:J70)</f>
        <v>1917770</v>
      </c>
      <c r="K71" s="28">
        <f t="shared" ref="K71" si="39">SUM(K57:K70)</f>
        <v>0</v>
      </c>
      <c r="L71" s="29"/>
      <c r="M71" s="28">
        <f t="shared" ref="M71" si="40">SUM(M57:M70)</f>
        <v>2693769</v>
      </c>
      <c r="N71" s="28">
        <f t="shared" ref="N71" si="41">SUM(N57:N70)</f>
        <v>26737255</v>
      </c>
    </row>
    <row r="73" spans="1:15" ht="23.25" x14ac:dyDescent="0.35">
      <c r="B73" s="23">
        <v>2023</v>
      </c>
    </row>
    <row r="74" spans="1:15" ht="25.5" x14ac:dyDescent="0.25">
      <c r="A74" s="17" t="s">
        <v>45</v>
      </c>
      <c r="B74" s="17" t="s">
        <v>46</v>
      </c>
      <c r="C74" s="17" t="s">
        <v>59</v>
      </c>
      <c r="D74" s="17" t="s">
        <v>60</v>
      </c>
      <c r="E74" s="17" t="s">
        <v>61</v>
      </c>
      <c r="F74" s="17" t="s">
        <v>62</v>
      </c>
      <c r="G74" s="17" t="s">
        <v>63</v>
      </c>
      <c r="H74" s="17" t="s">
        <v>64</v>
      </c>
      <c r="I74" s="17" t="s">
        <v>65</v>
      </c>
      <c r="J74" s="17" t="s">
        <v>66</v>
      </c>
      <c r="K74" s="17" t="s">
        <v>70</v>
      </c>
      <c r="L74" s="17" t="s">
        <v>67</v>
      </c>
      <c r="M74" s="17" t="s">
        <v>0</v>
      </c>
      <c r="N74" s="17" t="s">
        <v>68</v>
      </c>
    </row>
    <row r="75" spans="1:15" x14ac:dyDescent="0.25">
      <c r="A75" s="18" t="s">
        <v>48</v>
      </c>
      <c r="B75" s="19" t="s">
        <v>49</v>
      </c>
      <c r="C75" s="26">
        <f>N57</f>
        <v>1387936</v>
      </c>
      <c r="D75" s="26">
        <v>0</v>
      </c>
      <c r="E75" s="26">
        <f>D75</f>
        <v>0</v>
      </c>
      <c r="F75" s="26"/>
      <c r="G75" s="26"/>
      <c r="H75" s="26"/>
      <c r="I75" s="26"/>
      <c r="J75" s="26">
        <f>IF((E75-I75-F75)&lt;=0,0,E75-I75-F75)</f>
        <v>0</v>
      </c>
      <c r="K75" s="26">
        <f>IF((D75-F75-I75-J75)&lt;=0,0,D75-F75-I75-J75)</f>
        <v>0</v>
      </c>
      <c r="L75" s="30">
        <v>0.04</v>
      </c>
      <c r="M75" s="26">
        <f t="shared" ref="M75:M86" si="42">ROUND(IF((C75*L75+(J75*1.5)*L75+(K75*0.5)*L75)&gt;=C75+J75+K75,C75+J75+K75,C75*L75+(J75*1.5)*L75+(K75*0.5)*L75)+F75,0)</f>
        <v>55517</v>
      </c>
      <c r="N75" s="26">
        <f t="shared" ref="N75:N86" si="43">ROUND(IF((C75+D75-M75-H75)&lt;=0,0,C75+D75-M75-H75),0)</f>
        <v>1332419</v>
      </c>
    </row>
    <row r="76" spans="1:15" x14ac:dyDescent="0.25">
      <c r="A76" s="20">
        <v>1</v>
      </c>
      <c r="B76" s="19" t="s">
        <v>50</v>
      </c>
      <c r="C76" s="26">
        <f t="shared" ref="C76:C86" si="44">N58</f>
        <v>8030252</v>
      </c>
      <c r="D76" s="26"/>
      <c r="E76" s="26"/>
      <c r="F76" s="26"/>
      <c r="G76" s="26"/>
      <c r="H76" s="26"/>
      <c r="I76" s="26"/>
      <c r="J76" s="26"/>
      <c r="K76" s="26"/>
      <c r="L76" s="30">
        <v>0.04</v>
      </c>
      <c r="M76" s="26">
        <f t="shared" si="42"/>
        <v>321210</v>
      </c>
      <c r="N76" s="26">
        <f t="shared" si="43"/>
        <v>7709042</v>
      </c>
    </row>
    <row r="77" spans="1:15" x14ac:dyDescent="0.25">
      <c r="A77" s="20">
        <v>1</v>
      </c>
      <c r="B77" s="19" t="s">
        <v>51</v>
      </c>
      <c r="C77" s="26">
        <f t="shared" si="44"/>
        <v>784737</v>
      </c>
      <c r="D77" s="26"/>
      <c r="E77" s="26"/>
      <c r="F77" s="26"/>
      <c r="G77" s="26"/>
      <c r="H77" s="26"/>
      <c r="I77" s="26"/>
      <c r="J77" s="26"/>
      <c r="K77" s="26"/>
      <c r="L77" s="30">
        <v>0.04</v>
      </c>
      <c r="M77" s="26">
        <f t="shared" si="42"/>
        <v>31389</v>
      </c>
      <c r="N77" s="26">
        <f t="shared" si="43"/>
        <v>753348</v>
      </c>
    </row>
    <row r="78" spans="1:15" x14ac:dyDescent="0.25">
      <c r="A78" s="20">
        <v>6</v>
      </c>
      <c r="B78" s="19" t="s">
        <v>52</v>
      </c>
      <c r="C78" s="26">
        <f t="shared" si="44"/>
        <v>13720</v>
      </c>
      <c r="D78" s="26"/>
      <c r="E78" s="26"/>
      <c r="F78" s="26"/>
      <c r="G78" s="26"/>
      <c r="H78" s="26"/>
      <c r="I78" s="26"/>
      <c r="J78" s="26"/>
      <c r="K78" s="26"/>
      <c r="L78" s="30">
        <v>0.1</v>
      </c>
      <c r="M78" s="26">
        <f t="shared" si="42"/>
        <v>1372</v>
      </c>
      <c r="N78" s="26">
        <f t="shared" si="43"/>
        <v>12348</v>
      </c>
    </row>
    <row r="79" spans="1:15" x14ac:dyDescent="0.25">
      <c r="A79" s="20">
        <v>8</v>
      </c>
      <c r="B79" s="19" t="s">
        <v>53</v>
      </c>
      <c r="C79" s="26">
        <f t="shared" si="44"/>
        <v>196725</v>
      </c>
      <c r="D79" s="26">
        <v>17763</v>
      </c>
      <c r="E79" s="26">
        <f>D79</f>
        <v>17763</v>
      </c>
      <c r="F79" s="26">
        <v>0</v>
      </c>
      <c r="G79" s="26"/>
      <c r="H79" s="26">
        <v>0</v>
      </c>
      <c r="I79" s="26">
        <f>H79</f>
        <v>0</v>
      </c>
      <c r="J79" s="26">
        <f>IF((E79-I79-F79)&lt;=0,0,E79-I79-F79)</f>
        <v>17763</v>
      </c>
      <c r="K79" s="26">
        <f>IF((D79-F79-I79-J79)&lt;=0,0,D79-F79-I79-J79)</f>
        <v>0</v>
      </c>
      <c r="L79" s="30">
        <v>0.2</v>
      </c>
      <c r="M79" s="26">
        <f t="shared" si="42"/>
        <v>44674</v>
      </c>
      <c r="N79" s="26">
        <f t="shared" si="43"/>
        <v>169814</v>
      </c>
      <c r="O79" s="24"/>
    </row>
    <row r="80" spans="1:15" x14ac:dyDescent="0.25">
      <c r="A80" s="20">
        <v>10</v>
      </c>
      <c r="B80" s="19" t="s">
        <v>54</v>
      </c>
      <c r="C80" s="26">
        <f t="shared" si="44"/>
        <v>108309</v>
      </c>
      <c r="D80" s="26">
        <v>299735.40000000002</v>
      </c>
      <c r="E80" s="26">
        <f>D80</f>
        <v>299735.40000000002</v>
      </c>
      <c r="F80" s="26">
        <v>0</v>
      </c>
      <c r="G80" s="26"/>
      <c r="H80" s="26">
        <v>35000</v>
      </c>
      <c r="I80" s="26">
        <f>H80</f>
        <v>35000</v>
      </c>
      <c r="J80" s="26">
        <f>IF((E80-I80-F80)&lt;=0,0,E80-I80-F80)</f>
        <v>264735.40000000002</v>
      </c>
      <c r="K80" s="26">
        <f>IF((D80-F80-I80-J80)&lt;=0,0,D80-F80-I80-J80)</f>
        <v>0</v>
      </c>
      <c r="L80" s="30">
        <v>0.3</v>
      </c>
      <c r="M80" s="26">
        <f t="shared" si="42"/>
        <v>151624</v>
      </c>
      <c r="N80" s="26">
        <f t="shared" si="43"/>
        <v>221420</v>
      </c>
    </row>
    <row r="81" spans="1:14" x14ac:dyDescent="0.25">
      <c r="A81" s="20">
        <v>10</v>
      </c>
      <c r="B81" s="19" t="s">
        <v>55</v>
      </c>
      <c r="C81" s="26">
        <f t="shared" si="44"/>
        <v>260</v>
      </c>
      <c r="D81" s="26"/>
      <c r="E81" s="26"/>
      <c r="F81" s="26"/>
      <c r="G81" s="26"/>
      <c r="H81" s="26"/>
      <c r="I81" s="26"/>
      <c r="J81" s="26"/>
      <c r="K81" s="26"/>
      <c r="L81" s="30">
        <v>0.3</v>
      </c>
      <c r="M81" s="26">
        <f t="shared" si="42"/>
        <v>78</v>
      </c>
      <c r="N81" s="26">
        <f t="shared" si="43"/>
        <v>182</v>
      </c>
    </row>
    <row r="82" spans="1:14" x14ac:dyDescent="0.25">
      <c r="A82" s="20">
        <v>12</v>
      </c>
      <c r="B82" s="19" t="s">
        <v>56</v>
      </c>
      <c r="C82" s="26">
        <f t="shared" si="44"/>
        <v>0</v>
      </c>
      <c r="D82" s="26">
        <v>85972</v>
      </c>
      <c r="E82" s="26">
        <f>D82</f>
        <v>85972</v>
      </c>
      <c r="F82" s="26">
        <f>E82</f>
        <v>85972</v>
      </c>
      <c r="G82" s="26"/>
      <c r="H82" s="26"/>
      <c r="I82" s="26"/>
      <c r="J82" s="26">
        <f>IF((E82-I82-F82)&lt;=0,0,E82-I82-F82)</f>
        <v>0</v>
      </c>
      <c r="K82" s="26">
        <f>IF((D82-F82-I82-J82)&lt;=0,0,D82-F82-I82-J82)</f>
        <v>0</v>
      </c>
      <c r="L82" s="30">
        <v>1</v>
      </c>
      <c r="M82" s="26">
        <f t="shared" si="42"/>
        <v>85972</v>
      </c>
      <c r="N82" s="26">
        <f t="shared" si="43"/>
        <v>0</v>
      </c>
    </row>
    <row r="83" spans="1:14" x14ac:dyDescent="0.25">
      <c r="A83" s="20">
        <v>42</v>
      </c>
      <c r="B83" s="19" t="s">
        <v>57</v>
      </c>
      <c r="C83" s="26">
        <f t="shared" si="44"/>
        <v>13317</v>
      </c>
      <c r="D83" s="26"/>
      <c r="E83" s="26"/>
      <c r="F83" s="26"/>
      <c r="G83" s="26"/>
      <c r="H83" s="26"/>
      <c r="I83" s="26"/>
      <c r="J83" s="26"/>
      <c r="K83" s="26"/>
      <c r="L83" s="30">
        <v>0.12</v>
      </c>
      <c r="M83" s="26">
        <f t="shared" si="42"/>
        <v>1598</v>
      </c>
      <c r="N83" s="26">
        <f t="shared" si="43"/>
        <v>11719</v>
      </c>
    </row>
    <row r="84" spans="1:14" x14ac:dyDescent="0.25">
      <c r="A84" s="21">
        <v>45</v>
      </c>
      <c r="B84" s="19" t="s">
        <v>55</v>
      </c>
      <c r="C84" s="26">
        <f t="shared" si="44"/>
        <v>2</v>
      </c>
      <c r="D84" s="26"/>
      <c r="E84" s="26"/>
      <c r="F84" s="26"/>
      <c r="G84" s="26"/>
      <c r="H84" s="26"/>
      <c r="I84" s="26"/>
      <c r="J84" s="26"/>
      <c r="K84" s="26"/>
      <c r="L84" s="30">
        <v>0.45</v>
      </c>
      <c r="M84" s="26">
        <f t="shared" si="42"/>
        <v>1</v>
      </c>
      <c r="N84" s="26">
        <f t="shared" si="43"/>
        <v>1</v>
      </c>
    </row>
    <row r="85" spans="1:14" x14ac:dyDescent="0.25">
      <c r="A85" s="20">
        <v>47</v>
      </c>
      <c r="B85" s="19" t="s">
        <v>58</v>
      </c>
      <c r="C85" s="26">
        <f t="shared" si="44"/>
        <v>16200868</v>
      </c>
      <c r="D85" s="26">
        <v>2279201</v>
      </c>
      <c r="E85" s="26">
        <f>D85</f>
        <v>2279201</v>
      </c>
      <c r="F85" s="26"/>
      <c r="G85" s="26"/>
      <c r="H85" s="26"/>
      <c r="I85" s="26"/>
      <c r="J85" s="26">
        <f>IF((E85-I85-F85)&lt;=0,0,E85-I85-F85)</f>
        <v>2279201</v>
      </c>
      <c r="K85" s="26">
        <f>IF((D85-F85-I85-J85)&lt;=0,0,D85-F85-I85-J85)</f>
        <v>0</v>
      </c>
      <c r="L85" s="30">
        <v>0.08</v>
      </c>
      <c r="M85" s="26">
        <f t="shared" si="42"/>
        <v>1569574</v>
      </c>
      <c r="N85" s="26">
        <f t="shared" si="43"/>
        <v>16910495</v>
      </c>
    </row>
    <row r="86" spans="1:14" x14ac:dyDescent="0.25">
      <c r="A86" s="20">
        <v>50</v>
      </c>
      <c r="B86" s="22" t="s">
        <v>55</v>
      </c>
      <c r="C86" s="26">
        <f t="shared" si="44"/>
        <v>1129</v>
      </c>
      <c r="D86" s="26">
        <v>339638</v>
      </c>
      <c r="E86" s="26">
        <f>D86</f>
        <v>339638</v>
      </c>
      <c r="F86" s="26">
        <v>0</v>
      </c>
      <c r="G86" s="26"/>
      <c r="H86" s="26"/>
      <c r="I86" s="26"/>
      <c r="J86" s="26">
        <f>IF((E86-I86-F86)&lt;=0,0,E86-I86-F86)</f>
        <v>339638</v>
      </c>
      <c r="K86" s="26">
        <f>IF((D86-F86-I86-J86)&lt;=0,0,D86-F86-I86-J86)</f>
        <v>0</v>
      </c>
      <c r="L86" s="30">
        <v>0.55000000000000004</v>
      </c>
      <c r="M86" s="26">
        <f t="shared" si="42"/>
        <v>280822</v>
      </c>
      <c r="N86" s="26">
        <f t="shared" si="43"/>
        <v>59945</v>
      </c>
    </row>
    <row r="87" spans="1:14" x14ac:dyDescent="0.25">
      <c r="A87" s="20"/>
      <c r="B87" s="19"/>
      <c r="C87" s="26"/>
      <c r="D87" s="26"/>
      <c r="E87" s="26"/>
      <c r="F87" s="26"/>
      <c r="G87" s="26"/>
      <c r="H87" s="26"/>
      <c r="I87" s="26"/>
      <c r="J87" s="26"/>
      <c r="K87" s="26"/>
      <c r="L87" s="30"/>
      <c r="M87" s="26"/>
      <c r="N87" s="26"/>
    </row>
    <row r="88" spans="1:14" x14ac:dyDescent="0.25">
      <c r="A88" s="20"/>
      <c r="B88" s="19"/>
      <c r="C88" s="26"/>
      <c r="D88" s="26"/>
      <c r="E88" s="26"/>
      <c r="F88" s="26"/>
      <c r="G88" s="26"/>
      <c r="H88" s="26"/>
      <c r="I88" s="26"/>
      <c r="J88" s="26"/>
      <c r="K88" s="26"/>
      <c r="L88" s="30"/>
      <c r="M88" s="26"/>
      <c r="N88" s="26"/>
    </row>
    <row r="89" spans="1:14" ht="15.75" x14ac:dyDescent="0.25">
      <c r="A89" s="27">
        <f>B73</f>
        <v>2023</v>
      </c>
      <c r="B89" s="31" t="s">
        <v>47</v>
      </c>
      <c r="C89" s="28">
        <f>SUM(C75:C88)</f>
        <v>26737255</v>
      </c>
      <c r="D89" s="28">
        <f t="shared" ref="D89" si="45">SUM(D75:D88)</f>
        <v>3022309.4</v>
      </c>
      <c r="E89" s="28">
        <f t="shared" ref="E89" si="46">SUM(E75:E88)</f>
        <v>3022309.4</v>
      </c>
      <c r="F89" s="28">
        <f t="shared" ref="F89" si="47">SUM(F75:F88)</f>
        <v>85972</v>
      </c>
      <c r="G89" s="28">
        <f t="shared" ref="G89" si="48">SUM(G75:G88)</f>
        <v>0</v>
      </c>
      <c r="H89" s="28">
        <f t="shared" ref="H89" si="49">SUM(H75:H88)</f>
        <v>35000</v>
      </c>
      <c r="I89" s="28">
        <f t="shared" ref="I89" si="50">SUM(I75:I88)</f>
        <v>35000</v>
      </c>
      <c r="J89" s="28">
        <f t="shared" ref="J89" si="51">SUM(J75:J88)</f>
        <v>2901337.4</v>
      </c>
      <c r="K89" s="28">
        <f t="shared" ref="K89" si="52">SUM(K75:K88)</f>
        <v>0</v>
      </c>
      <c r="L89" s="29"/>
      <c r="M89" s="28">
        <f t="shared" ref="M89" si="53">SUM(M75:M88)</f>
        <v>2543831</v>
      </c>
      <c r="N89" s="28">
        <f t="shared" ref="N89" si="54">SUM(N75:N88)</f>
        <v>27180733</v>
      </c>
    </row>
    <row r="90" spans="1:14" x14ac:dyDescent="0.25">
      <c r="G90" s="25"/>
    </row>
  </sheetData>
  <pageMargins left="0.7" right="0.7" top="0.75" bottom="0.75" header="0.3" footer="0.3"/>
  <pageSetup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524B7-A8EC-4702-86E0-E9C672748742}">
  <dimension ref="A1:O90"/>
  <sheetViews>
    <sheetView zoomScaleNormal="100" workbookViewId="0">
      <selection activeCell="G24" sqref="G24"/>
    </sheetView>
  </sheetViews>
  <sheetFormatPr defaultRowHeight="15" x14ac:dyDescent="0.25"/>
  <cols>
    <col min="2" max="2" width="26.42578125" customWidth="1"/>
    <col min="3" max="14" width="14.5703125" customWidth="1"/>
    <col min="15" max="15" width="11.140625" customWidth="1"/>
  </cols>
  <sheetData>
    <row r="1" spans="1:14" ht="23.25" x14ac:dyDescent="0.35">
      <c r="B1" s="23">
        <v>2019</v>
      </c>
    </row>
    <row r="2" spans="1:14" ht="25.5" x14ac:dyDescent="0.25">
      <c r="A2" s="17" t="s">
        <v>45</v>
      </c>
      <c r="B2" s="17" t="s">
        <v>46</v>
      </c>
      <c r="C2" s="17" t="s">
        <v>59</v>
      </c>
      <c r="D2" s="17" t="s">
        <v>60</v>
      </c>
      <c r="E2" s="17" t="s">
        <v>61</v>
      </c>
      <c r="F2" s="17" t="s">
        <v>62</v>
      </c>
      <c r="G2" s="17" t="s">
        <v>63</v>
      </c>
      <c r="H2" s="17" t="s">
        <v>64</v>
      </c>
      <c r="I2" s="17" t="s">
        <v>65</v>
      </c>
      <c r="J2" s="17" t="s">
        <v>66</v>
      </c>
      <c r="K2" s="17" t="s">
        <v>69</v>
      </c>
      <c r="L2" s="17" t="s">
        <v>67</v>
      </c>
      <c r="M2" s="17" t="s">
        <v>0</v>
      </c>
      <c r="N2" s="17" t="s">
        <v>68</v>
      </c>
    </row>
    <row r="3" spans="1:14" x14ac:dyDescent="0.25">
      <c r="A3" s="18" t="s">
        <v>48</v>
      </c>
      <c r="B3" s="19" t="s">
        <v>49</v>
      </c>
      <c r="C3" s="26">
        <v>1610838</v>
      </c>
      <c r="D3" s="26">
        <v>15561</v>
      </c>
      <c r="E3" s="26"/>
      <c r="F3" s="26"/>
      <c r="G3" s="26"/>
      <c r="H3" s="26"/>
      <c r="I3" s="26"/>
      <c r="J3" s="26">
        <f>IF((E3-I3)&lt;=0,0,E3-I3)</f>
        <v>0</v>
      </c>
      <c r="K3" s="26">
        <f>IF(J3=0,D3-I3,D3-J3-I3)</f>
        <v>15561</v>
      </c>
      <c r="L3" s="30">
        <v>0.04</v>
      </c>
      <c r="M3" s="26">
        <f t="shared" ref="M3:M14" si="0">ROUND(IF((C3*L3+(J3*1.5)*L3+(K3*0.5)*L3)&gt;=C3+J3+K3,C3+J3+K3,C3*L3+(J3*1.5)*L3+(K3*0.5)*L3),0)</f>
        <v>64745</v>
      </c>
      <c r="N3" s="26">
        <f t="shared" ref="N3:N14" si="1">ROUND(IF((C3+D3-M3-H3)&lt;=0,0,C3+D3-M3-H3),0)</f>
        <v>1561654</v>
      </c>
    </row>
    <row r="4" spans="1:14" x14ac:dyDescent="0.25">
      <c r="A4" s="20">
        <v>1</v>
      </c>
      <c r="B4" s="19" t="s">
        <v>50</v>
      </c>
      <c r="C4" s="26">
        <v>9454624</v>
      </c>
      <c r="D4" s="26"/>
      <c r="E4" s="26"/>
      <c r="F4" s="26"/>
      <c r="G4" s="26"/>
      <c r="H4" s="26"/>
      <c r="I4" s="26"/>
      <c r="J4" s="26"/>
      <c r="K4" s="26"/>
      <c r="L4" s="30">
        <v>0.04</v>
      </c>
      <c r="M4" s="26">
        <f t="shared" si="0"/>
        <v>378185</v>
      </c>
      <c r="N4" s="26">
        <f t="shared" si="1"/>
        <v>9076439</v>
      </c>
    </row>
    <row r="5" spans="1:14" x14ac:dyDescent="0.25">
      <c r="A5" s="20">
        <v>1</v>
      </c>
      <c r="B5" s="19" t="s">
        <v>51</v>
      </c>
      <c r="C5" s="26">
        <v>923930</v>
      </c>
      <c r="D5" s="26"/>
      <c r="E5" s="26"/>
      <c r="F5" s="26"/>
      <c r="G5" s="26"/>
      <c r="H5" s="26"/>
      <c r="I5" s="26"/>
      <c r="J5" s="26"/>
      <c r="K5" s="26"/>
      <c r="L5" s="30">
        <v>0.04</v>
      </c>
      <c r="M5" s="26">
        <f t="shared" si="0"/>
        <v>36957</v>
      </c>
      <c r="N5" s="26">
        <f t="shared" si="1"/>
        <v>886973</v>
      </c>
    </row>
    <row r="6" spans="1:14" x14ac:dyDescent="0.25">
      <c r="A6" s="20">
        <v>6</v>
      </c>
      <c r="B6" s="19" t="s">
        <v>52</v>
      </c>
      <c r="C6" s="26">
        <v>20911</v>
      </c>
      <c r="D6" s="26"/>
      <c r="E6" s="26"/>
      <c r="F6" s="26"/>
      <c r="G6" s="26"/>
      <c r="H6" s="26"/>
      <c r="I6" s="26"/>
      <c r="J6" s="26"/>
      <c r="K6" s="26"/>
      <c r="L6" s="30">
        <v>0.1</v>
      </c>
      <c r="M6" s="26">
        <f t="shared" si="0"/>
        <v>2091</v>
      </c>
      <c r="N6" s="26">
        <f t="shared" si="1"/>
        <v>18820</v>
      </c>
    </row>
    <row r="7" spans="1:14" x14ac:dyDescent="0.25">
      <c r="A7" s="20">
        <v>8</v>
      </c>
      <c r="B7" s="19" t="s">
        <v>53</v>
      </c>
      <c r="C7" s="26">
        <v>71276</v>
      </c>
      <c r="D7" s="26">
        <v>45566</v>
      </c>
      <c r="E7" s="26"/>
      <c r="F7" s="26"/>
      <c r="G7" s="26"/>
      <c r="H7" s="26"/>
      <c r="I7" s="26"/>
      <c r="J7" s="26">
        <f>IF((E7-I7)&lt;=0,0,E7-I7)</f>
        <v>0</v>
      </c>
      <c r="K7" s="26">
        <f>IF(J7=0,D7-I7,D7-J7-I7)</f>
        <v>45566</v>
      </c>
      <c r="L7" s="30">
        <v>0.2</v>
      </c>
      <c r="M7" s="26">
        <f t="shared" si="0"/>
        <v>18812</v>
      </c>
      <c r="N7" s="26">
        <f t="shared" si="1"/>
        <v>98030</v>
      </c>
    </row>
    <row r="8" spans="1:14" x14ac:dyDescent="0.25">
      <c r="A8" s="20">
        <v>10</v>
      </c>
      <c r="B8" s="19" t="s">
        <v>54</v>
      </c>
      <c r="C8" s="26">
        <v>209203</v>
      </c>
      <c r="D8" s="26">
        <v>253823</v>
      </c>
      <c r="E8" s="26"/>
      <c r="F8" s="26"/>
      <c r="G8" s="26"/>
      <c r="H8" s="26">
        <v>9500</v>
      </c>
      <c r="I8" s="26">
        <f>H8</f>
        <v>9500</v>
      </c>
      <c r="J8" s="26">
        <f>IF((E8-I8)&lt;=0,0,E8-I8)</f>
        <v>0</v>
      </c>
      <c r="K8" s="26">
        <f>IF(J8=0,D8-I8,D8-J8-I8)</f>
        <v>244323</v>
      </c>
      <c r="L8" s="30">
        <v>0.3</v>
      </c>
      <c r="M8" s="26">
        <f t="shared" si="0"/>
        <v>99409</v>
      </c>
      <c r="N8" s="26">
        <f t="shared" si="1"/>
        <v>354117</v>
      </c>
    </row>
    <row r="9" spans="1:14" x14ac:dyDescent="0.25">
      <c r="A9" s="20">
        <v>10</v>
      </c>
      <c r="B9" s="19" t="s">
        <v>55</v>
      </c>
      <c r="C9" s="26">
        <v>1085</v>
      </c>
      <c r="D9" s="26"/>
      <c r="E9" s="26"/>
      <c r="F9" s="26"/>
      <c r="G9" s="26"/>
      <c r="H9" s="26"/>
      <c r="I9" s="26"/>
      <c r="J9" s="26"/>
      <c r="K9" s="26"/>
      <c r="L9" s="30">
        <v>0.3</v>
      </c>
      <c r="M9" s="26">
        <f t="shared" si="0"/>
        <v>326</v>
      </c>
      <c r="N9" s="26">
        <f t="shared" si="1"/>
        <v>759</v>
      </c>
    </row>
    <row r="10" spans="1:14" x14ac:dyDescent="0.25">
      <c r="A10" s="20">
        <v>12</v>
      </c>
      <c r="B10" s="19" t="s">
        <v>56</v>
      </c>
      <c r="C10" s="26">
        <v>2504</v>
      </c>
      <c r="D10" s="26">
        <v>47649</v>
      </c>
      <c r="E10" s="26"/>
      <c r="F10" s="26"/>
      <c r="G10" s="26"/>
      <c r="H10" s="26"/>
      <c r="I10" s="26"/>
      <c r="J10" s="26">
        <f>IF((E10-I10)&lt;=0,0,E10-I10)</f>
        <v>0</v>
      </c>
      <c r="K10" s="26">
        <f>IF(J10=0,D10-I10,D10-J10-I10)</f>
        <v>47649</v>
      </c>
      <c r="L10" s="30">
        <v>1</v>
      </c>
      <c r="M10" s="26">
        <f t="shared" si="0"/>
        <v>26329</v>
      </c>
      <c r="N10" s="26">
        <f t="shared" si="1"/>
        <v>23824</v>
      </c>
    </row>
    <row r="11" spans="1:14" x14ac:dyDescent="0.25">
      <c r="A11" s="20">
        <v>42</v>
      </c>
      <c r="B11" s="19" t="s">
        <v>57</v>
      </c>
      <c r="C11" s="26">
        <v>22207</v>
      </c>
      <c r="D11" s="26"/>
      <c r="E11" s="26"/>
      <c r="F11" s="26"/>
      <c r="G11" s="26"/>
      <c r="H11" s="26"/>
      <c r="I11" s="26"/>
      <c r="J11" s="26"/>
      <c r="K11" s="26"/>
      <c r="L11" s="30">
        <v>0.12</v>
      </c>
      <c r="M11" s="26">
        <f t="shared" si="0"/>
        <v>2665</v>
      </c>
      <c r="N11" s="26">
        <f t="shared" si="1"/>
        <v>19542</v>
      </c>
    </row>
    <row r="12" spans="1:14" x14ac:dyDescent="0.25">
      <c r="A12" s="21">
        <v>45</v>
      </c>
      <c r="B12" s="19" t="s">
        <v>55</v>
      </c>
      <c r="C12" s="26">
        <v>23</v>
      </c>
      <c r="D12" s="26"/>
      <c r="E12" s="26"/>
      <c r="F12" s="26"/>
      <c r="G12" s="26"/>
      <c r="H12" s="26"/>
      <c r="I12" s="26"/>
      <c r="J12" s="26"/>
      <c r="K12" s="26"/>
      <c r="L12" s="30">
        <v>0.45</v>
      </c>
      <c r="M12" s="26">
        <f t="shared" si="0"/>
        <v>10</v>
      </c>
      <c r="N12" s="26">
        <f t="shared" si="1"/>
        <v>13</v>
      </c>
    </row>
    <row r="13" spans="1:14" x14ac:dyDescent="0.25">
      <c r="A13" s="20">
        <v>47</v>
      </c>
      <c r="B13" s="19" t="s">
        <v>58</v>
      </c>
      <c r="C13" s="26">
        <v>14906094</v>
      </c>
      <c r="D13" s="26">
        <v>2208673</v>
      </c>
      <c r="E13" s="26"/>
      <c r="F13" s="26"/>
      <c r="G13" s="26"/>
      <c r="H13" s="26"/>
      <c r="I13" s="26"/>
      <c r="J13" s="26">
        <f>IF((E13-I13)&lt;=0,0,E13-I13)</f>
        <v>0</v>
      </c>
      <c r="K13" s="26">
        <f>IF(J13=0,D13-I13,D13-J13-I13)</f>
        <v>2208673</v>
      </c>
      <c r="L13" s="30">
        <v>0.08</v>
      </c>
      <c r="M13" s="26">
        <f t="shared" si="0"/>
        <v>1280834</v>
      </c>
      <c r="N13" s="26">
        <f t="shared" si="1"/>
        <v>15833933</v>
      </c>
    </row>
    <row r="14" spans="1:14" x14ac:dyDescent="0.25">
      <c r="A14" s="20">
        <v>50</v>
      </c>
      <c r="B14" s="22" t="s">
        <v>55</v>
      </c>
      <c r="C14" s="26">
        <v>25362</v>
      </c>
      <c r="D14" s="26"/>
      <c r="E14" s="26"/>
      <c r="F14" s="26"/>
      <c r="G14" s="26"/>
      <c r="H14" s="26"/>
      <c r="I14" s="26"/>
      <c r="J14" s="26"/>
      <c r="K14" s="26"/>
      <c r="L14" s="30">
        <v>0.55000000000000004</v>
      </c>
      <c r="M14" s="26">
        <f t="shared" si="0"/>
        <v>13949</v>
      </c>
      <c r="N14" s="26">
        <f t="shared" si="1"/>
        <v>11413</v>
      </c>
    </row>
    <row r="15" spans="1:14" x14ac:dyDescent="0.25">
      <c r="A15" s="20"/>
      <c r="B15" s="19"/>
      <c r="C15" s="26"/>
      <c r="D15" s="26"/>
      <c r="E15" s="26"/>
      <c r="F15" s="26"/>
      <c r="G15" s="26"/>
      <c r="H15" s="26"/>
      <c r="I15" s="26"/>
      <c r="J15" s="26"/>
      <c r="K15" s="26"/>
      <c r="L15" s="30"/>
      <c r="M15" s="26"/>
      <c r="N15" s="26"/>
    </row>
    <row r="16" spans="1:14" x14ac:dyDescent="0.25">
      <c r="A16" s="20"/>
      <c r="B16" s="19"/>
      <c r="C16" s="26"/>
      <c r="D16" s="26"/>
      <c r="E16" s="26"/>
      <c r="F16" s="26"/>
      <c r="G16" s="26"/>
      <c r="H16" s="26"/>
      <c r="I16" s="26"/>
      <c r="J16" s="26"/>
      <c r="K16" s="26"/>
      <c r="L16" s="30"/>
      <c r="M16" s="26"/>
      <c r="N16" s="26"/>
    </row>
    <row r="17" spans="1:14" s="1" customFormat="1" ht="15.75" x14ac:dyDescent="0.25">
      <c r="A17" s="27">
        <f>B1</f>
        <v>2019</v>
      </c>
      <c r="B17" s="31" t="s">
        <v>47</v>
      </c>
      <c r="C17" s="28">
        <f>SUM(C3:C16)</f>
        <v>27248057</v>
      </c>
      <c r="D17" s="28">
        <f t="shared" ref="D17:N17" si="2">SUM(D3:D16)</f>
        <v>2571272</v>
      </c>
      <c r="E17" s="28">
        <f t="shared" si="2"/>
        <v>0</v>
      </c>
      <c r="F17" s="28">
        <f t="shared" si="2"/>
        <v>0</v>
      </c>
      <c r="G17" s="28">
        <f t="shared" si="2"/>
        <v>0</v>
      </c>
      <c r="H17" s="28">
        <f t="shared" si="2"/>
        <v>9500</v>
      </c>
      <c r="I17" s="28">
        <f t="shared" si="2"/>
        <v>9500</v>
      </c>
      <c r="J17" s="28">
        <f t="shared" si="2"/>
        <v>0</v>
      </c>
      <c r="K17" s="28">
        <f t="shared" si="2"/>
        <v>2561772</v>
      </c>
      <c r="L17" s="29"/>
      <c r="M17" s="28">
        <f t="shared" si="2"/>
        <v>1924312</v>
      </c>
      <c r="N17" s="28">
        <f t="shared" si="2"/>
        <v>27885517</v>
      </c>
    </row>
    <row r="19" spans="1:14" ht="23.25" x14ac:dyDescent="0.35">
      <c r="B19" s="23">
        <v>2020</v>
      </c>
    </row>
    <row r="20" spans="1:14" ht="25.5" x14ac:dyDescent="0.25">
      <c r="A20" s="17" t="s">
        <v>45</v>
      </c>
      <c r="B20" s="17" t="s">
        <v>46</v>
      </c>
      <c r="C20" s="17" t="s">
        <v>59</v>
      </c>
      <c r="D20" s="17" t="s">
        <v>60</v>
      </c>
      <c r="E20" s="17" t="s">
        <v>61</v>
      </c>
      <c r="F20" s="17" t="s">
        <v>62</v>
      </c>
      <c r="G20" s="17" t="s">
        <v>63</v>
      </c>
      <c r="H20" s="17" t="s">
        <v>64</v>
      </c>
      <c r="I20" s="17" t="s">
        <v>65</v>
      </c>
      <c r="J20" s="17" t="s">
        <v>66</v>
      </c>
      <c r="K20" s="17" t="s">
        <v>69</v>
      </c>
      <c r="L20" s="17" t="s">
        <v>67</v>
      </c>
      <c r="M20" s="17" t="s">
        <v>0</v>
      </c>
      <c r="N20" s="17" t="s">
        <v>68</v>
      </c>
    </row>
    <row r="21" spans="1:14" x14ac:dyDescent="0.25">
      <c r="A21" s="18" t="s">
        <v>48</v>
      </c>
      <c r="B21" s="19" t="s">
        <v>49</v>
      </c>
      <c r="C21" s="26">
        <f>N3</f>
        <v>1561654</v>
      </c>
      <c r="D21" s="26"/>
      <c r="E21" s="26"/>
      <c r="F21" s="26"/>
      <c r="G21" s="26"/>
      <c r="H21" s="26"/>
      <c r="I21" s="26"/>
      <c r="J21" s="26">
        <f>IF((E21-I21)&lt;=0,0,E21-I21)</f>
        <v>0</v>
      </c>
      <c r="K21" s="26">
        <f>IF(J21=0,D21-I21,D21-J21-I21)</f>
        <v>0</v>
      </c>
      <c r="L21" s="30">
        <v>0.04</v>
      </c>
      <c r="M21" s="26">
        <f t="shared" ref="M21:M32" si="3">ROUND(IF((C21*L21+(J21*1.5)*L21+(K21*0.5)*L21)&gt;=C21+J21+K21,C21+J21+K21,C21*L21+(J21*1.5)*L21+(K21*0.5)*L21),0)</f>
        <v>62466</v>
      </c>
      <c r="N21" s="26">
        <f t="shared" ref="N21:N32" si="4">ROUND(IF((C21+D21-M21-H21)&lt;=0,0,C21+D21-M21-H21),0)</f>
        <v>1499188</v>
      </c>
    </row>
    <row r="22" spans="1:14" x14ac:dyDescent="0.25">
      <c r="A22" s="20">
        <v>1</v>
      </c>
      <c r="B22" s="19" t="s">
        <v>50</v>
      </c>
      <c r="C22" s="26">
        <f t="shared" ref="C22:C32" si="5">N4</f>
        <v>9076439</v>
      </c>
      <c r="D22" s="26"/>
      <c r="E22" s="26"/>
      <c r="F22" s="26"/>
      <c r="G22" s="26"/>
      <c r="H22" s="26"/>
      <c r="I22" s="26"/>
      <c r="J22" s="26"/>
      <c r="K22" s="26"/>
      <c r="L22" s="30">
        <v>0.04</v>
      </c>
      <c r="M22" s="26">
        <f t="shared" si="3"/>
        <v>363058</v>
      </c>
      <c r="N22" s="26">
        <f t="shared" si="4"/>
        <v>8713381</v>
      </c>
    </row>
    <row r="23" spans="1:14" x14ac:dyDescent="0.25">
      <c r="A23" s="20">
        <v>1</v>
      </c>
      <c r="B23" s="19" t="s">
        <v>51</v>
      </c>
      <c r="C23" s="26">
        <f t="shared" si="5"/>
        <v>886973</v>
      </c>
      <c r="D23" s="26"/>
      <c r="E23" s="26"/>
      <c r="F23" s="26"/>
      <c r="G23" s="26"/>
      <c r="H23" s="26"/>
      <c r="I23" s="26"/>
      <c r="J23" s="26"/>
      <c r="K23" s="26"/>
      <c r="L23" s="30">
        <v>0.04</v>
      </c>
      <c r="M23" s="26">
        <f t="shared" si="3"/>
        <v>35479</v>
      </c>
      <c r="N23" s="26">
        <f t="shared" si="4"/>
        <v>851494</v>
      </c>
    </row>
    <row r="24" spans="1:14" x14ac:dyDescent="0.25">
      <c r="A24" s="20">
        <v>6</v>
      </c>
      <c r="B24" s="19" t="s">
        <v>52</v>
      </c>
      <c r="C24" s="26">
        <f t="shared" si="5"/>
        <v>18820</v>
      </c>
      <c r="D24" s="26"/>
      <c r="E24" s="26"/>
      <c r="F24" s="26"/>
      <c r="G24" s="26"/>
      <c r="H24" s="26"/>
      <c r="I24" s="26"/>
      <c r="J24" s="26"/>
      <c r="K24" s="26"/>
      <c r="L24" s="30">
        <v>0.1</v>
      </c>
      <c r="M24" s="26">
        <f t="shared" si="3"/>
        <v>1882</v>
      </c>
      <c r="N24" s="26">
        <f t="shared" si="4"/>
        <v>16938</v>
      </c>
    </row>
    <row r="25" spans="1:14" x14ac:dyDescent="0.25">
      <c r="A25" s="20">
        <v>8</v>
      </c>
      <c r="B25" s="19" t="s">
        <v>53</v>
      </c>
      <c r="C25" s="26">
        <f t="shared" si="5"/>
        <v>98030</v>
      </c>
      <c r="D25" s="26">
        <v>230058</v>
      </c>
      <c r="E25" s="26"/>
      <c r="F25" s="26"/>
      <c r="G25" s="26"/>
      <c r="H25" s="26"/>
      <c r="I25" s="26"/>
      <c r="J25" s="26">
        <f>IF((E25-I25)&lt;=0,0,E25-I25)</f>
        <v>0</v>
      </c>
      <c r="K25" s="26">
        <f>IF(J25=0,D25-I25,D25-J25-I25)</f>
        <v>230058</v>
      </c>
      <c r="L25" s="30">
        <v>0.2</v>
      </c>
      <c r="M25" s="26">
        <f t="shared" si="3"/>
        <v>42612</v>
      </c>
      <c r="N25" s="26">
        <f t="shared" si="4"/>
        <v>285476</v>
      </c>
    </row>
    <row r="26" spans="1:14" x14ac:dyDescent="0.25">
      <c r="A26" s="20">
        <v>10</v>
      </c>
      <c r="B26" s="19" t="s">
        <v>54</v>
      </c>
      <c r="C26" s="26">
        <f t="shared" si="5"/>
        <v>354117</v>
      </c>
      <c r="D26" s="26">
        <v>40148</v>
      </c>
      <c r="E26" s="26"/>
      <c r="F26" s="26"/>
      <c r="G26" s="26"/>
      <c r="H26" s="26">
        <v>38214</v>
      </c>
      <c r="I26" s="26">
        <f>H26</f>
        <v>38214</v>
      </c>
      <c r="J26" s="26">
        <f>IF((E26-I26)&lt;=0,0,E26-I26)</f>
        <v>0</v>
      </c>
      <c r="K26" s="26">
        <f>IF(J26=0,D26-I26,D26-J26-I26)</f>
        <v>1934</v>
      </c>
      <c r="L26" s="30">
        <v>0.3</v>
      </c>
      <c r="M26" s="26">
        <f t="shared" si="3"/>
        <v>106525</v>
      </c>
      <c r="N26" s="26">
        <f t="shared" si="4"/>
        <v>249526</v>
      </c>
    </row>
    <row r="27" spans="1:14" x14ac:dyDescent="0.25">
      <c r="A27" s="20">
        <v>10</v>
      </c>
      <c r="B27" s="19" t="s">
        <v>55</v>
      </c>
      <c r="C27" s="26">
        <f t="shared" si="5"/>
        <v>759</v>
      </c>
      <c r="D27" s="26"/>
      <c r="E27" s="26"/>
      <c r="F27" s="26"/>
      <c r="G27" s="26"/>
      <c r="H27" s="26"/>
      <c r="I27" s="26"/>
      <c r="J27" s="26"/>
      <c r="K27" s="26"/>
      <c r="L27" s="30">
        <v>0.3</v>
      </c>
      <c r="M27" s="26">
        <f t="shared" si="3"/>
        <v>228</v>
      </c>
      <c r="N27" s="26">
        <f t="shared" si="4"/>
        <v>531</v>
      </c>
    </row>
    <row r="28" spans="1:14" x14ac:dyDescent="0.25">
      <c r="A28" s="20">
        <v>12</v>
      </c>
      <c r="B28" s="19" t="s">
        <v>56</v>
      </c>
      <c r="C28" s="26">
        <f t="shared" si="5"/>
        <v>23824</v>
      </c>
      <c r="D28" s="26">
        <v>74557</v>
      </c>
      <c r="E28" s="26"/>
      <c r="F28" s="26"/>
      <c r="G28" s="26"/>
      <c r="H28" s="26"/>
      <c r="I28" s="26"/>
      <c r="J28" s="26">
        <f>IF((E28-I28)&lt;=0,0,E28-I28)</f>
        <v>0</v>
      </c>
      <c r="K28" s="26">
        <f>IF(J28=0,D28-I28,D28-J28-I28)</f>
        <v>74557</v>
      </c>
      <c r="L28" s="30">
        <v>1</v>
      </c>
      <c r="M28" s="26">
        <f t="shared" si="3"/>
        <v>61103</v>
      </c>
      <c r="N28" s="26">
        <f t="shared" si="4"/>
        <v>37278</v>
      </c>
    </row>
    <row r="29" spans="1:14" x14ac:dyDescent="0.25">
      <c r="A29" s="20">
        <v>42</v>
      </c>
      <c r="B29" s="19" t="s">
        <v>57</v>
      </c>
      <c r="C29" s="26">
        <f t="shared" si="5"/>
        <v>19542</v>
      </c>
      <c r="D29" s="26"/>
      <c r="E29" s="26"/>
      <c r="F29" s="26"/>
      <c r="G29" s="26"/>
      <c r="H29" s="26"/>
      <c r="I29" s="26"/>
      <c r="J29" s="26"/>
      <c r="K29" s="26"/>
      <c r="L29" s="30">
        <v>0.12</v>
      </c>
      <c r="M29" s="26">
        <f t="shared" si="3"/>
        <v>2345</v>
      </c>
      <c r="N29" s="26">
        <f t="shared" si="4"/>
        <v>17197</v>
      </c>
    </row>
    <row r="30" spans="1:14" x14ac:dyDescent="0.25">
      <c r="A30" s="21">
        <v>45</v>
      </c>
      <c r="B30" s="19" t="s">
        <v>55</v>
      </c>
      <c r="C30" s="26">
        <f t="shared" si="5"/>
        <v>13</v>
      </c>
      <c r="D30" s="26"/>
      <c r="E30" s="26"/>
      <c r="F30" s="26"/>
      <c r="G30" s="26"/>
      <c r="H30" s="26"/>
      <c r="I30" s="26"/>
      <c r="J30" s="26"/>
      <c r="K30" s="26"/>
      <c r="L30" s="30">
        <v>0.45</v>
      </c>
      <c r="M30" s="26">
        <f t="shared" si="3"/>
        <v>6</v>
      </c>
      <c r="N30" s="26">
        <f t="shared" si="4"/>
        <v>7</v>
      </c>
    </row>
    <row r="31" spans="1:14" x14ac:dyDescent="0.25">
      <c r="A31" s="20">
        <v>47</v>
      </c>
      <c r="B31" s="19" t="s">
        <v>58</v>
      </c>
      <c r="C31" s="26">
        <f t="shared" si="5"/>
        <v>15833933</v>
      </c>
      <c r="D31" s="26">
        <v>1224571</v>
      </c>
      <c r="E31" s="26"/>
      <c r="F31" s="26"/>
      <c r="G31" s="26"/>
      <c r="H31" s="26"/>
      <c r="I31" s="26"/>
      <c r="J31" s="26">
        <f>IF((E31-I31)&lt;=0,0,E31-I31)</f>
        <v>0</v>
      </c>
      <c r="K31" s="26">
        <f>IF(J31=0,D31-I31,D31-J31-I31)</f>
        <v>1224571</v>
      </c>
      <c r="L31" s="30">
        <v>0.08</v>
      </c>
      <c r="M31" s="26">
        <f t="shared" si="3"/>
        <v>1315697</v>
      </c>
      <c r="N31" s="26">
        <f t="shared" si="4"/>
        <v>15742807</v>
      </c>
    </row>
    <row r="32" spans="1:14" x14ac:dyDescent="0.25">
      <c r="A32" s="20">
        <v>50</v>
      </c>
      <c r="B32" s="22" t="s">
        <v>55</v>
      </c>
      <c r="C32" s="26">
        <f t="shared" si="5"/>
        <v>11413</v>
      </c>
      <c r="D32" s="26">
        <v>2518</v>
      </c>
      <c r="E32" s="26"/>
      <c r="F32" s="26"/>
      <c r="G32" s="26"/>
      <c r="H32" s="26"/>
      <c r="I32" s="26"/>
      <c r="J32" s="26">
        <f>IF((E32-I32)&lt;=0,0,E32-I32)</f>
        <v>0</v>
      </c>
      <c r="K32" s="26">
        <f>IF(J32=0,D32-I32,D32-J32-I32)</f>
        <v>2518</v>
      </c>
      <c r="L32" s="30">
        <v>0.55000000000000004</v>
      </c>
      <c r="M32" s="26">
        <f t="shared" si="3"/>
        <v>6970</v>
      </c>
      <c r="N32" s="26">
        <f t="shared" si="4"/>
        <v>6961</v>
      </c>
    </row>
    <row r="33" spans="1:15" x14ac:dyDescent="0.25">
      <c r="A33" s="20"/>
      <c r="B33" s="19"/>
      <c r="C33" s="26"/>
      <c r="D33" s="26"/>
      <c r="E33" s="26"/>
      <c r="F33" s="26"/>
      <c r="G33" s="26"/>
      <c r="H33" s="26"/>
      <c r="I33" s="26"/>
      <c r="J33" s="26"/>
      <c r="K33" s="26"/>
      <c r="L33" s="30"/>
      <c r="M33" s="26"/>
      <c r="N33" s="26"/>
    </row>
    <row r="34" spans="1:15" x14ac:dyDescent="0.25">
      <c r="A34" s="20"/>
      <c r="B34" s="19"/>
      <c r="C34" s="26"/>
      <c r="D34" s="26"/>
      <c r="E34" s="26"/>
      <c r="F34" s="26"/>
      <c r="G34" s="26"/>
      <c r="H34" s="26"/>
      <c r="I34" s="26"/>
      <c r="J34" s="26"/>
      <c r="K34" s="26"/>
      <c r="L34" s="30"/>
      <c r="M34" s="26"/>
      <c r="N34" s="26"/>
    </row>
    <row r="35" spans="1:15" ht="15.75" x14ac:dyDescent="0.25">
      <c r="A35" s="27">
        <f>B19</f>
        <v>2020</v>
      </c>
      <c r="B35" s="31" t="s">
        <v>47</v>
      </c>
      <c r="C35" s="28">
        <f>SUM(C21:C34)</f>
        <v>27885517</v>
      </c>
      <c r="D35" s="28">
        <f t="shared" ref="D35:K35" si="6">SUM(D21:D34)</f>
        <v>1571852</v>
      </c>
      <c r="E35" s="28">
        <f t="shared" si="6"/>
        <v>0</v>
      </c>
      <c r="F35" s="28">
        <f t="shared" si="6"/>
        <v>0</v>
      </c>
      <c r="G35" s="28">
        <f t="shared" si="6"/>
        <v>0</v>
      </c>
      <c r="H35" s="28">
        <f t="shared" si="6"/>
        <v>38214</v>
      </c>
      <c r="I35" s="28">
        <f t="shared" si="6"/>
        <v>38214</v>
      </c>
      <c r="J35" s="28">
        <f t="shared" si="6"/>
        <v>0</v>
      </c>
      <c r="K35" s="28">
        <f t="shared" si="6"/>
        <v>1533638</v>
      </c>
      <c r="L35" s="29"/>
      <c r="M35" s="28">
        <f t="shared" ref="M35:N35" si="7">SUM(M21:M34)</f>
        <v>1998371</v>
      </c>
      <c r="N35" s="28">
        <f t="shared" si="7"/>
        <v>27420784</v>
      </c>
    </row>
    <row r="37" spans="1:15" ht="23.25" x14ac:dyDescent="0.35">
      <c r="B37" s="23">
        <v>2021</v>
      </c>
    </row>
    <row r="38" spans="1:15" ht="25.5" x14ac:dyDescent="0.25">
      <c r="A38" s="17" t="s">
        <v>45</v>
      </c>
      <c r="B38" s="17" t="s">
        <v>46</v>
      </c>
      <c r="C38" s="17" t="s">
        <v>59</v>
      </c>
      <c r="D38" s="17" t="s">
        <v>60</v>
      </c>
      <c r="E38" s="17" t="s">
        <v>61</v>
      </c>
      <c r="F38" s="17" t="s">
        <v>62</v>
      </c>
      <c r="G38" s="17" t="s">
        <v>63</v>
      </c>
      <c r="H38" s="17" t="s">
        <v>64</v>
      </c>
      <c r="I38" s="17" t="s">
        <v>65</v>
      </c>
      <c r="J38" s="17" t="s">
        <v>66</v>
      </c>
      <c r="K38" s="17" t="s">
        <v>70</v>
      </c>
      <c r="L38" s="17" t="s">
        <v>67</v>
      </c>
      <c r="M38" s="17" t="s">
        <v>0</v>
      </c>
      <c r="N38" s="17" t="s">
        <v>68</v>
      </c>
    </row>
    <row r="39" spans="1:15" x14ac:dyDescent="0.25">
      <c r="A39" s="18" t="s">
        <v>48</v>
      </c>
      <c r="B39" s="19" t="s">
        <v>49</v>
      </c>
      <c r="C39" s="26">
        <f>N21</f>
        <v>1499188</v>
      </c>
      <c r="D39" s="26"/>
      <c r="E39" s="26"/>
      <c r="F39" s="26"/>
      <c r="G39" s="26"/>
      <c r="H39" s="26"/>
      <c r="I39" s="26"/>
      <c r="J39" s="26">
        <f>IF((E39-I39-F39)&lt;=0,0,E39-I39-F39)</f>
        <v>0</v>
      </c>
      <c r="K39" s="26">
        <f>IF((D39-F39-I39-J39)&lt;=0,0,D39-F39-I39-J39)</f>
        <v>0</v>
      </c>
      <c r="L39" s="30">
        <v>0.04</v>
      </c>
      <c r="M39" s="26">
        <f t="shared" ref="M39:M50" si="8">ROUND(IF((C39*L39+(J39*1.5)*L39+(K39*0.5)*L39)&gt;=C39+J39+K39,C39+J39+K39,C39*L39+(J39*1.5)*L39+(K39*0.5)*L39)+F39,0)</f>
        <v>59968</v>
      </c>
      <c r="N39" s="26">
        <f t="shared" ref="N39:N50" si="9">ROUND(IF((C39+D39-M39-H39)&lt;=0,0,C39+D39-M39-H39),0)</f>
        <v>1439220</v>
      </c>
    </row>
    <row r="40" spans="1:15" x14ac:dyDescent="0.25">
      <c r="A40" s="20">
        <v>1</v>
      </c>
      <c r="B40" s="19" t="s">
        <v>50</v>
      </c>
      <c r="C40" s="26">
        <f t="shared" ref="C40:C50" si="10">N22</f>
        <v>8713381</v>
      </c>
      <c r="D40" s="26"/>
      <c r="E40" s="26"/>
      <c r="F40" s="26"/>
      <c r="G40" s="26"/>
      <c r="H40" s="26"/>
      <c r="I40" s="26"/>
      <c r="J40" s="26"/>
      <c r="K40" s="26"/>
      <c r="L40" s="30">
        <v>0.04</v>
      </c>
      <c r="M40" s="26">
        <f t="shared" si="8"/>
        <v>348535</v>
      </c>
      <c r="N40" s="26">
        <f t="shared" si="9"/>
        <v>8364846</v>
      </c>
    </row>
    <row r="41" spans="1:15" x14ac:dyDescent="0.25">
      <c r="A41" s="20">
        <v>1</v>
      </c>
      <c r="B41" s="19" t="s">
        <v>51</v>
      </c>
      <c r="C41" s="26">
        <f t="shared" si="10"/>
        <v>851494</v>
      </c>
      <c r="D41" s="26"/>
      <c r="E41" s="26"/>
      <c r="F41" s="26"/>
      <c r="G41" s="26"/>
      <c r="H41" s="26"/>
      <c r="I41" s="26"/>
      <c r="J41" s="26"/>
      <c r="K41" s="26"/>
      <c r="L41" s="30">
        <v>0.04</v>
      </c>
      <c r="M41" s="26">
        <f t="shared" si="8"/>
        <v>34060</v>
      </c>
      <c r="N41" s="26">
        <f t="shared" si="9"/>
        <v>817434</v>
      </c>
    </row>
    <row r="42" spans="1:15" x14ac:dyDescent="0.25">
      <c r="A42" s="20">
        <v>6</v>
      </c>
      <c r="B42" s="19" t="s">
        <v>52</v>
      </c>
      <c r="C42" s="26">
        <f t="shared" si="10"/>
        <v>16938</v>
      </c>
      <c r="D42" s="26"/>
      <c r="E42" s="26"/>
      <c r="F42" s="26"/>
      <c r="G42" s="26"/>
      <c r="H42" s="26"/>
      <c r="I42" s="26"/>
      <c r="J42" s="26"/>
      <c r="K42" s="26"/>
      <c r="L42" s="30">
        <v>0.1</v>
      </c>
      <c r="M42" s="26">
        <f t="shared" si="8"/>
        <v>1694</v>
      </c>
      <c r="N42" s="26">
        <f t="shared" si="9"/>
        <v>15244</v>
      </c>
    </row>
    <row r="43" spans="1:15" x14ac:dyDescent="0.25">
      <c r="A43" s="20">
        <v>8</v>
      </c>
      <c r="B43" s="19" t="s">
        <v>53</v>
      </c>
      <c r="C43" s="26">
        <f t="shared" si="10"/>
        <v>285476</v>
      </c>
      <c r="D43" s="26">
        <v>304784</v>
      </c>
      <c r="E43" s="26"/>
      <c r="F43" s="26"/>
      <c r="G43" s="26"/>
      <c r="H43" s="26">
        <v>32024</v>
      </c>
      <c r="I43" s="26">
        <f>H43</f>
        <v>32024</v>
      </c>
      <c r="J43" s="26">
        <f>IF((E43-I43-F43)&lt;=0,0,E43-I43-F43)</f>
        <v>0</v>
      </c>
      <c r="K43" s="26">
        <f>IF((D43-F43-I43-J43)&lt;=0,0,D43-F43-I43-J43)</f>
        <v>272760</v>
      </c>
      <c r="L43" s="30">
        <v>0.2</v>
      </c>
      <c r="M43" s="26">
        <f t="shared" si="8"/>
        <v>84371</v>
      </c>
      <c r="N43" s="26">
        <f t="shared" si="9"/>
        <v>473865</v>
      </c>
      <c r="O43" s="24"/>
    </row>
    <row r="44" spans="1:15" x14ac:dyDescent="0.25">
      <c r="A44" s="20">
        <v>10</v>
      </c>
      <c r="B44" s="19" t="s">
        <v>54</v>
      </c>
      <c r="C44" s="26">
        <f t="shared" si="10"/>
        <v>249526</v>
      </c>
      <c r="D44" s="26">
        <v>495647</v>
      </c>
      <c r="E44" s="26"/>
      <c r="F44" s="26"/>
      <c r="G44" s="26"/>
      <c r="H44" s="26">
        <v>0</v>
      </c>
      <c r="I44" s="26">
        <f>H44</f>
        <v>0</v>
      </c>
      <c r="J44" s="26">
        <f>IF((E44-I44-F44)&lt;=0,0,E44-I44-F44)</f>
        <v>0</v>
      </c>
      <c r="K44" s="26">
        <f>IF((D44-F44-I44-J44)&lt;=0,0,D44-F44-I44-J44)</f>
        <v>495647</v>
      </c>
      <c r="L44" s="30">
        <v>0.3</v>
      </c>
      <c r="M44" s="26">
        <f t="shared" si="8"/>
        <v>149205</v>
      </c>
      <c r="N44" s="26">
        <f t="shared" si="9"/>
        <v>595968</v>
      </c>
    </row>
    <row r="45" spans="1:15" x14ac:dyDescent="0.25">
      <c r="A45" s="20">
        <v>10</v>
      </c>
      <c r="B45" s="19" t="s">
        <v>55</v>
      </c>
      <c r="C45" s="26">
        <f t="shared" si="10"/>
        <v>531</v>
      </c>
      <c r="D45" s="26"/>
      <c r="E45" s="26"/>
      <c r="F45" s="26"/>
      <c r="G45" s="26"/>
      <c r="H45" s="26"/>
      <c r="I45" s="26"/>
      <c r="J45" s="26"/>
      <c r="K45" s="26"/>
      <c r="L45" s="30">
        <v>0.3</v>
      </c>
      <c r="M45" s="26">
        <f t="shared" si="8"/>
        <v>159</v>
      </c>
      <c r="N45" s="26">
        <f t="shared" si="9"/>
        <v>372</v>
      </c>
    </row>
    <row r="46" spans="1:15" x14ac:dyDescent="0.25">
      <c r="A46" s="20">
        <v>12</v>
      </c>
      <c r="B46" s="19" t="s">
        <v>56</v>
      </c>
      <c r="C46" s="26">
        <f t="shared" si="10"/>
        <v>37278</v>
      </c>
      <c r="D46" s="26">
        <v>0</v>
      </c>
      <c r="E46" s="26"/>
      <c r="F46" s="26"/>
      <c r="G46" s="26"/>
      <c r="H46" s="26"/>
      <c r="I46" s="26"/>
      <c r="J46" s="26">
        <f>IF((E46-I46-F46)&lt;=0,0,E46-I46-F46)</f>
        <v>0</v>
      </c>
      <c r="K46" s="26">
        <f>IF((D46-F46-I46-J46)&lt;=0,0,D46-F46-I46-J46)</f>
        <v>0</v>
      </c>
      <c r="L46" s="30">
        <v>1</v>
      </c>
      <c r="M46" s="26">
        <f t="shared" si="8"/>
        <v>37278</v>
      </c>
      <c r="N46" s="26">
        <f t="shared" si="9"/>
        <v>0</v>
      </c>
    </row>
    <row r="47" spans="1:15" x14ac:dyDescent="0.25">
      <c r="A47" s="20">
        <v>42</v>
      </c>
      <c r="B47" s="19" t="s">
        <v>57</v>
      </c>
      <c r="C47" s="26">
        <f t="shared" si="10"/>
        <v>17197</v>
      </c>
      <c r="D47" s="26"/>
      <c r="E47" s="26"/>
      <c r="F47" s="26"/>
      <c r="G47" s="26"/>
      <c r="H47" s="26"/>
      <c r="I47" s="26"/>
      <c r="J47" s="26"/>
      <c r="K47" s="26"/>
      <c r="L47" s="30">
        <v>0.12</v>
      </c>
      <c r="M47" s="26">
        <f t="shared" si="8"/>
        <v>2064</v>
      </c>
      <c r="N47" s="26">
        <f t="shared" si="9"/>
        <v>15133</v>
      </c>
    </row>
    <row r="48" spans="1:15" x14ac:dyDescent="0.25">
      <c r="A48" s="21">
        <v>45</v>
      </c>
      <c r="B48" s="19" t="s">
        <v>55</v>
      </c>
      <c r="C48" s="26">
        <f t="shared" si="10"/>
        <v>7</v>
      </c>
      <c r="D48" s="26"/>
      <c r="E48" s="26"/>
      <c r="F48" s="26"/>
      <c r="G48" s="26"/>
      <c r="H48" s="26"/>
      <c r="I48" s="26"/>
      <c r="J48" s="26"/>
      <c r="K48" s="26"/>
      <c r="L48" s="30">
        <v>0.45</v>
      </c>
      <c r="M48" s="26">
        <f t="shared" si="8"/>
        <v>3</v>
      </c>
      <c r="N48" s="26">
        <f t="shared" si="9"/>
        <v>4</v>
      </c>
    </row>
    <row r="49" spans="1:15" x14ac:dyDescent="0.25">
      <c r="A49" s="20">
        <v>47</v>
      </c>
      <c r="B49" s="19" t="s">
        <v>58</v>
      </c>
      <c r="C49" s="26">
        <f t="shared" si="10"/>
        <v>15742807</v>
      </c>
      <c r="D49" s="26">
        <v>1748302</v>
      </c>
      <c r="E49" s="26"/>
      <c r="F49" s="26"/>
      <c r="G49" s="26"/>
      <c r="H49" s="26"/>
      <c r="I49" s="26"/>
      <c r="J49" s="26">
        <f>IF((E49-I49-F49)&lt;=0,0,E49-I49-F49)</f>
        <v>0</v>
      </c>
      <c r="K49" s="26">
        <f>IF((D49-F49-I49-J49)&lt;=0,0,D49-F49-I49-J49)</f>
        <v>1748302</v>
      </c>
      <c r="L49" s="30">
        <v>0.08</v>
      </c>
      <c r="M49" s="26">
        <f t="shared" si="8"/>
        <v>1329357</v>
      </c>
      <c r="N49" s="26">
        <f t="shared" si="9"/>
        <v>16161752</v>
      </c>
    </row>
    <row r="50" spans="1:15" x14ac:dyDescent="0.25">
      <c r="A50" s="20">
        <v>50</v>
      </c>
      <c r="B50" s="22" t="s">
        <v>55</v>
      </c>
      <c r="C50" s="26">
        <f t="shared" si="10"/>
        <v>6961</v>
      </c>
      <c r="D50" s="26">
        <v>1610</v>
      </c>
      <c r="E50" s="26"/>
      <c r="F50" s="26"/>
      <c r="G50" s="26"/>
      <c r="H50" s="26"/>
      <c r="I50" s="26"/>
      <c r="J50" s="26">
        <f>IF((E50-I50-F50)&lt;=0,0,E50-I50-F50)</f>
        <v>0</v>
      </c>
      <c r="K50" s="26">
        <f>IF((D50-F50-I50-J50)&lt;=0,0,D50-F50-I50-J50)</f>
        <v>1610</v>
      </c>
      <c r="L50" s="30">
        <v>0.55000000000000004</v>
      </c>
      <c r="M50" s="26">
        <f t="shared" si="8"/>
        <v>4271</v>
      </c>
      <c r="N50" s="26">
        <f t="shared" si="9"/>
        <v>4300</v>
      </c>
    </row>
    <row r="51" spans="1:15" x14ac:dyDescent="0.25">
      <c r="A51" s="20"/>
      <c r="B51" s="19"/>
      <c r="C51" s="26"/>
      <c r="D51" s="26"/>
      <c r="E51" s="26"/>
      <c r="F51" s="26"/>
      <c r="G51" s="26"/>
      <c r="H51" s="26"/>
      <c r="I51" s="26"/>
      <c r="J51" s="26"/>
      <c r="K51" s="26"/>
      <c r="L51" s="30"/>
      <c r="M51" s="26"/>
      <c r="N51" s="26"/>
    </row>
    <row r="52" spans="1:15" x14ac:dyDescent="0.25">
      <c r="A52" s="20"/>
      <c r="B52" s="19"/>
      <c r="C52" s="26"/>
      <c r="D52" s="26"/>
      <c r="E52" s="26"/>
      <c r="F52" s="26"/>
      <c r="G52" s="26"/>
      <c r="H52" s="26"/>
      <c r="I52" s="26"/>
      <c r="J52" s="26"/>
      <c r="K52" s="26"/>
      <c r="L52" s="30"/>
      <c r="M52" s="26"/>
      <c r="N52" s="26"/>
    </row>
    <row r="53" spans="1:15" ht="15.75" x14ac:dyDescent="0.25">
      <c r="A53" s="27">
        <f>B37</f>
        <v>2021</v>
      </c>
      <c r="B53" s="31" t="s">
        <v>47</v>
      </c>
      <c r="C53" s="28">
        <f>SUM(C39:C52)</f>
        <v>27420784</v>
      </c>
      <c r="D53" s="28">
        <f t="shared" ref="D53:K53" si="11">SUM(D39:D52)</f>
        <v>2550343</v>
      </c>
      <c r="E53" s="28">
        <f t="shared" si="11"/>
        <v>0</v>
      </c>
      <c r="F53" s="28">
        <f t="shared" si="11"/>
        <v>0</v>
      </c>
      <c r="G53" s="28">
        <f t="shared" si="11"/>
        <v>0</v>
      </c>
      <c r="H53" s="28">
        <f t="shared" si="11"/>
        <v>32024</v>
      </c>
      <c r="I53" s="28">
        <f t="shared" si="11"/>
        <v>32024</v>
      </c>
      <c r="J53" s="28">
        <f t="shared" si="11"/>
        <v>0</v>
      </c>
      <c r="K53" s="28">
        <f t="shared" si="11"/>
        <v>2518319</v>
      </c>
      <c r="L53" s="29"/>
      <c r="M53" s="28">
        <f t="shared" ref="M53:N53" si="12">SUM(M39:M52)</f>
        <v>2050965</v>
      </c>
      <c r="N53" s="28">
        <f t="shared" si="12"/>
        <v>27888138</v>
      </c>
    </row>
    <row r="55" spans="1:15" ht="23.25" x14ac:dyDescent="0.35">
      <c r="B55" s="23">
        <v>2022</v>
      </c>
    </row>
    <row r="56" spans="1:15" ht="25.5" x14ac:dyDescent="0.25">
      <c r="A56" s="17" t="s">
        <v>45</v>
      </c>
      <c r="B56" s="17" t="s">
        <v>46</v>
      </c>
      <c r="C56" s="17" t="s">
        <v>59</v>
      </c>
      <c r="D56" s="17" t="s">
        <v>60</v>
      </c>
      <c r="E56" s="17" t="s">
        <v>61</v>
      </c>
      <c r="F56" s="17" t="s">
        <v>62</v>
      </c>
      <c r="G56" s="17" t="s">
        <v>63</v>
      </c>
      <c r="H56" s="17" t="s">
        <v>64</v>
      </c>
      <c r="I56" s="17" t="s">
        <v>65</v>
      </c>
      <c r="J56" s="17" t="s">
        <v>66</v>
      </c>
      <c r="K56" s="17" t="s">
        <v>70</v>
      </c>
      <c r="L56" s="17" t="s">
        <v>67</v>
      </c>
      <c r="M56" s="17" t="s">
        <v>0</v>
      </c>
      <c r="N56" s="17" t="s">
        <v>68</v>
      </c>
    </row>
    <row r="57" spans="1:15" x14ac:dyDescent="0.25">
      <c r="A57" s="18" t="s">
        <v>48</v>
      </c>
      <c r="B57" s="19" t="s">
        <v>49</v>
      </c>
      <c r="C57" s="26">
        <f>N39</f>
        <v>1439220</v>
      </c>
      <c r="D57" s="26">
        <v>7271</v>
      </c>
      <c r="E57" s="26"/>
      <c r="F57" s="26"/>
      <c r="G57" s="26"/>
      <c r="H57" s="26"/>
      <c r="I57" s="26"/>
      <c r="J57" s="26">
        <f>IF((E57-I57-F57)&lt;=0,0,E57-I57-F57)</f>
        <v>0</v>
      </c>
      <c r="K57" s="26">
        <f>IF((D57-F57-I57-J57)&lt;=0,0,D57-F57-I57-J57)</f>
        <v>7271</v>
      </c>
      <c r="L57" s="30">
        <v>0.04</v>
      </c>
      <c r="M57" s="26">
        <f t="shared" ref="M57:M68" si="13">ROUND(IF((C57*L57+(J57*1.5)*L57+(K57*0.5)*L57)&gt;=C57+J57+K57,C57+J57+K57,C57*L57+(J57*1.5)*L57+(K57*0.5)*L57)+F57,0)</f>
        <v>57714</v>
      </c>
      <c r="N57" s="26">
        <f t="shared" ref="N57:N68" si="14">ROUND(IF((C57+D57-M57-H57)&lt;=0,0,C57+D57-M57-H57),0)</f>
        <v>1388777</v>
      </c>
    </row>
    <row r="58" spans="1:15" x14ac:dyDescent="0.25">
      <c r="A58" s="20">
        <v>1</v>
      </c>
      <c r="B58" s="19" t="s">
        <v>50</v>
      </c>
      <c r="C58" s="26">
        <f t="shared" ref="C58:C68" si="15">N40</f>
        <v>8364846</v>
      </c>
      <c r="D58" s="26"/>
      <c r="E58" s="26"/>
      <c r="F58" s="26"/>
      <c r="G58" s="26"/>
      <c r="H58" s="26"/>
      <c r="I58" s="26"/>
      <c r="J58" s="26"/>
      <c r="K58" s="26"/>
      <c r="L58" s="30">
        <v>0.04</v>
      </c>
      <c r="M58" s="26">
        <f t="shared" si="13"/>
        <v>334594</v>
      </c>
      <c r="N58" s="26">
        <f t="shared" si="14"/>
        <v>8030252</v>
      </c>
    </row>
    <row r="59" spans="1:15" x14ac:dyDescent="0.25">
      <c r="A59" s="20">
        <v>1</v>
      </c>
      <c r="B59" s="19" t="s">
        <v>51</v>
      </c>
      <c r="C59" s="26">
        <f t="shared" si="15"/>
        <v>817434</v>
      </c>
      <c r="D59" s="26"/>
      <c r="E59" s="26"/>
      <c r="F59" s="26"/>
      <c r="G59" s="26"/>
      <c r="H59" s="26"/>
      <c r="I59" s="26"/>
      <c r="J59" s="26"/>
      <c r="K59" s="26"/>
      <c r="L59" s="30">
        <v>0.04</v>
      </c>
      <c r="M59" s="26">
        <f t="shared" si="13"/>
        <v>32697</v>
      </c>
      <c r="N59" s="26">
        <f t="shared" si="14"/>
        <v>784737</v>
      </c>
    </row>
    <row r="60" spans="1:15" x14ac:dyDescent="0.25">
      <c r="A60" s="20">
        <v>6</v>
      </c>
      <c r="B60" s="19" t="s">
        <v>52</v>
      </c>
      <c r="C60" s="26">
        <f t="shared" si="15"/>
        <v>15244</v>
      </c>
      <c r="D60" s="26"/>
      <c r="E60" s="26"/>
      <c r="F60" s="26"/>
      <c r="G60" s="26"/>
      <c r="H60" s="26"/>
      <c r="I60" s="26"/>
      <c r="J60" s="26"/>
      <c r="K60" s="26"/>
      <c r="L60" s="30">
        <v>0.1</v>
      </c>
      <c r="M60" s="26">
        <f t="shared" si="13"/>
        <v>1524</v>
      </c>
      <c r="N60" s="26">
        <f t="shared" si="14"/>
        <v>13720</v>
      </c>
    </row>
    <row r="61" spans="1:15" x14ac:dyDescent="0.25">
      <c r="A61" s="20">
        <v>8</v>
      </c>
      <c r="B61" s="19" t="s">
        <v>53</v>
      </c>
      <c r="C61" s="26">
        <f t="shared" si="15"/>
        <v>473865</v>
      </c>
      <c r="D61" s="26">
        <v>431326</v>
      </c>
      <c r="E61" s="26"/>
      <c r="F61" s="26"/>
      <c r="G61" s="26"/>
      <c r="H61" s="26">
        <v>0</v>
      </c>
      <c r="I61" s="26">
        <f>H61</f>
        <v>0</v>
      </c>
      <c r="J61" s="26">
        <f>IF((E61-I61-F61)&lt;=0,0,E61-I61-F61)</f>
        <v>0</v>
      </c>
      <c r="K61" s="26">
        <f>IF((D61-F61-I61-J61)&lt;=0,0,D61-F61-I61-J61)</f>
        <v>431326</v>
      </c>
      <c r="L61" s="30">
        <v>0.2</v>
      </c>
      <c r="M61" s="26">
        <f t="shared" si="13"/>
        <v>137906</v>
      </c>
      <c r="N61" s="26">
        <f t="shared" si="14"/>
        <v>767285</v>
      </c>
      <c r="O61" s="24"/>
    </row>
    <row r="62" spans="1:15" x14ac:dyDescent="0.25">
      <c r="A62" s="20">
        <v>10</v>
      </c>
      <c r="B62" s="19" t="s">
        <v>54</v>
      </c>
      <c r="C62" s="26">
        <f t="shared" si="15"/>
        <v>595968</v>
      </c>
      <c r="D62" s="26">
        <v>139889</v>
      </c>
      <c r="E62" s="26"/>
      <c r="F62" s="26"/>
      <c r="G62" s="26"/>
      <c r="H62" s="26">
        <v>0</v>
      </c>
      <c r="I62" s="26">
        <f>H62</f>
        <v>0</v>
      </c>
      <c r="J62" s="26">
        <f>IF((E62-I62-F62)&lt;=0,0,E62-I62-F62)</f>
        <v>0</v>
      </c>
      <c r="K62" s="26">
        <f>IF((D62-F62-I62-J62)&lt;=0,0,D62-F62-I62-J62)</f>
        <v>139889</v>
      </c>
      <c r="L62" s="30">
        <v>0.3</v>
      </c>
      <c r="M62" s="26">
        <f t="shared" si="13"/>
        <v>199774</v>
      </c>
      <c r="N62" s="26">
        <f t="shared" si="14"/>
        <v>536083</v>
      </c>
    </row>
    <row r="63" spans="1:15" x14ac:dyDescent="0.25">
      <c r="A63" s="20">
        <v>10</v>
      </c>
      <c r="B63" s="19" t="s">
        <v>55</v>
      </c>
      <c r="C63" s="26">
        <f t="shared" si="15"/>
        <v>372</v>
      </c>
      <c r="D63" s="26"/>
      <c r="E63" s="26"/>
      <c r="F63" s="26"/>
      <c r="G63" s="26"/>
      <c r="H63" s="26"/>
      <c r="I63" s="26"/>
      <c r="J63" s="26"/>
      <c r="K63" s="26"/>
      <c r="L63" s="30">
        <v>0.3</v>
      </c>
      <c r="M63" s="26">
        <f t="shared" si="13"/>
        <v>112</v>
      </c>
      <c r="N63" s="26">
        <f t="shared" si="14"/>
        <v>260</v>
      </c>
    </row>
    <row r="64" spans="1:15" x14ac:dyDescent="0.25">
      <c r="A64" s="20">
        <v>12</v>
      </c>
      <c r="B64" s="19" t="s">
        <v>56</v>
      </c>
      <c r="C64" s="26">
        <f t="shared" si="15"/>
        <v>0</v>
      </c>
      <c r="D64" s="26">
        <v>65472</v>
      </c>
      <c r="E64" s="26"/>
      <c r="F64" s="26"/>
      <c r="G64" s="26"/>
      <c r="H64" s="26"/>
      <c r="I64" s="26"/>
      <c r="J64" s="26">
        <f>IF((E64-I64-F64)&lt;=0,0,E64-I64-F64)</f>
        <v>0</v>
      </c>
      <c r="K64" s="26">
        <f>IF((D64-F64-I64-J64)&lt;=0,0,D64-F64-I64-J64)</f>
        <v>65472</v>
      </c>
      <c r="L64" s="30">
        <v>1</v>
      </c>
      <c r="M64" s="26">
        <f t="shared" si="13"/>
        <v>32736</v>
      </c>
      <c r="N64" s="26">
        <f t="shared" si="14"/>
        <v>32736</v>
      </c>
    </row>
    <row r="65" spans="1:15" x14ac:dyDescent="0.25">
      <c r="A65" s="20">
        <v>42</v>
      </c>
      <c r="B65" s="19" t="s">
        <v>57</v>
      </c>
      <c r="C65" s="26">
        <f t="shared" si="15"/>
        <v>15133</v>
      </c>
      <c r="D65" s="26"/>
      <c r="E65" s="26"/>
      <c r="F65" s="26"/>
      <c r="G65" s="26"/>
      <c r="H65" s="26"/>
      <c r="I65" s="26"/>
      <c r="J65" s="26"/>
      <c r="K65" s="26"/>
      <c r="L65" s="30">
        <v>0.12</v>
      </c>
      <c r="M65" s="26">
        <f t="shared" si="13"/>
        <v>1816</v>
      </c>
      <c r="N65" s="26">
        <f t="shared" si="14"/>
        <v>13317</v>
      </c>
    </row>
    <row r="66" spans="1:15" x14ac:dyDescent="0.25">
      <c r="A66" s="21">
        <v>45</v>
      </c>
      <c r="B66" s="19" t="s">
        <v>55</v>
      </c>
      <c r="C66" s="26">
        <f t="shared" si="15"/>
        <v>4</v>
      </c>
      <c r="D66" s="26"/>
      <c r="E66" s="26"/>
      <c r="F66" s="26"/>
      <c r="G66" s="26"/>
      <c r="H66" s="26"/>
      <c r="I66" s="26"/>
      <c r="J66" s="26"/>
      <c r="K66" s="26"/>
      <c r="L66" s="30">
        <v>0.45</v>
      </c>
      <c r="M66" s="26">
        <f t="shared" si="13"/>
        <v>2</v>
      </c>
      <c r="N66" s="26">
        <f t="shared" si="14"/>
        <v>2</v>
      </c>
    </row>
    <row r="67" spans="1:15" x14ac:dyDescent="0.25">
      <c r="A67" s="20">
        <v>47</v>
      </c>
      <c r="B67" s="19" t="s">
        <v>58</v>
      </c>
      <c r="C67" s="26">
        <f t="shared" si="15"/>
        <v>16161752</v>
      </c>
      <c r="D67" s="26">
        <v>1910499</v>
      </c>
      <c r="E67" s="26"/>
      <c r="F67" s="26"/>
      <c r="G67" s="26"/>
      <c r="H67" s="26"/>
      <c r="I67" s="26"/>
      <c r="J67" s="26">
        <f>IF((E67-I67-F67)&lt;=0,0,E67-I67-F67)</f>
        <v>0</v>
      </c>
      <c r="K67" s="26">
        <f>IF((D67-F67-I67-J67)&lt;=0,0,D67-F67-I67-J67)</f>
        <v>1910499</v>
      </c>
      <c r="L67" s="30">
        <v>0.08</v>
      </c>
      <c r="M67" s="26">
        <f t="shared" si="13"/>
        <v>1369360</v>
      </c>
      <c r="N67" s="26">
        <f t="shared" si="14"/>
        <v>16702891</v>
      </c>
    </row>
    <row r="68" spans="1:15" x14ac:dyDescent="0.25">
      <c r="A68" s="20">
        <v>50</v>
      </c>
      <c r="B68" s="22" t="s">
        <v>55</v>
      </c>
      <c r="C68" s="26">
        <f t="shared" si="15"/>
        <v>4300</v>
      </c>
      <c r="D68" s="26">
        <v>39540</v>
      </c>
      <c r="E68" s="26"/>
      <c r="F68" s="26"/>
      <c r="G68" s="26"/>
      <c r="H68" s="26"/>
      <c r="I68" s="26"/>
      <c r="J68" s="26">
        <f>IF((E68-I68-F68)&lt;=0,0,E68-I68-F68)</f>
        <v>0</v>
      </c>
      <c r="K68" s="26">
        <f>IF((D68-F68-I68-J68)&lt;=0,0,D68-F68-I68-J68)</f>
        <v>39540</v>
      </c>
      <c r="L68" s="30">
        <v>0.55000000000000004</v>
      </c>
      <c r="M68" s="26">
        <f t="shared" si="13"/>
        <v>13239</v>
      </c>
      <c r="N68" s="26">
        <f t="shared" si="14"/>
        <v>30601</v>
      </c>
    </row>
    <row r="69" spans="1:15" x14ac:dyDescent="0.25">
      <c r="A69" s="20"/>
      <c r="B69" s="19"/>
      <c r="C69" s="26"/>
      <c r="D69" s="26"/>
      <c r="E69" s="26"/>
      <c r="F69" s="26"/>
      <c r="G69" s="26"/>
      <c r="H69" s="26"/>
      <c r="I69" s="26"/>
      <c r="J69" s="26"/>
      <c r="K69" s="26"/>
      <c r="L69" s="30"/>
      <c r="M69" s="26"/>
      <c r="N69" s="26"/>
    </row>
    <row r="70" spans="1:15" x14ac:dyDescent="0.25">
      <c r="A70" s="20"/>
      <c r="B70" s="19"/>
      <c r="C70" s="26"/>
      <c r="D70" s="26"/>
      <c r="E70" s="26"/>
      <c r="F70" s="26"/>
      <c r="G70" s="26"/>
      <c r="H70" s="26"/>
      <c r="I70" s="26"/>
      <c r="J70" s="26"/>
      <c r="K70" s="26"/>
      <c r="L70" s="30"/>
      <c r="M70" s="26"/>
      <c r="N70" s="26"/>
    </row>
    <row r="71" spans="1:15" ht="15.75" x14ac:dyDescent="0.25">
      <c r="A71" s="27">
        <f>B55</f>
        <v>2022</v>
      </c>
      <c r="B71" s="31" t="s">
        <v>47</v>
      </c>
      <c r="C71" s="28">
        <f>SUM(C57:C70)</f>
        <v>27888138</v>
      </c>
      <c r="D71" s="28">
        <f t="shared" ref="D71:K71" si="16">SUM(D57:D70)</f>
        <v>2593997</v>
      </c>
      <c r="E71" s="28">
        <f t="shared" si="16"/>
        <v>0</v>
      </c>
      <c r="F71" s="28">
        <f t="shared" si="16"/>
        <v>0</v>
      </c>
      <c r="G71" s="28">
        <f t="shared" si="16"/>
        <v>0</v>
      </c>
      <c r="H71" s="28">
        <f t="shared" si="16"/>
        <v>0</v>
      </c>
      <c r="I71" s="28">
        <f t="shared" si="16"/>
        <v>0</v>
      </c>
      <c r="J71" s="28">
        <f t="shared" si="16"/>
        <v>0</v>
      </c>
      <c r="K71" s="28">
        <f t="shared" si="16"/>
        <v>2593997</v>
      </c>
      <c r="L71" s="29"/>
      <c r="M71" s="28">
        <f t="shared" ref="M71:N71" si="17">SUM(M57:M70)</f>
        <v>2181474</v>
      </c>
      <c r="N71" s="28">
        <f t="shared" si="17"/>
        <v>28300661</v>
      </c>
    </row>
    <row r="73" spans="1:15" ht="23.25" x14ac:dyDescent="0.35">
      <c r="B73" s="23">
        <v>2023</v>
      </c>
    </row>
    <row r="74" spans="1:15" ht="25.5" x14ac:dyDescent="0.25">
      <c r="A74" s="17" t="s">
        <v>45</v>
      </c>
      <c r="B74" s="17" t="s">
        <v>46</v>
      </c>
      <c r="C74" s="17" t="s">
        <v>59</v>
      </c>
      <c r="D74" s="17" t="s">
        <v>60</v>
      </c>
      <c r="E74" s="17" t="s">
        <v>61</v>
      </c>
      <c r="F74" s="17" t="s">
        <v>62</v>
      </c>
      <c r="G74" s="17" t="s">
        <v>63</v>
      </c>
      <c r="H74" s="17" t="s">
        <v>64</v>
      </c>
      <c r="I74" s="17" t="s">
        <v>65</v>
      </c>
      <c r="J74" s="17" t="s">
        <v>66</v>
      </c>
      <c r="K74" s="17" t="s">
        <v>70</v>
      </c>
      <c r="L74" s="17" t="s">
        <v>67</v>
      </c>
      <c r="M74" s="17" t="s">
        <v>0</v>
      </c>
      <c r="N74" s="17" t="s">
        <v>68</v>
      </c>
    </row>
    <row r="75" spans="1:15" x14ac:dyDescent="0.25">
      <c r="A75" s="18" t="s">
        <v>48</v>
      </c>
      <c r="B75" s="19" t="s">
        <v>49</v>
      </c>
      <c r="C75" s="26">
        <f>N57</f>
        <v>1388777</v>
      </c>
      <c r="D75" s="26">
        <v>0</v>
      </c>
      <c r="E75" s="26"/>
      <c r="F75" s="26"/>
      <c r="G75" s="26"/>
      <c r="H75" s="26"/>
      <c r="I75" s="26"/>
      <c r="J75" s="26">
        <f>IF((E75-I75-F75)&lt;=0,0,E75-I75-F75)</f>
        <v>0</v>
      </c>
      <c r="K75" s="26">
        <f>IF((D75-F75-I75-J75)&lt;=0,0,D75-F75-I75-J75)</f>
        <v>0</v>
      </c>
      <c r="L75" s="30">
        <v>0.04</v>
      </c>
      <c r="M75" s="26">
        <f t="shared" ref="M75:M86" si="18">ROUND(IF((C75*L75+(J75*1.5)*L75+(K75*0.5)*L75)&gt;=C75+J75+K75,C75+J75+K75,C75*L75+(J75*1.5)*L75+(K75*0.5)*L75)+F75,0)</f>
        <v>55551</v>
      </c>
      <c r="N75" s="26">
        <f t="shared" ref="N75:N86" si="19">ROUND(IF((C75+D75-M75-H75)&lt;=0,0,C75+D75-M75-H75),0)</f>
        <v>1333226</v>
      </c>
    </row>
    <row r="76" spans="1:15" x14ac:dyDescent="0.25">
      <c r="A76" s="20">
        <v>1</v>
      </c>
      <c r="B76" s="19" t="s">
        <v>50</v>
      </c>
      <c r="C76" s="26">
        <f t="shared" ref="C76:C86" si="20">N58</f>
        <v>8030252</v>
      </c>
      <c r="D76" s="26"/>
      <c r="E76" s="26"/>
      <c r="F76" s="26"/>
      <c r="G76" s="26"/>
      <c r="H76" s="26"/>
      <c r="I76" s="26"/>
      <c r="J76" s="26"/>
      <c r="K76" s="26"/>
      <c r="L76" s="30">
        <v>0.04</v>
      </c>
      <c r="M76" s="26">
        <f t="shared" si="18"/>
        <v>321210</v>
      </c>
      <c r="N76" s="26">
        <f t="shared" si="19"/>
        <v>7709042</v>
      </c>
    </row>
    <row r="77" spans="1:15" x14ac:dyDescent="0.25">
      <c r="A77" s="20">
        <v>1</v>
      </c>
      <c r="B77" s="19" t="s">
        <v>51</v>
      </c>
      <c r="C77" s="26">
        <f t="shared" si="20"/>
        <v>784737</v>
      </c>
      <c r="D77" s="26"/>
      <c r="E77" s="26"/>
      <c r="F77" s="26"/>
      <c r="G77" s="26"/>
      <c r="H77" s="26"/>
      <c r="I77" s="26"/>
      <c r="J77" s="26"/>
      <c r="K77" s="26"/>
      <c r="L77" s="30">
        <v>0.04</v>
      </c>
      <c r="M77" s="26">
        <f t="shared" si="18"/>
        <v>31389</v>
      </c>
      <c r="N77" s="26">
        <f t="shared" si="19"/>
        <v>753348</v>
      </c>
    </row>
    <row r="78" spans="1:15" x14ac:dyDescent="0.25">
      <c r="A78" s="20">
        <v>6</v>
      </c>
      <c r="B78" s="19" t="s">
        <v>52</v>
      </c>
      <c r="C78" s="26">
        <f t="shared" si="20"/>
        <v>13720</v>
      </c>
      <c r="D78" s="26"/>
      <c r="E78" s="26"/>
      <c r="F78" s="26"/>
      <c r="G78" s="26"/>
      <c r="H78" s="26"/>
      <c r="I78" s="26"/>
      <c r="J78" s="26"/>
      <c r="K78" s="26"/>
      <c r="L78" s="30">
        <v>0.1</v>
      </c>
      <c r="M78" s="26">
        <f t="shared" si="18"/>
        <v>1372</v>
      </c>
      <c r="N78" s="26">
        <f t="shared" si="19"/>
        <v>12348</v>
      </c>
    </row>
    <row r="79" spans="1:15" x14ac:dyDescent="0.25">
      <c r="A79" s="20">
        <v>8</v>
      </c>
      <c r="B79" s="19" t="s">
        <v>53</v>
      </c>
      <c r="C79" s="26">
        <f t="shared" si="20"/>
        <v>767285</v>
      </c>
      <c r="D79" s="26">
        <v>17763</v>
      </c>
      <c r="E79" s="26"/>
      <c r="F79" s="26"/>
      <c r="G79" s="26"/>
      <c r="H79" s="26">
        <v>0</v>
      </c>
      <c r="I79" s="26">
        <f>H79</f>
        <v>0</v>
      </c>
      <c r="J79" s="26">
        <f>IF((E79-I79-F79)&lt;=0,0,E79-I79-F79)</f>
        <v>0</v>
      </c>
      <c r="K79" s="26">
        <f>IF((D79-F79-I79-J79)&lt;=0,0,D79-F79-I79-J79)</f>
        <v>17763</v>
      </c>
      <c r="L79" s="30">
        <v>0.2</v>
      </c>
      <c r="M79" s="26">
        <f t="shared" si="18"/>
        <v>155233</v>
      </c>
      <c r="N79" s="26">
        <f t="shared" si="19"/>
        <v>629815</v>
      </c>
      <c r="O79" s="24"/>
    </row>
    <row r="80" spans="1:15" x14ac:dyDescent="0.25">
      <c r="A80" s="20">
        <v>10</v>
      </c>
      <c r="B80" s="19" t="s">
        <v>54</v>
      </c>
      <c r="C80" s="26">
        <f t="shared" si="20"/>
        <v>536083</v>
      </c>
      <c r="D80" s="26">
        <v>299735.40000000002</v>
      </c>
      <c r="E80" s="26"/>
      <c r="F80" s="26"/>
      <c r="G80" s="26"/>
      <c r="H80" s="26">
        <v>35000</v>
      </c>
      <c r="I80" s="26">
        <f>H80</f>
        <v>35000</v>
      </c>
      <c r="J80" s="26">
        <f>IF((E80-I80-F80)&lt;=0,0,E80-I80-F80)</f>
        <v>0</v>
      </c>
      <c r="K80" s="26">
        <f>IF((D80-F80-I80-J80)&lt;=0,0,D80-F80-I80-J80)</f>
        <v>264735.40000000002</v>
      </c>
      <c r="L80" s="30">
        <v>0.3</v>
      </c>
      <c r="M80" s="26">
        <f t="shared" si="18"/>
        <v>200535</v>
      </c>
      <c r="N80" s="26">
        <f t="shared" si="19"/>
        <v>600283</v>
      </c>
    </row>
    <row r="81" spans="1:14" x14ac:dyDescent="0.25">
      <c r="A81" s="20">
        <v>10</v>
      </c>
      <c r="B81" s="19" t="s">
        <v>55</v>
      </c>
      <c r="C81" s="26">
        <f t="shared" si="20"/>
        <v>260</v>
      </c>
      <c r="D81" s="26"/>
      <c r="E81" s="26"/>
      <c r="F81" s="26"/>
      <c r="G81" s="26"/>
      <c r="H81" s="26"/>
      <c r="I81" s="26"/>
      <c r="J81" s="26"/>
      <c r="K81" s="26"/>
      <c r="L81" s="30">
        <v>0.3</v>
      </c>
      <c r="M81" s="26">
        <f t="shared" si="18"/>
        <v>78</v>
      </c>
      <c r="N81" s="26">
        <f t="shared" si="19"/>
        <v>182</v>
      </c>
    </row>
    <row r="82" spans="1:14" x14ac:dyDescent="0.25">
      <c r="A82" s="20">
        <v>12</v>
      </c>
      <c r="B82" s="19" t="s">
        <v>56</v>
      </c>
      <c r="C82" s="26">
        <f t="shared" si="20"/>
        <v>32736</v>
      </c>
      <c r="D82" s="26">
        <v>85972</v>
      </c>
      <c r="E82" s="26"/>
      <c r="F82" s="26"/>
      <c r="G82" s="26"/>
      <c r="H82" s="26"/>
      <c r="I82" s="26"/>
      <c r="J82" s="26">
        <f>IF((E82-I82-F82)&lt;=0,0,E82-I82-F82)</f>
        <v>0</v>
      </c>
      <c r="K82" s="26">
        <f>IF((D82-F82-I82-J82)&lt;=0,0,D82-F82-I82-J82)</f>
        <v>85972</v>
      </c>
      <c r="L82" s="30">
        <v>1</v>
      </c>
      <c r="M82" s="26">
        <f t="shared" si="18"/>
        <v>75722</v>
      </c>
      <c r="N82" s="26">
        <f t="shared" si="19"/>
        <v>42986</v>
      </c>
    </row>
    <row r="83" spans="1:14" x14ac:dyDescent="0.25">
      <c r="A83" s="20">
        <v>42</v>
      </c>
      <c r="B83" s="19" t="s">
        <v>57</v>
      </c>
      <c r="C83" s="26">
        <f t="shared" si="20"/>
        <v>13317</v>
      </c>
      <c r="D83" s="26"/>
      <c r="E83" s="26"/>
      <c r="F83" s="26"/>
      <c r="G83" s="26"/>
      <c r="H83" s="26"/>
      <c r="I83" s="26"/>
      <c r="J83" s="26"/>
      <c r="K83" s="26"/>
      <c r="L83" s="30">
        <v>0.12</v>
      </c>
      <c r="M83" s="26">
        <f t="shared" si="18"/>
        <v>1598</v>
      </c>
      <c r="N83" s="26">
        <f t="shared" si="19"/>
        <v>11719</v>
      </c>
    </row>
    <row r="84" spans="1:14" x14ac:dyDescent="0.25">
      <c r="A84" s="21">
        <v>45</v>
      </c>
      <c r="B84" s="19" t="s">
        <v>55</v>
      </c>
      <c r="C84" s="26">
        <f t="shared" si="20"/>
        <v>2</v>
      </c>
      <c r="D84" s="26"/>
      <c r="E84" s="26"/>
      <c r="F84" s="26"/>
      <c r="G84" s="26"/>
      <c r="H84" s="26"/>
      <c r="I84" s="26"/>
      <c r="J84" s="26"/>
      <c r="K84" s="26"/>
      <c r="L84" s="30">
        <v>0.45</v>
      </c>
      <c r="M84" s="26">
        <f t="shared" si="18"/>
        <v>1</v>
      </c>
      <c r="N84" s="26">
        <f t="shared" si="19"/>
        <v>1</v>
      </c>
    </row>
    <row r="85" spans="1:14" x14ac:dyDescent="0.25">
      <c r="A85" s="20">
        <v>47</v>
      </c>
      <c r="B85" s="19" t="s">
        <v>58</v>
      </c>
      <c r="C85" s="26">
        <f t="shared" si="20"/>
        <v>16702891</v>
      </c>
      <c r="D85" s="26">
        <v>2279201</v>
      </c>
      <c r="E85" s="26"/>
      <c r="F85" s="26"/>
      <c r="G85" s="26"/>
      <c r="H85" s="26"/>
      <c r="I85" s="26"/>
      <c r="J85" s="26">
        <f>IF((E85-I85-F85)&lt;=0,0,E85-I85-F85)</f>
        <v>0</v>
      </c>
      <c r="K85" s="26">
        <f>IF((D85-F85-I85-J85)&lt;=0,0,D85-F85-I85-J85)</f>
        <v>2279201</v>
      </c>
      <c r="L85" s="30">
        <v>0.08</v>
      </c>
      <c r="M85" s="26">
        <f t="shared" si="18"/>
        <v>1427399</v>
      </c>
      <c r="N85" s="26">
        <f t="shared" si="19"/>
        <v>17554693</v>
      </c>
    </row>
    <row r="86" spans="1:14" x14ac:dyDescent="0.25">
      <c r="A86" s="20">
        <v>50</v>
      </c>
      <c r="B86" s="22" t="s">
        <v>55</v>
      </c>
      <c r="C86" s="26">
        <f t="shared" si="20"/>
        <v>30601</v>
      </c>
      <c r="D86" s="26">
        <v>339638</v>
      </c>
      <c r="E86" s="26"/>
      <c r="F86" s="26"/>
      <c r="G86" s="26"/>
      <c r="H86" s="26"/>
      <c r="I86" s="26"/>
      <c r="J86" s="26">
        <f>IF((E86-I86-F86)&lt;=0,0,E86-I86-F86)</f>
        <v>0</v>
      </c>
      <c r="K86" s="26">
        <f>IF((D86-F86-I86-J86)&lt;=0,0,D86-F86-I86-J86)</f>
        <v>339638</v>
      </c>
      <c r="L86" s="30">
        <v>0.55000000000000004</v>
      </c>
      <c r="M86" s="26">
        <f t="shared" si="18"/>
        <v>110231</v>
      </c>
      <c r="N86" s="26">
        <f t="shared" si="19"/>
        <v>260008</v>
      </c>
    </row>
    <row r="87" spans="1:14" x14ac:dyDescent="0.25">
      <c r="A87" s="20"/>
      <c r="B87" s="19"/>
      <c r="C87" s="26"/>
      <c r="D87" s="26"/>
      <c r="E87" s="26"/>
      <c r="F87" s="26"/>
      <c r="G87" s="26"/>
      <c r="H87" s="26"/>
      <c r="I87" s="26"/>
      <c r="J87" s="26"/>
      <c r="K87" s="26"/>
      <c r="L87" s="30"/>
      <c r="M87" s="26"/>
      <c r="N87" s="26"/>
    </row>
    <row r="88" spans="1:14" x14ac:dyDescent="0.25">
      <c r="A88" s="20"/>
      <c r="B88" s="19"/>
      <c r="C88" s="26"/>
      <c r="D88" s="26"/>
      <c r="E88" s="26"/>
      <c r="F88" s="26"/>
      <c r="G88" s="26"/>
      <c r="H88" s="26"/>
      <c r="I88" s="26"/>
      <c r="J88" s="26"/>
      <c r="K88" s="26"/>
      <c r="L88" s="30"/>
      <c r="M88" s="26"/>
      <c r="N88" s="26"/>
    </row>
    <row r="89" spans="1:14" ht="15.75" x14ac:dyDescent="0.25">
      <c r="A89" s="27">
        <f>B73</f>
        <v>2023</v>
      </c>
      <c r="B89" s="31" t="s">
        <v>47</v>
      </c>
      <c r="C89" s="28">
        <f>SUM(C75:C88)</f>
        <v>28300661</v>
      </c>
      <c r="D89" s="28">
        <f t="shared" ref="D89:K89" si="21">SUM(D75:D88)</f>
        <v>3022309.4</v>
      </c>
      <c r="E89" s="28">
        <f t="shared" si="21"/>
        <v>0</v>
      </c>
      <c r="F89" s="28">
        <f t="shared" si="21"/>
        <v>0</v>
      </c>
      <c r="G89" s="28">
        <f t="shared" si="21"/>
        <v>0</v>
      </c>
      <c r="H89" s="28">
        <f t="shared" si="21"/>
        <v>35000</v>
      </c>
      <c r="I89" s="28">
        <f t="shared" si="21"/>
        <v>35000</v>
      </c>
      <c r="J89" s="28">
        <f t="shared" si="21"/>
        <v>0</v>
      </c>
      <c r="K89" s="28">
        <f t="shared" si="21"/>
        <v>2987309.4</v>
      </c>
      <c r="L89" s="29"/>
      <c r="M89" s="28">
        <f t="shared" ref="M89:N89" si="22">SUM(M75:M88)</f>
        <v>2380319</v>
      </c>
      <c r="N89" s="28">
        <f t="shared" si="22"/>
        <v>28907651</v>
      </c>
    </row>
    <row r="90" spans="1:14" x14ac:dyDescent="0.25">
      <c r="G90" s="25"/>
    </row>
  </sheetData>
  <pageMargins left="0.7" right="0.7" top="0.75" bottom="0.75" header="0.3" footer="0.3"/>
  <pageSetup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1592 Balance Calculation</vt:lpstr>
      <vt:lpstr>OEB Prescribed Int Rates</vt:lpstr>
      <vt:lpstr>CCA incl. AIIP</vt:lpstr>
      <vt:lpstr>CCA excl. AIIP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Ott</dc:creator>
  <cp:lastModifiedBy>Dawn Punkari</cp:lastModifiedBy>
  <cp:lastPrinted>2024-09-30T16:50:50Z</cp:lastPrinted>
  <dcterms:created xsi:type="dcterms:W3CDTF">2024-08-06T03:09:16Z</dcterms:created>
  <dcterms:modified xsi:type="dcterms:W3CDTF">2025-02-03T01:29:22Z</dcterms:modified>
</cp:coreProperties>
</file>