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1.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gsuincca.sharepoint.com/sites/GSHICostofService2025/Shared Documents/General/03 - Pre-Settlement Questions/00 - Files to send to intervenors/"/>
    </mc:Choice>
  </mc:AlternateContent>
  <xr:revisionPtr revIDLastSave="3" documentId="8_{9781AAC2-AC73-4484-9843-2C44D78440B7}" xr6:coauthVersionLast="47" xr6:coauthVersionMax="47" xr10:uidLastSave="{A5BFC61F-9BA1-4CB5-94B0-379DE958C65B}"/>
  <bookViews>
    <workbookView xWindow="-25320" yWindow="-120" windowWidth="25440" windowHeight="15270" tabRatio="873" firstSheet="14" activeTab="21" xr2:uid="{E921502F-9442-4649-B9DC-458F9AABBA40}"/>
  </bookViews>
  <sheets>
    <sheet name="Monthly Data" sheetId="1" r:id="rId1"/>
    <sheet name="CDM" sheetId="6" r:id="rId2"/>
    <sheet name="Economic" sheetId="5" r:id="rId3"/>
    <sheet name="Weather" sheetId="4" r:id="rId4"/>
    <sheet name="2019-20 CDM" sheetId="34" state="hidden" r:id="rId5"/>
    <sheet name="Res Predicted Monthly" sheetId="25" r:id="rId6"/>
    <sheet name="GS&lt;50 Predicted Monthly" sheetId="27" r:id="rId7"/>
    <sheet name="GS&gt;50 Predicted Monthly" sheetId="29" r:id="rId8"/>
    <sheet name="Model Summary" sheetId="9" r:id="rId9"/>
    <sheet name="Res Normalized" sheetId="30" r:id="rId10"/>
    <sheet name="GS&lt;50 Normalized" sheetId="31" r:id="rId11"/>
    <sheet name="GS&gt;50 Normalized" sheetId="32" r:id="rId12"/>
    <sheet name="EV Data" sheetId="39" r:id="rId13"/>
    <sheet name="EV Forecast" sheetId="40" r:id="rId14"/>
    <sheet name="Heating" sheetId="41" r:id="rId15"/>
    <sheet name="Total Additional Loads" sheetId="42" r:id="rId16"/>
    <sheet name="Normalized Annual Summary" sheetId="17" r:id="rId17"/>
    <sheet name="Customer Count" sheetId="18" r:id="rId18"/>
    <sheet name="kW Forecast" sheetId="21" r:id="rId19"/>
    <sheet name="CDM Framework" sheetId="37" r:id="rId20"/>
    <sheet name="CDM Adjustment" sheetId="38" r:id="rId21"/>
    <sheet name="Summary Tables" sheetId="23" r:id="rId22"/>
    <sheet name="Res Weather Normalized" sheetId="43" r:id="rId23"/>
    <sheet name="GS&lt;50 Weather Normalized" sheetId="44" r:id="rId24"/>
    <sheet name="GS&gt;50 Weather Normalized" sheetId="45" r:id="rId25"/>
    <sheet name="App.2IB" sheetId="35" state="hidden" r:id="rId26"/>
    <sheet name="LRAMVA" sheetId="36" state="hidden" r:id="rId27"/>
  </sheets>
  <definedNames>
    <definedName name="_Fill" hidden="1">#REF!</definedName>
    <definedName name="_Hlk33611143" localSheetId="26">LRAMVA!$A$1</definedName>
    <definedName name="_Order1" hidden="1">255</definedName>
    <definedName name="_Order2" hidden="1">0</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8" l="1"/>
  <c r="D15" i="18"/>
  <c r="C15" i="18" s="1"/>
  <c r="S133" i="25"/>
  <c r="J41" i="6"/>
  <c r="J42" i="6"/>
  <c r="J43" i="6"/>
  <c r="J44" i="6"/>
  <c r="J45" i="6"/>
  <c r="J46" i="6"/>
  <c r="J47" i="6"/>
  <c r="J48" i="6"/>
  <c r="N19" i="6"/>
  <c r="O19" i="6"/>
  <c r="P19" i="6"/>
  <c r="Q19" i="6"/>
  <c r="R19" i="6"/>
  <c r="M19" i="6"/>
  <c r="E90" i="6"/>
  <c r="D90" i="6"/>
  <c r="C90" i="6"/>
  <c r="E86" i="6"/>
  <c r="E87" i="6" s="1"/>
  <c r="D86" i="6"/>
  <c r="D87" i="6" s="1"/>
  <c r="C86" i="6"/>
  <c r="C87" i="6" s="1"/>
  <c r="E81" i="6"/>
  <c r="E82" i="6" s="1"/>
  <c r="E83" i="6" s="1"/>
  <c r="D81" i="6"/>
  <c r="D82" i="6" s="1"/>
  <c r="D83" i="6" s="1"/>
  <c r="C81" i="6"/>
  <c r="C82" i="6" s="1"/>
  <c r="C83" i="6" s="1"/>
  <c r="E78" i="6"/>
  <c r="D78" i="6"/>
  <c r="C78" i="6"/>
  <c r="E77" i="6"/>
  <c r="D77" i="6"/>
  <c r="C77" i="6"/>
  <c r="E76" i="6"/>
  <c r="D76" i="6"/>
  <c r="C76" i="6"/>
  <c r="E75" i="6"/>
  <c r="D75" i="6"/>
  <c r="C75" i="6"/>
  <c r="G113" i="40"/>
  <c r="G109" i="40"/>
  <c r="G105" i="40"/>
  <c r="G6" i="42"/>
  <c r="E6" i="42"/>
  <c r="E5" i="42"/>
  <c r="E4" i="42"/>
  <c r="D6" i="42"/>
  <c r="D5" i="42"/>
  <c r="D4" i="42"/>
  <c r="N53" i="40"/>
  <c r="N60" i="40"/>
  <c r="F53" i="40"/>
  <c r="H113" i="40" l="1"/>
  <c r="F112" i="40"/>
  <c r="F111" i="40"/>
  <c r="F110" i="40"/>
  <c r="F108" i="40"/>
  <c r="F102" i="40"/>
  <c r="F103" i="40"/>
  <c r="F104" i="40"/>
  <c r="F106" i="40"/>
  <c r="F107" i="40"/>
  <c r="G108" i="40"/>
  <c r="H109" i="40"/>
  <c r="J120" i="40"/>
  <c r="J117" i="40" s="1"/>
  <c r="N21" i="6"/>
  <c r="O21" i="6"/>
  <c r="P21" i="6"/>
  <c r="Q21" i="6"/>
  <c r="R21" i="6"/>
  <c r="M21" i="6"/>
  <c r="N20" i="6"/>
  <c r="O20" i="6"/>
  <c r="P20" i="6"/>
  <c r="Q20" i="6"/>
  <c r="R20" i="6"/>
  <c r="M20" i="6"/>
  <c r="G15" i="18" l="1"/>
  <c r="G48" i="18" s="1"/>
  <c r="K15" i="18"/>
  <c r="T15" i="41" l="1"/>
  <c r="U15" i="41"/>
  <c r="C2" i="41" s="1"/>
  <c r="L15" i="18" l="1"/>
  <c r="AD15" i="17"/>
  <c r="M14" i="6"/>
  <c r="O122" i="25"/>
  <c r="A122" i="29"/>
  <c r="E122" i="29"/>
  <c r="N122" i="29" s="1"/>
  <c r="F122" i="29"/>
  <c r="O122" i="29" s="1"/>
  <c r="H122" i="29"/>
  <c r="I122" i="29"/>
  <c r="J122" i="29"/>
  <c r="S122" i="29" s="1"/>
  <c r="K122" i="29"/>
  <c r="T122" i="29" s="1"/>
  <c r="M122" i="29"/>
  <c r="Q122" i="29"/>
  <c r="R122" i="29"/>
  <c r="A123" i="29"/>
  <c r="E123" i="29"/>
  <c r="N123" i="29" s="1"/>
  <c r="F123" i="29"/>
  <c r="O123" i="29" s="1"/>
  <c r="H123" i="29"/>
  <c r="Q123" i="29" s="1"/>
  <c r="I123" i="29"/>
  <c r="R123" i="29" s="1"/>
  <c r="J123" i="29"/>
  <c r="S123" i="29" s="1"/>
  <c r="K123" i="29"/>
  <c r="T123" i="29" s="1"/>
  <c r="M123" i="29"/>
  <c r="A124" i="29"/>
  <c r="E124" i="29"/>
  <c r="N124" i="29" s="1"/>
  <c r="F124" i="29"/>
  <c r="H124" i="29"/>
  <c r="I124" i="29"/>
  <c r="R124" i="29" s="1"/>
  <c r="J124" i="29"/>
  <c r="S124" i="29" s="1"/>
  <c r="K124" i="29"/>
  <c r="T124" i="29" s="1"/>
  <c r="M124" i="29"/>
  <c r="O124" i="29"/>
  <c r="Q124" i="29"/>
  <c r="A125" i="29"/>
  <c r="E125" i="29"/>
  <c r="F125" i="29"/>
  <c r="O125" i="29" s="1"/>
  <c r="H125" i="29"/>
  <c r="Q125" i="29" s="1"/>
  <c r="I125" i="29"/>
  <c r="R125" i="29" s="1"/>
  <c r="J125" i="29"/>
  <c r="S125" i="29" s="1"/>
  <c r="K125" i="29"/>
  <c r="T125" i="29" s="1"/>
  <c r="M125" i="29"/>
  <c r="N125" i="29"/>
  <c r="A126" i="29"/>
  <c r="E126" i="29"/>
  <c r="N126" i="29" s="1"/>
  <c r="F126" i="29"/>
  <c r="O126" i="29" s="1"/>
  <c r="H126" i="29"/>
  <c r="Q126" i="29" s="1"/>
  <c r="I126" i="29"/>
  <c r="R126" i="29" s="1"/>
  <c r="J126" i="29"/>
  <c r="S126" i="29" s="1"/>
  <c r="K126" i="29"/>
  <c r="M126" i="29"/>
  <c r="T126" i="29"/>
  <c r="A127" i="29"/>
  <c r="E127" i="29"/>
  <c r="N127" i="29" s="1"/>
  <c r="F127" i="29"/>
  <c r="H127" i="29"/>
  <c r="I127" i="29"/>
  <c r="R127" i="29" s="1"/>
  <c r="J127" i="29"/>
  <c r="S127" i="29" s="1"/>
  <c r="K127" i="29"/>
  <c r="T127" i="29" s="1"/>
  <c r="M127" i="29"/>
  <c r="O127" i="29"/>
  <c r="Q127" i="29"/>
  <c r="A128" i="29"/>
  <c r="E128" i="29"/>
  <c r="F128" i="29"/>
  <c r="O128" i="29" s="1"/>
  <c r="H128" i="29"/>
  <c r="Q128" i="29" s="1"/>
  <c r="I128" i="29"/>
  <c r="R128" i="29" s="1"/>
  <c r="J128" i="29"/>
  <c r="S128" i="29" s="1"/>
  <c r="K128" i="29"/>
  <c r="T128" i="29" s="1"/>
  <c r="M128" i="29"/>
  <c r="N128" i="29"/>
  <c r="A129" i="29"/>
  <c r="E129" i="29"/>
  <c r="N129" i="29" s="1"/>
  <c r="F129" i="29"/>
  <c r="O129" i="29" s="1"/>
  <c r="H129" i="29"/>
  <c r="I129" i="29"/>
  <c r="J129" i="29"/>
  <c r="S129" i="29" s="1"/>
  <c r="K129" i="29"/>
  <c r="M129" i="29"/>
  <c r="Q129" i="29"/>
  <c r="R129" i="29"/>
  <c r="T129" i="29"/>
  <c r="A130" i="29"/>
  <c r="E130" i="29"/>
  <c r="N130" i="29" s="1"/>
  <c r="F130" i="29"/>
  <c r="H130" i="29"/>
  <c r="I130" i="29"/>
  <c r="R130" i="29" s="1"/>
  <c r="J130" i="29"/>
  <c r="S130" i="29" s="1"/>
  <c r="M130" i="29"/>
  <c r="O130" i="29"/>
  <c r="Q130" i="29"/>
  <c r="A131" i="29"/>
  <c r="E131" i="29"/>
  <c r="N131" i="29" s="1"/>
  <c r="F131" i="29"/>
  <c r="O131" i="29" s="1"/>
  <c r="H131" i="29"/>
  <c r="Q131" i="29" s="1"/>
  <c r="I131" i="29"/>
  <c r="R131" i="29" s="1"/>
  <c r="J131" i="29"/>
  <c r="S131" i="29" s="1"/>
  <c r="K131" i="29"/>
  <c r="T131" i="29" s="1"/>
  <c r="M131" i="29"/>
  <c r="A132" i="29"/>
  <c r="E132" i="29"/>
  <c r="N132" i="29" s="1"/>
  <c r="F132" i="29"/>
  <c r="H132" i="29"/>
  <c r="Q132" i="29" s="1"/>
  <c r="I132" i="29"/>
  <c r="J132" i="29"/>
  <c r="M132" i="29"/>
  <c r="O132" i="29"/>
  <c r="R132" i="29"/>
  <c r="S132" i="29"/>
  <c r="A122" i="27"/>
  <c r="E122" i="27"/>
  <c r="F122" i="27"/>
  <c r="N122" i="27" s="1"/>
  <c r="G122" i="27"/>
  <c r="O122" i="27" s="1"/>
  <c r="H122" i="27"/>
  <c r="I122" i="27"/>
  <c r="J122" i="27"/>
  <c r="R122" i="27" s="1"/>
  <c r="L122" i="27"/>
  <c r="M122" i="27"/>
  <c r="P122" i="27"/>
  <c r="Q122" i="27"/>
  <c r="A123" i="27"/>
  <c r="E123" i="27"/>
  <c r="F123" i="27"/>
  <c r="N123" i="27" s="1"/>
  <c r="G123" i="27"/>
  <c r="O123" i="27" s="1"/>
  <c r="H123" i="27"/>
  <c r="P123" i="27" s="1"/>
  <c r="I123" i="27"/>
  <c r="Q123" i="27" s="1"/>
  <c r="J123" i="27"/>
  <c r="R123" i="27" s="1"/>
  <c r="L123" i="27"/>
  <c r="M123" i="27"/>
  <c r="A124" i="27"/>
  <c r="E124" i="27"/>
  <c r="M124" i="27" s="1"/>
  <c r="F124" i="27"/>
  <c r="N124" i="27" s="1"/>
  <c r="G124" i="27"/>
  <c r="O124" i="27" s="1"/>
  <c r="H124" i="27"/>
  <c r="P124" i="27" s="1"/>
  <c r="I124" i="27"/>
  <c r="J124" i="27"/>
  <c r="L124" i="27"/>
  <c r="Q124" i="27"/>
  <c r="R124" i="27"/>
  <c r="A125" i="27"/>
  <c r="E125" i="27"/>
  <c r="M125" i="27" s="1"/>
  <c r="F125" i="27"/>
  <c r="N125" i="27" s="1"/>
  <c r="G125" i="27"/>
  <c r="O125" i="27" s="1"/>
  <c r="H125" i="27"/>
  <c r="P125" i="27" s="1"/>
  <c r="I125" i="27"/>
  <c r="J125" i="27"/>
  <c r="L125" i="27"/>
  <c r="Q125" i="27"/>
  <c r="R125" i="27"/>
  <c r="A126" i="27"/>
  <c r="E126" i="27"/>
  <c r="M126" i="27" s="1"/>
  <c r="F126" i="27"/>
  <c r="N126" i="27" s="1"/>
  <c r="G126" i="27"/>
  <c r="H126" i="27"/>
  <c r="I126" i="27"/>
  <c r="Q126" i="27" s="1"/>
  <c r="J126" i="27"/>
  <c r="R126" i="27" s="1"/>
  <c r="L126" i="27"/>
  <c r="O126" i="27"/>
  <c r="P126" i="27"/>
  <c r="A127" i="27"/>
  <c r="E127" i="27"/>
  <c r="M127" i="27" s="1"/>
  <c r="F127" i="27"/>
  <c r="N127" i="27" s="1"/>
  <c r="G127" i="27"/>
  <c r="O127" i="27" s="1"/>
  <c r="H127" i="27"/>
  <c r="P127" i="27" s="1"/>
  <c r="I127" i="27"/>
  <c r="Q127" i="27" s="1"/>
  <c r="J127" i="27"/>
  <c r="R127" i="27" s="1"/>
  <c r="L127" i="27"/>
  <c r="A128" i="27"/>
  <c r="E128" i="27"/>
  <c r="M128" i="27" s="1"/>
  <c r="F128" i="27"/>
  <c r="N128" i="27" s="1"/>
  <c r="G128" i="27"/>
  <c r="O128" i="27" s="1"/>
  <c r="H128" i="27"/>
  <c r="P128" i="27" s="1"/>
  <c r="I128" i="27"/>
  <c r="J128" i="27"/>
  <c r="L128" i="27"/>
  <c r="Q128" i="27"/>
  <c r="R128" i="27"/>
  <c r="A129" i="27"/>
  <c r="E129" i="27"/>
  <c r="M129" i="27" s="1"/>
  <c r="F129" i="27"/>
  <c r="G129" i="27"/>
  <c r="H129" i="27"/>
  <c r="I129" i="27"/>
  <c r="L129" i="27"/>
  <c r="N129" i="27"/>
  <c r="O129" i="27"/>
  <c r="P129" i="27"/>
  <c r="Q129" i="27"/>
  <c r="A130" i="27"/>
  <c r="E130" i="27"/>
  <c r="F130" i="27"/>
  <c r="G130" i="27"/>
  <c r="H130" i="27"/>
  <c r="P130" i="27" s="1"/>
  <c r="I130" i="27"/>
  <c r="Q130" i="27" s="1"/>
  <c r="L130" i="27"/>
  <c r="M130" i="27"/>
  <c r="N130" i="27"/>
  <c r="O130" i="27"/>
  <c r="A131" i="27"/>
  <c r="E131" i="27"/>
  <c r="F131" i="27"/>
  <c r="N131" i="27" s="1"/>
  <c r="G131" i="27"/>
  <c r="O131" i="27" s="1"/>
  <c r="H131" i="27"/>
  <c r="P131" i="27" s="1"/>
  <c r="I131" i="27"/>
  <c r="Q131" i="27" s="1"/>
  <c r="L131" i="27"/>
  <c r="M131" i="27"/>
  <c r="A132" i="27"/>
  <c r="E132" i="27"/>
  <c r="M132" i="27" s="1"/>
  <c r="F132" i="27"/>
  <c r="N132" i="27" s="1"/>
  <c r="G132" i="27"/>
  <c r="O132" i="27" s="1"/>
  <c r="H132" i="27"/>
  <c r="P132" i="27" s="1"/>
  <c r="I132" i="27"/>
  <c r="L132" i="27"/>
  <c r="Q132" i="27"/>
  <c r="A122" i="25"/>
  <c r="E122" i="25"/>
  <c r="L122" i="25" s="1"/>
  <c r="Q122" i="25" s="1"/>
  <c r="F122" i="25"/>
  <c r="G122" i="25"/>
  <c r="H122" i="25"/>
  <c r="I122" i="25"/>
  <c r="K122" i="25"/>
  <c r="M122" i="25"/>
  <c r="N122" i="25"/>
  <c r="P122" i="25"/>
  <c r="A123" i="25"/>
  <c r="E123" i="25"/>
  <c r="L123" i="25" s="1"/>
  <c r="F123" i="25"/>
  <c r="G123" i="25"/>
  <c r="H123" i="25"/>
  <c r="I123" i="25"/>
  <c r="P123" i="25" s="1"/>
  <c r="K123" i="25"/>
  <c r="M123" i="25"/>
  <c r="N123" i="25"/>
  <c r="O123" i="25"/>
  <c r="A124" i="25"/>
  <c r="E124" i="25"/>
  <c r="L124" i="25" s="1"/>
  <c r="F124" i="25"/>
  <c r="G124" i="25"/>
  <c r="N124" i="25" s="1"/>
  <c r="H124" i="25"/>
  <c r="O124" i="25" s="1"/>
  <c r="I124" i="25"/>
  <c r="P124" i="25" s="1"/>
  <c r="K124" i="25"/>
  <c r="M124" i="25"/>
  <c r="A125" i="25"/>
  <c r="E125" i="25"/>
  <c r="L125" i="25" s="1"/>
  <c r="F125" i="25"/>
  <c r="M125" i="25" s="1"/>
  <c r="G125" i="25"/>
  <c r="N125" i="25" s="1"/>
  <c r="H125" i="25"/>
  <c r="O125" i="25" s="1"/>
  <c r="I125" i="25"/>
  <c r="P125" i="25" s="1"/>
  <c r="K125" i="25"/>
  <c r="A126" i="25"/>
  <c r="E126" i="25"/>
  <c r="L126" i="25" s="1"/>
  <c r="F126" i="25"/>
  <c r="M126" i="25" s="1"/>
  <c r="G126" i="25"/>
  <c r="N126" i="25" s="1"/>
  <c r="H126" i="25"/>
  <c r="O126" i="25" s="1"/>
  <c r="I126" i="25"/>
  <c r="K126" i="25"/>
  <c r="P126" i="25"/>
  <c r="A127" i="25"/>
  <c r="E127" i="25"/>
  <c r="L127" i="25" s="1"/>
  <c r="F127" i="25"/>
  <c r="M127" i="25" s="1"/>
  <c r="G127" i="25"/>
  <c r="H127" i="25"/>
  <c r="I127" i="25"/>
  <c r="K127" i="25"/>
  <c r="N127" i="25"/>
  <c r="O127" i="25"/>
  <c r="P127" i="25"/>
  <c r="A128" i="25"/>
  <c r="E128" i="25"/>
  <c r="L128" i="25" s="1"/>
  <c r="F128" i="25"/>
  <c r="M128" i="25" s="1"/>
  <c r="G128" i="25"/>
  <c r="N128" i="25" s="1"/>
  <c r="H128" i="25"/>
  <c r="I128" i="25"/>
  <c r="P128" i="25" s="1"/>
  <c r="K128" i="25"/>
  <c r="O128" i="25"/>
  <c r="A129" i="25"/>
  <c r="E129" i="25"/>
  <c r="L129" i="25" s="1"/>
  <c r="F129" i="25"/>
  <c r="M129" i="25" s="1"/>
  <c r="G129" i="25"/>
  <c r="N129" i="25" s="1"/>
  <c r="H129" i="25"/>
  <c r="I129" i="25"/>
  <c r="P129" i="25" s="1"/>
  <c r="K129" i="25"/>
  <c r="O129" i="25"/>
  <c r="A130" i="25"/>
  <c r="E130" i="25"/>
  <c r="L130" i="25" s="1"/>
  <c r="F130" i="25"/>
  <c r="G130" i="25"/>
  <c r="N130" i="25" s="1"/>
  <c r="H130" i="25"/>
  <c r="K130" i="25"/>
  <c r="M130" i="25"/>
  <c r="O130" i="25"/>
  <c r="A131" i="25"/>
  <c r="E131" i="25"/>
  <c r="L131" i="25" s="1"/>
  <c r="F131" i="25"/>
  <c r="G131" i="25"/>
  <c r="N131" i="25" s="1"/>
  <c r="H131" i="25"/>
  <c r="K131" i="25"/>
  <c r="M131" i="25"/>
  <c r="O131" i="25"/>
  <c r="A132" i="25"/>
  <c r="E132" i="25"/>
  <c r="L132" i="25" s="1"/>
  <c r="F132" i="25"/>
  <c r="M132" i="25" s="1"/>
  <c r="G132" i="25"/>
  <c r="N132" i="25" s="1"/>
  <c r="H132" i="25"/>
  <c r="O132" i="25" s="1"/>
  <c r="I132" i="25"/>
  <c r="P132" i="25" s="1"/>
  <c r="K132" i="25"/>
  <c r="BU120" i="1"/>
  <c r="BV120" i="1"/>
  <c r="BW120" i="1"/>
  <c r="BX120" i="1"/>
  <c r="BY120" i="1"/>
  <c r="BZ120" i="1"/>
  <c r="CA120" i="1"/>
  <c r="CB120" i="1"/>
  <c r="CC120" i="1"/>
  <c r="CD120" i="1"/>
  <c r="CE120" i="1"/>
  <c r="CF120" i="1"/>
  <c r="CG120" i="1"/>
  <c r="CH120" i="1"/>
  <c r="CJ120" i="1"/>
  <c r="BU121" i="1"/>
  <c r="BV121" i="1"/>
  <c r="BW121" i="1"/>
  <c r="BX121" i="1"/>
  <c r="BY121" i="1"/>
  <c r="BZ121" i="1"/>
  <c r="CA121" i="1"/>
  <c r="CB121" i="1"/>
  <c r="CC121" i="1"/>
  <c r="CD121" i="1"/>
  <c r="CE121" i="1"/>
  <c r="CF121" i="1"/>
  <c r="CG121" i="1"/>
  <c r="CH121" i="1"/>
  <c r="CJ121" i="1"/>
  <c r="BU122" i="1"/>
  <c r="BV122" i="1"/>
  <c r="BW122" i="1"/>
  <c r="BX122" i="1"/>
  <c r="BY122" i="1"/>
  <c r="BZ122" i="1"/>
  <c r="CA122" i="1"/>
  <c r="CB122" i="1"/>
  <c r="CC122" i="1"/>
  <c r="CD122" i="1"/>
  <c r="CE122" i="1"/>
  <c r="CF122" i="1"/>
  <c r="CG122" i="1"/>
  <c r="CH122" i="1"/>
  <c r="CJ122" i="1"/>
  <c r="BU123" i="1"/>
  <c r="BV123" i="1"/>
  <c r="BW123" i="1"/>
  <c r="BX123" i="1"/>
  <c r="BY123" i="1"/>
  <c r="BZ123" i="1"/>
  <c r="CA123" i="1"/>
  <c r="CB123" i="1"/>
  <c r="CC123" i="1"/>
  <c r="CD123" i="1"/>
  <c r="CE123" i="1"/>
  <c r="CF123" i="1"/>
  <c r="CG123" i="1"/>
  <c r="CH123" i="1"/>
  <c r="CJ123" i="1"/>
  <c r="BU124" i="1"/>
  <c r="BV124" i="1"/>
  <c r="BW124" i="1"/>
  <c r="BX124" i="1"/>
  <c r="BY124" i="1"/>
  <c r="BZ124" i="1"/>
  <c r="CA124" i="1"/>
  <c r="CB124" i="1"/>
  <c r="CC124" i="1"/>
  <c r="CD124" i="1"/>
  <c r="CE124" i="1"/>
  <c r="CF124" i="1"/>
  <c r="CG124" i="1"/>
  <c r="CH124" i="1"/>
  <c r="CJ124" i="1"/>
  <c r="BU125" i="1"/>
  <c r="BV125" i="1"/>
  <c r="BW125" i="1"/>
  <c r="BX125" i="1"/>
  <c r="BY125" i="1"/>
  <c r="BZ125" i="1"/>
  <c r="CA125" i="1"/>
  <c r="CB125" i="1"/>
  <c r="CC125" i="1"/>
  <c r="CD125" i="1"/>
  <c r="CE125" i="1"/>
  <c r="CF125" i="1"/>
  <c r="CG125" i="1"/>
  <c r="CH125" i="1"/>
  <c r="CJ125" i="1"/>
  <c r="BU126" i="1"/>
  <c r="BV126" i="1"/>
  <c r="BW126" i="1"/>
  <c r="BX126" i="1"/>
  <c r="BY126" i="1"/>
  <c r="BZ126" i="1"/>
  <c r="CA126" i="1"/>
  <c r="CB126" i="1"/>
  <c r="CC126" i="1"/>
  <c r="CD126" i="1"/>
  <c r="CE126" i="1"/>
  <c r="CF126" i="1"/>
  <c r="CG126" i="1"/>
  <c r="CH126" i="1"/>
  <c r="CJ126" i="1"/>
  <c r="BU127" i="1"/>
  <c r="BV127" i="1"/>
  <c r="BW127" i="1"/>
  <c r="BX127" i="1"/>
  <c r="BY127" i="1"/>
  <c r="BZ127" i="1"/>
  <c r="CA127" i="1"/>
  <c r="CB127" i="1"/>
  <c r="CC127" i="1"/>
  <c r="CD127" i="1"/>
  <c r="CE127" i="1"/>
  <c r="CF127" i="1"/>
  <c r="CG127" i="1"/>
  <c r="CH127" i="1"/>
  <c r="CJ127" i="1"/>
  <c r="BU128" i="1"/>
  <c r="BV128" i="1"/>
  <c r="BW128" i="1"/>
  <c r="BX128" i="1"/>
  <c r="BY128" i="1"/>
  <c r="BZ128" i="1"/>
  <c r="CA128" i="1"/>
  <c r="CB128" i="1"/>
  <c r="CC128" i="1"/>
  <c r="CD128" i="1"/>
  <c r="CE128" i="1"/>
  <c r="CF128" i="1"/>
  <c r="CG128" i="1"/>
  <c r="CH128" i="1"/>
  <c r="CJ128" i="1"/>
  <c r="BU129" i="1"/>
  <c r="BV129" i="1"/>
  <c r="BW129" i="1"/>
  <c r="BX129" i="1"/>
  <c r="BY129" i="1"/>
  <c r="BZ129" i="1"/>
  <c r="CA129" i="1"/>
  <c r="CB129" i="1"/>
  <c r="CC129" i="1"/>
  <c r="CD129" i="1"/>
  <c r="CE129" i="1"/>
  <c r="CF129" i="1"/>
  <c r="CG129" i="1"/>
  <c r="CH129" i="1"/>
  <c r="CJ129" i="1"/>
  <c r="BU130" i="1"/>
  <c r="BV130" i="1"/>
  <c r="BW130" i="1"/>
  <c r="BX130" i="1"/>
  <c r="BY130" i="1"/>
  <c r="BZ130" i="1"/>
  <c r="CA130" i="1"/>
  <c r="CB130" i="1"/>
  <c r="CC130" i="1"/>
  <c r="CD130" i="1"/>
  <c r="CE130" i="1"/>
  <c r="CF130" i="1"/>
  <c r="CG130" i="1"/>
  <c r="CH130" i="1"/>
  <c r="CJ130" i="1"/>
  <c r="BU131" i="1"/>
  <c r="BV131" i="1"/>
  <c r="BW131" i="1"/>
  <c r="BX131" i="1"/>
  <c r="BY131" i="1"/>
  <c r="BZ131" i="1"/>
  <c r="CA131" i="1"/>
  <c r="CB131" i="1"/>
  <c r="CC131" i="1"/>
  <c r="CD131" i="1"/>
  <c r="CE131" i="1"/>
  <c r="CF131" i="1"/>
  <c r="CG131" i="1"/>
  <c r="CH131" i="1"/>
  <c r="CJ131" i="1"/>
  <c r="BU132" i="1"/>
  <c r="BV132" i="1"/>
  <c r="BW132" i="1"/>
  <c r="BX132" i="1"/>
  <c r="BY132" i="1"/>
  <c r="BZ132" i="1"/>
  <c r="CA132" i="1"/>
  <c r="CB132" i="1"/>
  <c r="CC132" i="1"/>
  <c r="CD132" i="1"/>
  <c r="CE132" i="1"/>
  <c r="CF132" i="1"/>
  <c r="CG132" i="1"/>
  <c r="CH132" i="1"/>
  <c r="CJ132" i="1"/>
  <c r="BU133" i="1"/>
  <c r="BV133" i="1"/>
  <c r="BW133" i="1"/>
  <c r="BX133" i="1"/>
  <c r="BY133" i="1"/>
  <c r="BZ133" i="1"/>
  <c r="CA133" i="1"/>
  <c r="CB133" i="1"/>
  <c r="CC133" i="1"/>
  <c r="CD133" i="1"/>
  <c r="CE133" i="1"/>
  <c r="CF133" i="1"/>
  <c r="CG133" i="1"/>
  <c r="CH133" i="1"/>
  <c r="AN122" i="1"/>
  <c r="AO122" i="1"/>
  <c r="AP122" i="1"/>
  <c r="AQ122" i="1"/>
  <c r="AR122" i="1"/>
  <c r="AS122" i="1"/>
  <c r="AT122" i="1"/>
  <c r="AU122" i="1"/>
  <c r="AW122" i="1"/>
  <c r="AX122" i="1"/>
  <c r="AY122" i="1"/>
  <c r="AZ122" i="1"/>
  <c r="BA122" i="1"/>
  <c r="BB122" i="1"/>
  <c r="BC122" i="1"/>
  <c r="BD122" i="1"/>
  <c r="BE122" i="1"/>
  <c r="BF122" i="1"/>
  <c r="BG122" i="1"/>
  <c r="BH122" i="1"/>
  <c r="BI122" i="1"/>
  <c r="BJ122" i="1"/>
  <c r="BK122" i="1"/>
  <c r="BL122" i="1"/>
  <c r="BM122" i="1"/>
  <c r="BN122" i="1"/>
  <c r="BO122" i="1"/>
  <c r="AN123" i="1"/>
  <c r="AO123" i="1"/>
  <c r="AP123" i="1"/>
  <c r="AQ123" i="1"/>
  <c r="AR123" i="1"/>
  <c r="AS123" i="1"/>
  <c r="AT123" i="1"/>
  <c r="AU123" i="1"/>
  <c r="AW123" i="1"/>
  <c r="AX123" i="1"/>
  <c r="AY123" i="1"/>
  <c r="AZ123" i="1"/>
  <c r="BA123" i="1"/>
  <c r="BB123" i="1"/>
  <c r="BC123" i="1"/>
  <c r="BD123" i="1"/>
  <c r="BE123" i="1"/>
  <c r="BF123" i="1"/>
  <c r="BG123" i="1"/>
  <c r="BH123" i="1"/>
  <c r="BI123" i="1"/>
  <c r="BJ123" i="1"/>
  <c r="BK123" i="1"/>
  <c r="BL123" i="1"/>
  <c r="BM123" i="1"/>
  <c r="BN123" i="1"/>
  <c r="BO123" i="1"/>
  <c r="AN124" i="1"/>
  <c r="AO124" i="1"/>
  <c r="AP124" i="1"/>
  <c r="AQ124" i="1"/>
  <c r="AR124" i="1"/>
  <c r="AS124" i="1"/>
  <c r="AT124" i="1"/>
  <c r="AU124" i="1"/>
  <c r="AW124" i="1"/>
  <c r="AX124" i="1"/>
  <c r="AY124" i="1"/>
  <c r="AZ124" i="1"/>
  <c r="BA124" i="1"/>
  <c r="BB124" i="1"/>
  <c r="BC124" i="1"/>
  <c r="BD124" i="1"/>
  <c r="BE124" i="1"/>
  <c r="BF124" i="1"/>
  <c r="BG124" i="1"/>
  <c r="BH124" i="1"/>
  <c r="BI124" i="1"/>
  <c r="BJ124" i="1"/>
  <c r="BK124" i="1"/>
  <c r="BL124" i="1"/>
  <c r="BM124" i="1"/>
  <c r="BN124" i="1"/>
  <c r="BO124" i="1"/>
  <c r="AN125" i="1"/>
  <c r="AO125" i="1"/>
  <c r="AP125" i="1"/>
  <c r="AQ125" i="1"/>
  <c r="AR125" i="1"/>
  <c r="AS125" i="1"/>
  <c r="AT125" i="1"/>
  <c r="AU125" i="1"/>
  <c r="AW125" i="1"/>
  <c r="AX125" i="1"/>
  <c r="AY125" i="1"/>
  <c r="AZ125" i="1"/>
  <c r="BA125" i="1"/>
  <c r="BB125" i="1"/>
  <c r="BC125" i="1"/>
  <c r="BD125" i="1"/>
  <c r="BE125" i="1"/>
  <c r="BF125" i="1"/>
  <c r="BG125" i="1"/>
  <c r="BH125" i="1"/>
  <c r="BI125" i="1"/>
  <c r="BJ125" i="1"/>
  <c r="BK125" i="1"/>
  <c r="BL125" i="1"/>
  <c r="BM125" i="1"/>
  <c r="BN125" i="1"/>
  <c r="BO125" i="1"/>
  <c r="AN126" i="1"/>
  <c r="AO126" i="1"/>
  <c r="AP126" i="1"/>
  <c r="AQ126" i="1"/>
  <c r="AR126" i="1"/>
  <c r="AS126" i="1"/>
  <c r="AT126" i="1"/>
  <c r="AU126" i="1"/>
  <c r="AW126" i="1"/>
  <c r="AX126" i="1"/>
  <c r="AY126" i="1"/>
  <c r="AZ126" i="1"/>
  <c r="BA126" i="1"/>
  <c r="BB126" i="1"/>
  <c r="BC126" i="1"/>
  <c r="BD126" i="1"/>
  <c r="BE126" i="1"/>
  <c r="BF126" i="1"/>
  <c r="BG126" i="1"/>
  <c r="BH126" i="1"/>
  <c r="BI126" i="1"/>
  <c r="BJ126" i="1"/>
  <c r="BK126" i="1"/>
  <c r="BL126" i="1"/>
  <c r="BM126" i="1"/>
  <c r="BN126" i="1"/>
  <c r="BO126" i="1"/>
  <c r="AN127" i="1"/>
  <c r="AO127" i="1"/>
  <c r="AP127" i="1"/>
  <c r="AQ127" i="1"/>
  <c r="AR127" i="1"/>
  <c r="AS127" i="1"/>
  <c r="AT127" i="1"/>
  <c r="AU127" i="1"/>
  <c r="AW127" i="1"/>
  <c r="AX127" i="1"/>
  <c r="AY127" i="1"/>
  <c r="AZ127" i="1"/>
  <c r="BA127" i="1"/>
  <c r="BB127" i="1"/>
  <c r="BC127" i="1"/>
  <c r="BD127" i="1"/>
  <c r="BE127" i="1"/>
  <c r="BF127" i="1"/>
  <c r="BG127" i="1"/>
  <c r="BH127" i="1"/>
  <c r="BI127" i="1"/>
  <c r="BJ127" i="1"/>
  <c r="BK127" i="1"/>
  <c r="BL127" i="1"/>
  <c r="BM127" i="1"/>
  <c r="BN127" i="1"/>
  <c r="BO127" i="1"/>
  <c r="AN128" i="1"/>
  <c r="AO128" i="1"/>
  <c r="AP128" i="1"/>
  <c r="AQ128" i="1"/>
  <c r="AR128" i="1"/>
  <c r="AS128" i="1"/>
  <c r="AT128" i="1"/>
  <c r="AU128" i="1"/>
  <c r="AW128" i="1"/>
  <c r="AX128" i="1"/>
  <c r="AY128" i="1"/>
  <c r="AZ128" i="1"/>
  <c r="BA128" i="1"/>
  <c r="BB128" i="1"/>
  <c r="BC128" i="1"/>
  <c r="BD128" i="1"/>
  <c r="BE128" i="1"/>
  <c r="BF128" i="1"/>
  <c r="BG128" i="1"/>
  <c r="BH128" i="1"/>
  <c r="BI128" i="1"/>
  <c r="BJ128" i="1"/>
  <c r="BK128" i="1"/>
  <c r="BL128" i="1"/>
  <c r="BM128" i="1"/>
  <c r="BN128" i="1"/>
  <c r="BO128" i="1"/>
  <c r="AN129" i="1"/>
  <c r="AO129" i="1"/>
  <c r="AP129" i="1"/>
  <c r="AQ129" i="1"/>
  <c r="AR129" i="1"/>
  <c r="AS129" i="1"/>
  <c r="AT129" i="1"/>
  <c r="AU129" i="1"/>
  <c r="AW129" i="1"/>
  <c r="AX129" i="1"/>
  <c r="AY129" i="1"/>
  <c r="AZ129" i="1"/>
  <c r="BA129" i="1"/>
  <c r="BB129" i="1"/>
  <c r="BC129" i="1"/>
  <c r="BD129" i="1"/>
  <c r="BE129" i="1"/>
  <c r="BF129" i="1"/>
  <c r="BG129" i="1"/>
  <c r="BH129" i="1"/>
  <c r="BI129" i="1"/>
  <c r="BJ129" i="1"/>
  <c r="BK129" i="1"/>
  <c r="BL129" i="1"/>
  <c r="BM129" i="1"/>
  <c r="J129" i="27" s="1"/>
  <c r="R129" i="27" s="1"/>
  <c r="BN129" i="1"/>
  <c r="BO129" i="1"/>
  <c r="AN130" i="1"/>
  <c r="AO130" i="1"/>
  <c r="AP130" i="1"/>
  <c r="AQ130" i="1"/>
  <c r="AR130" i="1"/>
  <c r="AS130" i="1"/>
  <c r="AT130" i="1"/>
  <c r="AU130" i="1"/>
  <c r="AW130" i="1"/>
  <c r="AX130" i="1"/>
  <c r="AY130" i="1"/>
  <c r="AZ130" i="1"/>
  <c r="BA130" i="1"/>
  <c r="BB130" i="1"/>
  <c r="BC130" i="1"/>
  <c r="BD130" i="1"/>
  <c r="BE130" i="1"/>
  <c r="BF130" i="1"/>
  <c r="BG130" i="1"/>
  <c r="BH130" i="1"/>
  <c r="BI130" i="1"/>
  <c r="BJ130" i="1"/>
  <c r="K130" i="29" s="1"/>
  <c r="T130" i="29" s="1"/>
  <c r="BK130" i="1"/>
  <c r="I130" i="25" s="1"/>
  <c r="P130" i="25" s="1"/>
  <c r="BL130" i="1"/>
  <c r="BM130" i="1"/>
  <c r="J130" i="27" s="1"/>
  <c r="R130" i="27" s="1"/>
  <c r="BN130" i="1"/>
  <c r="BO130" i="1"/>
  <c r="AN131" i="1"/>
  <c r="AO131" i="1"/>
  <c r="AP131" i="1"/>
  <c r="AQ131" i="1"/>
  <c r="AR131" i="1"/>
  <c r="AS131" i="1"/>
  <c r="AT131" i="1"/>
  <c r="AU131" i="1"/>
  <c r="AW131" i="1"/>
  <c r="AX131" i="1"/>
  <c r="AY131" i="1"/>
  <c r="AZ131" i="1"/>
  <c r="BA131" i="1"/>
  <c r="BB131" i="1"/>
  <c r="BC131" i="1"/>
  <c r="BD131" i="1"/>
  <c r="BE131" i="1"/>
  <c r="BF131" i="1"/>
  <c r="BG131" i="1"/>
  <c r="BH131" i="1"/>
  <c r="BI131" i="1"/>
  <c r="BJ131" i="1"/>
  <c r="BK131" i="1"/>
  <c r="I131" i="25" s="1"/>
  <c r="P131" i="25" s="1"/>
  <c r="BL131" i="1"/>
  <c r="BM131" i="1"/>
  <c r="J131" i="27" s="1"/>
  <c r="R131" i="27" s="1"/>
  <c r="BN131" i="1"/>
  <c r="BO131" i="1"/>
  <c r="AN132" i="1"/>
  <c r="AO132" i="1"/>
  <c r="AP132" i="1"/>
  <c r="AQ132" i="1"/>
  <c r="AR132" i="1"/>
  <c r="AS132" i="1"/>
  <c r="AT132" i="1"/>
  <c r="AU132" i="1"/>
  <c r="AW132" i="1"/>
  <c r="AX132" i="1"/>
  <c r="AY132" i="1"/>
  <c r="AZ132" i="1"/>
  <c r="BA132" i="1"/>
  <c r="BB132" i="1"/>
  <c r="BC132" i="1"/>
  <c r="BD132" i="1"/>
  <c r="BE132" i="1"/>
  <c r="BF132" i="1"/>
  <c r="BG132" i="1"/>
  <c r="BH132" i="1"/>
  <c r="BI132" i="1"/>
  <c r="BJ132" i="1"/>
  <c r="K132" i="29" s="1"/>
  <c r="T132" i="29" s="1"/>
  <c r="BK132" i="1"/>
  <c r="BL132" i="1"/>
  <c r="BM132" i="1"/>
  <c r="J132" i="27" s="1"/>
  <c r="R132" i="27" s="1"/>
  <c r="BN132" i="1"/>
  <c r="BO132" i="1"/>
  <c r="AN133" i="1"/>
  <c r="AO133" i="1"/>
  <c r="AP133" i="1"/>
  <c r="AQ133" i="1"/>
  <c r="AR133" i="1"/>
  <c r="AS133" i="1"/>
  <c r="AT133" i="1"/>
  <c r="AU133" i="1"/>
  <c r="AW133" i="1"/>
  <c r="AX133" i="1"/>
  <c r="AY133" i="1"/>
  <c r="AZ133" i="1"/>
  <c r="BA133" i="1"/>
  <c r="BB133" i="1"/>
  <c r="BC133" i="1"/>
  <c r="BD133" i="1"/>
  <c r="BE133" i="1"/>
  <c r="BF133" i="1"/>
  <c r="BG133" i="1"/>
  <c r="BH133" i="1"/>
  <c r="BI133" i="1"/>
  <c r="BJ133" i="1"/>
  <c r="BK133" i="1"/>
  <c r="BL133" i="1"/>
  <c r="BM133" i="1"/>
  <c r="BN133" i="1"/>
  <c r="BO133" i="1"/>
  <c r="N7" i="38"/>
  <c r="M7" i="38"/>
  <c r="N8" i="38"/>
  <c r="N9" i="38"/>
  <c r="E48" i="37"/>
  <c r="G11" i="38"/>
  <c r="G10" i="38"/>
  <c r="G9" i="38"/>
  <c r="G8" i="38"/>
  <c r="G7" i="38"/>
  <c r="J35" i="38"/>
  <c r="J36" i="38" s="1"/>
  <c r="J37" i="38" s="1"/>
  <c r="J28" i="38"/>
  <c r="J29" i="38"/>
  <c r="J30" i="38"/>
  <c r="J31" i="38"/>
  <c r="J32" i="38" s="1"/>
  <c r="I33" i="38"/>
  <c r="I34" i="38"/>
  <c r="I35" i="38" s="1"/>
  <c r="I36" i="38" s="1"/>
  <c r="I37" i="38" s="1"/>
  <c r="I38" i="38" s="1"/>
  <c r="J40" i="38"/>
  <c r="I28" i="38"/>
  <c r="I29" i="38" s="1"/>
  <c r="I30" i="38" s="1"/>
  <c r="I31" i="38" s="1"/>
  <c r="I32" i="38" s="1"/>
  <c r="G28" i="38"/>
  <c r="G29" i="38" s="1"/>
  <c r="G30" i="38" s="1"/>
  <c r="G31" i="38" s="1"/>
  <c r="G32" i="38" s="1"/>
  <c r="G33" i="38" s="1"/>
  <c r="G34" i="38" s="1"/>
  <c r="G35" i="38" s="1"/>
  <c r="G36" i="38" s="1"/>
  <c r="G37" i="38" s="1"/>
  <c r="G38" i="38" s="1"/>
  <c r="F28" i="38"/>
  <c r="F29" i="38" s="1"/>
  <c r="F30" i="38" s="1"/>
  <c r="F31" i="38" s="1"/>
  <c r="F32" i="38" s="1"/>
  <c r="F33" i="38" s="1"/>
  <c r="F34" i="38" s="1"/>
  <c r="F35" i="38" s="1"/>
  <c r="F36" i="38" s="1"/>
  <c r="F37" i="38" s="1"/>
  <c r="F38" i="38" s="1"/>
  <c r="S129" i="27" l="1"/>
  <c r="Q129" i="25"/>
  <c r="Q130" i="25"/>
  <c r="Q128" i="25"/>
  <c r="S125" i="27"/>
  <c r="S122" i="27"/>
  <c r="S123" i="27"/>
  <c r="Q123" i="25"/>
  <c r="Q131" i="25"/>
  <c r="S127" i="27"/>
  <c r="S126" i="27"/>
  <c r="Q124" i="25"/>
  <c r="Q132" i="25"/>
  <c r="S132" i="27"/>
  <c r="S128" i="27"/>
  <c r="S131" i="27"/>
  <c r="S130" i="27"/>
  <c r="S124" i="27"/>
  <c r="Q126" i="25"/>
  <c r="Q127" i="25"/>
  <c r="Q125" i="25"/>
  <c r="G39" i="38"/>
  <c r="G42" i="38" s="1"/>
  <c r="G43" i="38" s="1"/>
  <c r="J39" i="38"/>
  <c r="J42" i="38" s="1"/>
  <c r="J43" i="38" s="1"/>
  <c r="B13" i="18" l="1"/>
  <c r="B14" i="18" s="1"/>
  <c r="F13" i="18"/>
  <c r="J13" i="18"/>
  <c r="N13" i="18"/>
  <c r="N18" i="18" s="1"/>
  <c r="R13" i="18"/>
  <c r="R18" i="18" s="1"/>
  <c r="V13" i="18"/>
  <c r="V14" i="18" s="1"/>
  <c r="V19" i="18" s="1"/>
  <c r="F14" i="18"/>
  <c r="J14" i="18"/>
  <c r="J19" i="18" s="1"/>
  <c r="N14" i="18"/>
  <c r="N19" i="18" s="1"/>
  <c r="R14" i="18"/>
  <c r="R19" i="18" s="1"/>
  <c r="D44" i="18"/>
  <c r="G44" i="18"/>
  <c r="H44" i="18"/>
  <c r="K44" i="18"/>
  <c r="L44" i="18"/>
  <c r="O44" i="18"/>
  <c r="S44" i="18"/>
  <c r="W44" i="18"/>
  <c r="X44" i="18" s="1"/>
  <c r="G45" i="18"/>
  <c r="H46" i="18" s="1"/>
  <c r="H45" i="18"/>
  <c r="K45" i="18"/>
  <c r="L46" i="18" s="1"/>
  <c r="L45" i="18"/>
  <c r="O45" i="18"/>
  <c r="P45" i="18" s="1"/>
  <c r="S45" i="18"/>
  <c r="W45" i="18"/>
  <c r="G46" i="18"/>
  <c r="K46" i="18"/>
  <c r="O46" i="18"/>
  <c r="P46" i="18" s="1"/>
  <c r="S46" i="18"/>
  <c r="T46" i="18" s="1"/>
  <c r="W46" i="18"/>
  <c r="G47" i="18"/>
  <c r="K47" i="18"/>
  <c r="O47" i="18"/>
  <c r="S47" i="18"/>
  <c r="W47" i="18"/>
  <c r="C30" i="18"/>
  <c r="D30" i="18" s="1"/>
  <c r="G30" i="18"/>
  <c r="H30" i="18"/>
  <c r="K30" i="18"/>
  <c r="L30" i="18"/>
  <c r="O30" i="18"/>
  <c r="P30" i="18"/>
  <c r="S30" i="18"/>
  <c r="T31" i="18" s="1"/>
  <c r="T30" i="18"/>
  <c r="W30" i="18"/>
  <c r="X30" i="18"/>
  <c r="C31" i="18"/>
  <c r="D32" i="18" s="1"/>
  <c r="D31" i="18"/>
  <c r="G31" i="18"/>
  <c r="H32" i="18" s="1"/>
  <c r="H31" i="18"/>
  <c r="K31" i="18"/>
  <c r="L31" i="18" s="1"/>
  <c r="O31" i="18"/>
  <c r="P31" i="18"/>
  <c r="S31" i="18"/>
  <c r="W31" i="18"/>
  <c r="C32" i="18"/>
  <c r="G32" i="18"/>
  <c r="K32" i="18"/>
  <c r="O32" i="18"/>
  <c r="P33" i="18" s="1"/>
  <c r="S32" i="18"/>
  <c r="T32" i="18" s="1"/>
  <c r="W32" i="18"/>
  <c r="X32" i="18"/>
  <c r="C33" i="18"/>
  <c r="G33" i="18"/>
  <c r="H34" i="18" s="1"/>
  <c r="K33" i="18"/>
  <c r="L34" i="18" s="1"/>
  <c r="O33" i="18"/>
  <c r="S33" i="18"/>
  <c r="T34" i="18" s="1"/>
  <c r="W33" i="18"/>
  <c r="X33" i="18" s="1"/>
  <c r="C34" i="18"/>
  <c r="G34" i="18"/>
  <c r="K34" i="18"/>
  <c r="O34" i="18"/>
  <c r="S34" i="18"/>
  <c r="W34" i="18"/>
  <c r="X35" i="18" s="1"/>
  <c r="C35" i="18"/>
  <c r="D36" i="18" s="1"/>
  <c r="D35" i="18"/>
  <c r="G35" i="18"/>
  <c r="H36" i="18" s="1"/>
  <c r="H35" i="18"/>
  <c r="K35" i="18"/>
  <c r="L35" i="18" s="1"/>
  <c r="O35" i="18"/>
  <c r="P35" i="18" s="1"/>
  <c r="S35" i="18"/>
  <c r="W35" i="18"/>
  <c r="C36" i="18"/>
  <c r="G36" i="18"/>
  <c r="K36" i="18"/>
  <c r="L37" i="18" s="1"/>
  <c r="O36" i="18"/>
  <c r="P36" i="18" s="1"/>
  <c r="S36" i="18"/>
  <c r="T36" i="18" s="1"/>
  <c r="W36" i="18"/>
  <c r="X37" i="18" s="1"/>
  <c r="X36" i="18"/>
  <c r="C37" i="18"/>
  <c r="G37" i="18"/>
  <c r="K37" i="18"/>
  <c r="L38" i="18" s="1"/>
  <c r="O37" i="18"/>
  <c r="P38" i="18" s="1"/>
  <c r="S37" i="18"/>
  <c r="W37" i="18"/>
  <c r="C38" i="18"/>
  <c r="G38" i="18"/>
  <c r="H38" i="18" s="1"/>
  <c r="K38" i="18"/>
  <c r="O38" i="18"/>
  <c r="S38" i="18"/>
  <c r="T39" i="18" s="1"/>
  <c r="W38" i="18"/>
  <c r="X39" i="18" s="1"/>
  <c r="C39" i="18"/>
  <c r="D40" i="18" s="1"/>
  <c r="D39" i="18"/>
  <c r="G39" i="18"/>
  <c r="H40" i="18" s="1"/>
  <c r="K39" i="18"/>
  <c r="L39" i="18" s="1"/>
  <c r="O39" i="18"/>
  <c r="P39" i="18"/>
  <c r="S39" i="18"/>
  <c r="W39" i="18"/>
  <c r="C40" i="18"/>
  <c r="G40" i="18"/>
  <c r="H41" i="18" s="1"/>
  <c r="K40" i="18"/>
  <c r="L40" i="18" s="1"/>
  <c r="O40" i="18"/>
  <c r="P41" i="18" s="1"/>
  <c r="P40" i="18"/>
  <c r="S40" i="18"/>
  <c r="T40" i="18" s="1"/>
  <c r="W40" i="18"/>
  <c r="X40" i="18"/>
  <c r="C41" i="18"/>
  <c r="G41" i="18"/>
  <c r="K41" i="18"/>
  <c r="L42" i="18" s="1"/>
  <c r="O41" i="18"/>
  <c r="S41" i="18"/>
  <c r="T41" i="18" s="1"/>
  <c r="W41" i="18"/>
  <c r="X41" i="18" s="1"/>
  <c r="C42" i="18"/>
  <c r="G42" i="18"/>
  <c r="H42" i="18" s="1"/>
  <c r="K42" i="18"/>
  <c r="O42" i="18"/>
  <c r="S42" i="18"/>
  <c r="T43" i="18" s="1"/>
  <c r="W42" i="18"/>
  <c r="X43" i="18" s="1"/>
  <c r="C43" i="18"/>
  <c r="D43" i="18"/>
  <c r="G43" i="18"/>
  <c r="H43" i="18"/>
  <c r="K43" i="18"/>
  <c r="O43" i="18"/>
  <c r="P43" i="18" s="1"/>
  <c r="S43" i="18"/>
  <c r="T44" i="18" s="1"/>
  <c r="W43" i="18"/>
  <c r="C44" i="18"/>
  <c r="C45" i="18"/>
  <c r="D45" i="18" s="1"/>
  <c r="C46" i="18"/>
  <c r="D46" i="18" s="1"/>
  <c r="O25" i="18"/>
  <c r="O26" i="18"/>
  <c r="O27" i="18"/>
  <c r="O28" i="18"/>
  <c r="P28" i="18" s="1"/>
  <c r="O29" i="18"/>
  <c r="K25" i="18"/>
  <c r="L26" i="18" s="1"/>
  <c r="K26" i="18"/>
  <c r="K27" i="18"/>
  <c r="K28" i="18"/>
  <c r="K29" i="18"/>
  <c r="L29" i="18" s="1"/>
  <c r="G25" i="18"/>
  <c r="G26" i="18"/>
  <c r="G27" i="18"/>
  <c r="G28" i="18"/>
  <c r="G29" i="18"/>
  <c r="H27" i="18"/>
  <c r="H29" i="18"/>
  <c r="W25" i="18"/>
  <c r="W26" i="18"/>
  <c r="W27" i="18"/>
  <c r="W28" i="18"/>
  <c r="W29" i="18"/>
  <c r="X29" i="18" s="1"/>
  <c r="S25" i="18"/>
  <c r="S26" i="18"/>
  <c r="S27" i="18"/>
  <c r="S28" i="18"/>
  <c r="S29" i="18"/>
  <c r="W24" i="18"/>
  <c r="S24" i="18"/>
  <c r="O24" i="18"/>
  <c r="K24" i="18"/>
  <c r="G24" i="18"/>
  <c r="X28" i="18"/>
  <c r="X27" i="18"/>
  <c r="X25" i="18"/>
  <c r="C24" i="18"/>
  <c r="C25" i="18"/>
  <c r="C26" i="18"/>
  <c r="C27" i="18"/>
  <c r="C28" i="18"/>
  <c r="C29" i="18"/>
  <c r="C47" i="18"/>
  <c r="D47" i="18" s="1"/>
  <c r="T29" i="18"/>
  <c r="P29" i="18"/>
  <c r="T28" i="18"/>
  <c r="L28" i="18"/>
  <c r="H28" i="18"/>
  <c r="D28" i="18"/>
  <c r="T27" i="18"/>
  <c r="P27" i="18"/>
  <c r="D27" i="18"/>
  <c r="T26" i="18"/>
  <c r="P26" i="18"/>
  <c r="H26" i="18"/>
  <c r="D26" i="18"/>
  <c r="F19" i="18"/>
  <c r="J18" i="18"/>
  <c r="F18" i="18"/>
  <c r="B18" i="18"/>
  <c r="H39" i="18" l="1"/>
  <c r="P34" i="18"/>
  <c r="T35" i="18"/>
  <c r="P37" i="18"/>
  <c r="P32" i="18"/>
  <c r="X31" i="18"/>
  <c r="X46" i="18"/>
  <c r="L41" i="18"/>
  <c r="L36" i="18"/>
  <c r="X45" i="18"/>
  <c r="D42" i="18"/>
  <c r="T47" i="18"/>
  <c r="L32" i="18"/>
  <c r="D41" i="18"/>
  <c r="D38" i="18"/>
  <c r="H37" i="18"/>
  <c r="L33" i="18"/>
  <c r="T45" i="18"/>
  <c r="X42" i="18"/>
  <c r="D37" i="18"/>
  <c r="D34" i="18"/>
  <c r="H33" i="18"/>
  <c r="P44" i="18"/>
  <c r="P47" i="18"/>
  <c r="X38" i="18"/>
  <c r="D33" i="18"/>
  <c r="L47" i="18"/>
  <c r="T42" i="18"/>
  <c r="T37" i="18"/>
  <c r="X34" i="18"/>
  <c r="H47" i="18"/>
  <c r="L43" i="18"/>
  <c r="P42" i="18"/>
  <c r="T38" i="18"/>
  <c r="T33" i="18"/>
  <c r="B19" i="18"/>
  <c r="V18" i="18"/>
  <c r="X47" i="18"/>
  <c r="L25" i="18"/>
  <c r="P25" i="18"/>
  <c r="H25" i="18"/>
  <c r="X26" i="18"/>
  <c r="T25" i="18"/>
  <c r="D25" i="18"/>
  <c r="L27" i="18"/>
  <c r="D29" i="18"/>
  <c r="S18" i="18" l="1"/>
  <c r="O18" i="18" l="1"/>
  <c r="K18" i="18"/>
  <c r="W18" i="18" l="1"/>
  <c r="G18" i="18"/>
  <c r="C18" i="18"/>
  <c r="Y122" i="1" l="1"/>
  <c r="Z122" i="1"/>
  <c r="AA122" i="1"/>
  <c r="AB122" i="1"/>
  <c r="AC122" i="1"/>
  <c r="AD122" i="1"/>
  <c r="AE122" i="1"/>
  <c r="AF122" i="1"/>
  <c r="AG122" i="1"/>
  <c r="AH122" i="1"/>
  <c r="AI122" i="1"/>
  <c r="AJ122" i="1"/>
  <c r="AK122" i="1"/>
  <c r="AL122" i="1"/>
  <c r="AM122" i="1"/>
  <c r="Y123" i="1"/>
  <c r="Z123" i="1"/>
  <c r="AA123" i="1"/>
  <c r="AB123" i="1"/>
  <c r="AC123" i="1"/>
  <c r="AD123" i="1"/>
  <c r="AE123" i="1"/>
  <c r="AF123" i="1"/>
  <c r="AG123" i="1"/>
  <c r="AH123" i="1"/>
  <c r="AI123" i="1"/>
  <c r="AJ123" i="1"/>
  <c r="AK123" i="1"/>
  <c r="AL123" i="1"/>
  <c r="AM123" i="1"/>
  <c r="Y124" i="1"/>
  <c r="Z124" i="1"/>
  <c r="AA124" i="1"/>
  <c r="AB124" i="1"/>
  <c r="AC124" i="1"/>
  <c r="AD124" i="1"/>
  <c r="AE124" i="1"/>
  <c r="AF124" i="1"/>
  <c r="AG124" i="1"/>
  <c r="AH124" i="1"/>
  <c r="AI124" i="1"/>
  <c r="AJ124" i="1"/>
  <c r="AK124" i="1"/>
  <c r="AL124" i="1"/>
  <c r="AM124" i="1"/>
  <c r="Y125" i="1"/>
  <c r="Z125" i="1"/>
  <c r="AA125" i="1"/>
  <c r="AB125" i="1"/>
  <c r="AC125" i="1"/>
  <c r="AD125" i="1"/>
  <c r="AE125" i="1"/>
  <c r="AF125" i="1"/>
  <c r="AG125" i="1"/>
  <c r="AH125" i="1"/>
  <c r="AI125" i="1"/>
  <c r="AJ125" i="1"/>
  <c r="AK125" i="1"/>
  <c r="AL125" i="1"/>
  <c r="AM125" i="1"/>
  <c r="Y126" i="1"/>
  <c r="Z126" i="1"/>
  <c r="AA126" i="1"/>
  <c r="AB126" i="1"/>
  <c r="AC126" i="1"/>
  <c r="AD126" i="1"/>
  <c r="AE126" i="1"/>
  <c r="AF126" i="1"/>
  <c r="AG126" i="1"/>
  <c r="AH126" i="1"/>
  <c r="AI126" i="1"/>
  <c r="AJ126" i="1"/>
  <c r="AK126" i="1"/>
  <c r="AL126" i="1"/>
  <c r="AM126" i="1"/>
  <c r="Y127" i="1"/>
  <c r="Z127" i="1"/>
  <c r="AA127" i="1"/>
  <c r="AB127" i="1"/>
  <c r="AC127" i="1"/>
  <c r="AD127" i="1"/>
  <c r="AE127" i="1"/>
  <c r="AF127" i="1"/>
  <c r="AG127" i="1"/>
  <c r="AH127" i="1"/>
  <c r="AI127" i="1"/>
  <c r="AJ127" i="1"/>
  <c r="AK127" i="1"/>
  <c r="AL127" i="1"/>
  <c r="AM127" i="1"/>
  <c r="Y128" i="1"/>
  <c r="Z128" i="1"/>
  <c r="AA128" i="1"/>
  <c r="AB128" i="1"/>
  <c r="AC128" i="1"/>
  <c r="AD128" i="1"/>
  <c r="AE128" i="1"/>
  <c r="AF128" i="1"/>
  <c r="AG128" i="1"/>
  <c r="AH128" i="1"/>
  <c r="AI128" i="1"/>
  <c r="AJ128" i="1"/>
  <c r="AK128" i="1"/>
  <c r="AL128" i="1"/>
  <c r="AM128" i="1"/>
  <c r="Y129" i="1"/>
  <c r="Z129" i="1"/>
  <c r="AA129" i="1"/>
  <c r="AB129" i="1"/>
  <c r="AC129" i="1"/>
  <c r="AD129" i="1"/>
  <c r="AE129" i="1"/>
  <c r="AF129" i="1"/>
  <c r="AG129" i="1"/>
  <c r="AH129" i="1"/>
  <c r="AI129" i="1"/>
  <c r="AJ129" i="1"/>
  <c r="AK129" i="1"/>
  <c r="AL129" i="1"/>
  <c r="AM129" i="1"/>
  <c r="Y130" i="1"/>
  <c r="Z130" i="1"/>
  <c r="AA130" i="1"/>
  <c r="AB130" i="1"/>
  <c r="AC130" i="1"/>
  <c r="AD130" i="1"/>
  <c r="AE130" i="1"/>
  <c r="AF130" i="1"/>
  <c r="AG130" i="1"/>
  <c r="AH130" i="1"/>
  <c r="AI130" i="1"/>
  <c r="AJ130" i="1"/>
  <c r="AK130" i="1"/>
  <c r="AL130" i="1"/>
  <c r="AM130" i="1"/>
  <c r="Y131" i="1"/>
  <c r="Z131" i="1"/>
  <c r="AA131" i="1"/>
  <c r="AB131" i="1"/>
  <c r="AC131" i="1"/>
  <c r="AD131" i="1"/>
  <c r="AE131" i="1"/>
  <c r="AF131" i="1"/>
  <c r="AG131" i="1"/>
  <c r="AH131" i="1"/>
  <c r="AI131" i="1"/>
  <c r="AJ131" i="1"/>
  <c r="AK131" i="1"/>
  <c r="AL131" i="1"/>
  <c r="AM131" i="1"/>
  <c r="Y132" i="1"/>
  <c r="Z132" i="1"/>
  <c r="AA132" i="1"/>
  <c r="AB132" i="1"/>
  <c r="AC132" i="1"/>
  <c r="AD132" i="1"/>
  <c r="AE132" i="1"/>
  <c r="AF132" i="1"/>
  <c r="AG132" i="1"/>
  <c r="AH132" i="1"/>
  <c r="AI132" i="1"/>
  <c r="AJ132" i="1"/>
  <c r="AK132" i="1"/>
  <c r="AL132" i="1"/>
  <c r="AM132" i="1"/>
  <c r="Y133" i="1"/>
  <c r="Z133" i="1"/>
  <c r="AA133" i="1"/>
  <c r="AB133" i="1"/>
  <c r="AC133" i="1"/>
  <c r="AD133" i="1"/>
  <c r="AE133" i="1"/>
  <c r="AF133" i="1"/>
  <c r="AG133" i="1"/>
  <c r="AH133" i="1"/>
  <c r="AI133" i="1"/>
  <c r="AJ133" i="1"/>
  <c r="AK133" i="1"/>
  <c r="AL133" i="1"/>
  <c r="AM133" i="1"/>
  <c r="T29" i="4"/>
  <c r="U29" i="4" s="1"/>
  <c r="AI29" i="4"/>
  <c r="AX29" i="4"/>
  <c r="BM29" i="4"/>
  <c r="CB29" i="4"/>
  <c r="CQ29" i="4"/>
  <c r="DF29" i="4"/>
  <c r="T15" i="4"/>
  <c r="U15" i="4" s="1"/>
  <c r="AI15" i="4"/>
  <c r="AJ15" i="4"/>
  <c r="AK15" i="4"/>
  <c r="AX15" i="4"/>
  <c r="AZ15" i="4"/>
  <c r="BA15" i="4"/>
  <c r="BM15" i="4"/>
  <c r="BS15" i="4"/>
  <c r="BT15" i="4"/>
  <c r="CB15" i="4"/>
  <c r="CK15" i="4"/>
  <c r="CL15" i="4"/>
  <c r="CQ15" i="4"/>
  <c r="DC15" i="4"/>
  <c r="DF15" i="4"/>
  <c r="CJ29" i="4" l="1"/>
  <c r="AK29" i="4"/>
  <c r="CZ29" i="4"/>
  <c r="BA29" i="4"/>
  <c r="CH29" i="4"/>
  <c r="DO29" i="4"/>
  <c r="CG29" i="4"/>
  <c r="BP29" i="4"/>
  <c r="CW29" i="4"/>
  <c r="CF29" i="4"/>
  <c r="BO29" i="4"/>
  <c r="AF29" i="4"/>
  <c r="DM29" i="4"/>
  <c r="CV29" i="4"/>
  <c r="BN29" i="4"/>
  <c r="BZ29" i="4" s="1"/>
  <c r="AE29" i="4"/>
  <c r="DL29" i="4"/>
  <c r="CD29" i="4"/>
  <c r="AD29" i="4"/>
  <c r="DK29" i="4"/>
  <c r="CT29" i="4"/>
  <c r="AC29" i="4"/>
  <c r="AS29" i="4"/>
  <c r="AB29" i="4"/>
  <c r="DI29" i="4"/>
  <c r="CR29" i="4"/>
  <c r="BI29" i="4"/>
  <c r="BY29" i="4"/>
  <c r="AQ29" i="4"/>
  <c r="BX29" i="4"/>
  <c r="BG29" i="4"/>
  <c r="Y29" i="4"/>
  <c r="CN29" i="4"/>
  <c r="BW29" i="4"/>
  <c r="BF29" i="4"/>
  <c r="AO29" i="4"/>
  <c r="X29" i="4"/>
  <c r="DA29" i="4"/>
  <c r="BB29" i="4"/>
  <c r="BR29" i="4"/>
  <c r="CY29" i="4"/>
  <c r="BQ29" i="4"/>
  <c r="AY29" i="4"/>
  <c r="DN29" i="4"/>
  <c r="CS29" i="4"/>
  <c r="AA29" i="4"/>
  <c r="CM29" i="4"/>
  <c r="BV29" i="4"/>
  <c r="BE29" i="4"/>
  <c r="AN29" i="4"/>
  <c r="W29" i="4"/>
  <c r="DR29" i="4"/>
  <c r="BS29" i="4"/>
  <c r="DQ29" i="4"/>
  <c r="AJ29" i="4"/>
  <c r="CE29" i="4"/>
  <c r="CU29" i="4"/>
  <c r="AU29" i="4"/>
  <c r="CC29" i="4"/>
  <c r="DJ29" i="4"/>
  <c r="BJ29" i="4"/>
  <c r="AR29" i="4"/>
  <c r="BH29" i="4"/>
  <c r="Z29" i="4"/>
  <c r="DG29" i="4"/>
  <c r="AP29" i="4"/>
  <c r="DC29" i="4"/>
  <c r="CL29" i="4"/>
  <c r="BU29" i="4"/>
  <c r="BD29" i="4"/>
  <c r="AM29" i="4"/>
  <c r="V29" i="4"/>
  <c r="AG29" i="4" s="1"/>
  <c r="CI29" i="4"/>
  <c r="DP29" i="4"/>
  <c r="AZ29" i="4"/>
  <c r="CX29" i="4"/>
  <c r="AT29" i="4"/>
  <c r="DH29" i="4"/>
  <c r="DB29" i="4"/>
  <c r="CK29" i="4"/>
  <c r="BT29" i="4"/>
  <c r="BC29" i="4"/>
  <c r="AL29" i="4"/>
  <c r="DR15" i="4"/>
  <c r="CZ15" i="4"/>
  <c r="BP15" i="4"/>
  <c r="AF15" i="4"/>
  <c r="CG15" i="4"/>
  <c r="AE15" i="4"/>
  <c r="CF15" i="4"/>
  <c r="AD15" i="4"/>
  <c r="CE15" i="4"/>
  <c r="AT15" i="4"/>
  <c r="AC15" i="4"/>
  <c r="BI15" i="4"/>
  <c r="AS15" i="4"/>
  <c r="AB15" i="4"/>
  <c r="CU15" i="4"/>
  <c r="BH15" i="4"/>
  <c r="AR15" i="4"/>
  <c r="CT15" i="4"/>
  <c r="BG15" i="4"/>
  <c r="Z15" i="4"/>
  <c r="DK15" i="4"/>
  <c r="CS15" i="4"/>
  <c r="BY15" i="4"/>
  <c r="BF15" i="4"/>
  <c r="AP15" i="4"/>
  <c r="Y15" i="4"/>
  <c r="DJ15" i="4"/>
  <c r="DS15" i="4" s="1"/>
  <c r="CR15" i="4"/>
  <c r="BX15" i="4"/>
  <c r="BE15" i="4"/>
  <c r="AO15" i="4"/>
  <c r="X15" i="4"/>
  <c r="CI15" i="4"/>
  <c r="CH15" i="4"/>
  <c r="CY15" i="4"/>
  <c r="DP15" i="4"/>
  <c r="DO15" i="4"/>
  <c r="CD15" i="4"/>
  <c r="AA15" i="4"/>
  <c r="DI15" i="4"/>
  <c r="BW15" i="4"/>
  <c r="BD15" i="4"/>
  <c r="AN15" i="4"/>
  <c r="W15" i="4"/>
  <c r="CJ15" i="4"/>
  <c r="AY15" i="4"/>
  <c r="CX15" i="4"/>
  <c r="CW15" i="4"/>
  <c r="CV15" i="4"/>
  <c r="CC15" i="4"/>
  <c r="AQ15" i="4"/>
  <c r="DH15" i="4"/>
  <c r="CN15" i="4"/>
  <c r="BV15" i="4"/>
  <c r="BC15" i="4"/>
  <c r="AM15" i="4"/>
  <c r="V15" i="4"/>
  <c r="AG15" i="4" s="1"/>
  <c r="DB15" i="4"/>
  <c r="BR15" i="4"/>
  <c r="DA15" i="4"/>
  <c r="BQ15" i="4"/>
  <c r="BN15" i="4"/>
  <c r="BZ15" i="4" s="1"/>
  <c r="DQ15" i="4"/>
  <c r="BO15" i="4"/>
  <c r="AU15" i="4"/>
  <c r="BJ15" i="4"/>
  <c r="DN15" i="4"/>
  <c r="DM15" i="4"/>
  <c r="DL15" i="4"/>
  <c r="DG15" i="4"/>
  <c r="CM15" i="4"/>
  <c r="BU15" i="4"/>
  <c r="BB15" i="4"/>
  <c r="AL15" i="4"/>
  <c r="AV15" i="4" s="1"/>
  <c r="B132" i="1"/>
  <c r="C132" i="1"/>
  <c r="B133" i="1"/>
  <c r="C133" i="1"/>
  <c r="B122" i="1"/>
  <c r="C122" i="1"/>
  <c r="B123" i="1"/>
  <c r="C123" i="1"/>
  <c r="B124" i="1"/>
  <c r="C124" i="1"/>
  <c r="B125" i="1"/>
  <c r="C125" i="1"/>
  <c r="B126" i="1"/>
  <c r="C126" i="1"/>
  <c r="B127" i="1"/>
  <c r="C127" i="1"/>
  <c r="B128" i="1"/>
  <c r="C128" i="1"/>
  <c r="B129" i="1"/>
  <c r="C129" i="1"/>
  <c r="B130" i="1"/>
  <c r="C130" i="1"/>
  <c r="B131" i="1"/>
  <c r="C131" i="1"/>
  <c r="J4" i="6"/>
  <c r="N14" i="37"/>
  <c r="C127" i="29" l="1"/>
  <c r="C127" i="27"/>
  <c r="C127" i="25"/>
  <c r="C125" i="29"/>
  <c r="C125" i="27"/>
  <c r="C125" i="25"/>
  <c r="C124" i="29"/>
  <c r="C124" i="27"/>
  <c r="C124" i="25"/>
  <c r="B124" i="29"/>
  <c r="B124" i="27"/>
  <c r="B124" i="25"/>
  <c r="B131" i="29"/>
  <c r="B131" i="27"/>
  <c r="B131" i="25"/>
  <c r="B123" i="27"/>
  <c r="B123" i="29"/>
  <c r="B123" i="25"/>
  <c r="C126" i="25"/>
  <c r="C126" i="29"/>
  <c r="C126" i="27"/>
  <c r="C131" i="27"/>
  <c r="C131" i="29"/>
  <c r="C131" i="25"/>
  <c r="C123" i="27"/>
  <c r="C123" i="29"/>
  <c r="C123" i="25"/>
  <c r="B130" i="29"/>
  <c r="B130" i="27"/>
  <c r="B130" i="25"/>
  <c r="B122" i="27"/>
  <c r="B122" i="29"/>
  <c r="B122" i="25"/>
  <c r="C130" i="29"/>
  <c r="C130" i="27"/>
  <c r="C130" i="25"/>
  <c r="C122" i="27"/>
  <c r="C122" i="29"/>
  <c r="C122" i="25"/>
  <c r="B129" i="29"/>
  <c r="B129" i="27"/>
  <c r="B129" i="25"/>
  <c r="C129" i="27"/>
  <c r="C129" i="29"/>
  <c r="C129" i="25"/>
  <c r="B132" i="25"/>
  <c r="B132" i="27"/>
  <c r="B132" i="29"/>
  <c r="B126" i="25"/>
  <c r="B126" i="29"/>
  <c r="B126" i="27"/>
  <c r="B125" i="29"/>
  <c r="B125" i="27"/>
  <c r="B125" i="25"/>
  <c r="C128" i="29"/>
  <c r="C128" i="27"/>
  <c r="C128" i="25"/>
  <c r="C132" i="27"/>
  <c r="C132" i="25"/>
  <c r="C132" i="29"/>
  <c r="B128" i="29"/>
  <c r="B128" i="27"/>
  <c r="B128" i="25"/>
  <c r="B127" i="29"/>
  <c r="B127" i="27"/>
  <c r="B127" i="25"/>
  <c r="DD29" i="4"/>
  <c r="AV29" i="4"/>
  <c r="BK29" i="4"/>
  <c r="DS29" i="4"/>
  <c r="CO29" i="4"/>
  <c r="BK15" i="4"/>
  <c r="DD15" i="4"/>
  <c r="CO15" i="4"/>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DU64" i="4"/>
  <c r="DV64" i="4"/>
  <c r="DW64" i="4"/>
  <c r="DU65" i="4"/>
  <c r="DV65" i="4"/>
  <c r="DW65" i="4"/>
  <c r="DU66" i="4"/>
  <c r="DV66" i="4"/>
  <c r="DW66" i="4"/>
  <c r="DU67" i="4"/>
  <c r="DV67" i="4"/>
  <c r="DW67" i="4"/>
  <c r="DU68" i="4"/>
  <c r="DV68" i="4"/>
  <c r="DW68" i="4"/>
  <c r="DU69" i="4"/>
  <c r="DV69" i="4"/>
  <c r="DW69" i="4"/>
  <c r="DU70" i="4"/>
  <c r="DV70" i="4"/>
  <c r="DW70" i="4"/>
  <c r="DU71" i="4"/>
  <c r="DV71" i="4"/>
  <c r="DW71" i="4"/>
  <c r="DU72" i="4"/>
  <c r="DV72" i="4"/>
  <c r="DW72" i="4"/>
  <c r="DU73" i="4"/>
  <c r="DV73" i="4"/>
  <c r="DW73" i="4"/>
  <c r="DU74" i="4"/>
  <c r="DV74" i="4"/>
  <c r="DW74" i="4"/>
  <c r="DU75" i="4"/>
  <c r="DV75" i="4"/>
  <c r="DW75" i="4"/>
  <c r="DU76" i="4"/>
  <c r="DV76" i="4"/>
  <c r="DW76" i="4"/>
  <c r="DU77" i="4"/>
  <c r="DV77" i="4"/>
  <c r="DW77" i="4"/>
  <c r="DU78" i="4"/>
  <c r="DV78" i="4"/>
  <c r="DW78" i="4"/>
  <c r="DU79" i="4"/>
  <c r="DV79" i="4"/>
  <c r="DW79" i="4"/>
  <c r="DU80" i="4"/>
  <c r="DV80" i="4"/>
  <c r="DW80" i="4"/>
  <c r="DU81" i="4"/>
  <c r="DV81" i="4"/>
  <c r="DW81" i="4"/>
  <c r="DU82" i="4"/>
  <c r="DV82" i="4"/>
  <c r="DW82" i="4"/>
  <c r="DU83" i="4"/>
  <c r="DV83" i="4"/>
  <c r="DW83" i="4"/>
  <c r="DU84" i="4"/>
  <c r="DV84" i="4"/>
  <c r="DW84" i="4"/>
  <c r="DU85" i="4"/>
  <c r="DV85" i="4"/>
  <c r="DW85" i="4"/>
  <c r="DU86" i="4"/>
  <c r="DV86" i="4"/>
  <c r="DW86" i="4"/>
  <c r="DU87" i="4"/>
  <c r="DV87" i="4"/>
  <c r="DW87" i="4"/>
  <c r="DU88" i="4"/>
  <c r="DV88" i="4"/>
  <c r="DW88" i="4"/>
  <c r="DU89" i="4"/>
  <c r="DV89" i="4"/>
  <c r="DW89" i="4"/>
  <c r="DU90" i="4"/>
  <c r="DV90" i="4"/>
  <c r="DW90" i="4"/>
  <c r="DU91" i="4"/>
  <c r="DV91" i="4"/>
  <c r="DW91" i="4"/>
  <c r="DU92" i="4"/>
  <c r="DV92" i="4"/>
  <c r="DW92" i="4"/>
  <c r="DU93" i="4"/>
  <c r="DV93" i="4"/>
  <c r="DW93" i="4"/>
  <c r="DU94" i="4"/>
  <c r="DV94" i="4"/>
  <c r="DW94" i="4"/>
  <c r="DU95" i="4"/>
  <c r="DV95" i="4"/>
  <c r="DW95" i="4"/>
  <c r="DU96" i="4"/>
  <c r="DV96" i="4"/>
  <c r="DW96" i="4"/>
  <c r="DU97" i="4"/>
  <c r="DV97" i="4"/>
  <c r="DW97" i="4"/>
  <c r="DU98" i="4"/>
  <c r="DV98" i="4"/>
  <c r="DW98" i="4"/>
  <c r="DU99" i="4"/>
  <c r="DV99" i="4"/>
  <c r="DW99" i="4"/>
  <c r="DU100" i="4"/>
  <c r="DV100" i="4"/>
  <c r="DW100" i="4"/>
  <c r="DU101" i="4"/>
  <c r="DV101" i="4"/>
  <c r="DW101" i="4"/>
  <c r="DU102" i="4"/>
  <c r="DV102" i="4"/>
  <c r="DW102" i="4"/>
  <c r="DU103" i="4"/>
  <c r="DV103" i="4"/>
  <c r="DW103" i="4"/>
  <c r="DU104" i="4"/>
  <c r="DV104" i="4"/>
  <c r="DW104" i="4"/>
  <c r="DU105" i="4"/>
  <c r="DV105" i="4"/>
  <c r="DW105" i="4"/>
  <c r="DU106" i="4"/>
  <c r="DV106" i="4"/>
  <c r="DW106" i="4"/>
  <c r="DU107" i="4"/>
  <c r="DV107" i="4"/>
  <c r="DW107" i="4"/>
  <c r="DU108" i="4"/>
  <c r="DV108" i="4"/>
  <c r="DW108" i="4"/>
  <c r="DU109" i="4"/>
  <c r="DV109" i="4"/>
  <c r="DW109" i="4"/>
  <c r="DU110" i="4"/>
  <c r="DV110" i="4"/>
  <c r="DW110" i="4"/>
  <c r="DU111" i="4"/>
  <c r="DV111" i="4"/>
  <c r="DW111" i="4"/>
  <c r="DU112" i="4"/>
  <c r="DV112" i="4"/>
  <c r="DW112" i="4"/>
  <c r="DU113" i="4"/>
  <c r="DV113" i="4"/>
  <c r="DW113" i="4"/>
  <c r="DU114" i="4"/>
  <c r="DV114" i="4"/>
  <c r="DW114" i="4"/>
  <c r="DU115" i="4"/>
  <c r="DV115" i="4"/>
  <c r="DW115" i="4"/>
  <c r="DU116" i="4"/>
  <c r="DV116" i="4"/>
  <c r="DW116" i="4"/>
  <c r="DU117" i="4"/>
  <c r="DV117" i="4"/>
  <c r="DW117" i="4"/>
  <c r="DU118" i="4"/>
  <c r="DV118" i="4"/>
  <c r="DW118" i="4"/>
  <c r="DU119" i="4"/>
  <c r="DV119" i="4"/>
  <c r="DW119" i="4"/>
  <c r="DU120" i="4"/>
  <c r="DV120" i="4"/>
  <c r="DW120" i="4"/>
  <c r="DU121" i="4"/>
  <c r="DV121" i="4"/>
  <c r="DW121" i="4"/>
  <c r="DU15" i="4"/>
  <c r="DV15" i="4"/>
  <c r="DW15" i="4"/>
  <c r="DU16" i="4"/>
  <c r="DV16" i="4"/>
  <c r="DW16" i="4"/>
  <c r="DU17" i="4"/>
  <c r="DV17" i="4"/>
  <c r="DW17" i="4"/>
  <c r="DU18" i="4"/>
  <c r="DV18" i="4"/>
  <c r="DW18" i="4"/>
  <c r="DU19" i="4"/>
  <c r="DV19" i="4"/>
  <c r="DW19" i="4"/>
  <c r="DU20" i="4"/>
  <c r="DV20" i="4"/>
  <c r="DW20" i="4"/>
  <c r="DU21" i="4"/>
  <c r="DV21" i="4"/>
  <c r="DW21" i="4"/>
  <c r="DU22" i="4"/>
  <c r="DV22" i="4"/>
  <c r="DW22" i="4"/>
  <c r="DU23" i="4"/>
  <c r="DV23" i="4"/>
  <c r="DW23" i="4"/>
  <c r="DU24" i="4"/>
  <c r="DV24" i="4"/>
  <c r="DW24" i="4"/>
  <c r="DU25" i="4"/>
  <c r="DV25" i="4"/>
  <c r="DW25" i="4"/>
  <c r="DU26" i="4"/>
  <c r="DV26" i="4"/>
  <c r="DW26" i="4"/>
  <c r="DU27" i="4"/>
  <c r="DV27" i="4"/>
  <c r="DW27" i="4"/>
  <c r="DU28" i="4"/>
  <c r="DV28" i="4"/>
  <c r="DW28" i="4"/>
  <c r="DU29" i="4"/>
  <c r="DV29" i="4"/>
  <c r="DW29" i="4"/>
  <c r="DU30" i="4"/>
  <c r="DV30" i="4"/>
  <c r="DW30" i="4"/>
  <c r="DU31" i="4"/>
  <c r="DV31" i="4"/>
  <c r="DW31" i="4"/>
  <c r="DU32" i="4"/>
  <c r="DV32" i="4"/>
  <c r="DW32" i="4"/>
  <c r="DU33" i="4"/>
  <c r="DV33" i="4"/>
  <c r="DW33" i="4"/>
  <c r="DU34" i="4"/>
  <c r="DV34" i="4"/>
  <c r="DW34" i="4"/>
  <c r="DU35" i="4"/>
  <c r="DV35" i="4"/>
  <c r="DW35" i="4"/>
  <c r="DU36" i="4"/>
  <c r="DV36" i="4"/>
  <c r="DW36" i="4"/>
  <c r="DU37" i="4"/>
  <c r="DV37" i="4"/>
  <c r="DW37" i="4"/>
  <c r="DU38" i="4"/>
  <c r="DV38" i="4"/>
  <c r="DW38" i="4"/>
  <c r="DU39" i="4"/>
  <c r="DV39" i="4"/>
  <c r="DW39" i="4"/>
  <c r="DU40" i="4"/>
  <c r="DV40" i="4"/>
  <c r="DW40" i="4"/>
  <c r="DU41" i="4"/>
  <c r="DV41" i="4"/>
  <c r="DW41" i="4"/>
  <c r="DU42" i="4"/>
  <c r="DV42" i="4"/>
  <c r="DW42" i="4"/>
  <c r="DU43" i="4"/>
  <c r="DV43" i="4"/>
  <c r="DW43" i="4"/>
  <c r="DU44" i="4"/>
  <c r="DV44" i="4"/>
  <c r="DW44" i="4"/>
  <c r="DU45" i="4"/>
  <c r="DV45" i="4"/>
  <c r="DW45" i="4"/>
  <c r="DU46" i="4"/>
  <c r="DV46" i="4"/>
  <c r="DW46" i="4"/>
  <c r="DU47" i="4"/>
  <c r="DV47" i="4"/>
  <c r="DW47" i="4"/>
  <c r="DU48" i="4"/>
  <c r="DV48" i="4"/>
  <c r="DW48" i="4"/>
  <c r="DU49" i="4"/>
  <c r="DV49" i="4"/>
  <c r="DW49" i="4"/>
  <c r="DU50" i="4"/>
  <c r="DV50" i="4"/>
  <c r="DW50" i="4"/>
  <c r="DU51" i="4"/>
  <c r="DV51" i="4"/>
  <c r="DW51" i="4"/>
  <c r="DU52" i="4"/>
  <c r="DV52" i="4"/>
  <c r="DW52" i="4"/>
  <c r="DU53" i="4"/>
  <c r="DV53" i="4"/>
  <c r="DW53" i="4"/>
  <c r="DU54" i="4"/>
  <c r="DV54" i="4"/>
  <c r="DW54" i="4"/>
  <c r="DU55" i="4"/>
  <c r="DV55" i="4"/>
  <c r="DW55" i="4"/>
  <c r="DU56" i="4"/>
  <c r="DV56" i="4"/>
  <c r="DW56" i="4"/>
  <c r="DU57" i="4"/>
  <c r="DV57" i="4"/>
  <c r="DW57" i="4"/>
  <c r="DU58" i="4"/>
  <c r="DV58" i="4"/>
  <c r="DW58" i="4"/>
  <c r="DU59" i="4"/>
  <c r="DV59" i="4"/>
  <c r="DW59" i="4"/>
  <c r="DU60" i="4"/>
  <c r="DV60" i="4"/>
  <c r="DW60" i="4"/>
  <c r="DU61" i="4"/>
  <c r="DV61" i="4"/>
  <c r="DW61" i="4"/>
  <c r="DU62" i="4"/>
  <c r="DV62" i="4"/>
  <c r="DW62" i="4"/>
  <c r="DU63" i="4"/>
  <c r="DV63" i="4"/>
  <c r="DW63" i="4"/>
  <c r="DU10" i="4"/>
  <c r="DV10" i="4"/>
  <c r="DW10" i="4"/>
  <c r="DU11" i="4"/>
  <c r="DV11" i="4"/>
  <c r="DW11" i="4"/>
  <c r="DU12" i="4"/>
  <c r="DV12" i="4"/>
  <c r="DW12" i="4"/>
  <c r="DU13" i="4"/>
  <c r="DV13" i="4"/>
  <c r="DW13" i="4"/>
  <c r="DU14" i="4"/>
  <c r="DV14" i="4"/>
  <c r="DW14" i="4"/>
  <c r="DU2" i="4"/>
  <c r="DV2" i="4"/>
  <c r="DW2" i="4"/>
  <c r="DU3" i="4"/>
  <c r="DV3" i="4"/>
  <c r="DW3" i="4"/>
  <c r="DU4" i="4"/>
  <c r="DV4" i="4"/>
  <c r="DW4" i="4"/>
  <c r="DU5" i="4"/>
  <c r="DV5" i="4"/>
  <c r="DW5" i="4"/>
  <c r="DU6" i="4"/>
  <c r="DV6" i="4"/>
  <c r="DW6" i="4"/>
  <c r="DU7" i="4"/>
  <c r="DV7" i="4"/>
  <c r="DW7" i="4"/>
  <c r="DU8" i="4"/>
  <c r="DV8" i="4"/>
  <c r="DW8" i="4"/>
  <c r="DU9" i="4"/>
  <c r="DV9" i="4"/>
  <c r="DW9" i="4"/>
  <c r="DW1" i="4"/>
  <c r="DV1" i="4"/>
  <c r="DU1" i="4"/>
  <c r="L2" i="44" l="1"/>
  <c r="L3" i="44"/>
  <c r="L4" i="44"/>
  <c r="L5" i="44"/>
  <c r="L6" i="44"/>
  <c r="L7" i="44"/>
  <c r="L8" i="44"/>
  <c r="L9" i="44"/>
  <c r="L10" i="44"/>
  <c r="L11" i="44"/>
  <c r="L12" i="44"/>
  <c r="L13" i="44"/>
  <c r="L14" i="44"/>
  <c r="L15" i="44"/>
  <c r="L16" i="44"/>
  <c r="L17" i="44"/>
  <c r="L18" i="44"/>
  <c r="L19" i="44"/>
  <c r="L20" i="44"/>
  <c r="L21" i="44"/>
  <c r="L22" i="44"/>
  <c r="L23" i="44"/>
  <c r="L24" i="44"/>
  <c r="L25" i="44"/>
  <c r="L26" i="44"/>
  <c r="L27" i="44"/>
  <c r="L28" i="44"/>
  <c r="L29" i="44"/>
  <c r="L30" i="44"/>
  <c r="L31" i="44"/>
  <c r="L32" i="44"/>
  <c r="L33" i="44"/>
  <c r="L34" i="44"/>
  <c r="L35" i="44"/>
  <c r="L36" i="44"/>
  <c r="L37" i="44"/>
  <c r="L38" i="44"/>
  <c r="L39" i="44"/>
  <c r="L40" i="44"/>
  <c r="L41" i="44"/>
  <c r="L42" i="44"/>
  <c r="L43" i="44"/>
  <c r="L44" i="44"/>
  <c r="L45" i="44"/>
  <c r="L46" i="44"/>
  <c r="L47" i="44"/>
  <c r="L48" i="44"/>
  <c r="L49" i="44"/>
  <c r="L50" i="44"/>
  <c r="L51" i="44"/>
  <c r="L52" i="44"/>
  <c r="L53" i="44"/>
  <c r="L54" i="44"/>
  <c r="L55" i="44"/>
  <c r="L56" i="44"/>
  <c r="L57" i="44"/>
  <c r="L58" i="44"/>
  <c r="L59" i="44"/>
  <c r="L60" i="44"/>
  <c r="L61" i="44"/>
  <c r="L62" i="44"/>
  <c r="L63" i="44"/>
  <c r="L64" i="44"/>
  <c r="L65" i="44"/>
  <c r="L66" i="44"/>
  <c r="L67" i="44"/>
  <c r="L68" i="44"/>
  <c r="L69" i="44"/>
  <c r="L70" i="44"/>
  <c r="L71" i="44"/>
  <c r="L72" i="44"/>
  <c r="L73" i="44"/>
  <c r="L74" i="44"/>
  <c r="L75" i="44"/>
  <c r="L76" i="44"/>
  <c r="L77" i="44"/>
  <c r="L78" i="44"/>
  <c r="L79" i="44"/>
  <c r="L80" i="44"/>
  <c r="L81" i="44"/>
  <c r="L82" i="44"/>
  <c r="L83" i="44"/>
  <c r="L84" i="44"/>
  <c r="L85" i="44"/>
  <c r="L86" i="44"/>
  <c r="L87" i="44"/>
  <c r="L88" i="44"/>
  <c r="L89" i="44"/>
  <c r="L90" i="44"/>
  <c r="L91" i="44"/>
  <c r="L92" i="44"/>
  <c r="L93" i="44"/>
  <c r="L94" i="44"/>
  <c r="L95" i="44"/>
  <c r="L96" i="44"/>
  <c r="L97" i="44"/>
  <c r="L98" i="44"/>
  <c r="L99" i="44"/>
  <c r="L100" i="44"/>
  <c r="L101" i="44"/>
  <c r="L102" i="44"/>
  <c r="L103" i="44"/>
  <c r="L104" i="44"/>
  <c r="L105" i="44"/>
  <c r="L106" i="44"/>
  <c r="L107" i="44"/>
  <c r="L108" i="44"/>
  <c r="L109" i="44"/>
  <c r="L110" i="44"/>
  <c r="L122" i="44" s="1"/>
  <c r="L111" i="44"/>
  <c r="L123" i="44" s="1"/>
  <c r="L112" i="44"/>
  <c r="L124" i="44" s="1"/>
  <c r="L113" i="44"/>
  <c r="L125" i="44" s="1"/>
  <c r="L137" i="44" s="1"/>
  <c r="L114" i="44"/>
  <c r="L115" i="44"/>
  <c r="L116" i="44"/>
  <c r="L117" i="44"/>
  <c r="L118" i="44"/>
  <c r="L130" i="44" s="1"/>
  <c r="L142" i="44" s="1"/>
  <c r="T142" i="44" s="1"/>
  <c r="L119" i="44"/>
  <c r="L120" i="44"/>
  <c r="L121" i="44"/>
  <c r="L131" i="44"/>
  <c r="L132" i="44"/>
  <c r="L144" i="44" s="1"/>
  <c r="T144" i="44" s="1"/>
  <c r="L133" i="44"/>
  <c r="L145" i="44" s="1"/>
  <c r="T145" i="44" s="1"/>
  <c r="L126" i="44"/>
  <c r="L138" i="44" s="1"/>
  <c r="L127" i="44"/>
  <c r="L139" i="44" s="1"/>
  <c r="L128" i="44"/>
  <c r="T128" i="44" s="1"/>
  <c r="L129" i="44"/>
  <c r="L141" i="44" s="1"/>
  <c r="L1" i="44"/>
  <c r="J2" i="31"/>
  <c r="J3" i="31"/>
  <c r="J4" i="31"/>
  <c r="J5" i="31"/>
  <c r="J6" i="31"/>
  <c r="J7" i="31"/>
  <c r="J8" i="31"/>
  <c r="J9" i="31"/>
  <c r="J10" i="31"/>
  <c r="J11" i="31"/>
  <c r="R11" i="31" s="1"/>
  <c r="J12" i="31"/>
  <c r="R12" i="31" s="1"/>
  <c r="J13" i="31"/>
  <c r="R13" i="31" s="1"/>
  <c r="J14" i="31"/>
  <c r="R14" i="31" s="1"/>
  <c r="J15" i="31"/>
  <c r="R15" i="31" s="1"/>
  <c r="J16" i="31"/>
  <c r="R16" i="31" s="1"/>
  <c r="J17" i="31"/>
  <c r="R17" i="31" s="1"/>
  <c r="J18" i="31"/>
  <c r="J19" i="31"/>
  <c r="J20" i="31"/>
  <c r="J21" i="31"/>
  <c r="J22" i="31"/>
  <c r="J23" i="31"/>
  <c r="J24" i="31"/>
  <c r="J25" i="31"/>
  <c r="J26" i="31"/>
  <c r="J27" i="31"/>
  <c r="R27" i="31" s="1"/>
  <c r="J28" i="31"/>
  <c r="R28" i="31" s="1"/>
  <c r="J29" i="31"/>
  <c r="R29" i="31" s="1"/>
  <c r="J30" i="31"/>
  <c r="R30" i="31" s="1"/>
  <c r="J31" i="31"/>
  <c r="R31" i="31" s="1"/>
  <c r="J32" i="31"/>
  <c r="R32" i="31" s="1"/>
  <c r="J33" i="31"/>
  <c r="R33" i="31" s="1"/>
  <c r="J34" i="31"/>
  <c r="J35" i="31"/>
  <c r="J36" i="31"/>
  <c r="J37" i="31"/>
  <c r="J38" i="31"/>
  <c r="J39" i="31"/>
  <c r="J40" i="31"/>
  <c r="J41" i="31"/>
  <c r="J42" i="31"/>
  <c r="J43" i="31"/>
  <c r="R43" i="31" s="1"/>
  <c r="J44" i="31"/>
  <c r="R44" i="31" s="1"/>
  <c r="J45" i="31"/>
  <c r="R45" i="31" s="1"/>
  <c r="J46" i="31"/>
  <c r="R46" i="31" s="1"/>
  <c r="J47" i="31"/>
  <c r="R47" i="31" s="1"/>
  <c r="J48" i="31"/>
  <c r="R48" i="31" s="1"/>
  <c r="J49" i="31"/>
  <c r="R49" i="31" s="1"/>
  <c r="J50" i="31"/>
  <c r="J51" i="31"/>
  <c r="J52" i="31"/>
  <c r="J53" i="31"/>
  <c r="J54" i="31"/>
  <c r="J55" i="31"/>
  <c r="J56" i="31"/>
  <c r="J57" i="31"/>
  <c r="J58" i="31"/>
  <c r="J59" i="31"/>
  <c r="R59" i="31" s="1"/>
  <c r="J60" i="31"/>
  <c r="R60" i="31" s="1"/>
  <c r="J61" i="31"/>
  <c r="R61" i="31" s="1"/>
  <c r="J62" i="31"/>
  <c r="R62" i="31" s="1"/>
  <c r="J63" i="31"/>
  <c r="R63" i="31" s="1"/>
  <c r="J64" i="31"/>
  <c r="R64" i="31" s="1"/>
  <c r="J65" i="31"/>
  <c r="R65" i="31" s="1"/>
  <c r="J66" i="31"/>
  <c r="J67" i="31"/>
  <c r="J68" i="31"/>
  <c r="J69" i="31"/>
  <c r="J70" i="31"/>
  <c r="J71" i="31"/>
  <c r="J72" i="31"/>
  <c r="J73" i="31"/>
  <c r="J74" i="31"/>
  <c r="J75" i="31"/>
  <c r="R75" i="31" s="1"/>
  <c r="J76" i="31"/>
  <c r="R76" i="31" s="1"/>
  <c r="J77" i="31"/>
  <c r="R77" i="31" s="1"/>
  <c r="J78" i="31"/>
  <c r="R78" i="31" s="1"/>
  <c r="J79" i="31"/>
  <c r="R79" i="31" s="1"/>
  <c r="J80" i="31"/>
  <c r="R80" i="31" s="1"/>
  <c r="J81" i="31"/>
  <c r="R81" i="31" s="1"/>
  <c r="J82" i="31"/>
  <c r="J83" i="31"/>
  <c r="J84" i="31"/>
  <c r="J85" i="31"/>
  <c r="J86" i="31"/>
  <c r="J87" i="31"/>
  <c r="J88" i="31"/>
  <c r="J89" i="31"/>
  <c r="J90" i="31"/>
  <c r="J91" i="31"/>
  <c r="R91" i="31" s="1"/>
  <c r="J92" i="31"/>
  <c r="R92" i="31" s="1"/>
  <c r="J93" i="31"/>
  <c r="R93" i="31" s="1"/>
  <c r="J94" i="31"/>
  <c r="R94" i="31" s="1"/>
  <c r="J95" i="31"/>
  <c r="R95" i="31" s="1"/>
  <c r="J96" i="31"/>
  <c r="R96" i="31" s="1"/>
  <c r="J97" i="31"/>
  <c r="R97" i="31" s="1"/>
  <c r="J98" i="31"/>
  <c r="J99" i="31"/>
  <c r="J100" i="31"/>
  <c r="J101" i="31"/>
  <c r="J102" i="31"/>
  <c r="J103" i="31"/>
  <c r="J104" i="31"/>
  <c r="J105" i="31"/>
  <c r="J106" i="31"/>
  <c r="J107" i="31"/>
  <c r="R107" i="31" s="1"/>
  <c r="J108" i="31"/>
  <c r="R108" i="31" s="1"/>
  <c r="J109" i="31"/>
  <c r="R109" i="31" s="1"/>
  <c r="J110" i="31"/>
  <c r="J122" i="31" s="1"/>
  <c r="J111" i="31"/>
  <c r="J123" i="31" s="1"/>
  <c r="J112" i="31"/>
  <c r="J124" i="31" s="1"/>
  <c r="J113" i="31"/>
  <c r="J125" i="31" s="1"/>
  <c r="J114" i="31"/>
  <c r="J115" i="31"/>
  <c r="J116" i="31"/>
  <c r="J117" i="31"/>
  <c r="J118" i="31"/>
  <c r="J119" i="31"/>
  <c r="J120" i="31"/>
  <c r="J121" i="31"/>
  <c r="J133" i="31" s="1"/>
  <c r="J1" i="31"/>
  <c r="J2" i="27"/>
  <c r="R2" i="27" s="1"/>
  <c r="J3" i="27"/>
  <c r="J4" i="27"/>
  <c r="J5" i="27"/>
  <c r="J6" i="27"/>
  <c r="R6" i="27" s="1"/>
  <c r="J7" i="27"/>
  <c r="R7" i="27" s="1"/>
  <c r="J8" i="27"/>
  <c r="R8" i="27" s="1"/>
  <c r="J9" i="27"/>
  <c r="R9" i="27" s="1"/>
  <c r="J10" i="27"/>
  <c r="R10" i="27" s="1"/>
  <c r="J11" i="27"/>
  <c r="R11" i="27" s="1"/>
  <c r="J12" i="27"/>
  <c r="R12" i="27" s="1"/>
  <c r="J13" i="27"/>
  <c r="R13" i="27" s="1"/>
  <c r="J14" i="27"/>
  <c r="R14" i="27" s="1"/>
  <c r="J15" i="27"/>
  <c r="R15" i="27" s="1"/>
  <c r="J16" i="27"/>
  <c r="R16" i="27" s="1"/>
  <c r="J17" i="27"/>
  <c r="R17" i="27" s="1"/>
  <c r="J18" i="27"/>
  <c r="R18" i="27" s="1"/>
  <c r="J19" i="27"/>
  <c r="R19" i="27" s="1"/>
  <c r="J20" i="27"/>
  <c r="R20" i="27" s="1"/>
  <c r="J21" i="27"/>
  <c r="R21" i="27" s="1"/>
  <c r="J22" i="27"/>
  <c r="R22" i="27" s="1"/>
  <c r="J23" i="27"/>
  <c r="R23" i="27" s="1"/>
  <c r="J24" i="27"/>
  <c r="R24" i="27" s="1"/>
  <c r="J25" i="27"/>
  <c r="R25" i="27" s="1"/>
  <c r="J26" i="27"/>
  <c r="R26" i="27" s="1"/>
  <c r="J27" i="27"/>
  <c r="R27" i="27" s="1"/>
  <c r="J28" i="27"/>
  <c r="R28" i="27" s="1"/>
  <c r="J29" i="27"/>
  <c r="R29" i="27" s="1"/>
  <c r="J30" i="27"/>
  <c r="R30" i="27" s="1"/>
  <c r="J31" i="27"/>
  <c r="R31" i="27" s="1"/>
  <c r="J32" i="27"/>
  <c r="R32" i="27" s="1"/>
  <c r="J33" i="27"/>
  <c r="R33" i="27" s="1"/>
  <c r="J34" i="27"/>
  <c r="J35" i="27"/>
  <c r="J36" i="27"/>
  <c r="J37" i="27"/>
  <c r="J38" i="27"/>
  <c r="J39" i="27"/>
  <c r="J40" i="27"/>
  <c r="R40" i="27" s="1"/>
  <c r="J41" i="27"/>
  <c r="R41" i="27" s="1"/>
  <c r="J42" i="27"/>
  <c r="R42" i="27" s="1"/>
  <c r="J43" i="27"/>
  <c r="R43" i="27" s="1"/>
  <c r="J44" i="27"/>
  <c r="R44" i="27" s="1"/>
  <c r="J45" i="27"/>
  <c r="R45" i="27" s="1"/>
  <c r="J46" i="27"/>
  <c r="R46" i="27" s="1"/>
  <c r="J47" i="27"/>
  <c r="R47" i="27" s="1"/>
  <c r="J48" i="27"/>
  <c r="R48" i="27" s="1"/>
  <c r="J49" i="27"/>
  <c r="R49" i="27" s="1"/>
  <c r="J50" i="27"/>
  <c r="R50" i="27" s="1"/>
  <c r="J51" i="27"/>
  <c r="R51" i="27" s="1"/>
  <c r="J52" i="27"/>
  <c r="R52" i="27" s="1"/>
  <c r="J53" i="27"/>
  <c r="R53" i="27" s="1"/>
  <c r="J54" i="27"/>
  <c r="R54" i="27" s="1"/>
  <c r="J55" i="27"/>
  <c r="R55" i="27" s="1"/>
  <c r="J56" i="27"/>
  <c r="R56" i="27" s="1"/>
  <c r="J57" i="27"/>
  <c r="R57" i="27" s="1"/>
  <c r="J58" i="27"/>
  <c r="R58" i="27" s="1"/>
  <c r="J59" i="27"/>
  <c r="R59" i="27" s="1"/>
  <c r="J60" i="27"/>
  <c r="R60" i="27" s="1"/>
  <c r="J61" i="27"/>
  <c r="R61" i="27" s="1"/>
  <c r="J62" i="27"/>
  <c r="R62" i="27" s="1"/>
  <c r="J63" i="27"/>
  <c r="R63" i="27" s="1"/>
  <c r="J64" i="27"/>
  <c r="R64" i="27" s="1"/>
  <c r="J65" i="27"/>
  <c r="R65" i="27" s="1"/>
  <c r="J66" i="27"/>
  <c r="R66" i="27" s="1"/>
  <c r="J67" i="27"/>
  <c r="R67" i="27" s="1"/>
  <c r="J68" i="27"/>
  <c r="R68" i="27" s="1"/>
  <c r="J69" i="27"/>
  <c r="R69" i="27" s="1"/>
  <c r="J70" i="27"/>
  <c r="R70" i="27" s="1"/>
  <c r="J71" i="27"/>
  <c r="R71" i="27" s="1"/>
  <c r="J72" i="27"/>
  <c r="R72" i="27" s="1"/>
  <c r="J73" i="27"/>
  <c r="R73" i="27" s="1"/>
  <c r="J74" i="27"/>
  <c r="R74" i="27" s="1"/>
  <c r="J75" i="27"/>
  <c r="R75" i="27" s="1"/>
  <c r="J76" i="27"/>
  <c r="R76" i="27" s="1"/>
  <c r="J77" i="27"/>
  <c r="R77" i="27" s="1"/>
  <c r="J78" i="27"/>
  <c r="R78" i="27" s="1"/>
  <c r="J79" i="27"/>
  <c r="R79" i="27" s="1"/>
  <c r="J80" i="27"/>
  <c r="R80" i="27" s="1"/>
  <c r="J81" i="27"/>
  <c r="R81" i="27" s="1"/>
  <c r="J82" i="27"/>
  <c r="J83" i="27"/>
  <c r="R83" i="27" s="1"/>
  <c r="J84" i="27"/>
  <c r="R84" i="27" s="1"/>
  <c r="J85" i="27"/>
  <c r="R85" i="27" s="1"/>
  <c r="J86" i="27"/>
  <c r="R86" i="27" s="1"/>
  <c r="J87" i="27"/>
  <c r="R87" i="27" s="1"/>
  <c r="J88" i="27"/>
  <c r="R88" i="27" s="1"/>
  <c r="J89" i="27"/>
  <c r="R89" i="27" s="1"/>
  <c r="J90" i="27"/>
  <c r="R90" i="27" s="1"/>
  <c r="J91" i="27"/>
  <c r="R91" i="27" s="1"/>
  <c r="J92" i="27"/>
  <c r="R92" i="27" s="1"/>
  <c r="J93" i="27"/>
  <c r="R93" i="27" s="1"/>
  <c r="J94" i="27"/>
  <c r="R94" i="27" s="1"/>
  <c r="J95" i="27"/>
  <c r="R95" i="27" s="1"/>
  <c r="J96" i="27"/>
  <c r="R96" i="27" s="1"/>
  <c r="J97" i="27"/>
  <c r="R97" i="27" s="1"/>
  <c r="J98" i="27"/>
  <c r="R98" i="27" s="1"/>
  <c r="J99" i="27"/>
  <c r="R99" i="27" s="1"/>
  <c r="J100" i="27"/>
  <c r="R100" i="27" s="1"/>
  <c r="J101" i="27"/>
  <c r="R101" i="27" s="1"/>
  <c r="J102" i="27"/>
  <c r="R102" i="27" s="1"/>
  <c r="J103" i="27"/>
  <c r="R103" i="27" s="1"/>
  <c r="J104" i="27"/>
  <c r="R104" i="27" s="1"/>
  <c r="J105" i="27"/>
  <c r="R105" i="27" s="1"/>
  <c r="J106" i="27"/>
  <c r="R106" i="27" s="1"/>
  <c r="J107" i="27"/>
  <c r="R107" i="27" s="1"/>
  <c r="J108" i="27"/>
  <c r="R108" i="27" s="1"/>
  <c r="J109" i="27"/>
  <c r="R109" i="27" s="1"/>
  <c r="J110" i="27"/>
  <c r="R110" i="27" s="1"/>
  <c r="J111" i="27"/>
  <c r="R111" i="27" s="1"/>
  <c r="J112" i="27"/>
  <c r="R112" i="27" s="1"/>
  <c r="J113" i="27"/>
  <c r="R113" i="27" s="1"/>
  <c r="J114" i="27"/>
  <c r="J115" i="27"/>
  <c r="J116" i="27"/>
  <c r="J117" i="27"/>
  <c r="R117" i="27" s="1"/>
  <c r="J118" i="27"/>
  <c r="R118" i="27" s="1"/>
  <c r="J119" i="27"/>
  <c r="R119" i="27" s="1"/>
  <c r="J120" i="27"/>
  <c r="R120" i="27" s="1"/>
  <c r="J121" i="27"/>
  <c r="R121" i="27" s="1"/>
  <c r="J1" i="27"/>
  <c r="O4" i="6"/>
  <c r="R5" i="6"/>
  <c r="N6" i="6"/>
  <c r="O6" i="6"/>
  <c r="P6" i="6"/>
  <c r="R8" i="6"/>
  <c r="M50" i="17"/>
  <c r="X49" i="17"/>
  <c r="M49" i="17"/>
  <c r="B49" i="17"/>
  <c r="N1" i="43"/>
  <c r="O1" i="43"/>
  <c r="G2" i="43"/>
  <c r="H2" i="43"/>
  <c r="G3" i="43"/>
  <c r="H3" i="43"/>
  <c r="G4" i="43"/>
  <c r="H4" i="43"/>
  <c r="G5" i="43"/>
  <c r="H5" i="43"/>
  <c r="G6" i="43"/>
  <c r="H6" i="43"/>
  <c r="G7" i="43"/>
  <c r="H7" i="43"/>
  <c r="G8" i="43"/>
  <c r="H8" i="43"/>
  <c r="G9" i="43"/>
  <c r="H9" i="43"/>
  <c r="G10" i="43"/>
  <c r="H10" i="43"/>
  <c r="G11" i="43"/>
  <c r="H11" i="43"/>
  <c r="G12" i="43"/>
  <c r="H12" i="43"/>
  <c r="G13" i="43"/>
  <c r="H13" i="43"/>
  <c r="G14" i="43"/>
  <c r="H14" i="43"/>
  <c r="G15" i="43"/>
  <c r="H15" i="43"/>
  <c r="G16" i="43"/>
  <c r="H16" i="43"/>
  <c r="G17" i="43"/>
  <c r="H17" i="43"/>
  <c r="G18" i="43"/>
  <c r="H18" i="43"/>
  <c r="G19" i="43"/>
  <c r="H19" i="43"/>
  <c r="G20" i="43"/>
  <c r="H20" i="43"/>
  <c r="G21" i="43"/>
  <c r="H21" i="43"/>
  <c r="G22" i="43"/>
  <c r="H22" i="43"/>
  <c r="G23" i="43"/>
  <c r="H23" i="43"/>
  <c r="G24" i="43"/>
  <c r="H24" i="43"/>
  <c r="G25" i="43"/>
  <c r="H25" i="43"/>
  <c r="G26" i="43"/>
  <c r="H26" i="43"/>
  <c r="G27" i="43"/>
  <c r="H27" i="43"/>
  <c r="G28" i="43"/>
  <c r="H28" i="43"/>
  <c r="G29" i="43"/>
  <c r="H29" i="43"/>
  <c r="G30" i="43"/>
  <c r="H30" i="43"/>
  <c r="G31" i="43"/>
  <c r="H31" i="43"/>
  <c r="G32" i="43"/>
  <c r="H32" i="43"/>
  <c r="G33" i="43"/>
  <c r="H33" i="43"/>
  <c r="G34" i="43"/>
  <c r="H34" i="43"/>
  <c r="G35" i="43"/>
  <c r="H35" i="43"/>
  <c r="G36" i="43"/>
  <c r="H36" i="43"/>
  <c r="G37" i="43"/>
  <c r="H37" i="43"/>
  <c r="G38" i="43"/>
  <c r="H38" i="43"/>
  <c r="G39" i="43"/>
  <c r="H39" i="43"/>
  <c r="G40" i="43"/>
  <c r="H40" i="43"/>
  <c r="G41" i="43"/>
  <c r="H41" i="43"/>
  <c r="G42" i="43"/>
  <c r="H42" i="43"/>
  <c r="G43" i="43"/>
  <c r="H43" i="43"/>
  <c r="G44" i="43"/>
  <c r="H44" i="43"/>
  <c r="G45" i="43"/>
  <c r="H45" i="43"/>
  <c r="G46" i="43"/>
  <c r="H46" i="43"/>
  <c r="G47" i="43"/>
  <c r="H47" i="43"/>
  <c r="G48" i="43"/>
  <c r="H48" i="43"/>
  <c r="G49" i="43"/>
  <c r="H49" i="43"/>
  <c r="G50" i="43"/>
  <c r="H50" i="43"/>
  <c r="G51" i="43"/>
  <c r="H51" i="43"/>
  <c r="G52" i="43"/>
  <c r="H52" i="43"/>
  <c r="G53" i="43"/>
  <c r="H53" i="43"/>
  <c r="G54" i="43"/>
  <c r="H54" i="43"/>
  <c r="G55" i="43"/>
  <c r="H55" i="43"/>
  <c r="G56" i="43"/>
  <c r="H56" i="43"/>
  <c r="G57" i="43"/>
  <c r="H57" i="43"/>
  <c r="G58" i="43"/>
  <c r="H58" i="43"/>
  <c r="G59" i="43"/>
  <c r="H59" i="43"/>
  <c r="G60" i="43"/>
  <c r="H60" i="43"/>
  <c r="G61" i="43"/>
  <c r="H61" i="43"/>
  <c r="G62" i="43"/>
  <c r="H62" i="43"/>
  <c r="G63" i="43"/>
  <c r="H63" i="43"/>
  <c r="G64" i="43"/>
  <c r="H64" i="43"/>
  <c r="G65" i="43"/>
  <c r="H65" i="43"/>
  <c r="G66" i="43"/>
  <c r="H66" i="43"/>
  <c r="G67" i="43"/>
  <c r="H67" i="43"/>
  <c r="G68" i="43"/>
  <c r="H68" i="43"/>
  <c r="G69" i="43"/>
  <c r="H69" i="43"/>
  <c r="G70" i="43"/>
  <c r="H70" i="43"/>
  <c r="G71" i="43"/>
  <c r="H71" i="43"/>
  <c r="G72" i="43"/>
  <c r="H72" i="43"/>
  <c r="G73" i="43"/>
  <c r="H73" i="43"/>
  <c r="G74" i="43"/>
  <c r="H74" i="43"/>
  <c r="G75" i="43"/>
  <c r="H75" i="43"/>
  <c r="G76" i="43"/>
  <c r="H76" i="43"/>
  <c r="G77" i="43"/>
  <c r="H77" i="43"/>
  <c r="G78" i="43"/>
  <c r="H78" i="43"/>
  <c r="G79" i="43"/>
  <c r="H79" i="43"/>
  <c r="G80" i="43"/>
  <c r="H80" i="43"/>
  <c r="G81" i="43"/>
  <c r="H81" i="43"/>
  <c r="G82" i="43"/>
  <c r="H82" i="43"/>
  <c r="G83" i="43"/>
  <c r="H83" i="43"/>
  <c r="G84" i="43"/>
  <c r="H84" i="43"/>
  <c r="G85" i="43"/>
  <c r="H85" i="43"/>
  <c r="G86" i="43"/>
  <c r="H86" i="43"/>
  <c r="G87" i="43"/>
  <c r="H87" i="43"/>
  <c r="G88" i="43"/>
  <c r="H88" i="43"/>
  <c r="G89" i="43"/>
  <c r="H89" i="43"/>
  <c r="G90" i="43"/>
  <c r="H90" i="43"/>
  <c r="G91" i="43"/>
  <c r="H91" i="43"/>
  <c r="G92" i="43"/>
  <c r="H92" i="43"/>
  <c r="G93" i="43"/>
  <c r="H93" i="43"/>
  <c r="G94" i="43"/>
  <c r="H94" i="43"/>
  <c r="G95" i="43"/>
  <c r="H95" i="43"/>
  <c r="G96" i="43"/>
  <c r="H96" i="43"/>
  <c r="G97" i="43"/>
  <c r="H97" i="43"/>
  <c r="G98" i="43"/>
  <c r="H98" i="43"/>
  <c r="G99" i="43"/>
  <c r="H99" i="43"/>
  <c r="G100" i="43"/>
  <c r="H100" i="43"/>
  <c r="G101" i="43"/>
  <c r="H101" i="43"/>
  <c r="G102" i="43"/>
  <c r="H102" i="43"/>
  <c r="G103" i="43"/>
  <c r="H103" i="43"/>
  <c r="G104" i="43"/>
  <c r="H104" i="43"/>
  <c r="G105" i="43"/>
  <c r="H105" i="43"/>
  <c r="G106" i="43"/>
  <c r="H106" i="43"/>
  <c r="G107" i="43"/>
  <c r="H107" i="43"/>
  <c r="G108" i="43"/>
  <c r="H108" i="43"/>
  <c r="G109" i="43"/>
  <c r="H109" i="43"/>
  <c r="G110" i="43"/>
  <c r="H110" i="43"/>
  <c r="G111" i="43"/>
  <c r="H111" i="43"/>
  <c r="G112" i="43"/>
  <c r="H112" i="43"/>
  <c r="G113" i="43"/>
  <c r="H113" i="43"/>
  <c r="G114" i="43"/>
  <c r="H114" i="43"/>
  <c r="G115" i="43"/>
  <c r="H115" i="43"/>
  <c r="G116" i="43"/>
  <c r="H116" i="43"/>
  <c r="G117" i="43"/>
  <c r="H117" i="43"/>
  <c r="G118" i="43"/>
  <c r="H118" i="43"/>
  <c r="G119" i="43"/>
  <c r="H119" i="43"/>
  <c r="G120" i="43"/>
  <c r="H120" i="43"/>
  <c r="G121" i="43"/>
  <c r="H121" i="43"/>
  <c r="G122" i="43"/>
  <c r="H122" i="43"/>
  <c r="G123" i="43"/>
  <c r="H123" i="43"/>
  <c r="G124" i="43"/>
  <c r="H124" i="43"/>
  <c r="G125" i="43"/>
  <c r="H125" i="43"/>
  <c r="G126" i="43"/>
  <c r="H126" i="43"/>
  <c r="G127" i="43"/>
  <c r="H127" i="43"/>
  <c r="G128" i="43"/>
  <c r="H128" i="43"/>
  <c r="G129" i="43"/>
  <c r="H129" i="43"/>
  <c r="G130" i="43"/>
  <c r="H130" i="43"/>
  <c r="G131" i="43"/>
  <c r="H131" i="43"/>
  <c r="G132" i="43"/>
  <c r="H132" i="43"/>
  <c r="G133" i="43"/>
  <c r="H133" i="43"/>
  <c r="G134" i="43"/>
  <c r="H134" i="43"/>
  <c r="G135" i="43"/>
  <c r="H135" i="43"/>
  <c r="G136" i="43"/>
  <c r="H136" i="43"/>
  <c r="G137" i="43"/>
  <c r="H137" i="43"/>
  <c r="G138" i="43"/>
  <c r="H138" i="43"/>
  <c r="G139" i="43"/>
  <c r="H139" i="43"/>
  <c r="G140" i="43"/>
  <c r="H140" i="43"/>
  <c r="G141" i="43"/>
  <c r="H141" i="43"/>
  <c r="G142" i="43"/>
  <c r="H142" i="43"/>
  <c r="G143" i="43"/>
  <c r="H143" i="43"/>
  <c r="G144" i="43"/>
  <c r="H144" i="43"/>
  <c r="G145" i="43"/>
  <c r="H145" i="43"/>
  <c r="H1" i="43"/>
  <c r="G1" i="43"/>
  <c r="O1" i="44"/>
  <c r="P1" i="44"/>
  <c r="G2" i="44"/>
  <c r="H2" i="44"/>
  <c r="G3" i="44"/>
  <c r="H3" i="44"/>
  <c r="G4" i="44"/>
  <c r="H4" i="44"/>
  <c r="G5" i="44"/>
  <c r="H5" i="44"/>
  <c r="G6" i="44"/>
  <c r="H6" i="44"/>
  <c r="G7" i="44"/>
  <c r="H7" i="44"/>
  <c r="G8" i="44"/>
  <c r="H8" i="44"/>
  <c r="G9" i="44"/>
  <c r="H9" i="44"/>
  <c r="G10" i="44"/>
  <c r="H10" i="44"/>
  <c r="G11" i="44"/>
  <c r="H11" i="44"/>
  <c r="G12" i="44"/>
  <c r="H12" i="44"/>
  <c r="G13" i="44"/>
  <c r="H13" i="44"/>
  <c r="G14" i="44"/>
  <c r="H14" i="44"/>
  <c r="G15" i="44"/>
  <c r="H15" i="44"/>
  <c r="G16" i="44"/>
  <c r="H16" i="44"/>
  <c r="G17" i="44"/>
  <c r="H17" i="44"/>
  <c r="G18" i="44"/>
  <c r="H18" i="44"/>
  <c r="G19" i="44"/>
  <c r="H19" i="44"/>
  <c r="G20" i="44"/>
  <c r="H20" i="44"/>
  <c r="G21" i="44"/>
  <c r="H21" i="44"/>
  <c r="G22" i="44"/>
  <c r="H22" i="44"/>
  <c r="G23" i="44"/>
  <c r="H23" i="44"/>
  <c r="G24" i="44"/>
  <c r="H24" i="44"/>
  <c r="G25" i="44"/>
  <c r="H25" i="44"/>
  <c r="G26" i="44"/>
  <c r="H26" i="44"/>
  <c r="G27" i="44"/>
  <c r="H27" i="44"/>
  <c r="G28" i="44"/>
  <c r="H28" i="44"/>
  <c r="G29" i="44"/>
  <c r="H29" i="44"/>
  <c r="G30" i="44"/>
  <c r="H30" i="44"/>
  <c r="G31" i="44"/>
  <c r="H31" i="44"/>
  <c r="G32" i="44"/>
  <c r="H32" i="44"/>
  <c r="G33" i="44"/>
  <c r="H33" i="44"/>
  <c r="G34" i="44"/>
  <c r="H34" i="44"/>
  <c r="G35" i="44"/>
  <c r="H35" i="44"/>
  <c r="G36" i="44"/>
  <c r="H36" i="44"/>
  <c r="G37" i="44"/>
  <c r="H37" i="44"/>
  <c r="G38" i="44"/>
  <c r="H38" i="44"/>
  <c r="G39" i="44"/>
  <c r="H39" i="44"/>
  <c r="G40" i="44"/>
  <c r="H40" i="44"/>
  <c r="G41" i="44"/>
  <c r="H41" i="44"/>
  <c r="G42" i="44"/>
  <c r="H42" i="44"/>
  <c r="G43" i="44"/>
  <c r="H43" i="44"/>
  <c r="G44" i="44"/>
  <c r="H44" i="44"/>
  <c r="G45" i="44"/>
  <c r="H45" i="44"/>
  <c r="G46" i="44"/>
  <c r="H46" i="44"/>
  <c r="G47" i="44"/>
  <c r="H47" i="44"/>
  <c r="G48" i="44"/>
  <c r="H48" i="44"/>
  <c r="G49" i="44"/>
  <c r="H49" i="44"/>
  <c r="G50" i="44"/>
  <c r="H50" i="44"/>
  <c r="G51" i="44"/>
  <c r="H51" i="44"/>
  <c r="G52" i="44"/>
  <c r="H52" i="44"/>
  <c r="G53" i="44"/>
  <c r="H53" i="44"/>
  <c r="G54" i="44"/>
  <c r="H54" i="44"/>
  <c r="G55" i="44"/>
  <c r="H55" i="44"/>
  <c r="G56" i="44"/>
  <c r="H56" i="44"/>
  <c r="G57" i="44"/>
  <c r="H57" i="44"/>
  <c r="G58" i="44"/>
  <c r="H58" i="44"/>
  <c r="G59" i="44"/>
  <c r="H59" i="44"/>
  <c r="G60" i="44"/>
  <c r="H60" i="44"/>
  <c r="G61" i="44"/>
  <c r="H61" i="44"/>
  <c r="G62" i="44"/>
  <c r="H62" i="44"/>
  <c r="G63" i="44"/>
  <c r="H63" i="44"/>
  <c r="G64" i="44"/>
  <c r="H64" i="44"/>
  <c r="G65" i="44"/>
  <c r="H65" i="44"/>
  <c r="G66" i="44"/>
  <c r="H66" i="44"/>
  <c r="G67" i="44"/>
  <c r="H67" i="44"/>
  <c r="G68" i="44"/>
  <c r="H68" i="44"/>
  <c r="G69" i="44"/>
  <c r="H69" i="44"/>
  <c r="G70" i="44"/>
  <c r="H70" i="44"/>
  <c r="G71" i="44"/>
  <c r="H71" i="44"/>
  <c r="G72" i="44"/>
  <c r="H72" i="44"/>
  <c r="G73" i="44"/>
  <c r="H73" i="44"/>
  <c r="G74" i="44"/>
  <c r="H74" i="44"/>
  <c r="G75" i="44"/>
  <c r="H75" i="44"/>
  <c r="G76" i="44"/>
  <c r="H76" i="44"/>
  <c r="G77" i="44"/>
  <c r="H77" i="44"/>
  <c r="G78" i="44"/>
  <c r="H78" i="44"/>
  <c r="G79" i="44"/>
  <c r="H79" i="44"/>
  <c r="G80" i="44"/>
  <c r="H80" i="44"/>
  <c r="G81" i="44"/>
  <c r="H81" i="44"/>
  <c r="G82" i="44"/>
  <c r="H82" i="44"/>
  <c r="G83" i="44"/>
  <c r="H83" i="44"/>
  <c r="G84" i="44"/>
  <c r="H84" i="44"/>
  <c r="G85" i="44"/>
  <c r="H85" i="44"/>
  <c r="G86" i="44"/>
  <c r="H86" i="44"/>
  <c r="G87" i="44"/>
  <c r="H87" i="44"/>
  <c r="G88" i="44"/>
  <c r="H88" i="44"/>
  <c r="G89" i="44"/>
  <c r="H89" i="44"/>
  <c r="G90" i="44"/>
  <c r="H90" i="44"/>
  <c r="G91" i="44"/>
  <c r="H91" i="44"/>
  <c r="G92" i="44"/>
  <c r="H92" i="44"/>
  <c r="G93" i="44"/>
  <c r="H93" i="44"/>
  <c r="G94" i="44"/>
  <c r="H94" i="44"/>
  <c r="G95" i="44"/>
  <c r="H95" i="44"/>
  <c r="G96" i="44"/>
  <c r="H96" i="44"/>
  <c r="G97" i="44"/>
  <c r="H97" i="44"/>
  <c r="G98" i="44"/>
  <c r="H98" i="44"/>
  <c r="G99" i="44"/>
  <c r="H99" i="44"/>
  <c r="G100" i="44"/>
  <c r="H100" i="44"/>
  <c r="G101" i="44"/>
  <c r="H101" i="44"/>
  <c r="G102" i="44"/>
  <c r="H102" i="44"/>
  <c r="G103" i="44"/>
  <c r="H103" i="44"/>
  <c r="G104" i="44"/>
  <c r="H104" i="44"/>
  <c r="G105" i="44"/>
  <c r="H105" i="44"/>
  <c r="G106" i="44"/>
  <c r="H106" i="44"/>
  <c r="G107" i="44"/>
  <c r="H107" i="44"/>
  <c r="G108" i="44"/>
  <c r="H108" i="44"/>
  <c r="G109" i="44"/>
  <c r="H109" i="44"/>
  <c r="G110" i="44"/>
  <c r="H110" i="44"/>
  <c r="G111" i="44"/>
  <c r="H111" i="44"/>
  <c r="G112" i="44"/>
  <c r="H112" i="44"/>
  <c r="G113" i="44"/>
  <c r="H113" i="44"/>
  <c r="G114" i="44"/>
  <c r="H114" i="44"/>
  <c r="G115" i="44"/>
  <c r="H115" i="44"/>
  <c r="G116" i="44"/>
  <c r="H116" i="44"/>
  <c r="G117" i="44"/>
  <c r="H117" i="44"/>
  <c r="G118" i="44"/>
  <c r="H118" i="44"/>
  <c r="G119" i="44"/>
  <c r="H119" i="44"/>
  <c r="G120" i="44"/>
  <c r="H120" i="44"/>
  <c r="G121" i="44"/>
  <c r="H121" i="44"/>
  <c r="G122" i="44"/>
  <c r="H122" i="44"/>
  <c r="G123" i="44"/>
  <c r="H123" i="44"/>
  <c r="G124" i="44"/>
  <c r="H124" i="44"/>
  <c r="G125" i="44"/>
  <c r="H125" i="44"/>
  <c r="G126" i="44"/>
  <c r="H126" i="44"/>
  <c r="G127" i="44"/>
  <c r="H127" i="44"/>
  <c r="G128" i="44"/>
  <c r="H128" i="44"/>
  <c r="G129" i="44"/>
  <c r="H129" i="44"/>
  <c r="G130" i="44"/>
  <c r="H130" i="44"/>
  <c r="G131" i="44"/>
  <c r="H131" i="44"/>
  <c r="G132" i="44"/>
  <c r="H132" i="44"/>
  <c r="G133" i="44"/>
  <c r="H133" i="44"/>
  <c r="G134" i="44"/>
  <c r="H134" i="44"/>
  <c r="G135" i="44"/>
  <c r="H135" i="44"/>
  <c r="G136" i="44"/>
  <c r="H136" i="44"/>
  <c r="G137" i="44"/>
  <c r="H137" i="44"/>
  <c r="G138" i="44"/>
  <c r="H138" i="44"/>
  <c r="G139" i="44"/>
  <c r="H139" i="44"/>
  <c r="G140" i="44"/>
  <c r="H140" i="44"/>
  <c r="G141" i="44"/>
  <c r="H141" i="44"/>
  <c r="G142" i="44"/>
  <c r="H142" i="44"/>
  <c r="G143" i="44"/>
  <c r="H143" i="44"/>
  <c r="G144" i="44"/>
  <c r="H144" i="44"/>
  <c r="G145" i="44"/>
  <c r="H145" i="44"/>
  <c r="H1" i="44"/>
  <c r="G1" i="44"/>
  <c r="Q1" i="45"/>
  <c r="G2" i="45"/>
  <c r="H2" i="45"/>
  <c r="G3" i="45"/>
  <c r="H3" i="45"/>
  <c r="G4" i="45"/>
  <c r="H4" i="45"/>
  <c r="G5" i="45"/>
  <c r="H5" i="45"/>
  <c r="G6" i="45"/>
  <c r="H6" i="45"/>
  <c r="G7" i="45"/>
  <c r="H7" i="45"/>
  <c r="G8" i="45"/>
  <c r="H8" i="45"/>
  <c r="G9" i="45"/>
  <c r="H9" i="45"/>
  <c r="G10" i="45"/>
  <c r="H10" i="45"/>
  <c r="G11" i="45"/>
  <c r="H11" i="45"/>
  <c r="G12" i="45"/>
  <c r="H12" i="45"/>
  <c r="G13" i="45"/>
  <c r="H13" i="45"/>
  <c r="G14" i="45"/>
  <c r="H14" i="45"/>
  <c r="G15" i="45"/>
  <c r="H15" i="45"/>
  <c r="G16" i="45"/>
  <c r="H16" i="45"/>
  <c r="G17" i="45"/>
  <c r="H17" i="45"/>
  <c r="G18" i="45"/>
  <c r="H18" i="45"/>
  <c r="G19" i="45"/>
  <c r="H19" i="45"/>
  <c r="G20" i="45"/>
  <c r="H20" i="45"/>
  <c r="G21" i="45"/>
  <c r="H21" i="45"/>
  <c r="G22" i="45"/>
  <c r="H22" i="45"/>
  <c r="G23" i="45"/>
  <c r="H23" i="45"/>
  <c r="G24" i="45"/>
  <c r="H24" i="45"/>
  <c r="G25" i="45"/>
  <c r="H25" i="45"/>
  <c r="G26" i="45"/>
  <c r="H26" i="45"/>
  <c r="G27" i="45"/>
  <c r="H27" i="45"/>
  <c r="G28" i="45"/>
  <c r="H28" i="45"/>
  <c r="G29" i="45"/>
  <c r="H29" i="45"/>
  <c r="G30" i="45"/>
  <c r="H30" i="45"/>
  <c r="G31" i="45"/>
  <c r="H31" i="45"/>
  <c r="G32" i="45"/>
  <c r="H32" i="45"/>
  <c r="G33" i="45"/>
  <c r="H33" i="45"/>
  <c r="G34" i="45"/>
  <c r="H34" i="45"/>
  <c r="G35" i="45"/>
  <c r="H35" i="45"/>
  <c r="G36" i="45"/>
  <c r="H36" i="45"/>
  <c r="G37" i="45"/>
  <c r="H37" i="45"/>
  <c r="G38" i="45"/>
  <c r="H38" i="45"/>
  <c r="G39" i="45"/>
  <c r="H39" i="45"/>
  <c r="G40" i="45"/>
  <c r="H40" i="45"/>
  <c r="G41" i="45"/>
  <c r="H41" i="45"/>
  <c r="G42" i="45"/>
  <c r="H42" i="45"/>
  <c r="G43" i="45"/>
  <c r="H43" i="45"/>
  <c r="G44" i="45"/>
  <c r="H44" i="45"/>
  <c r="G45" i="45"/>
  <c r="H45" i="45"/>
  <c r="G46" i="45"/>
  <c r="H46" i="45"/>
  <c r="G47" i="45"/>
  <c r="H47" i="45"/>
  <c r="G48" i="45"/>
  <c r="H48" i="45"/>
  <c r="G49" i="45"/>
  <c r="H49" i="45"/>
  <c r="G50" i="45"/>
  <c r="H50" i="45"/>
  <c r="G51" i="45"/>
  <c r="H51" i="45"/>
  <c r="G52" i="45"/>
  <c r="H52" i="45"/>
  <c r="G53" i="45"/>
  <c r="H53" i="45"/>
  <c r="G54" i="45"/>
  <c r="H54" i="45"/>
  <c r="G55" i="45"/>
  <c r="H55" i="45"/>
  <c r="G56" i="45"/>
  <c r="H56" i="45"/>
  <c r="G57" i="45"/>
  <c r="H57" i="45"/>
  <c r="G58" i="45"/>
  <c r="H58" i="45"/>
  <c r="G59" i="45"/>
  <c r="H59" i="45"/>
  <c r="G60" i="45"/>
  <c r="H60" i="45"/>
  <c r="G61" i="45"/>
  <c r="H61" i="45"/>
  <c r="G62" i="45"/>
  <c r="H62" i="45"/>
  <c r="G63" i="45"/>
  <c r="H63" i="45"/>
  <c r="G64" i="45"/>
  <c r="H64" i="45"/>
  <c r="G65" i="45"/>
  <c r="H65" i="45"/>
  <c r="G66" i="45"/>
  <c r="H66" i="45"/>
  <c r="G67" i="45"/>
  <c r="H67" i="45"/>
  <c r="G68" i="45"/>
  <c r="H68" i="45"/>
  <c r="G69" i="45"/>
  <c r="H69" i="45"/>
  <c r="G70" i="45"/>
  <c r="H70" i="45"/>
  <c r="G71" i="45"/>
  <c r="H71" i="45"/>
  <c r="G72" i="45"/>
  <c r="H72" i="45"/>
  <c r="G73" i="45"/>
  <c r="H73" i="45"/>
  <c r="G74" i="45"/>
  <c r="H74" i="45"/>
  <c r="G75" i="45"/>
  <c r="H75" i="45"/>
  <c r="G76" i="45"/>
  <c r="H76" i="45"/>
  <c r="G77" i="45"/>
  <c r="H77" i="45"/>
  <c r="G78" i="45"/>
  <c r="H78" i="45"/>
  <c r="G79" i="45"/>
  <c r="H79" i="45"/>
  <c r="G80" i="45"/>
  <c r="H80" i="45"/>
  <c r="G81" i="45"/>
  <c r="H81" i="45"/>
  <c r="G82" i="45"/>
  <c r="H82" i="45"/>
  <c r="G83" i="45"/>
  <c r="H83" i="45"/>
  <c r="G84" i="45"/>
  <c r="H84" i="45"/>
  <c r="G85" i="45"/>
  <c r="H85" i="45"/>
  <c r="G86" i="45"/>
  <c r="H86" i="45"/>
  <c r="G87" i="45"/>
  <c r="H87" i="45"/>
  <c r="G88" i="45"/>
  <c r="H88" i="45"/>
  <c r="G89" i="45"/>
  <c r="H89" i="45"/>
  <c r="G90" i="45"/>
  <c r="H90" i="45"/>
  <c r="G91" i="45"/>
  <c r="H91" i="45"/>
  <c r="G92" i="45"/>
  <c r="H92" i="45"/>
  <c r="G93" i="45"/>
  <c r="H93" i="45"/>
  <c r="G94" i="45"/>
  <c r="H94" i="45"/>
  <c r="G95" i="45"/>
  <c r="H95" i="45"/>
  <c r="G96" i="45"/>
  <c r="H96" i="45"/>
  <c r="G97" i="45"/>
  <c r="H97" i="45"/>
  <c r="G98" i="45"/>
  <c r="H98" i="45"/>
  <c r="G99" i="45"/>
  <c r="H99" i="45"/>
  <c r="G100" i="45"/>
  <c r="H100" i="45"/>
  <c r="G101" i="45"/>
  <c r="H101" i="45"/>
  <c r="G102" i="45"/>
  <c r="H102" i="45"/>
  <c r="G103" i="45"/>
  <c r="H103" i="45"/>
  <c r="G104" i="45"/>
  <c r="H104" i="45"/>
  <c r="G105" i="45"/>
  <c r="H105" i="45"/>
  <c r="G106" i="45"/>
  <c r="H106" i="45"/>
  <c r="G107" i="45"/>
  <c r="H107" i="45"/>
  <c r="G108" i="45"/>
  <c r="H108" i="45"/>
  <c r="G109" i="45"/>
  <c r="H109" i="45"/>
  <c r="G110" i="45"/>
  <c r="H110" i="45"/>
  <c r="G111" i="45"/>
  <c r="H111" i="45"/>
  <c r="G112" i="45"/>
  <c r="H112" i="45"/>
  <c r="G113" i="45"/>
  <c r="H113" i="45"/>
  <c r="G114" i="45"/>
  <c r="H114" i="45"/>
  <c r="G115" i="45"/>
  <c r="H115" i="45"/>
  <c r="G116" i="45"/>
  <c r="H116" i="45"/>
  <c r="G117" i="45"/>
  <c r="H117" i="45"/>
  <c r="G118" i="45"/>
  <c r="H118" i="45"/>
  <c r="G119" i="45"/>
  <c r="H119" i="45"/>
  <c r="G120" i="45"/>
  <c r="H120" i="45"/>
  <c r="G121" i="45"/>
  <c r="H121" i="45"/>
  <c r="G122" i="45"/>
  <c r="H122" i="45"/>
  <c r="G123" i="45"/>
  <c r="H123" i="45"/>
  <c r="G124" i="45"/>
  <c r="H124" i="45"/>
  <c r="G125" i="45"/>
  <c r="H125" i="45"/>
  <c r="G126" i="45"/>
  <c r="H126" i="45"/>
  <c r="G127" i="45"/>
  <c r="H127" i="45"/>
  <c r="G128" i="45"/>
  <c r="H128" i="45"/>
  <c r="G129" i="45"/>
  <c r="H129" i="45"/>
  <c r="G130" i="45"/>
  <c r="H130" i="45"/>
  <c r="G131" i="45"/>
  <c r="H131" i="45"/>
  <c r="G132" i="45"/>
  <c r="H132" i="45"/>
  <c r="G133" i="45"/>
  <c r="H133" i="45"/>
  <c r="G134" i="45"/>
  <c r="H134" i="45"/>
  <c r="G135" i="45"/>
  <c r="H135" i="45"/>
  <c r="G136" i="45"/>
  <c r="H136" i="45"/>
  <c r="G137" i="45"/>
  <c r="H137" i="45"/>
  <c r="G138" i="45"/>
  <c r="H138" i="45"/>
  <c r="G139" i="45"/>
  <c r="H139" i="45"/>
  <c r="G140" i="45"/>
  <c r="H140" i="45"/>
  <c r="G141" i="45"/>
  <c r="H141" i="45"/>
  <c r="G142" i="45"/>
  <c r="H142" i="45"/>
  <c r="G143" i="45"/>
  <c r="H143" i="45"/>
  <c r="G144" i="45"/>
  <c r="H144" i="45"/>
  <c r="G145" i="45"/>
  <c r="H145" i="45"/>
  <c r="H1" i="45"/>
  <c r="G1" i="45"/>
  <c r="P1" i="45" s="1"/>
  <c r="O145" i="45"/>
  <c r="K145" i="45"/>
  <c r="T145" i="45" s="1"/>
  <c r="O144" i="45"/>
  <c r="K144" i="45"/>
  <c r="T144" i="45" s="1"/>
  <c r="S143" i="45"/>
  <c r="O143" i="45"/>
  <c r="K143" i="45"/>
  <c r="T143" i="45" s="1"/>
  <c r="O142" i="45"/>
  <c r="K142" i="45"/>
  <c r="T142" i="45" s="1"/>
  <c r="O141" i="45"/>
  <c r="K141" i="45"/>
  <c r="T141" i="45" s="1"/>
  <c r="O140" i="45"/>
  <c r="K140" i="45"/>
  <c r="T140" i="45" s="1"/>
  <c r="O139" i="45"/>
  <c r="M139" i="45"/>
  <c r="V139" i="45" s="1"/>
  <c r="K139" i="45"/>
  <c r="T139" i="45" s="1"/>
  <c r="O138" i="45"/>
  <c r="K138" i="45"/>
  <c r="T138" i="45" s="1"/>
  <c r="J138" i="45"/>
  <c r="S138" i="45" s="1"/>
  <c r="O137" i="45"/>
  <c r="K137" i="45"/>
  <c r="T137" i="45" s="1"/>
  <c r="O136" i="45"/>
  <c r="K136" i="45"/>
  <c r="T136" i="45" s="1"/>
  <c r="O135" i="45"/>
  <c r="K135" i="45"/>
  <c r="T135" i="45" s="1"/>
  <c r="O134" i="45"/>
  <c r="K134" i="45"/>
  <c r="T134" i="45" s="1"/>
  <c r="J134" i="45"/>
  <c r="S134" i="45" s="1"/>
  <c r="O133" i="45"/>
  <c r="K133" i="45"/>
  <c r="T133" i="45" s="1"/>
  <c r="O132" i="45"/>
  <c r="K132" i="45"/>
  <c r="T132" i="45" s="1"/>
  <c r="O131" i="45"/>
  <c r="K131" i="45"/>
  <c r="T131" i="45" s="1"/>
  <c r="J131" i="45"/>
  <c r="S131" i="45" s="1"/>
  <c r="O130" i="45"/>
  <c r="L130" i="45"/>
  <c r="U130" i="45" s="1"/>
  <c r="K130" i="45"/>
  <c r="T130" i="45" s="1"/>
  <c r="O129" i="45"/>
  <c r="L129" i="45"/>
  <c r="U129" i="45" s="1"/>
  <c r="K129" i="45"/>
  <c r="T129" i="45" s="1"/>
  <c r="O128" i="45"/>
  <c r="L128" i="45"/>
  <c r="U128" i="45" s="1"/>
  <c r="K128" i="45"/>
  <c r="T128" i="45" s="1"/>
  <c r="O127" i="45"/>
  <c r="L127" i="45"/>
  <c r="U127" i="45" s="1"/>
  <c r="K127" i="45"/>
  <c r="T127" i="45" s="1"/>
  <c r="O126" i="45"/>
  <c r="L126" i="45"/>
  <c r="U126" i="45" s="1"/>
  <c r="K126" i="45"/>
  <c r="T126" i="45" s="1"/>
  <c r="O125" i="45"/>
  <c r="L125" i="45"/>
  <c r="U125" i="45" s="1"/>
  <c r="K125" i="45"/>
  <c r="T125" i="45" s="1"/>
  <c r="O124" i="45"/>
  <c r="L124" i="45"/>
  <c r="U124" i="45" s="1"/>
  <c r="K124" i="45"/>
  <c r="T124" i="45" s="1"/>
  <c r="O123" i="45"/>
  <c r="M123" i="45"/>
  <c r="V123" i="45" s="1"/>
  <c r="L123" i="45"/>
  <c r="U123" i="45" s="1"/>
  <c r="K123" i="45"/>
  <c r="T123" i="45" s="1"/>
  <c r="O122" i="45"/>
  <c r="L122" i="45"/>
  <c r="U122" i="45" s="1"/>
  <c r="K122" i="45"/>
  <c r="T122" i="45" s="1"/>
  <c r="J122" i="45"/>
  <c r="S122" i="45" s="1"/>
  <c r="M121" i="45"/>
  <c r="M133" i="45" s="1"/>
  <c r="K121" i="45"/>
  <c r="J121" i="45"/>
  <c r="A121" i="45"/>
  <c r="A122" i="45" s="1"/>
  <c r="M120" i="45"/>
  <c r="M132" i="45" s="1"/>
  <c r="M144" i="45" s="1"/>
  <c r="V144" i="45" s="1"/>
  <c r="K120" i="45"/>
  <c r="J120" i="45"/>
  <c r="A120" i="45"/>
  <c r="M119" i="45"/>
  <c r="M131" i="45" s="1"/>
  <c r="M143" i="45" s="1"/>
  <c r="V143" i="45" s="1"/>
  <c r="K119" i="45"/>
  <c r="J119" i="45"/>
  <c r="A119" i="45"/>
  <c r="M118" i="45"/>
  <c r="M130" i="45" s="1"/>
  <c r="M142" i="45" s="1"/>
  <c r="V142" i="45" s="1"/>
  <c r="K118" i="45"/>
  <c r="J118" i="45"/>
  <c r="A118" i="45"/>
  <c r="M117" i="45"/>
  <c r="K117" i="45"/>
  <c r="J117" i="45"/>
  <c r="I117" i="45"/>
  <c r="A117" i="45"/>
  <c r="M116" i="45"/>
  <c r="K116" i="45"/>
  <c r="J116" i="45"/>
  <c r="I116" i="45"/>
  <c r="C116" i="45"/>
  <c r="B116" i="45"/>
  <c r="A116" i="45"/>
  <c r="M115" i="45"/>
  <c r="M127" i="45" s="1"/>
  <c r="V127" i="45" s="1"/>
  <c r="K115" i="45"/>
  <c r="J115" i="45"/>
  <c r="I115" i="45"/>
  <c r="C115" i="45"/>
  <c r="B115" i="45"/>
  <c r="A115" i="45"/>
  <c r="M114" i="45"/>
  <c r="K114" i="45"/>
  <c r="J114" i="45"/>
  <c r="I114" i="45"/>
  <c r="C114" i="45"/>
  <c r="B114" i="45"/>
  <c r="A114" i="45"/>
  <c r="M113" i="45"/>
  <c r="M125" i="45" s="1"/>
  <c r="V125" i="45" s="1"/>
  <c r="K113" i="45"/>
  <c r="J113" i="45"/>
  <c r="I113" i="45"/>
  <c r="C113" i="45"/>
  <c r="B113" i="45"/>
  <c r="A113" i="45"/>
  <c r="M112" i="45"/>
  <c r="K112" i="45"/>
  <c r="J112" i="45"/>
  <c r="I112" i="45"/>
  <c r="C112" i="45"/>
  <c r="B112" i="45"/>
  <c r="A112" i="45"/>
  <c r="M111" i="45"/>
  <c r="K111" i="45"/>
  <c r="J111" i="45"/>
  <c r="I111" i="45"/>
  <c r="C111" i="45"/>
  <c r="B111" i="45"/>
  <c r="A111" i="45"/>
  <c r="M110" i="45"/>
  <c r="K110" i="45"/>
  <c r="J110" i="45"/>
  <c r="I110" i="45"/>
  <c r="C110" i="45"/>
  <c r="B110" i="45"/>
  <c r="A110" i="45"/>
  <c r="M109" i="45"/>
  <c r="K109" i="45"/>
  <c r="J109" i="45"/>
  <c r="I109" i="45"/>
  <c r="C109" i="45"/>
  <c r="B109" i="45"/>
  <c r="A109" i="45"/>
  <c r="M108" i="45"/>
  <c r="K108" i="45"/>
  <c r="J108" i="45"/>
  <c r="I108" i="45"/>
  <c r="C108" i="45"/>
  <c r="B108" i="45"/>
  <c r="A108" i="45"/>
  <c r="M107" i="45"/>
  <c r="K107" i="45"/>
  <c r="J107" i="45"/>
  <c r="I107" i="45"/>
  <c r="C107" i="45"/>
  <c r="B107" i="45"/>
  <c r="A107" i="45"/>
  <c r="M106" i="45"/>
  <c r="K106" i="45"/>
  <c r="J106" i="45"/>
  <c r="I106" i="45"/>
  <c r="C106" i="45"/>
  <c r="B106" i="45"/>
  <c r="A106" i="45"/>
  <c r="M105" i="45"/>
  <c r="K105" i="45"/>
  <c r="J105" i="45"/>
  <c r="I105" i="45"/>
  <c r="C105" i="45"/>
  <c r="B105" i="45"/>
  <c r="A105" i="45"/>
  <c r="M104" i="45"/>
  <c r="K104" i="45"/>
  <c r="J104" i="45"/>
  <c r="I104" i="45"/>
  <c r="C104" i="45"/>
  <c r="B104" i="45"/>
  <c r="A104" i="45"/>
  <c r="M103" i="45"/>
  <c r="K103" i="45"/>
  <c r="J103" i="45"/>
  <c r="I103" i="45"/>
  <c r="C103" i="45"/>
  <c r="B103" i="45"/>
  <c r="A103" i="45"/>
  <c r="M102" i="45"/>
  <c r="K102" i="45"/>
  <c r="J102" i="45"/>
  <c r="I102" i="45"/>
  <c r="C102" i="45"/>
  <c r="B102" i="45"/>
  <c r="A102" i="45"/>
  <c r="M101" i="45"/>
  <c r="K101" i="45"/>
  <c r="J101" i="45"/>
  <c r="I101" i="45"/>
  <c r="C101" i="45"/>
  <c r="B101" i="45"/>
  <c r="A101" i="45"/>
  <c r="M100" i="45"/>
  <c r="K100" i="45"/>
  <c r="J100" i="45"/>
  <c r="I100" i="45"/>
  <c r="C100" i="45"/>
  <c r="B100" i="45"/>
  <c r="A100" i="45"/>
  <c r="M99" i="45"/>
  <c r="K99" i="45"/>
  <c r="J99" i="45"/>
  <c r="I99" i="45"/>
  <c r="C99" i="45"/>
  <c r="B99" i="45"/>
  <c r="A99" i="45"/>
  <c r="M98" i="45"/>
  <c r="K98" i="45"/>
  <c r="J98" i="45"/>
  <c r="I98" i="45"/>
  <c r="C98" i="45"/>
  <c r="B98" i="45"/>
  <c r="A98" i="45"/>
  <c r="M97" i="45"/>
  <c r="K97" i="45"/>
  <c r="J97" i="45"/>
  <c r="I97" i="45"/>
  <c r="C97" i="45"/>
  <c r="B97" i="45"/>
  <c r="A97" i="45"/>
  <c r="M96" i="45"/>
  <c r="K96" i="45"/>
  <c r="J96" i="45"/>
  <c r="I96" i="45"/>
  <c r="C96" i="45"/>
  <c r="B96" i="45"/>
  <c r="A96" i="45"/>
  <c r="M95" i="45"/>
  <c r="K95" i="45"/>
  <c r="J95" i="45"/>
  <c r="J143" i="45" s="1"/>
  <c r="I95" i="45"/>
  <c r="C95" i="45"/>
  <c r="B95" i="45"/>
  <c r="A95" i="45"/>
  <c r="M94" i="45"/>
  <c r="K94" i="45"/>
  <c r="J94" i="45"/>
  <c r="I94" i="45"/>
  <c r="C94" i="45"/>
  <c r="B94" i="45"/>
  <c r="A94" i="45"/>
  <c r="M93" i="45"/>
  <c r="K93" i="45"/>
  <c r="J93" i="45"/>
  <c r="J141" i="45" s="1"/>
  <c r="S141" i="45" s="1"/>
  <c r="I93" i="45"/>
  <c r="C93" i="45"/>
  <c r="B93" i="45"/>
  <c r="A93" i="45"/>
  <c r="M92" i="45"/>
  <c r="K92" i="45"/>
  <c r="J92" i="45"/>
  <c r="I92" i="45"/>
  <c r="C92" i="45"/>
  <c r="B92" i="45"/>
  <c r="A92" i="45"/>
  <c r="M91" i="45"/>
  <c r="K91" i="45"/>
  <c r="J91" i="45"/>
  <c r="I91" i="45"/>
  <c r="C91" i="45"/>
  <c r="B91" i="45"/>
  <c r="A91" i="45"/>
  <c r="M90" i="45"/>
  <c r="K90" i="45"/>
  <c r="J90" i="45"/>
  <c r="I90" i="45"/>
  <c r="C90" i="45"/>
  <c r="B90" i="45"/>
  <c r="A90" i="45"/>
  <c r="M89" i="45"/>
  <c r="K89" i="45"/>
  <c r="J89" i="45"/>
  <c r="I89" i="45"/>
  <c r="C89" i="45"/>
  <c r="B89" i="45"/>
  <c r="A89" i="45"/>
  <c r="M88" i="45"/>
  <c r="K88" i="45"/>
  <c r="J88" i="45"/>
  <c r="J136" i="45" s="1"/>
  <c r="S136" i="45" s="1"/>
  <c r="I88" i="45"/>
  <c r="C88" i="45"/>
  <c r="B88" i="45"/>
  <c r="A88" i="45"/>
  <c r="M87" i="45"/>
  <c r="K87" i="45"/>
  <c r="J87" i="45"/>
  <c r="J135" i="45" s="1"/>
  <c r="S135" i="45" s="1"/>
  <c r="I87" i="45"/>
  <c r="C87" i="45"/>
  <c r="B87" i="45"/>
  <c r="A87" i="45"/>
  <c r="M86" i="45"/>
  <c r="K86" i="45"/>
  <c r="J86" i="45"/>
  <c r="I86" i="45"/>
  <c r="C86" i="45"/>
  <c r="B86" i="45"/>
  <c r="A86" i="45"/>
  <c r="M85" i="45"/>
  <c r="L85" i="45"/>
  <c r="K85" i="45"/>
  <c r="J85" i="45"/>
  <c r="I85" i="45"/>
  <c r="C85" i="45"/>
  <c r="B85" i="45"/>
  <c r="A85" i="45"/>
  <c r="M84" i="45"/>
  <c r="L84" i="45"/>
  <c r="K84" i="45"/>
  <c r="J84" i="45"/>
  <c r="I84" i="45"/>
  <c r="C84" i="45"/>
  <c r="B84" i="45"/>
  <c r="A84" i="45"/>
  <c r="M83" i="45"/>
  <c r="L83" i="45"/>
  <c r="K83" i="45"/>
  <c r="J83" i="45"/>
  <c r="I83" i="45"/>
  <c r="C83" i="45"/>
  <c r="B83" i="45"/>
  <c r="A83" i="45"/>
  <c r="M82" i="45"/>
  <c r="L82" i="45"/>
  <c r="K82" i="45"/>
  <c r="J82" i="45"/>
  <c r="J130" i="45" s="1"/>
  <c r="S130" i="45" s="1"/>
  <c r="I82" i="45"/>
  <c r="C82" i="45"/>
  <c r="B82" i="45"/>
  <c r="A82" i="45"/>
  <c r="M81" i="45"/>
  <c r="L81" i="45"/>
  <c r="K81" i="45"/>
  <c r="J81" i="45"/>
  <c r="I81" i="45"/>
  <c r="C81" i="45"/>
  <c r="B81" i="45"/>
  <c r="A81" i="45"/>
  <c r="M80" i="45"/>
  <c r="L80" i="45"/>
  <c r="K80" i="45"/>
  <c r="J80" i="45"/>
  <c r="I80" i="45"/>
  <c r="C80" i="45"/>
  <c r="B80" i="45"/>
  <c r="A80" i="45"/>
  <c r="M79" i="45"/>
  <c r="L79" i="45"/>
  <c r="K79" i="45"/>
  <c r="J79" i="45"/>
  <c r="J127" i="45" s="1"/>
  <c r="S127" i="45" s="1"/>
  <c r="I79" i="45"/>
  <c r="C79" i="45"/>
  <c r="B79" i="45"/>
  <c r="A79" i="45"/>
  <c r="M78" i="45"/>
  <c r="L78" i="45"/>
  <c r="K78" i="45"/>
  <c r="J78" i="45"/>
  <c r="I78" i="45"/>
  <c r="C78" i="45"/>
  <c r="B78" i="45"/>
  <c r="A78" i="45"/>
  <c r="M77" i="45"/>
  <c r="L77" i="45"/>
  <c r="K77" i="45"/>
  <c r="J77" i="45"/>
  <c r="J125" i="45" s="1"/>
  <c r="S125" i="45" s="1"/>
  <c r="I77" i="45"/>
  <c r="C77" i="45"/>
  <c r="B77" i="45"/>
  <c r="A77" i="45"/>
  <c r="M76" i="45"/>
  <c r="L76" i="45"/>
  <c r="K76" i="45"/>
  <c r="J76" i="45"/>
  <c r="I76" i="45"/>
  <c r="C76" i="45"/>
  <c r="B76" i="45"/>
  <c r="A76" i="45"/>
  <c r="M75" i="45"/>
  <c r="L75" i="45"/>
  <c r="K75" i="45"/>
  <c r="J75" i="45"/>
  <c r="I75" i="45"/>
  <c r="C75" i="45"/>
  <c r="B75" i="45"/>
  <c r="A75" i="45"/>
  <c r="M74" i="45"/>
  <c r="L74" i="45"/>
  <c r="K74" i="45"/>
  <c r="J74" i="45"/>
  <c r="I74" i="45"/>
  <c r="C74" i="45"/>
  <c r="B74" i="45"/>
  <c r="A74" i="45"/>
  <c r="M73" i="45"/>
  <c r="L73" i="45"/>
  <c r="K73" i="45"/>
  <c r="J73" i="45"/>
  <c r="I73" i="45"/>
  <c r="C73" i="45"/>
  <c r="B73" i="45"/>
  <c r="A73" i="45"/>
  <c r="M72" i="45"/>
  <c r="L72" i="45"/>
  <c r="K72" i="45"/>
  <c r="J72" i="45"/>
  <c r="I72" i="45"/>
  <c r="C72" i="45"/>
  <c r="B72" i="45"/>
  <c r="A72" i="45"/>
  <c r="M71" i="45"/>
  <c r="L71" i="45"/>
  <c r="K71" i="45"/>
  <c r="J71" i="45"/>
  <c r="I71" i="45"/>
  <c r="C71" i="45"/>
  <c r="B71" i="45"/>
  <c r="A71" i="45"/>
  <c r="M70" i="45"/>
  <c r="L70" i="45"/>
  <c r="K70" i="45"/>
  <c r="J70" i="45"/>
  <c r="I70" i="45"/>
  <c r="C70" i="45"/>
  <c r="B70" i="45"/>
  <c r="A70" i="45"/>
  <c r="M69" i="45"/>
  <c r="L69" i="45"/>
  <c r="K69" i="45"/>
  <c r="J69" i="45"/>
  <c r="I69" i="45"/>
  <c r="C69" i="45"/>
  <c r="B69" i="45"/>
  <c r="A69" i="45"/>
  <c r="M68" i="45"/>
  <c r="L68" i="45"/>
  <c r="K68" i="45"/>
  <c r="J68" i="45"/>
  <c r="I68" i="45"/>
  <c r="C68" i="45"/>
  <c r="B68" i="45"/>
  <c r="A68" i="45"/>
  <c r="M67" i="45"/>
  <c r="L67" i="45"/>
  <c r="K67" i="45"/>
  <c r="J67" i="45"/>
  <c r="I67" i="45"/>
  <c r="C67" i="45"/>
  <c r="B67" i="45"/>
  <c r="A67" i="45"/>
  <c r="M66" i="45"/>
  <c r="L66" i="45"/>
  <c r="K66" i="45"/>
  <c r="J66" i="45"/>
  <c r="I66" i="45"/>
  <c r="C66" i="45"/>
  <c r="B66" i="45"/>
  <c r="A66" i="45"/>
  <c r="M65" i="45"/>
  <c r="L65" i="45"/>
  <c r="K65" i="45"/>
  <c r="J65" i="45"/>
  <c r="I65" i="45"/>
  <c r="C65" i="45"/>
  <c r="B65" i="45"/>
  <c r="A65" i="45"/>
  <c r="M64" i="45"/>
  <c r="L64" i="45"/>
  <c r="K64" i="45"/>
  <c r="J64" i="45"/>
  <c r="I64" i="45"/>
  <c r="C64" i="45"/>
  <c r="B64" i="45"/>
  <c r="A64" i="45"/>
  <c r="M63" i="45"/>
  <c r="L63" i="45"/>
  <c r="K63" i="45"/>
  <c r="J63" i="45"/>
  <c r="I63" i="45"/>
  <c r="C63" i="45"/>
  <c r="B63" i="45"/>
  <c r="A63" i="45"/>
  <c r="M62" i="45"/>
  <c r="L62" i="45"/>
  <c r="K62" i="45"/>
  <c r="J62" i="45"/>
  <c r="I62" i="45"/>
  <c r="C62" i="45"/>
  <c r="B62" i="45"/>
  <c r="A62" i="45"/>
  <c r="M61" i="45"/>
  <c r="L61" i="45"/>
  <c r="K61" i="45"/>
  <c r="J61" i="45"/>
  <c r="I61" i="45"/>
  <c r="C61" i="45"/>
  <c r="B61" i="45"/>
  <c r="A61" i="45"/>
  <c r="M60" i="45"/>
  <c r="L60" i="45"/>
  <c r="K60" i="45"/>
  <c r="J60" i="45"/>
  <c r="I60" i="45"/>
  <c r="C60" i="45"/>
  <c r="B60" i="45"/>
  <c r="A60" i="45"/>
  <c r="M59" i="45"/>
  <c r="L59" i="45"/>
  <c r="K59" i="45"/>
  <c r="J59" i="45"/>
  <c r="I59" i="45"/>
  <c r="C59" i="45"/>
  <c r="B59" i="45"/>
  <c r="A59" i="45"/>
  <c r="M58" i="45"/>
  <c r="L58" i="45"/>
  <c r="K58" i="45"/>
  <c r="J58" i="45"/>
  <c r="I58" i="45"/>
  <c r="C58" i="45"/>
  <c r="B58" i="45"/>
  <c r="A58" i="45"/>
  <c r="M57" i="45"/>
  <c r="L57" i="45"/>
  <c r="K57" i="45"/>
  <c r="J57" i="45"/>
  <c r="I57" i="45"/>
  <c r="C57" i="45"/>
  <c r="B57" i="45"/>
  <c r="A57" i="45"/>
  <c r="M56" i="45"/>
  <c r="L56" i="45"/>
  <c r="K56" i="45"/>
  <c r="J56" i="45"/>
  <c r="I56" i="45"/>
  <c r="C56" i="45"/>
  <c r="B56" i="45"/>
  <c r="A56" i="45"/>
  <c r="M55" i="45"/>
  <c r="L55" i="45"/>
  <c r="K55" i="45"/>
  <c r="J55" i="45"/>
  <c r="I55" i="45"/>
  <c r="C55" i="45"/>
  <c r="B55" i="45"/>
  <c r="A55" i="45"/>
  <c r="M54" i="45"/>
  <c r="L54" i="45"/>
  <c r="K54" i="45"/>
  <c r="J54" i="45"/>
  <c r="I54" i="45"/>
  <c r="C54" i="45"/>
  <c r="B54" i="45"/>
  <c r="A54" i="45"/>
  <c r="M53" i="45"/>
  <c r="L53" i="45"/>
  <c r="K53" i="45"/>
  <c r="J53" i="45"/>
  <c r="I53" i="45"/>
  <c r="C53" i="45"/>
  <c r="B53" i="45"/>
  <c r="A53" i="45"/>
  <c r="M52" i="45"/>
  <c r="L52" i="45"/>
  <c r="K52" i="45"/>
  <c r="J52" i="45"/>
  <c r="I52" i="45"/>
  <c r="C52" i="45"/>
  <c r="B52" i="45"/>
  <c r="A52" i="45"/>
  <c r="M51" i="45"/>
  <c r="L51" i="45"/>
  <c r="K51" i="45"/>
  <c r="J51" i="45"/>
  <c r="I51" i="45"/>
  <c r="C51" i="45"/>
  <c r="B51" i="45"/>
  <c r="A51" i="45"/>
  <c r="M50" i="45"/>
  <c r="L50" i="45"/>
  <c r="K50" i="45"/>
  <c r="J50" i="45"/>
  <c r="I50" i="45"/>
  <c r="C50" i="45"/>
  <c r="B50" i="45"/>
  <c r="A50" i="45"/>
  <c r="M49" i="45"/>
  <c r="L49" i="45"/>
  <c r="K49" i="45"/>
  <c r="J49" i="45"/>
  <c r="I49" i="45"/>
  <c r="C49" i="45"/>
  <c r="B49" i="45"/>
  <c r="A49" i="45"/>
  <c r="M48" i="45"/>
  <c r="L48" i="45"/>
  <c r="K48" i="45"/>
  <c r="J48" i="45"/>
  <c r="I48" i="45"/>
  <c r="C48" i="45"/>
  <c r="B48" i="45"/>
  <c r="A48" i="45"/>
  <c r="M47" i="45"/>
  <c r="L47" i="45"/>
  <c r="K47" i="45"/>
  <c r="J47" i="45"/>
  <c r="I47" i="45"/>
  <c r="C47" i="45"/>
  <c r="B47" i="45"/>
  <c r="A47" i="45"/>
  <c r="M46" i="45"/>
  <c r="L46" i="45"/>
  <c r="K46" i="45"/>
  <c r="J46" i="45"/>
  <c r="I46" i="45"/>
  <c r="C46" i="45"/>
  <c r="B46" i="45"/>
  <c r="A46" i="45"/>
  <c r="M45" i="45"/>
  <c r="L45" i="45"/>
  <c r="K45" i="45"/>
  <c r="J45" i="45"/>
  <c r="I45" i="45"/>
  <c r="C45" i="45"/>
  <c r="B45" i="45"/>
  <c r="A45" i="45"/>
  <c r="M44" i="45"/>
  <c r="L44" i="45"/>
  <c r="K44" i="45"/>
  <c r="J44" i="45"/>
  <c r="I44" i="45"/>
  <c r="C44" i="45"/>
  <c r="B44" i="45"/>
  <c r="A44" i="45"/>
  <c r="M43" i="45"/>
  <c r="L43" i="45"/>
  <c r="K43" i="45"/>
  <c r="J43" i="45"/>
  <c r="I43" i="45"/>
  <c r="C43" i="45"/>
  <c r="B43" i="45"/>
  <c r="A43" i="45"/>
  <c r="M42" i="45"/>
  <c r="L42" i="45"/>
  <c r="K42" i="45"/>
  <c r="J42" i="45"/>
  <c r="I42" i="45"/>
  <c r="C42" i="45"/>
  <c r="B42" i="45"/>
  <c r="A42" i="45"/>
  <c r="M41" i="45"/>
  <c r="L41" i="45"/>
  <c r="K41" i="45"/>
  <c r="J41" i="45"/>
  <c r="I41" i="45"/>
  <c r="C41" i="45"/>
  <c r="B41" i="45"/>
  <c r="A41" i="45"/>
  <c r="M40" i="45"/>
  <c r="L40" i="45"/>
  <c r="K40" i="45"/>
  <c r="J40" i="45"/>
  <c r="I40" i="45"/>
  <c r="C40" i="45"/>
  <c r="B40" i="45"/>
  <c r="A40" i="45"/>
  <c r="M39" i="45"/>
  <c r="L39" i="45"/>
  <c r="K39" i="45"/>
  <c r="J39" i="45"/>
  <c r="I39" i="45"/>
  <c r="C39" i="45"/>
  <c r="B39" i="45"/>
  <c r="A39" i="45"/>
  <c r="M38" i="45"/>
  <c r="L38" i="45"/>
  <c r="K38" i="45"/>
  <c r="J38" i="45"/>
  <c r="I38" i="45"/>
  <c r="C38" i="45"/>
  <c r="B38" i="45"/>
  <c r="A38" i="45"/>
  <c r="M37" i="45"/>
  <c r="L37" i="45"/>
  <c r="K37" i="45"/>
  <c r="J37" i="45"/>
  <c r="I37" i="45"/>
  <c r="C37" i="45"/>
  <c r="B37" i="45"/>
  <c r="A37" i="45"/>
  <c r="M36" i="45"/>
  <c r="L36" i="45"/>
  <c r="K36" i="45"/>
  <c r="J36" i="45"/>
  <c r="I36" i="45"/>
  <c r="C36" i="45"/>
  <c r="B36" i="45"/>
  <c r="A36" i="45"/>
  <c r="M35" i="45"/>
  <c r="L35" i="45"/>
  <c r="K35" i="45"/>
  <c r="J35" i="45"/>
  <c r="I35" i="45"/>
  <c r="C35" i="45"/>
  <c r="B35" i="45"/>
  <c r="A35" i="45"/>
  <c r="M34" i="45"/>
  <c r="L34" i="45"/>
  <c r="K34" i="45"/>
  <c r="J34" i="45"/>
  <c r="I34" i="45"/>
  <c r="C34" i="45"/>
  <c r="B34" i="45"/>
  <c r="A34" i="45"/>
  <c r="M33" i="45"/>
  <c r="L33" i="45"/>
  <c r="K33" i="45"/>
  <c r="J33" i="45"/>
  <c r="I33" i="45"/>
  <c r="C33" i="45"/>
  <c r="B33" i="45"/>
  <c r="A33" i="45"/>
  <c r="M32" i="45"/>
  <c r="L32" i="45"/>
  <c r="K32" i="45"/>
  <c r="J32" i="45"/>
  <c r="I32" i="45"/>
  <c r="C32" i="45"/>
  <c r="B32" i="45"/>
  <c r="A32" i="45"/>
  <c r="M31" i="45"/>
  <c r="L31" i="45"/>
  <c r="K31" i="45"/>
  <c r="J31" i="45"/>
  <c r="I31" i="45"/>
  <c r="C31" i="45"/>
  <c r="B31" i="45"/>
  <c r="A31" i="45"/>
  <c r="M30" i="45"/>
  <c r="L30" i="45"/>
  <c r="K30" i="45"/>
  <c r="J30" i="45"/>
  <c r="I30" i="45"/>
  <c r="C30" i="45"/>
  <c r="B30" i="45"/>
  <c r="A30" i="45"/>
  <c r="M29" i="45"/>
  <c r="L29" i="45"/>
  <c r="K29" i="45"/>
  <c r="J29" i="45"/>
  <c r="I29" i="45"/>
  <c r="C29" i="45"/>
  <c r="B29" i="45"/>
  <c r="A29" i="45"/>
  <c r="M28" i="45"/>
  <c r="L28" i="45"/>
  <c r="K28" i="45"/>
  <c r="J28" i="45"/>
  <c r="I28" i="45"/>
  <c r="C28" i="45"/>
  <c r="B28" i="45"/>
  <c r="A28" i="45"/>
  <c r="M27" i="45"/>
  <c r="L27" i="45"/>
  <c r="K27" i="45"/>
  <c r="J27" i="45"/>
  <c r="I27" i="45"/>
  <c r="C27" i="45"/>
  <c r="B27" i="45"/>
  <c r="A27" i="45"/>
  <c r="M26" i="45"/>
  <c r="L26" i="45"/>
  <c r="K26" i="45"/>
  <c r="J26" i="45"/>
  <c r="I26" i="45"/>
  <c r="C26" i="45"/>
  <c r="B26" i="45"/>
  <c r="A26" i="45"/>
  <c r="M25" i="45"/>
  <c r="L25" i="45"/>
  <c r="K25" i="45"/>
  <c r="J25" i="45"/>
  <c r="I25" i="45"/>
  <c r="C25" i="45"/>
  <c r="B25" i="45"/>
  <c r="A25" i="45"/>
  <c r="M24" i="45"/>
  <c r="L24" i="45"/>
  <c r="K24" i="45"/>
  <c r="J24" i="45"/>
  <c r="I24" i="45"/>
  <c r="C24" i="45"/>
  <c r="B24" i="45"/>
  <c r="A24" i="45"/>
  <c r="M23" i="45"/>
  <c r="L23" i="45"/>
  <c r="K23" i="45"/>
  <c r="J23" i="45"/>
  <c r="I23" i="45"/>
  <c r="C23" i="45"/>
  <c r="B23" i="45"/>
  <c r="A23" i="45"/>
  <c r="M22" i="45"/>
  <c r="L22" i="45"/>
  <c r="K22" i="45"/>
  <c r="J22" i="45"/>
  <c r="I22" i="45"/>
  <c r="C22" i="45"/>
  <c r="B22" i="45"/>
  <c r="A22" i="45"/>
  <c r="M21" i="45"/>
  <c r="L21" i="45"/>
  <c r="K21" i="45"/>
  <c r="J21" i="45"/>
  <c r="I21" i="45"/>
  <c r="C21" i="45"/>
  <c r="B21" i="45"/>
  <c r="A21" i="45"/>
  <c r="M20" i="45"/>
  <c r="L20" i="45"/>
  <c r="K20" i="45"/>
  <c r="J20" i="45"/>
  <c r="I20" i="45"/>
  <c r="C20" i="45"/>
  <c r="B20" i="45"/>
  <c r="A20" i="45"/>
  <c r="M19" i="45"/>
  <c r="L19" i="45"/>
  <c r="K19" i="45"/>
  <c r="J19" i="45"/>
  <c r="I19" i="45"/>
  <c r="C19" i="45"/>
  <c r="B19" i="45"/>
  <c r="A19" i="45"/>
  <c r="M18" i="45"/>
  <c r="L18" i="45"/>
  <c r="K18" i="45"/>
  <c r="J18" i="45"/>
  <c r="I18" i="45"/>
  <c r="C18" i="45"/>
  <c r="B18" i="45"/>
  <c r="A18" i="45"/>
  <c r="M17" i="45"/>
  <c r="L17" i="45"/>
  <c r="K17" i="45"/>
  <c r="J17" i="45"/>
  <c r="I17" i="45"/>
  <c r="C17" i="45"/>
  <c r="B17" i="45"/>
  <c r="A17" i="45"/>
  <c r="M16" i="45"/>
  <c r="L16" i="45"/>
  <c r="K16" i="45"/>
  <c r="J16" i="45"/>
  <c r="I16" i="45"/>
  <c r="C16" i="45"/>
  <c r="B16" i="45"/>
  <c r="A16" i="45"/>
  <c r="M15" i="45"/>
  <c r="L15" i="45"/>
  <c r="K15" i="45"/>
  <c r="J15" i="45"/>
  <c r="I15" i="45"/>
  <c r="C15" i="45"/>
  <c r="B15" i="45"/>
  <c r="A15" i="45"/>
  <c r="M14" i="45"/>
  <c r="L14" i="45"/>
  <c r="K14" i="45"/>
  <c r="J14" i="45"/>
  <c r="I14" i="45"/>
  <c r="C14" i="45"/>
  <c r="B14" i="45"/>
  <c r="A14" i="45"/>
  <c r="M13" i="45"/>
  <c r="L13" i="45"/>
  <c r="K13" i="45"/>
  <c r="J13" i="45"/>
  <c r="I13" i="45"/>
  <c r="C13" i="45"/>
  <c r="B13" i="45"/>
  <c r="A13" i="45"/>
  <c r="M12" i="45"/>
  <c r="L12" i="45"/>
  <c r="K12" i="45"/>
  <c r="J12" i="45"/>
  <c r="I12" i="45"/>
  <c r="C12" i="45"/>
  <c r="B12" i="45"/>
  <c r="A12" i="45"/>
  <c r="M11" i="45"/>
  <c r="L11" i="45"/>
  <c r="K11" i="45"/>
  <c r="J11" i="45"/>
  <c r="I11" i="45"/>
  <c r="C11" i="45"/>
  <c r="B11" i="45"/>
  <c r="A11" i="45"/>
  <c r="M10" i="45"/>
  <c r="L10" i="45"/>
  <c r="K10" i="45"/>
  <c r="J10" i="45"/>
  <c r="I10" i="45"/>
  <c r="C10" i="45"/>
  <c r="B10" i="45"/>
  <c r="A10" i="45"/>
  <c r="M9" i="45"/>
  <c r="L9" i="45"/>
  <c r="K9" i="45"/>
  <c r="J9" i="45"/>
  <c r="I9" i="45"/>
  <c r="C9" i="45"/>
  <c r="B9" i="45"/>
  <c r="A9" i="45"/>
  <c r="M8" i="45"/>
  <c r="L8" i="45"/>
  <c r="K8" i="45"/>
  <c r="J8" i="45"/>
  <c r="I8" i="45"/>
  <c r="C8" i="45"/>
  <c r="B8" i="45"/>
  <c r="A8" i="45"/>
  <c r="M7" i="45"/>
  <c r="L7" i="45"/>
  <c r="K7" i="45"/>
  <c r="J7" i="45"/>
  <c r="I7" i="45"/>
  <c r="C7" i="45"/>
  <c r="B7" i="45"/>
  <c r="A7" i="45"/>
  <c r="M6" i="45"/>
  <c r="L6" i="45"/>
  <c r="K6" i="45"/>
  <c r="J6" i="45"/>
  <c r="I6" i="45"/>
  <c r="C6" i="45"/>
  <c r="B6" i="45"/>
  <c r="A6" i="45"/>
  <c r="M5" i="45"/>
  <c r="L5" i="45"/>
  <c r="K5" i="45"/>
  <c r="J5" i="45"/>
  <c r="I5" i="45"/>
  <c r="C5" i="45"/>
  <c r="B5" i="45"/>
  <c r="A5" i="45"/>
  <c r="M4" i="45"/>
  <c r="L4" i="45"/>
  <c r="K4" i="45"/>
  <c r="J4" i="45"/>
  <c r="I4" i="45"/>
  <c r="C4" i="45"/>
  <c r="B4" i="45"/>
  <c r="A4" i="45"/>
  <c r="M3" i="45"/>
  <c r="L3" i="45"/>
  <c r="K3" i="45"/>
  <c r="J3" i="45"/>
  <c r="I3" i="45"/>
  <c r="C3" i="45"/>
  <c r="B3" i="45"/>
  <c r="A3" i="45"/>
  <c r="M2" i="45"/>
  <c r="L2" i="45"/>
  <c r="K2" i="45"/>
  <c r="J2" i="45"/>
  <c r="I2" i="45"/>
  <c r="C2" i="45"/>
  <c r="B2" i="45"/>
  <c r="A2" i="45"/>
  <c r="M1" i="45"/>
  <c r="V1" i="45" s="1"/>
  <c r="L1" i="45"/>
  <c r="U1" i="45" s="1"/>
  <c r="K1" i="45"/>
  <c r="T1" i="45" s="1"/>
  <c r="J1" i="45"/>
  <c r="S1" i="45" s="1"/>
  <c r="I1" i="45"/>
  <c r="R1" i="45" s="1"/>
  <c r="D1" i="45"/>
  <c r="C1" i="45"/>
  <c r="B1" i="45"/>
  <c r="A1" i="45"/>
  <c r="N145" i="44"/>
  <c r="J145" i="44"/>
  <c r="R145" i="44" s="1"/>
  <c r="N144" i="44"/>
  <c r="J144" i="44"/>
  <c r="R144" i="44" s="1"/>
  <c r="I144" i="44"/>
  <c r="Q144" i="44" s="1"/>
  <c r="N143" i="44"/>
  <c r="J143" i="44"/>
  <c r="R143" i="44" s="1"/>
  <c r="N142" i="44"/>
  <c r="J142" i="44"/>
  <c r="R142" i="44" s="1"/>
  <c r="N141" i="44"/>
  <c r="J141" i="44"/>
  <c r="R141" i="44" s="1"/>
  <c r="N140" i="44"/>
  <c r="J140" i="44"/>
  <c r="R140" i="44" s="1"/>
  <c r="N139" i="44"/>
  <c r="J139" i="44"/>
  <c r="R139" i="44" s="1"/>
  <c r="R138" i="44"/>
  <c r="Q138" i="44"/>
  <c r="N138" i="44"/>
  <c r="J138" i="44"/>
  <c r="N137" i="44"/>
  <c r="J137" i="44"/>
  <c r="R137" i="44" s="1"/>
  <c r="N136" i="44"/>
  <c r="J136" i="44"/>
  <c r="R136" i="44" s="1"/>
  <c r="N135" i="44"/>
  <c r="J135" i="44"/>
  <c r="R135" i="44" s="1"/>
  <c r="N134" i="44"/>
  <c r="J134" i="44"/>
  <c r="R134" i="44" s="1"/>
  <c r="N133" i="44"/>
  <c r="J133" i="44"/>
  <c r="R133" i="44" s="1"/>
  <c r="N132" i="44"/>
  <c r="J132" i="44"/>
  <c r="R132" i="44" s="1"/>
  <c r="N131" i="44"/>
  <c r="J131" i="44"/>
  <c r="R131" i="44" s="1"/>
  <c r="N130" i="44"/>
  <c r="J130" i="44"/>
  <c r="R130" i="44" s="1"/>
  <c r="N129" i="44"/>
  <c r="J129" i="44"/>
  <c r="R129" i="44" s="1"/>
  <c r="N128" i="44"/>
  <c r="K128" i="44"/>
  <c r="S128" i="44" s="1"/>
  <c r="J128" i="44"/>
  <c r="R128" i="44" s="1"/>
  <c r="N127" i="44"/>
  <c r="K127" i="44"/>
  <c r="S127" i="44" s="1"/>
  <c r="J127" i="44"/>
  <c r="R127" i="44" s="1"/>
  <c r="N126" i="44"/>
  <c r="K126" i="44"/>
  <c r="S126" i="44" s="1"/>
  <c r="J126" i="44"/>
  <c r="R126" i="44" s="1"/>
  <c r="N125" i="44"/>
  <c r="K125" i="44"/>
  <c r="S125" i="44" s="1"/>
  <c r="J125" i="44"/>
  <c r="R125" i="44" s="1"/>
  <c r="N124" i="44"/>
  <c r="K124" i="44"/>
  <c r="S124" i="44" s="1"/>
  <c r="J124" i="44"/>
  <c r="R124" i="44" s="1"/>
  <c r="N123" i="44"/>
  <c r="K123" i="44"/>
  <c r="S123" i="44" s="1"/>
  <c r="J123" i="44"/>
  <c r="R123" i="44" s="1"/>
  <c r="N122" i="44"/>
  <c r="K122" i="44"/>
  <c r="S122" i="44" s="1"/>
  <c r="J122" i="44"/>
  <c r="R122" i="44" s="1"/>
  <c r="J121" i="44"/>
  <c r="I121" i="44"/>
  <c r="A121" i="44"/>
  <c r="A122" i="44" s="1"/>
  <c r="J120" i="44"/>
  <c r="I120" i="44"/>
  <c r="A120" i="44"/>
  <c r="J119" i="44"/>
  <c r="I119" i="44"/>
  <c r="A119" i="44"/>
  <c r="J118" i="44"/>
  <c r="I118" i="44"/>
  <c r="A118" i="44"/>
  <c r="J117" i="44"/>
  <c r="I117" i="44"/>
  <c r="A117" i="44"/>
  <c r="J116" i="44"/>
  <c r="I116" i="44"/>
  <c r="C116" i="44"/>
  <c r="B116" i="44"/>
  <c r="A116" i="44"/>
  <c r="J115" i="44"/>
  <c r="I115" i="44"/>
  <c r="C115" i="44"/>
  <c r="B115" i="44"/>
  <c r="A115" i="44"/>
  <c r="J114" i="44"/>
  <c r="I114" i="44"/>
  <c r="C114" i="44"/>
  <c r="B114" i="44"/>
  <c r="A114" i="44"/>
  <c r="J113" i="44"/>
  <c r="I113" i="44"/>
  <c r="C113" i="44"/>
  <c r="B113" i="44"/>
  <c r="A113" i="44"/>
  <c r="J112" i="44"/>
  <c r="I112" i="44"/>
  <c r="C112" i="44"/>
  <c r="B112" i="44"/>
  <c r="A112" i="44"/>
  <c r="J111" i="44"/>
  <c r="I111" i="44"/>
  <c r="C111" i="44"/>
  <c r="B111" i="44"/>
  <c r="A111" i="44"/>
  <c r="J110" i="44"/>
  <c r="I110" i="44"/>
  <c r="C110" i="44"/>
  <c r="B110" i="44"/>
  <c r="A110" i="44"/>
  <c r="K109" i="44"/>
  <c r="J109" i="44"/>
  <c r="I109" i="44"/>
  <c r="C109" i="44"/>
  <c r="B109" i="44"/>
  <c r="A109" i="44"/>
  <c r="K108" i="44"/>
  <c r="J108" i="44"/>
  <c r="I108" i="44"/>
  <c r="C108" i="44"/>
  <c r="B108" i="44"/>
  <c r="A108" i="44"/>
  <c r="K107" i="44"/>
  <c r="J107" i="44"/>
  <c r="I107" i="44"/>
  <c r="C107" i="44"/>
  <c r="B107" i="44"/>
  <c r="A107" i="44"/>
  <c r="K106" i="44"/>
  <c r="J106" i="44"/>
  <c r="I106" i="44"/>
  <c r="C106" i="44"/>
  <c r="B106" i="44"/>
  <c r="A106" i="44"/>
  <c r="K105" i="44"/>
  <c r="J105" i="44"/>
  <c r="I105" i="44"/>
  <c r="C105" i="44"/>
  <c r="B105" i="44"/>
  <c r="A105" i="44"/>
  <c r="K104" i="44"/>
  <c r="J104" i="44"/>
  <c r="I104" i="44"/>
  <c r="C104" i="44"/>
  <c r="B104" i="44"/>
  <c r="A104" i="44"/>
  <c r="K103" i="44"/>
  <c r="J103" i="44"/>
  <c r="I103" i="44"/>
  <c r="C103" i="44"/>
  <c r="B103" i="44"/>
  <c r="A103" i="44"/>
  <c r="K102" i="44"/>
  <c r="J102" i="44"/>
  <c r="I102" i="44"/>
  <c r="C102" i="44"/>
  <c r="B102" i="44"/>
  <c r="A102" i="44"/>
  <c r="K101" i="44"/>
  <c r="J101" i="44"/>
  <c r="I101" i="44"/>
  <c r="C101" i="44"/>
  <c r="B101" i="44"/>
  <c r="A101" i="44"/>
  <c r="K100" i="44"/>
  <c r="J100" i="44"/>
  <c r="I100" i="44"/>
  <c r="C100" i="44"/>
  <c r="B100" i="44"/>
  <c r="A100" i="44"/>
  <c r="K99" i="44"/>
  <c r="J99" i="44"/>
  <c r="I99" i="44"/>
  <c r="C99" i="44"/>
  <c r="B99" i="44"/>
  <c r="A99" i="44"/>
  <c r="K98" i="44"/>
  <c r="J98" i="44"/>
  <c r="I98" i="44"/>
  <c r="C98" i="44"/>
  <c r="B98" i="44"/>
  <c r="A98" i="44"/>
  <c r="K97" i="44"/>
  <c r="J97" i="44"/>
  <c r="I97" i="44"/>
  <c r="C97" i="44"/>
  <c r="B97" i="44"/>
  <c r="A97" i="44"/>
  <c r="K96" i="44"/>
  <c r="J96" i="44"/>
  <c r="I96" i="44"/>
  <c r="C96" i="44"/>
  <c r="B96" i="44"/>
  <c r="A96" i="44"/>
  <c r="K95" i="44"/>
  <c r="J95" i="44"/>
  <c r="I95" i="44"/>
  <c r="I143" i="44" s="1"/>
  <c r="Q143" i="44" s="1"/>
  <c r="C95" i="44"/>
  <c r="B95" i="44"/>
  <c r="A95" i="44"/>
  <c r="K94" i="44"/>
  <c r="J94" i="44"/>
  <c r="I94" i="44"/>
  <c r="C94" i="44"/>
  <c r="B94" i="44"/>
  <c r="A94" i="44"/>
  <c r="K93" i="44"/>
  <c r="J93" i="44"/>
  <c r="I93" i="44"/>
  <c r="C93" i="44"/>
  <c r="B93" i="44"/>
  <c r="A93" i="44"/>
  <c r="K92" i="44"/>
  <c r="J92" i="44"/>
  <c r="I92" i="44"/>
  <c r="I140" i="44" s="1"/>
  <c r="Q140" i="44" s="1"/>
  <c r="C92" i="44"/>
  <c r="B92" i="44"/>
  <c r="A92" i="44"/>
  <c r="K91" i="44"/>
  <c r="J91" i="44"/>
  <c r="I91" i="44"/>
  <c r="C91" i="44"/>
  <c r="B91" i="44"/>
  <c r="A91" i="44"/>
  <c r="K90" i="44"/>
  <c r="J90" i="44"/>
  <c r="I90" i="44"/>
  <c r="I138" i="44" s="1"/>
  <c r="C90" i="44"/>
  <c r="B90" i="44"/>
  <c r="A90" i="44"/>
  <c r="K89" i="44"/>
  <c r="J89" i="44"/>
  <c r="I89" i="44"/>
  <c r="C89" i="44"/>
  <c r="B89" i="44"/>
  <c r="A89" i="44"/>
  <c r="K88" i="44"/>
  <c r="J88" i="44"/>
  <c r="I88" i="44"/>
  <c r="I136" i="44" s="1"/>
  <c r="Q136" i="44" s="1"/>
  <c r="C88" i="44"/>
  <c r="B88" i="44"/>
  <c r="A88" i="44"/>
  <c r="K87" i="44"/>
  <c r="J87" i="44"/>
  <c r="I87" i="44"/>
  <c r="I135" i="44" s="1"/>
  <c r="Q135" i="44" s="1"/>
  <c r="C87" i="44"/>
  <c r="B87" i="44"/>
  <c r="A87" i="44"/>
  <c r="K86" i="44"/>
  <c r="J86" i="44"/>
  <c r="I86" i="44"/>
  <c r="I134" i="44" s="1"/>
  <c r="Q134" i="44" s="1"/>
  <c r="C86" i="44"/>
  <c r="B86" i="44"/>
  <c r="A86" i="44"/>
  <c r="K85" i="44"/>
  <c r="J85" i="44"/>
  <c r="I85" i="44"/>
  <c r="C85" i="44"/>
  <c r="B85" i="44"/>
  <c r="A85" i="44"/>
  <c r="K84" i="44"/>
  <c r="J84" i="44"/>
  <c r="I84" i="44"/>
  <c r="I132" i="44" s="1"/>
  <c r="Q132" i="44" s="1"/>
  <c r="C84" i="44"/>
  <c r="B84" i="44"/>
  <c r="A84" i="44"/>
  <c r="K83" i="44"/>
  <c r="J83" i="44"/>
  <c r="I83" i="44"/>
  <c r="C83" i="44"/>
  <c r="B83" i="44"/>
  <c r="A83" i="44"/>
  <c r="K82" i="44"/>
  <c r="J82" i="44"/>
  <c r="I82" i="44"/>
  <c r="I130" i="44" s="1"/>
  <c r="Q130" i="44" s="1"/>
  <c r="C82" i="44"/>
  <c r="B82" i="44"/>
  <c r="A82" i="44"/>
  <c r="K81" i="44"/>
  <c r="J81" i="44"/>
  <c r="I81" i="44"/>
  <c r="C81" i="44"/>
  <c r="B81" i="44"/>
  <c r="A81" i="44"/>
  <c r="K80" i="44"/>
  <c r="J80" i="44"/>
  <c r="I80" i="44"/>
  <c r="C80" i="44"/>
  <c r="B80" i="44"/>
  <c r="A80" i="44"/>
  <c r="K79" i="44"/>
  <c r="J79" i="44"/>
  <c r="I79" i="44"/>
  <c r="I127" i="44" s="1"/>
  <c r="Q127" i="44" s="1"/>
  <c r="C79" i="44"/>
  <c r="B79" i="44"/>
  <c r="A79" i="44"/>
  <c r="K78" i="44"/>
  <c r="J78" i="44"/>
  <c r="I78" i="44"/>
  <c r="I126" i="44" s="1"/>
  <c r="Q126" i="44" s="1"/>
  <c r="C78" i="44"/>
  <c r="B78" i="44"/>
  <c r="A78" i="44"/>
  <c r="K77" i="44"/>
  <c r="J77" i="44"/>
  <c r="I77" i="44"/>
  <c r="C77" i="44"/>
  <c r="B77" i="44"/>
  <c r="A77" i="44"/>
  <c r="K76" i="44"/>
  <c r="J76" i="44"/>
  <c r="I76" i="44"/>
  <c r="C76" i="44"/>
  <c r="B76" i="44"/>
  <c r="A76" i="44"/>
  <c r="K75" i="44"/>
  <c r="J75" i="44"/>
  <c r="I75" i="44"/>
  <c r="I123" i="44" s="1"/>
  <c r="Q123" i="44" s="1"/>
  <c r="C75" i="44"/>
  <c r="B75" i="44"/>
  <c r="A75" i="44"/>
  <c r="K74" i="44"/>
  <c r="J74" i="44"/>
  <c r="I74" i="44"/>
  <c r="I122" i="44" s="1"/>
  <c r="Q122" i="44" s="1"/>
  <c r="C74" i="44"/>
  <c r="B74" i="44"/>
  <c r="A74" i="44"/>
  <c r="K73" i="44"/>
  <c r="J73" i="44"/>
  <c r="I73" i="44"/>
  <c r="C73" i="44"/>
  <c r="B73" i="44"/>
  <c r="A73" i="44"/>
  <c r="K72" i="44"/>
  <c r="J72" i="44"/>
  <c r="I72" i="44"/>
  <c r="C72" i="44"/>
  <c r="B72" i="44"/>
  <c r="A72" i="44"/>
  <c r="K71" i="44"/>
  <c r="J71" i="44"/>
  <c r="I71" i="44"/>
  <c r="C71" i="44"/>
  <c r="B71" i="44"/>
  <c r="A71" i="44"/>
  <c r="K70" i="44"/>
  <c r="J70" i="44"/>
  <c r="I70" i="44"/>
  <c r="C70" i="44"/>
  <c r="B70" i="44"/>
  <c r="A70" i="44"/>
  <c r="K69" i="44"/>
  <c r="J69" i="44"/>
  <c r="I69" i="44"/>
  <c r="C69" i="44"/>
  <c r="B69" i="44"/>
  <c r="A69" i="44"/>
  <c r="K68" i="44"/>
  <c r="J68" i="44"/>
  <c r="I68" i="44"/>
  <c r="C68" i="44"/>
  <c r="B68" i="44"/>
  <c r="A68" i="44"/>
  <c r="K67" i="44"/>
  <c r="J67" i="44"/>
  <c r="I67" i="44"/>
  <c r="C67" i="44"/>
  <c r="B67" i="44"/>
  <c r="A67" i="44"/>
  <c r="K66" i="44"/>
  <c r="J66" i="44"/>
  <c r="I66" i="44"/>
  <c r="C66" i="44"/>
  <c r="B66" i="44"/>
  <c r="A66" i="44"/>
  <c r="K65" i="44"/>
  <c r="J65" i="44"/>
  <c r="I65" i="44"/>
  <c r="C65" i="44"/>
  <c r="B65" i="44"/>
  <c r="A65" i="44"/>
  <c r="K64" i="44"/>
  <c r="J64" i="44"/>
  <c r="I64" i="44"/>
  <c r="C64" i="44"/>
  <c r="B64" i="44"/>
  <c r="A64" i="44"/>
  <c r="K63" i="44"/>
  <c r="J63" i="44"/>
  <c r="I63" i="44"/>
  <c r="C63" i="44"/>
  <c r="B63" i="44"/>
  <c r="A63" i="44"/>
  <c r="K62" i="44"/>
  <c r="J62" i="44"/>
  <c r="I62" i="44"/>
  <c r="C62" i="44"/>
  <c r="B62" i="44"/>
  <c r="A62" i="44"/>
  <c r="K61" i="44"/>
  <c r="J61" i="44"/>
  <c r="I61" i="44"/>
  <c r="C61" i="44"/>
  <c r="B61" i="44"/>
  <c r="A61" i="44"/>
  <c r="K60" i="44"/>
  <c r="J60" i="44"/>
  <c r="I60" i="44"/>
  <c r="C60" i="44"/>
  <c r="B60" i="44"/>
  <c r="A60" i="44"/>
  <c r="K59" i="44"/>
  <c r="J59" i="44"/>
  <c r="I59" i="44"/>
  <c r="C59" i="44"/>
  <c r="B59" i="44"/>
  <c r="A59" i="44"/>
  <c r="K58" i="44"/>
  <c r="J58" i="44"/>
  <c r="I58" i="44"/>
  <c r="C58" i="44"/>
  <c r="B58" i="44"/>
  <c r="A58" i="44"/>
  <c r="K57" i="44"/>
  <c r="J57" i="44"/>
  <c r="I57" i="44"/>
  <c r="C57" i="44"/>
  <c r="B57" i="44"/>
  <c r="A57" i="44"/>
  <c r="K56" i="44"/>
  <c r="J56" i="44"/>
  <c r="I56" i="44"/>
  <c r="C56" i="44"/>
  <c r="B56" i="44"/>
  <c r="A56" i="44"/>
  <c r="K55" i="44"/>
  <c r="J55" i="44"/>
  <c r="I55" i="44"/>
  <c r="C55" i="44"/>
  <c r="B55" i="44"/>
  <c r="A55" i="44"/>
  <c r="K54" i="44"/>
  <c r="J54" i="44"/>
  <c r="I54" i="44"/>
  <c r="C54" i="44"/>
  <c r="B54" i="44"/>
  <c r="A54" i="44"/>
  <c r="K53" i="44"/>
  <c r="J53" i="44"/>
  <c r="I53" i="44"/>
  <c r="C53" i="44"/>
  <c r="B53" i="44"/>
  <c r="A53" i="44"/>
  <c r="K52" i="44"/>
  <c r="J52" i="44"/>
  <c r="I52" i="44"/>
  <c r="C52" i="44"/>
  <c r="B52" i="44"/>
  <c r="A52" i="44"/>
  <c r="K51" i="44"/>
  <c r="J51" i="44"/>
  <c r="I51" i="44"/>
  <c r="C51" i="44"/>
  <c r="B51" i="44"/>
  <c r="A51" i="44"/>
  <c r="K50" i="44"/>
  <c r="J50" i="44"/>
  <c r="I50" i="44"/>
  <c r="C50" i="44"/>
  <c r="B50" i="44"/>
  <c r="A50" i="44"/>
  <c r="K49" i="44"/>
  <c r="J49" i="44"/>
  <c r="I49" i="44"/>
  <c r="C49" i="44"/>
  <c r="B49" i="44"/>
  <c r="A49" i="44"/>
  <c r="K48" i="44"/>
  <c r="J48" i="44"/>
  <c r="I48" i="44"/>
  <c r="C48" i="44"/>
  <c r="B48" i="44"/>
  <c r="A48" i="44"/>
  <c r="K47" i="44"/>
  <c r="J47" i="44"/>
  <c r="I47" i="44"/>
  <c r="C47" i="44"/>
  <c r="B47" i="44"/>
  <c r="A47" i="44"/>
  <c r="K46" i="44"/>
  <c r="J46" i="44"/>
  <c r="I46" i="44"/>
  <c r="C46" i="44"/>
  <c r="B46" i="44"/>
  <c r="A46" i="44"/>
  <c r="K45" i="44"/>
  <c r="J45" i="44"/>
  <c r="I45" i="44"/>
  <c r="C45" i="44"/>
  <c r="B45" i="44"/>
  <c r="A45" i="44"/>
  <c r="K44" i="44"/>
  <c r="J44" i="44"/>
  <c r="I44" i="44"/>
  <c r="C44" i="44"/>
  <c r="B44" i="44"/>
  <c r="A44" i="44"/>
  <c r="K43" i="44"/>
  <c r="J43" i="44"/>
  <c r="I43" i="44"/>
  <c r="C43" i="44"/>
  <c r="B43" i="44"/>
  <c r="A43" i="44"/>
  <c r="K42" i="44"/>
  <c r="J42" i="44"/>
  <c r="I42" i="44"/>
  <c r="C42" i="44"/>
  <c r="B42" i="44"/>
  <c r="A42" i="44"/>
  <c r="K41" i="44"/>
  <c r="J41" i="44"/>
  <c r="I41" i="44"/>
  <c r="C41" i="44"/>
  <c r="B41" i="44"/>
  <c r="A41" i="44"/>
  <c r="K40" i="44"/>
  <c r="J40" i="44"/>
  <c r="I40" i="44"/>
  <c r="C40" i="44"/>
  <c r="B40" i="44"/>
  <c r="A40" i="44"/>
  <c r="K39" i="44"/>
  <c r="J39" i="44"/>
  <c r="I39" i="44"/>
  <c r="C39" i="44"/>
  <c r="B39" i="44"/>
  <c r="A39" i="44"/>
  <c r="K38" i="44"/>
  <c r="J38" i="44"/>
  <c r="I38" i="44"/>
  <c r="C38" i="44"/>
  <c r="B38" i="44"/>
  <c r="A38" i="44"/>
  <c r="K37" i="44"/>
  <c r="J37" i="44"/>
  <c r="I37" i="44"/>
  <c r="C37" i="44"/>
  <c r="B37" i="44"/>
  <c r="A37" i="44"/>
  <c r="K36" i="44"/>
  <c r="J36" i="44"/>
  <c r="I36" i="44"/>
  <c r="C36" i="44"/>
  <c r="B36" i="44"/>
  <c r="A36" i="44"/>
  <c r="K35" i="44"/>
  <c r="J35" i="44"/>
  <c r="I35" i="44"/>
  <c r="C35" i="44"/>
  <c r="B35" i="44"/>
  <c r="A35" i="44"/>
  <c r="K34" i="44"/>
  <c r="J34" i="44"/>
  <c r="I34" i="44"/>
  <c r="C34" i="44"/>
  <c r="B34" i="44"/>
  <c r="A34" i="44"/>
  <c r="K33" i="44"/>
  <c r="J33" i="44"/>
  <c r="I33" i="44"/>
  <c r="C33" i="44"/>
  <c r="B33" i="44"/>
  <c r="A33" i="44"/>
  <c r="K32" i="44"/>
  <c r="J32" i="44"/>
  <c r="I32" i="44"/>
  <c r="C32" i="44"/>
  <c r="B32" i="44"/>
  <c r="A32" i="44"/>
  <c r="K31" i="44"/>
  <c r="J31" i="44"/>
  <c r="I31" i="44"/>
  <c r="C31" i="44"/>
  <c r="B31" i="44"/>
  <c r="A31" i="44"/>
  <c r="K30" i="44"/>
  <c r="J30" i="44"/>
  <c r="I30" i="44"/>
  <c r="C30" i="44"/>
  <c r="B30" i="44"/>
  <c r="A30" i="44"/>
  <c r="K29" i="44"/>
  <c r="J29" i="44"/>
  <c r="I29" i="44"/>
  <c r="C29" i="44"/>
  <c r="B29" i="44"/>
  <c r="A29" i="44"/>
  <c r="K28" i="44"/>
  <c r="J28" i="44"/>
  <c r="I28" i="44"/>
  <c r="C28" i="44"/>
  <c r="B28" i="44"/>
  <c r="A28" i="44"/>
  <c r="K27" i="44"/>
  <c r="J27" i="44"/>
  <c r="I27" i="44"/>
  <c r="C27" i="44"/>
  <c r="B27" i="44"/>
  <c r="A27" i="44"/>
  <c r="K26" i="44"/>
  <c r="J26" i="44"/>
  <c r="I26" i="44"/>
  <c r="C26" i="44"/>
  <c r="B26" i="44"/>
  <c r="A26" i="44"/>
  <c r="K25" i="44"/>
  <c r="J25" i="44"/>
  <c r="I25" i="44"/>
  <c r="C25" i="44"/>
  <c r="B25" i="44"/>
  <c r="A25" i="44"/>
  <c r="K24" i="44"/>
  <c r="J24" i="44"/>
  <c r="I24" i="44"/>
  <c r="C24" i="44"/>
  <c r="B24" i="44"/>
  <c r="A24" i="44"/>
  <c r="K23" i="44"/>
  <c r="J23" i="44"/>
  <c r="I23" i="44"/>
  <c r="C23" i="44"/>
  <c r="B23" i="44"/>
  <c r="A23" i="44"/>
  <c r="K22" i="44"/>
  <c r="J22" i="44"/>
  <c r="I22" i="44"/>
  <c r="C22" i="44"/>
  <c r="B22" i="44"/>
  <c r="A22" i="44"/>
  <c r="K21" i="44"/>
  <c r="J21" i="44"/>
  <c r="I21" i="44"/>
  <c r="C21" i="44"/>
  <c r="B21" i="44"/>
  <c r="A21" i="44"/>
  <c r="K20" i="44"/>
  <c r="J20" i="44"/>
  <c r="I20" i="44"/>
  <c r="C20" i="44"/>
  <c r="B20" i="44"/>
  <c r="A20" i="44"/>
  <c r="K19" i="44"/>
  <c r="J19" i="44"/>
  <c r="I19" i="44"/>
  <c r="C19" i="44"/>
  <c r="B19" i="44"/>
  <c r="A19" i="44"/>
  <c r="K18" i="44"/>
  <c r="J18" i="44"/>
  <c r="I18" i="44"/>
  <c r="C18" i="44"/>
  <c r="B18" i="44"/>
  <c r="A18" i="44"/>
  <c r="K17" i="44"/>
  <c r="J17" i="44"/>
  <c r="I17" i="44"/>
  <c r="C17" i="44"/>
  <c r="B17" i="44"/>
  <c r="A17" i="44"/>
  <c r="K16" i="44"/>
  <c r="J16" i="44"/>
  <c r="I16" i="44"/>
  <c r="C16" i="44"/>
  <c r="B16" i="44"/>
  <c r="A16" i="44"/>
  <c r="K15" i="44"/>
  <c r="J15" i="44"/>
  <c r="I15" i="44"/>
  <c r="C15" i="44"/>
  <c r="B15" i="44"/>
  <c r="A15" i="44"/>
  <c r="K14" i="44"/>
  <c r="J14" i="44"/>
  <c r="I14" i="44"/>
  <c r="C14" i="44"/>
  <c r="B14" i="44"/>
  <c r="A14" i="44"/>
  <c r="K13" i="44"/>
  <c r="J13" i="44"/>
  <c r="I13" i="44"/>
  <c r="C13" i="44"/>
  <c r="B13" i="44"/>
  <c r="A13" i="44"/>
  <c r="K12" i="44"/>
  <c r="J12" i="44"/>
  <c r="I12" i="44"/>
  <c r="C12" i="44"/>
  <c r="B12" i="44"/>
  <c r="A12" i="44"/>
  <c r="K11" i="44"/>
  <c r="J11" i="44"/>
  <c r="I11" i="44"/>
  <c r="C11" i="44"/>
  <c r="B11" i="44"/>
  <c r="A11" i="44"/>
  <c r="K10" i="44"/>
  <c r="J10" i="44"/>
  <c r="I10" i="44"/>
  <c r="C10" i="44"/>
  <c r="B10" i="44"/>
  <c r="A10" i="44"/>
  <c r="K9" i="44"/>
  <c r="J9" i="44"/>
  <c r="I9" i="44"/>
  <c r="C9" i="44"/>
  <c r="B9" i="44"/>
  <c r="A9" i="44"/>
  <c r="K8" i="44"/>
  <c r="J8" i="44"/>
  <c r="I8" i="44"/>
  <c r="C8" i="44"/>
  <c r="B8" i="44"/>
  <c r="A8" i="44"/>
  <c r="K7" i="44"/>
  <c r="J7" i="44"/>
  <c r="I7" i="44"/>
  <c r="C7" i="44"/>
  <c r="B7" i="44"/>
  <c r="A7" i="44"/>
  <c r="K6" i="44"/>
  <c r="J6" i="44"/>
  <c r="I6" i="44"/>
  <c r="C6" i="44"/>
  <c r="B6" i="44"/>
  <c r="A6" i="44"/>
  <c r="K5" i="44"/>
  <c r="J5" i="44"/>
  <c r="I5" i="44"/>
  <c r="C5" i="44"/>
  <c r="B5" i="44"/>
  <c r="A5" i="44"/>
  <c r="K4" i="44"/>
  <c r="J4" i="44"/>
  <c r="I4" i="44"/>
  <c r="C4" i="44"/>
  <c r="B4" i="44"/>
  <c r="A4" i="44"/>
  <c r="K3" i="44"/>
  <c r="J3" i="44"/>
  <c r="I3" i="44"/>
  <c r="C3" i="44"/>
  <c r="B3" i="44"/>
  <c r="A3" i="44"/>
  <c r="K2" i="44"/>
  <c r="J2" i="44"/>
  <c r="I2" i="44"/>
  <c r="C2" i="44"/>
  <c r="B2" i="44"/>
  <c r="A2" i="44"/>
  <c r="T1" i="44"/>
  <c r="K1" i="44"/>
  <c r="S1" i="44" s="1"/>
  <c r="J1" i="44"/>
  <c r="R1" i="44" s="1"/>
  <c r="I1" i="44"/>
  <c r="Q1" i="44" s="1"/>
  <c r="D1" i="44"/>
  <c r="C1" i="44"/>
  <c r="B1" i="44"/>
  <c r="A1" i="44"/>
  <c r="M145" i="43"/>
  <c r="J145" i="43"/>
  <c r="Q145" i="43" s="1"/>
  <c r="M144" i="43"/>
  <c r="J144" i="43"/>
  <c r="Q144" i="43" s="1"/>
  <c r="M143" i="43"/>
  <c r="J143" i="43"/>
  <c r="Q143" i="43" s="1"/>
  <c r="M142" i="43"/>
  <c r="J142" i="43"/>
  <c r="Q142" i="43" s="1"/>
  <c r="I142" i="43"/>
  <c r="P142" i="43" s="1"/>
  <c r="M141" i="43"/>
  <c r="J141" i="43"/>
  <c r="Q141" i="43" s="1"/>
  <c r="M140" i="43"/>
  <c r="J140" i="43"/>
  <c r="Q140" i="43" s="1"/>
  <c r="M139" i="43"/>
  <c r="J139" i="43"/>
  <c r="Q139" i="43" s="1"/>
  <c r="I139" i="43"/>
  <c r="P139" i="43" s="1"/>
  <c r="M138" i="43"/>
  <c r="J138" i="43"/>
  <c r="Q138" i="43" s="1"/>
  <c r="M137" i="43"/>
  <c r="J137" i="43"/>
  <c r="Q137" i="43" s="1"/>
  <c r="M136" i="43"/>
  <c r="J136" i="43"/>
  <c r="Q136" i="43" s="1"/>
  <c r="P135" i="43"/>
  <c r="M135" i="43"/>
  <c r="J135" i="43"/>
  <c r="Q135" i="43" s="1"/>
  <c r="M134" i="43"/>
  <c r="J134" i="43"/>
  <c r="Q134" i="43" s="1"/>
  <c r="M133" i="43"/>
  <c r="J133" i="43"/>
  <c r="Q133" i="43" s="1"/>
  <c r="D133" i="43"/>
  <c r="M132" i="43"/>
  <c r="J132" i="43"/>
  <c r="Q132" i="43" s="1"/>
  <c r="M131" i="43"/>
  <c r="K131" i="43"/>
  <c r="J131" i="43"/>
  <c r="Q131" i="43" s="1"/>
  <c r="M130" i="43"/>
  <c r="J130" i="43"/>
  <c r="Q130" i="43" s="1"/>
  <c r="I130" i="43"/>
  <c r="P130" i="43" s="1"/>
  <c r="M129" i="43"/>
  <c r="J129" i="43"/>
  <c r="Q129" i="43" s="1"/>
  <c r="M128" i="43"/>
  <c r="J128" i="43"/>
  <c r="Q128" i="43" s="1"/>
  <c r="I128" i="43"/>
  <c r="P128" i="43" s="1"/>
  <c r="M127" i="43"/>
  <c r="J127" i="43"/>
  <c r="Q127" i="43" s="1"/>
  <c r="M126" i="43"/>
  <c r="J126" i="43"/>
  <c r="Q126" i="43" s="1"/>
  <c r="M125" i="43"/>
  <c r="J125" i="43"/>
  <c r="Q125" i="43" s="1"/>
  <c r="M124" i="43"/>
  <c r="J124" i="43"/>
  <c r="Q124" i="43" s="1"/>
  <c r="M123" i="43"/>
  <c r="J123" i="43"/>
  <c r="Q123" i="43" s="1"/>
  <c r="M122" i="43"/>
  <c r="J122" i="43"/>
  <c r="Q122" i="43" s="1"/>
  <c r="A122" i="43"/>
  <c r="K121" i="43"/>
  <c r="J121" i="43"/>
  <c r="I121" i="43"/>
  <c r="A121" i="43"/>
  <c r="K120" i="43"/>
  <c r="K132" i="43" s="1"/>
  <c r="J120" i="43"/>
  <c r="I120" i="43"/>
  <c r="A120" i="43"/>
  <c r="K119" i="43"/>
  <c r="J119" i="43"/>
  <c r="I119" i="43"/>
  <c r="A119" i="43"/>
  <c r="K118" i="43"/>
  <c r="K130" i="43" s="1"/>
  <c r="K142" i="43" s="1"/>
  <c r="R142" i="43" s="1"/>
  <c r="J118" i="43"/>
  <c r="I118" i="43"/>
  <c r="A118" i="43"/>
  <c r="K117" i="43"/>
  <c r="J117" i="43"/>
  <c r="I117" i="43"/>
  <c r="A117" i="43"/>
  <c r="K116" i="43"/>
  <c r="J116" i="43"/>
  <c r="I116" i="43"/>
  <c r="C116" i="43"/>
  <c r="B116" i="43"/>
  <c r="A116" i="43"/>
  <c r="K115" i="43"/>
  <c r="J115" i="43"/>
  <c r="I115" i="43"/>
  <c r="C115" i="43"/>
  <c r="B115" i="43"/>
  <c r="A115" i="43"/>
  <c r="K114" i="43"/>
  <c r="J114" i="43"/>
  <c r="I114" i="43"/>
  <c r="C114" i="43"/>
  <c r="B114" i="43"/>
  <c r="A114" i="43"/>
  <c r="K113" i="43"/>
  <c r="J113" i="43"/>
  <c r="I113" i="43"/>
  <c r="C113" i="43"/>
  <c r="B113" i="43"/>
  <c r="A113" i="43"/>
  <c r="K112" i="43"/>
  <c r="K124" i="43" s="1"/>
  <c r="K136" i="43" s="1"/>
  <c r="R136" i="43" s="1"/>
  <c r="J112" i="43"/>
  <c r="I112" i="43"/>
  <c r="C112" i="43"/>
  <c r="B112" i="43"/>
  <c r="A112" i="43"/>
  <c r="K111" i="43"/>
  <c r="K123" i="43" s="1"/>
  <c r="J111" i="43"/>
  <c r="I111" i="43"/>
  <c r="C111" i="43"/>
  <c r="B111" i="43"/>
  <c r="A111" i="43"/>
  <c r="K110" i="43"/>
  <c r="K122" i="43" s="1"/>
  <c r="R122" i="43" s="1"/>
  <c r="J110" i="43"/>
  <c r="I110" i="43"/>
  <c r="C110" i="43"/>
  <c r="B110" i="43"/>
  <c r="A110" i="43"/>
  <c r="K109" i="43"/>
  <c r="J109" i="43"/>
  <c r="I109" i="43"/>
  <c r="C109" i="43"/>
  <c r="B109" i="43"/>
  <c r="A109" i="43"/>
  <c r="K108" i="43"/>
  <c r="J108" i="43"/>
  <c r="I108" i="43"/>
  <c r="C108" i="43"/>
  <c r="B108" i="43"/>
  <c r="A108" i="43"/>
  <c r="K107" i="43"/>
  <c r="J107" i="43"/>
  <c r="I107" i="43"/>
  <c r="C107" i="43"/>
  <c r="B107" i="43"/>
  <c r="A107" i="43"/>
  <c r="K106" i="43"/>
  <c r="J106" i="43"/>
  <c r="I106" i="43"/>
  <c r="C106" i="43"/>
  <c r="B106" i="43"/>
  <c r="A106" i="43"/>
  <c r="K105" i="43"/>
  <c r="J105" i="43"/>
  <c r="I105" i="43"/>
  <c r="C105" i="43"/>
  <c r="B105" i="43"/>
  <c r="A105" i="43"/>
  <c r="K104" i="43"/>
  <c r="J104" i="43"/>
  <c r="I104" i="43"/>
  <c r="C104" i="43"/>
  <c r="B104" i="43"/>
  <c r="A104" i="43"/>
  <c r="K103" i="43"/>
  <c r="J103" i="43"/>
  <c r="I103" i="43"/>
  <c r="C103" i="43"/>
  <c r="B103" i="43"/>
  <c r="A103" i="43"/>
  <c r="K102" i="43"/>
  <c r="J102" i="43"/>
  <c r="I102" i="43"/>
  <c r="C102" i="43"/>
  <c r="B102" i="43"/>
  <c r="A102" i="43"/>
  <c r="K101" i="43"/>
  <c r="J101" i="43"/>
  <c r="I101" i="43"/>
  <c r="C101" i="43"/>
  <c r="B101" i="43"/>
  <c r="A101" i="43"/>
  <c r="K100" i="43"/>
  <c r="J100" i="43"/>
  <c r="I100" i="43"/>
  <c r="C100" i="43"/>
  <c r="B100" i="43"/>
  <c r="A100" i="43"/>
  <c r="K99" i="43"/>
  <c r="J99" i="43"/>
  <c r="I99" i="43"/>
  <c r="C99" i="43"/>
  <c r="B99" i="43"/>
  <c r="A99" i="43"/>
  <c r="K98" i="43"/>
  <c r="J98" i="43"/>
  <c r="I98" i="43"/>
  <c r="C98" i="43"/>
  <c r="B98" i="43"/>
  <c r="A98" i="43"/>
  <c r="K97" i="43"/>
  <c r="J97" i="43"/>
  <c r="I97" i="43"/>
  <c r="C97" i="43"/>
  <c r="B97" i="43"/>
  <c r="A97" i="43"/>
  <c r="K96" i="43"/>
  <c r="J96" i="43"/>
  <c r="I96" i="43"/>
  <c r="C96" i="43"/>
  <c r="B96" i="43"/>
  <c r="A96" i="43"/>
  <c r="K95" i="43"/>
  <c r="J95" i="43"/>
  <c r="I95" i="43"/>
  <c r="I143" i="43" s="1"/>
  <c r="P143" i="43" s="1"/>
  <c r="C95" i="43"/>
  <c r="B95" i="43"/>
  <c r="A95" i="43"/>
  <c r="K94" i="43"/>
  <c r="J94" i="43"/>
  <c r="I94" i="43"/>
  <c r="C94" i="43"/>
  <c r="B94" i="43"/>
  <c r="A94" i="43"/>
  <c r="K93" i="43"/>
  <c r="J93" i="43"/>
  <c r="I93" i="43"/>
  <c r="C93" i="43"/>
  <c r="B93" i="43"/>
  <c r="A93" i="43"/>
  <c r="K92" i="43"/>
  <c r="J92" i="43"/>
  <c r="I92" i="43"/>
  <c r="I140" i="43" s="1"/>
  <c r="P140" i="43" s="1"/>
  <c r="C92" i="43"/>
  <c r="B92" i="43"/>
  <c r="A92" i="43"/>
  <c r="K91" i="43"/>
  <c r="J91" i="43"/>
  <c r="I91" i="43"/>
  <c r="C91" i="43"/>
  <c r="B91" i="43"/>
  <c r="A91" i="43"/>
  <c r="K90" i="43"/>
  <c r="J90" i="43"/>
  <c r="I90" i="43"/>
  <c r="I138" i="43" s="1"/>
  <c r="P138" i="43" s="1"/>
  <c r="C90" i="43"/>
  <c r="B90" i="43"/>
  <c r="A90" i="43"/>
  <c r="K89" i="43"/>
  <c r="J89" i="43"/>
  <c r="I89" i="43"/>
  <c r="I137" i="43" s="1"/>
  <c r="P137" i="43" s="1"/>
  <c r="C89" i="43"/>
  <c r="B89" i="43"/>
  <c r="A89" i="43"/>
  <c r="K88" i="43"/>
  <c r="J88" i="43"/>
  <c r="I88" i="43"/>
  <c r="I136" i="43" s="1"/>
  <c r="P136" i="43" s="1"/>
  <c r="C88" i="43"/>
  <c r="B88" i="43"/>
  <c r="A88" i="43"/>
  <c r="K87" i="43"/>
  <c r="J87" i="43"/>
  <c r="I87" i="43"/>
  <c r="I135" i="43" s="1"/>
  <c r="C87" i="43"/>
  <c r="B87" i="43"/>
  <c r="A87" i="43"/>
  <c r="K86" i="43"/>
  <c r="J86" i="43"/>
  <c r="I86" i="43"/>
  <c r="C86" i="43"/>
  <c r="B86" i="43"/>
  <c r="A86" i="43"/>
  <c r="K85" i="43"/>
  <c r="J85" i="43"/>
  <c r="I85" i="43"/>
  <c r="C85" i="43"/>
  <c r="B85" i="43"/>
  <c r="A85" i="43"/>
  <c r="K84" i="43"/>
  <c r="J84" i="43"/>
  <c r="I84" i="43"/>
  <c r="C84" i="43"/>
  <c r="B84" i="43"/>
  <c r="A84" i="43"/>
  <c r="K83" i="43"/>
  <c r="J83" i="43"/>
  <c r="I83" i="43"/>
  <c r="C83" i="43"/>
  <c r="B83" i="43"/>
  <c r="A83" i="43"/>
  <c r="K82" i="43"/>
  <c r="J82" i="43"/>
  <c r="I82" i="43"/>
  <c r="C82" i="43"/>
  <c r="B82" i="43"/>
  <c r="A82" i="43"/>
  <c r="K81" i="43"/>
  <c r="J81" i="43"/>
  <c r="I81" i="43"/>
  <c r="C81" i="43"/>
  <c r="B81" i="43"/>
  <c r="A81" i="43"/>
  <c r="K80" i="43"/>
  <c r="J80" i="43"/>
  <c r="I80" i="43"/>
  <c r="C80" i="43"/>
  <c r="B80" i="43"/>
  <c r="A80" i="43"/>
  <c r="K79" i="43"/>
  <c r="J79" i="43"/>
  <c r="I79" i="43"/>
  <c r="C79" i="43"/>
  <c r="B79" i="43"/>
  <c r="A79" i="43"/>
  <c r="K78" i="43"/>
  <c r="J78" i="43"/>
  <c r="I78" i="43"/>
  <c r="C78" i="43"/>
  <c r="B78" i="43"/>
  <c r="A78" i="43"/>
  <c r="K77" i="43"/>
  <c r="J77" i="43"/>
  <c r="I77" i="43"/>
  <c r="C77" i="43"/>
  <c r="B77" i="43"/>
  <c r="A77" i="43"/>
  <c r="K76" i="43"/>
  <c r="J76" i="43"/>
  <c r="I76" i="43"/>
  <c r="I124" i="43" s="1"/>
  <c r="P124" i="43" s="1"/>
  <c r="C76" i="43"/>
  <c r="B76" i="43"/>
  <c r="A76" i="43"/>
  <c r="K75" i="43"/>
  <c r="J75" i="43"/>
  <c r="I75" i="43"/>
  <c r="I123" i="43" s="1"/>
  <c r="P123" i="43" s="1"/>
  <c r="C75" i="43"/>
  <c r="B75" i="43"/>
  <c r="A75" i="43"/>
  <c r="K74" i="43"/>
  <c r="J74" i="43"/>
  <c r="I74" i="43"/>
  <c r="C74" i="43"/>
  <c r="B74" i="43"/>
  <c r="A74" i="43"/>
  <c r="K73" i="43"/>
  <c r="J73" i="43"/>
  <c r="I73" i="43"/>
  <c r="C73" i="43"/>
  <c r="B73" i="43"/>
  <c r="A73" i="43"/>
  <c r="K72" i="43"/>
  <c r="J72" i="43"/>
  <c r="I72" i="43"/>
  <c r="C72" i="43"/>
  <c r="B72" i="43"/>
  <c r="A72" i="43"/>
  <c r="K71" i="43"/>
  <c r="J71" i="43"/>
  <c r="I71" i="43"/>
  <c r="C71" i="43"/>
  <c r="B71" i="43"/>
  <c r="A71" i="43"/>
  <c r="K70" i="43"/>
  <c r="J70" i="43"/>
  <c r="I70" i="43"/>
  <c r="C70" i="43"/>
  <c r="B70" i="43"/>
  <c r="A70" i="43"/>
  <c r="K69" i="43"/>
  <c r="J69" i="43"/>
  <c r="I69" i="43"/>
  <c r="C69" i="43"/>
  <c r="B69" i="43"/>
  <c r="A69" i="43"/>
  <c r="K68" i="43"/>
  <c r="J68" i="43"/>
  <c r="I68" i="43"/>
  <c r="C68" i="43"/>
  <c r="B68" i="43"/>
  <c r="A68" i="43"/>
  <c r="K67" i="43"/>
  <c r="J67" i="43"/>
  <c r="I67" i="43"/>
  <c r="C67" i="43"/>
  <c r="B67" i="43"/>
  <c r="A67" i="43"/>
  <c r="K66" i="43"/>
  <c r="J66" i="43"/>
  <c r="I66" i="43"/>
  <c r="C66" i="43"/>
  <c r="B66" i="43"/>
  <c r="A66" i="43"/>
  <c r="K65" i="43"/>
  <c r="J65" i="43"/>
  <c r="I65" i="43"/>
  <c r="C65" i="43"/>
  <c r="B65" i="43"/>
  <c r="A65" i="43"/>
  <c r="K64" i="43"/>
  <c r="J64" i="43"/>
  <c r="I64" i="43"/>
  <c r="C64" i="43"/>
  <c r="B64" i="43"/>
  <c r="A64" i="43"/>
  <c r="K63" i="43"/>
  <c r="J63" i="43"/>
  <c r="I63" i="43"/>
  <c r="C63" i="43"/>
  <c r="B63" i="43"/>
  <c r="A63" i="43"/>
  <c r="K62" i="43"/>
  <c r="J62" i="43"/>
  <c r="I62" i="43"/>
  <c r="C62" i="43"/>
  <c r="B62" i="43"/>
  <c r="A62" i="43"/>
  <c r="K61" i="43"/>
  <c r="J61" i="43"/>
  <c r="I61" i="43"/>
  <c r="C61" i="43"/>
  <c r="B61" i="43"/>
  <c r="A61" i="43"/>
  <c r="K60" i="43"/>
  <c r="J60" i="43"/>
  <c r="I60" i="43"/>
  <c r="C60" i="43"/>
  <c r="B60" i="43"/>
  <c r="A60" i="43"/>
  <c r="K59" i="43"/>
  <c r="J59" i="43"/>
  <c r="I59" i="43"/>
  <c r="C59" i="43"/>
  <c r="B59" i="43"/>
  <c r="A59" i="43"/>
  <c r="K58" i="43"/>
  <c r="J58" i="43"/>
  <c r="I58" i="43"/>
  <c r="C58" i="43"/>
  <c r="B58" i="43"/>
  <c r="A58" i="43"/>
  <c r="K57" i="43"/>
  <c r="J57" i="43"/>
  <c r="I57" i="43"/>
  <c r="C57" i="43"/>
  <c r="B57" i="43"/>
  <c r="A57" i="43"/>
  <c r="K56" i="43"/>
  <c r="J56" i="43"/>
  <c r="I56" i="43"/>
  <c r="C56" i="43"/>
  <c r="B56" i="43"/>
  <c r="A56" i="43"/>
  <c r="K55" i="43"/>
  <c r="J55" i="43"/>
  <c r="I55" i="43"/>
  <c r="C55" i="43"/>
  <c r="B55" i="43"/>
  <c r="A55" i="43"/>
  <c r="K54" i="43"/>
  <c r="J54" i="43"/>
  <c r="I54" i="43"/>
  <c r="C54" i="43"/>
  <c r="B54" i="43"/>
  <c r="A54" i="43"/>
  <c r="K53" i="43"/>
  <c r="J53" i="43"/>
  <c r="I53" i="43"/>
  <c r="C53" i="43"/>
  <c r="B53" i="43"/>
  <c r="A53" i="43"/>
  <c r="K52" i="43"/>
  <c r="J52" i="43"/>
  <c r="I52" i="43"/>
  <c r="C52" i="43"/>
  <c r="B52" i="43"/>
  <c r="A52" i="43"/>
  <c r="K51" i="43"/>
  <c r="J51" i="43"/>
  <c r="I51" i="43"/>
  <c r="C51" i="43"/>
  <c r="B51" i="43"/>
  <c r="A51" i="43"/>
  <c r="K50" i="43"/>
  <c r="J50" i="43"/>
  <c r="I50" i="43"/>
  <c r="C50" i="43"/>
  <c r="B50" i="43"/>
  <c r="A50" i="43"/>
  <c r="K49" i="43"/>
  <c r="J49" i="43"/>
  <c r="I49" i="43"/>
  <c r="C49" i="43"/>
  <c r="B49" i="43"/>
  <c r="A49" i="43"/>
  <c r="K48" i="43"/>
  <c r="J48" i="43"/>
  <c r="I48" i="43"/>
  <c r="C48" i="43"/>
  <c r="B48" i="43"/>
  <c r="A48" i="43"/>
  <c r="K47" i="43"/>
  <c r="J47" i="43"/>
  <c r="I47" i="43"/>
  <c r="C47" i="43"/>
  <c r="B47" i="43"/>
  <c r="A47" i="43"/>
  <c r="K46" i="43"/>
  <c r="J46" i="43"/>
  <c r="I46" i="43"/>
  <c r="C46" i="43"/>
  <c r="B46" i="43"/>
  <c r="A46" i="43"/>
  <c r="K45" i="43"/>
  <c r="J45" i="43"/>
  <c r="I45" i="43"/>
  <c r="C45" i="43"/>
  <c r="B45" i="43"/>
  <c r="A45" i="43"/>
  <c r="K44" i="43"/>
  <c r="J44" i="43"/>
  <c r="I44" i="43"/>
  <c r="C44" i="43"/>
  <c r="B44" i="43"/>
  <c r="A44" i="43"/>
  <c r="K43" i="43"/>
  <c r="J43" i="43"/>
  <c r="I43" i="43"/>
  <c r="C43" i="43"/>
  <c r="B43" i="43"/>
  <c r="A43" i="43"/>
  <c r="K42" i="43"/>
  <c r="J42" i="43"/>
  <c r="I42" i="43"/>
  <c r="C42" i="43"/>
  <c r="B42" i="43"/>
  <c r="A42" i="43"/>
  <c r="K41" i="43"/>
  <c r="J41" i="43"/>
  <c r="I41" i="43"/>
  <c r="C41" i="43"/>
  <c r="B41" i="43"/>
  <c r="A41" i="43"/>
  <c r="K40" i="43"/>
  <c r="J40" i="43"/>
  <c r="I40" i="43"/>
  <c r="C40" i="43"/>
  <c r="B40" i="43"/>
  <c r="A40" i="43"/>
  <c r="K39" i="43"/>
  <c r="J39" i="43"/>
  <c r="I39" i="43"/>
  <c r="C39" i="43"/>
  <c r="B39" i="43"/>
  <c r="A39" i="43"/>
  <c r="K38" i="43"/>
  <c r="J38" i="43"/>
  <c r="I38" i="43"/>
  <c r="C38" i="43"/>
  <c r="B38" i="43"/>
  <c r="A38" i="43"/>
  <c r="K37" i="43"/>
  <c r="J37" i="43"/>
  <c r="I37" i="43"/>
  <c r="C37" i="43"/>
  <c r="B37" i="43"/>
  <c r="A37" i="43"/>
  <c r="K36" i="43"/>
  <c r="J36" i="43"/>
  <c r="I36" i="43"/>
  <c r="C36" i="43"/>
  <c r="B36" i="43"/>
  <c r="A36" i="43"/>
  <c r="K35" i="43"/>
  <c r="J35" i="43"/>
  <c r="I35" i="43"/>
  <c r="C35" i="43"/>
  <c r="B35" i="43"/>
  <c r="A35" i="43"/>
  <c r="K34" i="43"/>
  <c r="J34" i="43"/>
  <c r="I34" i="43"/>
  <c r="C34" i="43"/>
  <c r="B34" i="43"/>
  <c r="A34" i="43"/>
  <c r="K33" i="43"/>
  <c r="J33" i="43"/>
  <c r="I33" i="43"/>
  <c r="C33" i="43"/>
  <c r="B33" i="43"/>
  <c r="A33" i="43"/>
  <c r="K32" i="43"/>
  <c r="J32" i="43"/>
  <c r="I32" i="43"/>
  <c r="C32" i="43"/>
  <c r="B32" i="43"/>
  <c r="A32" i="43"/>
  <c r="K31" i="43"/>
  <c r="J31" i="43"/>
  <c r="I31" i="43"/>
  <c r="C31" i="43"/>
  <c r="B31" i="43"/>
  <c r="A31" i="43"/>
  <c r="K30" i="43"/>
  <c r="J30" i="43"/>
  <c r="I30" i="43"/>
  <c r="C30" i="43"/>
  <c r="B30" i="43"/>
  <c r="A30" i="43"/>
  <c r="K29" i="43"/>
  <c r="J29" i="43"/>
  <c r="I29" i="43"/>
  <c r="C29" i="43"/>
  <c r="B29" i="43"/>
  <c r="A29" i="43"/>
  <c r="K28" i="43"/>
  <c r="J28" i="43"/>
  <c r="I28" i="43"/>
  <c r="C28" i="43"/>
  <c r="B28" i="43"/>
  <c r="A28" i="43"/>
  <c r="K27" i="43"/>
  <c r="J27" i="43"/>
  <c r="I27" i="43"/>
  <c r="C27" i="43"/>
  <c r="B27" i="43"/>
  <c r="A27" i="43"/>
  <c r="K26" i="43"/>
  <c r="J26" i="43"/>
  <c r="I26" i="43"/>
  <c r="C26" i="43"/>
  <c r="B26" i="43"/>
  <c r="A26" i="43"/>
  <c r="K25" i="43"/>
  <c r="J25" i="43"/>
  <c r="I25" i="43"/>
  <c r="C25" i="43"/>
  <c r="B25" i="43"/>
  <c r="A25" i="43"/>
  <c r="K24" i="43"/>
  <c r="J24" i="43"/>
  <c r="I24" i="43"/>
  <c r="C24" i="43"/>
  <c r="B24" i="43"/>
  <c r="A24" i="43"/>
  <c r="K23" i="43"/>
  <c r="J23" i="43"/>
  <c r="I23" i="43"/>
  <c r="C23" i="43"/>
  <c r="B23" i="43"/>
  <c r="A23" i="43"/>
  <c r="K22" i="43"/>
  <c r="J22" i="43"/>
  <c r="I22" i="43"/>
  <c r="C22" i="43"/>
  <c r="B22" i="43"/>
  <c r="A22" i="43"/>
  <c r="K21" i="43"/>
  <c r="J21" i="43"/>
  <c r="I21" i="43"/>
  <c r="C21" i="43"/>
  <c r="B21" i="43"/>
  <c r="A21" i="43"/>
  <c r="K20" i="43"/>
  <c r="J20" i="43"/>
  <c r="I20" i="43"/>
  <c r="C20" i="43"/>
  <c r="B20" i="43"/>
  <c r="A20" i="43"/>
  <c r="K19" i="43"/>
  <c r="J19" i="43"/>
  <c r="I19" i="43"/>
  <c r="C19" i="43"/>
  <c r="B19" i="43"/>
  <c r="A19" i="43"/>
  <c r="K18" i="43"/>
  <c r="J18" i="43"/>
  <c r="I18" i="43"/>
  <c r="C18" i="43"/>
  <c r="B18" i="43"/>
  <c r="A18" i="43"/>
  <c r="K17" i="43"/>
  <c r="J17" i="43"/>
  <c r="I17" i="43"/>
  <c r="C17" i="43"/>
  <c r="B17" i="43"/>
  <c r="A17" i="43"/>
  <c r="K16" i="43"/>
  <c r="J16" i="43"/>
  <c r="I16" i="43"/>
  <c r="C16" i="43"/>
  <c r="B16" i="43"/>
  <c r="A16" i="43"/>
  <c r="K15" i="43"/>
  <c r="J15" i="43"/>
  <c r="I15" i="43"/>
  <c r="C15" i="43"/>
  <c r="B15" i="43"/>
  <c r="A15" i="43"/>
  <c r="K14" i="43"/>
  <c r="J14" i="43"/>
  <c r="I14" i="43"/>
  <c r="C14" i="43"/>
  <c r="B14" i="43"/>
  <c r="A14" i="43"/>
  <c r="K13" i="43"/>
  <c r="J13" i="43"/>
  <c r="I13" i="43"/>
  <c r="C13" i="43"/>
  <c r="B13" i="43"/>
  <c r="A13" i="43"/>
  <c r="K12" i="43"/>
  <c r="J12" i="43"/>
  <c r="I12" i="43"/>
  <c r="C12" i="43"/>
  <c r="B12" i="43"/>
  <c r="A12" i="43"/>
  <c r="K11" i="43"/>
  <c r="J11" i="43"/>
  <c r="I11" i="43"/>
  <c r="C11" i="43"/>
  <c r="B11" i="43"/>
  <c r="A11" i="43"/>
  <c r="K10" i="43"/>
  <c r="J10" i="43"/>
  <c r="I10" i="43"/>
  <c r="C10" i="43"/>
  <c r="B10" i="43"/>
  <c r="A10" i="43"/>
  <c r="K9" i="43"/>
  <c r="J9" i="43"/>
  <c r="I9" i="43"/>
  <c r="C9" i="43"/>
  <c r="B9" i="43"/>
  <c r="A9" i="43"/>
  <c r="K8" i="43"/>
  <c r="J8" i="43"/>
  <c r="I8" i="43"/>
  <c r="C8" i="43"/>
  <c r="B8" i="43"/>
  <c r="A8" i="43"/>
  <c r="K7" i="43"/>
  <c r="J7" i="43"/>
  <c r="I7" i="43"/>
  <c r="C7" i="43"/>
  <c r="B7" i="43"/>
  <c r="A7" i="43"/>
  <c r="K6" i="43"/>
  <c r="J6" i="43"/>
  <c r="I6" i="43"/>
  <c r="C6" i="43"/>
  <c r="B6" i="43"/>
  <c r="A6" i="43"/>
  <c r="K5" i="43"/>
  <c r="J5" i="43"/>
  <c r="I5" i="43"/>
  <c r="C5" i="43"/>
  <c r="B5" i="43"/>
  <c r="A5" i="43"/>
  <c r="K4" i="43"/>
  <c r="J4" i="43"/>
  <c r="I4" i="43"/>
  <c r="C4" i="43"/>
  <c r="B4" i="43"/>
  <c r="A4" i="43"/>
  <c r="K3" i="43"/>
  <c r="J3" i="43"/>
  <c r="I3" i="43"/>
  <c r="C3" i="43"/>
  <c r="B3" i="43"/>
  <c r="A3" i="43"/>
  <c r="K2" i="43"/>
  <c r="J2" i="43"/>
  <c r="I2" i="43"/>
  <c r="C2" i="43"/>
  <c r="B2" i="43"/>
  <c r="A2" i="43"/>
  <c r="K1" i="43"/>
  <c r="R1" i="43" s="1"/>
  <c r="J1" i="43"/>
  <c r="Q1" i="43" s="1"/>
  <c r="I1" i="43"/>
  <c r="P1" i="43" s="1"/>
  <c r="D1" i="43"/>
  <c r="C1" i="43"/>
  <c r="B1" i="43"/>
  <c r="A1" i="43"/>
  <c r="K123" i="32"/>
  <c r="K135" i="32" s="1"/>
  <c r="T135" i="32" s="1"/>
  <c r="K124" i="32"/>
  <c r="K136" i="32" s="1"/>
  <c r="T136" i="32" s="1"/>
  <c r="K125" i="32"/>
  <c r="T125" i="32" s="1"/>
  <c r="K126" i="32"/>
  <c r="T126" i="32" s="1"/>
  <c r="T5" i="32"/>
  <c r="T8" i="32"/>
  <c r="T9" i="32"/>
  <c r="T11" i="32"/>
  <c r="T12" i="32"/>
  <c r="T18" i="32"/>
  <c r="T21" i="32"/>
  <c r="T24" i="32"/>
  <c r="T31" i="32"/>
  <c r="T34" i="32"/>
  <c r="T37" i="32"/>
  <c r="T40" i="32"/>
  <c r="T41" i="32"/>
  <c r="T43" i="32"/>
  <c r="T44" i="32"/>
  <c r="T50" i="32"/>
  <c r="T53" i="32"/>
  <c r="T56" i="32"/>
  <c r="T63" i="32"/>
  <c r="T66" i="32"/>
  <c r="T69" i="32"/>
  <c r="T72" i="32"/>
  <c r="T73" i="32"/>
  <c r="T75" i="32"/>
  <c r="T76" i="32"/>
  <c r="T82" i="32"/>
  <c r="T85" i="32"/>
  <c r="T88" i="32"/>
  <c r="T95" i="32"/>
  <c r="T98" i="32"/>
  <c r="T101" i="32"/>
  <c r="T104" i="32"/>
  <c r="T105" i="32"/>
  <c r="T107" i="32"/>
  <c r="T114" i="32"/>
  <c r="T117" i="32"/>
  <c r="T120" i="32"/>
  <c r="T2" i="32"/>
  <c r="K2" i="32"/>
  <c r="K3" i="32"/>
  <c r="T3" i="32" s="1"/>
  <c r="K4" i="32"/>
  <c r="T4" i="32" s="1"/>
  <c r="K5" i="32"/>
  <c r="K6" i="32"/>
  <c r="T6" i="32" s="1"/>
  <c r="K7" i="32"/>
  <c r="T7" i="32" s="1"/>
  <c r="K8" i="32"/>
  <c r="K9" i="32"/>
  <c r="K10" i="32"/>
  <c r="T10" i="32" s="1"/>
  <c r="K11" i="32"/>
  <c r="K12" i="32"/>
  <c r="K13" i="32"/>
  <c r="T13" i="32" s="1"/>
  <c r="K14" i="32"/>
  <c r="T14" i="32" s="1"/>
  <c r="K15" i="32"/>
  <c r="T15" i="32" s="1"/>
  <c r="K16" i="32"/>
  <c r="T16" i="32" s="1"/>
  <c r="K17" i="32"/>
  <c r="T17" i="32" s="1"/>
  <c r="K18" i="32"/>
  <c r="K19" i="32"/>
  <c r="T19" i="32" s="1"/>
  <c r="K20" i="32"/>
  <c r="T20" i="32" s="1"/>
  <c r="K21" i="32"/>
  <c r="K22" i="32"/>
  <c r="T22" i="32" s="1"/>
  <c r="K23" i="32"/>
  <c r="T23" i="32" s="1"/>
  <c r="K24" i="32"/>
  <c r="K25" i="32"/>
  <c r="T25" i="32" s="1"/>
  <c r="K26" i="32"/>
  <c r="T26" i="32" s="1"/>
  <c r="K27" i="32"/>
  <c r="T27" i="32" s="1"/>
  <c r="K28" i="32"/>
  <c r="T28" i="32" s="1"/>
  <c r="K29" i="32"/>
  <c r="T29" i="32" s="1"/>
  <c r="K30" i="32"/>
  <c r="T30" i="32" s="1"/>
  <c r="K31" i="32"/>
  <c r="K32" i="32"/>
  <c r="T32" i="32" s="1"/>
  <c r="K33" i="32"/>
  <c r="T33" i="32" s="1"/>
  <c r="K34" i="32"/>
  <c r="K35" i="32"/>
  <c r="T35" i="32" s="1"/>
  <c r="K36" i="32"/>
  <c r="T36" i="32" s="1"/>
  <c r="K37" i="32"/>
  <c r="K38" i="32"/>
  <c r="T38" i="32" s="1"/>
  <c r="K39" i="32"/>
  <c r="T39" i="32" s="1"/>
  <c r="K40" i="32"/>
  <c r="K41" i="32"/>
  <c r="K42" i="32"/>
  <c r="T42" i="32" s="1"/>
  <c r="K43" i="32"/>
  <c r="K44" i="32"/>
  <c r="K45" i="32"/>
  <c r="T45" i="32" s="1"/>
  <c r="K46" i="32"/>
  <c r="T46" i="32" s="1"/>
  <c r="K47" i="32"/>
  <c r="T47" i="32" s="1"/>
  <c r="K48" i="32"/>
  <c r="T48" i="32" s="1"/>
  <c r="K49" i="32"/>
  <c r="T49" i="32" s="1"/>
  <c r="K50" i="32"/>
  <c r="K51" i="32"/>
  <c r="T51" i="32" s="1"/>
  <c r="K52" i="32"/>
  <c r="T52" i="32" s="1"/>
  <c r="K53" i="32"/>
  <c r="K54" i="32"/>
  <c r="T54" i="32" s="1"/>
  <c r="K55" i="32"/>
  <c r="T55" i="32" s="1"/>
  <c r="K56" i="32"/>
  <c r="K57" i="32"/>
  <c r="T57" i="32" s="1"/>
  <c r="K58" i="32"/>
  <c r="T58" i="32" s="1"/>
  <c r="K59" i="32"/>
  <c r="T59" i="32" s="1"/>
  <c r="K60" i="32"/>
  <c r="T60" i="32" s="1"/>
  <c r="K61" i="32"/>
  <c r="T61" i="32" s="1"/>
  <c r="K62" i="32"/>
  <c r="T62" i="32" s="1"/>
  <c r="K63" i="32"/>
  <c r="K64" i="32"/>
  <c r="T64" i="32" s="1"/>
  <c r="K65" i="32"/>
  <c r="T65" i="32" s="1"/>
  <c r="K66" i="32"/>
  <c r="K67" i="32"/>
  <c r="T67" i="32" s="1"/>
  <c r="K68" i="32"/>
  <c r="T68" i="32" s="1"/>
  <c r="K69" i="32"/>
  <c r="K70" i="32"/>
  <c r="T70" i="32" s="1"/>
  <c r="K71" i="32"/>
  <c r="T71" i="32" s="1"/>
  <c r="K72" i="32"/>
  <c r="K73" i="32"/>
  <c r="K74" i="32"/>
  <c r="T74" i="32" s="1"/>
  <c r="K75" i="32"/>
  <c r="K76" i="32"/>
  <c r="K77" i="32"/>
  <c r="T77" i="32" s="1"/>
  <c r="K78" i="32"/>
  <c r="T78" i="32" s="1"/>
  <c r="K79" i="32"/>
  <c r="T79" i="32" s="1"/>
  <c r="K80" i="32"/>
  <c r="T80" i="32" s="1"/>
  <c r="K81" i="32"/>
  <c r="T81" i="32" s="1"/>
  <c r="K82" i="32"/>
  <c r="K83" i="32"/>
  <c r="T83" i="32" s="1"/>
  <c r="K84" i="32"/>
  <c r="T84" i="32" s="1"/>
  <c r="K85" i="32"/>
  <c r="K86" i="32"/>
  <c r="T86" i="32" s="1"/>
  <c r="K87" i="32"/>
  <c r="T87" i="32" s="1"/>
  <c r="K88" i="32"/>
  <c r="K89" i="32"/>
  <c r="T89" i="32" s="1"/>
  <c r="K90" i="32"/>
  <c r="T90" i="32" s="1"/>
  <c r="K91" i="32"/>
  <c r="T91" i="32" s="1"/>
  <c r="K92" i="32"/>
  <c r="T92" i="32" s="1"/>
  <c r="K93" i="32"/>
  <c r="T93" i="32" s="1"/>
  <c r="K94" i="32"/>
  <c r="T94" i="32" s="1"/>
  <c r="K95" i="32"/>
  <c r="K96" i="32"/>
  <c r="T96" i="32" s="1"/>
  <c r="K97" i="32"/>
  <c r="T97" i="32" s="1"/>
  <c r="K98" i="32"/>
  <c r="K99" i="32"/>
  <c r="T99" i="32" s="1"/>
  <c r="K100" i="32"/>
  <c r="T100" i="32" s="1"/>
  <c r="K101" i="32"/>
  <c r="K102" i="32"/>
  <c r="T102" i="32" s="1"/>
  <c r="K103" i="32"/>
  <c r="T103" i="32" s="1"/>
  <c r="K104" i="32"/>
  <c r="K105" i="32"/>
  <c r="K106" i="32"/>
  <c r="T106" i="32" s="1"/>
  <c r="K107" i="32"/>
  <c r="K108" i="32"/>
  <c r="T108" i="32" s="1"/>
  <c r="K109" i="32"/>
  <c r="T109" i="32" s="1"/>
  <c r="K110" i="32"/>
  <c r="K122" i="32" s="1"/>
  <c r="K111" i="32"/>
  <c r="T111" i="32" s="1"/>
  <c r="K112" i="32"/>
  <c r="T112" i="32" s="1"/>
  <c r="K113" i="32"/>
  <c r="T113" i="32" s="1"/>
  <c r="K114" i="32"/>
  <c r="K115" i="32"/>
  <c r="K127" i="32" s="1"/>
  <c r="K139" i="32" s="1"/>
  <c r="T139" i="32" s="1"/>
  <c r="K116" i="32"/>
  <c r="K128" i="32" s="1"/>
  <c r="K117" i="32"/>
  <c r="K129" i="32" s="1"/>
  <c r="K141" i="32" s="1"/>
  <c r="T141" i="32" s="1"/>
  <c r="K118" i="32"/>
  <c r="T118" i="32" s="1"/>
  <c r="K119" i="32"/>
  <c r="T119" i="32" s="1"/>
  <c r="K120" i="32"/>
  <c r="K132" i="32" s="1"/>
  <c r="T132" i="32" s="1"/>
  <c r="K121" i="32"/>
  <c r="K133" i="32" s="1"/>
  <c r="T133" i="32" s="1"/>
  <c r="K1" i="32"/>
  <c r="T1" i="32" s="1"/>
  <c r="T4" i="29"/>
  <c r="T5" i="29"/>
  <c r="T8" i="29"/>
  <c r="T9" i="29"/>
  <c r="T15" i="29"/>
  <c r="T20" i="29"/>
  <c r="T21" i="29"/>
  <c r="T24" i="29"/>
  <c r="T25" i="29"/>
  <c r="T31" i="29"/>
  <c r="T32" i="29"/>
  <c r="T36" i="29"/>
  <c r="T37" i="29"/>
  <c r="T40" i="29"/>
  <c r="T41" i="29"/>
  <c r="T47" i="29"/>
  <c r="T48" i="29"/>
  <c r="T49" i="29"/>
  <c r="T50" i="29"/>
  <c r="T51" i="29"/>
  <c r="T52" i="29"/>
  <c r="T53" i="29"/>
  <c r="T56" i="29"/>
  <c r="T57" i="29"/>
  <c r="T63" i="29"/>
  <c r="T68" i="29"/>
  <c r="T69" i="29"/>
  <c r="T72" i="29"/>
  <c r="T73" i="29"/>
  <c r="T79" i="29"/>
  <c r="T80" i="29"/>
  <c r="T81" i="29"/>
  <c r="T82" i="29"/>
  <c r="T83" i="29"/>
  <c r="T84" i="29"/>
  <c r="T85" i="29"/>
  <c r="T88" i="29"/>
  <c r="T89" i="29"/>
  <c r="T95" i="29"/>
  <c r="T96" i="29"/>
  <c r="T97" i="29"/>
  <c r="T100" i="29"/>
  <c r="T101" i="29"/>
  <c r="T104" i="29"/>
  <c r="T105" i="29"/>
  <c r="T111" i="29"/>
  <c r="T112" i="29"/>
  <c r="T113" i="29"/>
  <c r="T114" i="29"/>
  <c r="T115" i="29"/>
  <c r="T116" i="29"/>
  <c r="T117" i="29"/>
  <c r="T120" i="29"/>
  <c r="T121" i="29"/>
  <c r="T1" i="29"/>
  <c r="K2" i="29"/>
  <c r="T2" i="29" s="1"/>
  <c r="K3" i="29"/>
  <c r="T3" i="29" s="1"/>
  <c r="K4" i="29"/>
  <c r="K5" i="29"/>
  <c r="K6" i="29"/>
  <c r="T6" i="29" s="1"/>
  <c r="K7" i="29"/>
  <c r="T7" i="29" s="1"/>
  <c r="K8" i="29"/>
  <c r="K9" i="29"/>
  <c r="K10" i="29"/>
  <c r="T10" i="29" s="1"/>
  <c r="K11" i="29"/>
  <c r="T11" i="29" s="1"/>
  <c r="K12" i="29"/>
  <c r="T12" i="29" s="1"/>
  <c r="K13" i="29"/>
  <c r="T13" i="29" s="1"/>
  <c r="K14" i="29"/>
  <c r="T14" i="29" s="1"/>
  <c r="K15" i="29"/>
  <c r="K16" i="29"/>
  <c r="T16" i="29" s="1"/>
  <c r="K17" i="29"/>
  <c r="T17" i="29" s="1"/>
  <c r="K18" i="29"/>
  <c r="T18" i="29" s="1"/>
  <c r="K19" i="29"/>
  <c r="T19" i="29" s="1"/>
  <c r="K20" i="29"/>
  <c r="K21" i="29"/>
  <c r="K22" i="29"/>
  <c r="T22" i="29" s="1"/>
  <c r="K23" i="29"/>
  <c r="T23" i="29" s="1"/>
  <c r="K24" i="29"/>
  <c r="K25" i="29"/>
  <c r="K26" i="29"/>
  <c r="T26" i="29" s="1"/>
  <c r="K27" i="29"/>
  <c r="T27" i="29" s="1"/>
  <c r="K28" i="29"/>
  <c r="T28" i="29" s="1"/>
  <c r="K29" i="29"/>
  <c r="T29" i="29" s="1"/>
  <c r="K30" i="29"/>
  <c r="T30" i="29" s="1"/>
  <c r="K31" i="29"/>
  <c r="K32" i="29"/>
  <c r="K33" i="29"/>
  <c r="T33" i="29" s="1"/>
  <c r="K34" i="29"/>
  <c r="T34" i="29" s="1"/>
  <c r="K35" i="29"/>
  <c r="T35" i="29" s="1"/>
  <c r="K36" i="29"/>
  <c r="K37" i="29"/>
  <c r="K38" i="29"/>
  <c r="T38" i="29" s="1"/>
  <c r="K39" i="29"/>
  <c r="T39" i="29" s="1"/>
  <c r="K40" i="29"/>
  <c r="K41" i="29"/>
  <c r="K42" i="29"/>
  <c r="T42" i="29" s="1"/>
  <c r="K43" i="29"/>
  <c r="T43" i="29" s="1"/>
  <c r="K44" i="29"/>
  <c r="T44" i="29" s="1"/>
  <c r="K45" i="29"/>
  <c r="T45" i="29" s="1"/>
  <c r="K46" i="29"/>
  <c r="T46" i="29" s="1"/>
  <c r="K47" i="29"/>
  <c r="K48" i="29"/>
  <c r="K49" i="29"/>
  <c r="K50" i="29"/>
  <c r="K51" i="29"/>
  <c r="K52" i="29"/>
  <c r="K53" i="29"/>
  <c r="K54" i="29"/>
  <c r="T54" i="29" s="1"/>
  <c r="K55" i="29"/>
  <c r="T55" i="29" s="1"/>
  <c r="K56" i="29"/>
  <c r="K57" i="29"/>
  <c r="K58" i="29"/>
  <c r="T58" i="29" s="1"/>
  <c r="K59" i="29"/>
  <c r="T59" i="29" s="1"/>
  <c r="K60" i="29"/>
  <c r="T60" i="29" s="1"/>
  <c r="K61" i="29"/>
  <c r="T61" i="29" s="1"/>
  <c r="K62" i="29"/>
  <c r="T62" i="29" s="1"/>
  <c r="K63" i="29"/>
  <c r="K64" i="29"/>
  <c r="T64" i="29" s="1"/>
  <c r="K65" i="29"/>
  <c r="T65" i="29" s="1"/>
  <c r="K66" i="29"/>
  <c r="T66" i="29" s="1"/>
  <c r="K67" i="29"/>
  <c r="T67" i="29" s="1"/>
  <c r="K68" i="29"/>
  <c r="K69" i="29"/>
  <c r="K70" i="29"/>
  <c r="T70" i="29" s="1"/>
  <c r="K71" i="29"/>
  <c r="T71" i="29" s="1"/>
  <c r="K72" i="29"/>
  <c r="K73" i="29"/>
  <c r="K74" i="29"/>
  <c r="T74" i="29" s="1"/>
  <c r="K75" i="29"/>
  <c r="T75" i="29" s="1"/>
  <c r="K76" i="29"/>
  <c r="T76" i="29" s="1"/>
  <c r="K77" i="29"/>
  <c r="T77" i="29" s="1"/>
  <c r="K78" i="29"/>
  <c r="T78" i="29" s="1"/>
  <c r="K79" i="29"/>
  <c r="K80" i="29"/>
  <c r="K81" i="29"/>
  <c r="K82" i="29"/>
  <c r="K83" i="29"/>
  <c r="K84" i="29"/>
  <c r="K85" i="29"/>
  <c r="K86" i="29"/>
  <c r="T86" i="29" s="1"/>
  <c r="K87" i="29"/>
  <c r="T87" i="29" s="1"/>
  <c r="K88" i="29"/>
  <c r="K89" i="29"/>
  <c r="K90" i="29"/>
  <c r="T90" i="29" s="1"/>
  <c r="K91" i="29"/>
  <c r="T91" i="29" s="1"/>
  <c r="K92" i="29"/>
  <c r="T92" i="29" s="1"/>
  <c r="K93" i="29"/>
  <c r="T93" i="29" s="1"/>
  <c r="K94" i="29"/>
  <c r="T94" i="29" s="1"/>
  <c r="K95" i="29"/>
  <c r="K96" i="29"/>
  <c r="K97" i="29"/>
  <c r="K98" i="29"/>
  <c r="T98" i="29" s="1"/>
  <c r="K99" i="29"/>
  <c r="T99" i="29" s="1"/>
  <c r="K100" i="29"/>
  <c r="K101" i="29"/>
  <c r="K102" i="29"/>
  <c r="T102" i="29" s="1"/>
  <c r="K103" i="29"/>
  <c r="T103" i="29" s="1"/>
  <c r="K104" i="29"/>
  <c r="K105" i="29"/>
  <c r="K106" i="29"/>
  <c r="T106" i="29" s="1"/>
  <c r="K107" i="29"/>
  <c r="T107" i="29" s="1"/>
  <c r="K108" i="29"/>
  <c r="T108" i="29" s="1"/>
  <c r="K109" i="29"/>
  <c r="T109" i="29" s="1"/>
  <c r="K110" i="29"/>
  <c r="T110" i="29" s="1"/>
  <c r="K111" i="29"/>
  <c r="K112" i="29"/>
  <c r="K113" i="29"/>
  <c r="K114" i="29"/>
  <c r="K115" i="29"/>
  <c r="K116" i="29"/>
  <c r="K117" i="29"/>
  <c r="K118" i="29"/>
  <c r="T118" i="29" s="1"/>
  <c r="K119" i="29"/>
  <c r="T119" i="29" s="1"/>
  <c r="K120" i="29"/>
  <c r="K121" i="29"/>
  <c r="K1" i="29"/>
  <c r="J126" i="31"/>
  <c r="J138" i="31" s="1"/>
  <c r="R138" i="31" s="1"/>
  <c r="J127" i="31"/>
  <c r="J139" i="31" s="1"/>
  <c r="R139" i="31" s="1"/>
  <c r="J128" i="31"/>
  <c r="J140" i="31" s="1"/>
  <c r="R140" i="31" s="1"/>
  <c r="J129" i="31"/>
  <c r="R129" i="31" s="1"/>
  <c r="J130" i="31"/>
  <c r="J142" i="31" s="1"/>
  <c r="R142" i="31" s="1"/>
  <c r="J131" i="31"/>
  <c r="J143" i="31" s="1"/>
  <c r="R143" i="31" s="1"/>
  <c r="J132" i="31"/>
  <c r="J144" i="31" s="1"/>
  <c r="R144" i="31" s="1"/>
  <c r="R3" i="31"/>
  <c r="R4" i="31"/>
  <c r="R5" i="31"/>
  <c r="R6" i="31"/>
  <c r="R7" i="31"/>
  <c r="R8" i="31"/>
  <c r="R9" i="31"/>
  <c r="R10" i="31"/>
  <c r="R18" i="31"/>
  <c r="R19" i="31"/>
  <c r="R20" i="31"/>
  <c r="R21" i="31"/>
  <c r="R22" i="31"/>
  <c r="R23" i="31"/>
  <c r="R24" i="31"/>
  <c r="R25" i="31"/>
  <c r="R26" i="31"/>
  <c r="R34" i="31"/>
  <c r="R35" i="31"/>
  <c r="R36" i="31"/>
  <c r="R37" i="31"/>
  <c r="R38" i="31"/>
  <c r="R39" i="31"/>
  <c r="R40" i="31"/>
  <c r="R41" i="31"/>
  <c r="R42" i="31"/>
  <c r="R50" i="31"/>
  <c r="R51" i="31"/>
  <c r="R52" i="31"/>
  <c r="R53" i="31"/>
  <c r="R54" i="31"/>
  <c r="R55" i="31"/>
  <c r="R56" i="31"/>
  <c r="R57" i="31"/>
  <c r="R58" i="31"/>
  <c r="R66" i="31"/>
  <c r="R67" i="31"/>
  <c r="R68" i="31"/>
  <c r="R69" i="31"/>
  <c r="R70" i="31"/>
  <c r="R71" i="31"/>
  <c r="R72" i="31"/>
  <c r="R73" i="31"/>
  <c r="R74" i="31"/>
  <c r="R82" i="31"/>
  <c r="R83" i="31"/>
  <c r="R84" i="31"/>
  <c r="R85" i="31"/>
  <c r="R86" i="31"/>
  <c r="R87" i="31"/>
  <c r="R88" i="31"/>
  <c r="R89" i="31"/>
  <c r="R90" i="31"/>
  <c r="R98" i="31"/>
  <c r="R99" i="31"/>
  <c r="R100" i="31"/>
  <c r="R101" i="31"/>
  <c r="R102" i="31"/>
  <c r="R103" i="31"/>
  <c r="R104" i="31"/>
  <c r="R105" i="31"/>
  <c r="R106" i="31"/>
  <c r="R114" i="31"/>
  <c r="R115" i="31"/>
  <c r="R116" i="31"/>
  <c r="R117" i="31"/>
  <c r="R118" i="31"/>
  <c r="R119" i="31"/>
  <c r="R120" i="31"/>
  <c r="R121" i="31"/>
  <c r="R132" i="31"/>
  <c r="R2" i="31"/>
  <c r="R1" i="31"/>
  <c r="I123" i="31"/>
  <c r="I124" i="31"/>
  <c r="I125" i="31"/>
  <c r="I126" i="31"/>
  <c r="I127" i="31"/>
  <c r="I128" i="31"/>
  <c r="I122" i="31"/>
  <c r="I2" i="31"/>
  <c r="I3" i="3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 i="31"/>
  <c r="R3" i="27"/>
  <c r="R4" i="27"/>
  <c r="R5" i="27"/>
  <c r="R34" i="27"/>
  <c r="R35" i="27"/>
  <c r="R36" i="27"/>
  <c r="R37" i="27"/>
  <c r="R38" i="27"/>
  <c r="R39" i="27"/>
  <c r="R82" i="27"/>
  <c r="R114" i="27"/>
  <c r="R115" i="27"/>
  <c r="R116" i="27"/>
  <c r="R1" i="27"/>
  <c r="I2" i="27"/>
  <c r="I3" i="27"/>
  <c r="I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 i="27"/>
  <c r="I126" i="30"/>
  <c r="I138" i="30" s="1"/>
  <c r="P138" i="30" s="1"/>
  <c r="I127" i="30"/>
  <c r="I139" i="30" s="1"/>
  <c r="P139" i="30" s="1"/>
  <c r="I128" i="30"/>
  <c r="I140" i="30" s="1"/>
  <c r="P140" i="30" s="1"/>
  <c r="I129" i="30"/>
  <c r="P129" i="30" s="1"/>
  <c r="I130" i="30"/>
  <c r="I142" i="30" s="1"/>
  <c r="P142" i="30" s="1"/>
  <c r="P3" i="30"/>
  <c r="P4" i="30"/>
  <c r="P5" i="30"/>
  <c r="P6" i="30"/>
  <c r="P7" i="30"/>
  <c r="P8" i="30"/>
  <c r="P9" i="30"/>
  <c r="P18" i="30"/>
  <c r="P19" i="30"/>
  <c r="P20" i="30"/>
  <c r="P21" i="30"/>
  <c r="P22" i="30"/>
  <c r="P23" i="30"/>
  <c r="P24" i="30"/>
  <c r="P25" i="30"/>
  <c r="P34" i="30"/>
  <c r="P35" i="30"/>
  <c r="P36" i="30"/>
  <c r="P37" i="30"/>
  <c r="P38" i="30"/>
  <c r="P39" i="30"/>
  <c r="P40" i="30"/>
  <c r="P41" i="30"/>
  <c r="P50" i="30"/>
  <c r="P51" i="30"/>
  <c r="P52" i="30"/>
  <c r="P53" i="30"/>
  <c r="P54" i="30"/>
  <c r="P55" i="30"/>
  <c r="P56" i="30"/>
  <c r="P57" i="30"/>
  <c r="P66" i="30"/>
  <c r="P67" i="30"/>
  <c r="P68" i="30"/>
  <c r="P69" i="30"/>
  <c r="P70" i="30"/>
  <c r="P71" i="30"/>
  <c r="P72" i="30"/>
  <c r="P73" i="30"/>
  <c r="P82" i="30"/>
  <c r="P83" i="30"/>
  <c r="P84" i="30"/>
  <c r="P85" i="30"/>
  <c r="P86" i="30"/>
  <c r="P87" i="30"/>
  <c r="P88" i="30"/>
  <c r="P89" i="30"/>
  <c r="P98" i="30"/>
  <c r="P99" i="30"/>
  <c r="P100" i="30"/>
  <c r="P101" i="30"/>
  <c r="P102" i="30"/>
  <c r="P103" i="30"/>
  <c r="P104" i="30"/>
  <c r="P105" i="30"/>
  <c r="P114" i="30"/>
  <c r="P115" i="30"/>
  <c r="P116" i="30"/>
  <c r="P120" i="30"/>
  <c r="P121" i="30"/>
  <c r="P2" i="30"/>
  <c r="I3" i="30"/>
  <c r="I4" i="30"/>
  <c r="I5" i="30"/>
  <c r="I6" i="30"/>
  <c r="I7" i="30"/>
  <c r="I8" i="30"/>
  <c r="I9" i="30"/>
  <c r="I10" i="30"/>
  <c r="P10" i="30" s="1"/>
  <c r="I11" i="30"/>
  <c r="P11" i="30" s="1"/>
  <c r="I12" i="30"/>
  <c r="P12" i="30" s="1"/>
  <c r="I13" i="30"/>
  <c r="P13" i="30" s="1"/>
  <c r="I14" i="30"/>
  <c r="P14" i="30" s="1"/>
  <c r="I15" i="30"/>
  <c r="P15" i="30" s="1"/>
  <c r="I16" i="30"/>
  <c r="P16" i="30" s="1"/>
  <c r="I17" i="30"/>
  <c r="P17" i="30" s="1"/>
  <c r="I18" i="30"/>
  <c r="I19" i="30"/>
  <c r="I20" i="30"/>
  <c r="I21" i="30"/>
  <c r="I22" i="30"/>
  <c r="I23" i="30"/>
  <c r="I24" i="30"/>
  <c r="I25" i="30"/>
  <c r="I26" i="30"/>
  <c r="P26" i="30" s="1"/>
  <c r="I27" i="30"/>
  <c r="P27" i="30" s="1"/>
  <c r="I28" i="30"/>
  <c r="P28" i="30" s="1"/>
  <c r="I29" i="30"/>
  <c r="P29" i="30" s="1"/>
  <c r="I30" i="30"/>
  <c r="P30" i="30" s="1"/>
  <c r="I31" i="30"/>
  <c r="P31" i="30" s="1"/>
  <c r="I32" i="30"/>
  <c r="P32" i="30" s="1"/>
  <c r="I33" i="30"/>
  <c r="P33" i="30" s="1"/>
  <c r="I34" i="30"/>
  <c r="I35" i="30"/>
  <c r="I36" i="30"/>
  <c r="I37" i="30"/>
  <c r="I38" i="30"/>
  <c r="I39" i="30"/>
  <c r="I40" i="30"/>
  <c r="I41" i="30"/>
  <c r="I42" i="30"/>
  <c r="P42" i="30" s="1"/>
  <c r="I43" i="30"/>
  <c r="P43" i="30" s="1"/>
  <c r="I44" i="30"/>
  <c r="P44" i="30" s="1"/>
  <c r="I45" i="30"/>
  <c r="P45" i="30" s="1"/>
  <c r="I46" i="30"/>
  <c r="P46" i="30" s="1"/>
  <c r="I47" i="30"/>
  <c r="P47" i="30" s="1"/>
  <c r="I48" i="30"/>
  <c r="P48" i="30" s="1"/>
  <c r="I49" i="30"/>
  <c r="P49" i="30" s="1"/>
  <c r="I50" i="30"/>
  <c r="I51" i="30"/>
  <c r="I52" i="30"/>
  <c r="I53" i="30"/>
  <c r="I54" i="30"/>
  <c r="I55" i="30"/>
  <c r="I56" i="30"/>
  <c r="I57" i="30"/>
  <c r="I58" i="30"/>
  <c r="P58" i="30" s="1"/>
  <c r="I59" i="30"/>
  <c r="P59" i="30" s="1"/>
  <c r="I60" i="30"/>
  <c r="P60" i="30" s="1"/>
  <c r="I61" i="30"/>
  <c r="P61" i="30" s="1"/>
  <c r="I62" i="30"/>
  <c r="P62" i="30" s="1"/>
  <c r="I63" i="30"/>
  <c r="P63" i="30" s="1"/>
  <c r="I64" i="30"/>
  <c r="P64" i="30" s="1"/>
  <c r="I65" i="30"/>
  <c r="P65" i="30" s="1"/>
  <c r="I66" i="30"/>
  <c r="I67" i="30"/>
  <c r="I68" i="30"/>
  <c r="I69" i="30"/>
  <c r="I70" i="30"/>
  <c r="I71" i="30"/>
  <c r="I72" i="30"/>
  <c r="I73" i="30"/>
  <c r="I74" i="30"/>
  <c r="P74" i="30" s="1"/>
  <c r="I75" i="30"/>
  <c r="P75" i="30" s="1"/>
  <c r="I76" i="30"/>
  <c r="P76" i="30" s="1"/>
  <c r="I77" i="30"/>
  <c r="P77" i="30" s="1"/>
  <c r="I78" i="30"/>
  <c r="P78" i="30" s="1"/>
  <c r="I79" i="30"/>
  <c r="P79" i="30" s="1"/>
  <c r="I80" i="30"/>
  <c r="P80" i="30" s="1"/>
  <c r="I81" i="30"/>
  <c r="P81" i="30" s="1"/>
  <c r="I82" i="30"/>
  <c r="I83" i="30"/>
  <c r="I84" i="30"/>
  <c r="I85" i="30"/>
  <c r="I86" i="30"/>
  <c r="I87" i="30"/>
  <c r="I88" i="30"/>
  <c r="I89" i="30"/>
  <c r="I90" i="30"/>
  <c r="P90" i="30" s="1"/>
  <c r="I91" i="30"/>
  <c r="P91" i="30" s="1"/>
  <c r="I92" i="30"/>
  <c r="P92" i="30" s="1"/>
  <c r="I93" i="30"/>
  <c r="P93" i="30" s="1"/>
  <c r="I94" i="30"/>
  <c r="P94" i="30" s="1"/>
  <c r="I95" i="30"/>
  <c r="P95" i="30" s="1"/>
  <c r="I96" i="30"/>
  <c r="P96" i="30" s="1"/>
  <c r="I97" i="30"/>
  <c r="P97" i="30" s="1"/>
  <c r="I98" i="30"/>
  <c r="I99" i="30"/>
  <c r="I100" i="30"/>
  <c r="I101" i="30"/>
  <c r="I102" i="30"/>
  <c r="I103" i="30"/>
  <c r="I104" i="30"/>
  <c r="I105" i="30"/>
  <c r="I106" i="30"/>
  <c r="P106" i="30" s="1"/>
  <c r="I107" i="30"/>
  <c r="P107" i="30" s="1"/>
  <c r="I108" i="30"/>
  <c r="P108" i="30" s="1"/>
  <c r="I109" i="30"/>
  <c r="P109" i="30" s="1"/>
  <c r="I110" i="30"/>
  <c r="P110" i="30" s="1"/>
  <c r="I111" i="30"/>
  <c r="P111" i="30" s="1"/>
  <c r="I112" i="30"/>
  <c r="P112" i="30" s="1"/>
  <c r="I113" i="30"/>
  <c r="P113" i="30" s="1"/>
  <c r="I114" i="30"/>
  <c r="I115" i="30"/>
  <c r="I116" i="30"/>
  <c r="I117" i="30"/>
  <c r="P117" i="30" s="1"/>
  <c r="I118" i="30"/>
  <c r="P118" i="30" s="1"/>
  <c r="I119" i="30"/>
  <c r="I131" i="30" s="1"/>
  <c r="I120" i="30"/>
  <c r="I132" i="30" s="1"/>
  <c r="I121" i="30"/>
  <c r="I133" i="30" s="1"/>
  <c r="I145" i="30" s="1"/>
  <c r="P145" i="30" s="1"/>
  <c r="I2" i="30"/>
  <c r="I1" i="30"/>
  <c r="P1" i="30" s="1"/>
  <c r="P9" i="25"/>
  <c r="P10" i="25"/>
  <c r="P11" i="25"/>
  <c r="P12" i="25"/>
  <c r="P13" i="25"/>
  <c r="P14" i="25"/>
  <c r="P15" i="25"/>
  <c r="P25" i="25"/>
  <c r="P26" i="25"/>
  <c r="P27" i="25"/>
  <c r="P28" i="25"/>
  <c r="P29" i="25"/>
  <c r="P30" i="25"/>
  <c r="P31" i="25"/>
  <c r="P41" i="25"/>
  <c r="P42" i="25"/>
  <c r="P43" i="25"/>
  <c r="P44" i="25"/>
  <c r="P45" i="25"/>
  <c r="P46" i="25"/>
  <c r="P47" i="25"/>
  <c r="P57" i="25"/>
  <c r="P58" i="25"/>
  <c r="P59" i="25"/>
  <c r="P60" i="25"/>
  <c r="P61" i="25"/>
  <c r="P62" i="25"/>
  <c r="P63" i="25"/>
  <c r="P73" i="25"/>
  <c r="P74" i="25"/>
  <c r="P75" i="25"/>
  <c r="P76" i="25"/>
  <c r="P77" i="25"/>
  <c r="P78" i="25"/>
  <c r="P79" i="25"/>
  <c r="P89" i="25"/>
  <c r="P90" i="25"/>
  <c r="P91" i="25"/>
  <c r="P92" i="25"/>
  <c r="P93" i="25"/>
  <c r="P94" i="25"/>
  <c r="P95" i="25"/>
  <c r="P105" i="25"/>
  <c r="P106" i="25"/>
  <c r="P107" i="25"/>
  <c r="P108" i="25"/>
  <c r="P109" i="25"/>
  <c r="P110" i="25"/>
  <c r="P111" i="25"/>
  <c r="P1" i="25"/>
  <c r="I2" i="25"/>
  <c r="P2" i="25" s="1"/>
  <c r="I3" i="25"/>
  <c r="P3" i="25" s="1"/>
  <c r="I4" i="25"/>
  <c r="P4" i="25" s="1"/>
  <c r="I5" i="25"/>
  <c r="P5" i="25" s="1"/>
  <c r="I6" i="25"/>
  <c r="P6" i="25" s="1"/>
  <c r="I7" i="25"/>
  <c r="P7" i="25" s="1"/>
  <c r="I8" i="25"/>
  <c r="P8" i="25" s="1"/>
  <c r="I9" i="25"/>
  <c r="I10" i="25"/>
  <c r="I11" i="25"/>
  <c r="I12" i="25"/>
  <c r="I13" i="25"/>
  <c r="I14" i="25"/>
  <c r="I15" i="25"/>
  <c r="I16" i="25"/>
  <c r="P16" i="25" s="1"/>
  <c r="I17" i="25"/>
  <c r="P17" i="25" s="1"/>
  <c r="I18" i="25"/>
  <c r="P18" i="25" s="1"/>
  <c r="I19" i="25"/>
  <c r="P19" i="25" s="1"/>
  <c r="I20" i="25"/>
  <c r="P20" i="25" s="1"/>
  <c r="I21" i="25"/>
  <c r="P21" i="25" s="1"/>
  <c r="I22" i="25"/>
  <c r="P22" i="25" s="1"/>
  <c r="I23" i="25"/>
  <c r="P23" i="25" s="1"/>
  <c r="I24" i="25"/>
  <c r="P24" i="25" s="1"/>
  <c r="I25" i="25"/>
  <c r="I26" i="25"/>
  <c r="I27" i="25"/>
  <c r="I28" i="25"/>
  <c r="I29" i="25"/>
  <c r="I30" i="25"/>
  <c r="I31" i="25"/>
  <c r="I32" i="25"/>
  <c r="P32" i="25" s="1"/>
  <c r="I33" i="25"/>
  <c r="P33" i="25" s="1"/>
  <c r="I34" i="25"/>
  <c r="P34" i="25" s="1"/>
  <c r="I35" i="25"/>
  <c r="P35" i="25" s="1"/>
  <c r="I36" i="25"/>
  <c r="P36" i="25" s="1"/>
  <c r="I37" i="25"/>
  <c r="P37" i="25" s="1"/>
  <c r="I38" i="25"/>
  <c r="P38" i="25" s="1"/>
  <c r="I39" i="25"/>
  <c r="P39" i="25" s="1"/>
  <c r="I40" i="25"/>
  <c r="P40" i="25" s="1"/>
  <c r="I41" i="25"/>
  <c r="I42" i="25"/>
  <c r="I43" i="25"/>
  <c r="I44" i="25"/>
  <c r="I45" i="25"/>
  <c r="I46" i="25"/>
  <c r="I47" i="25"/>
  <c r="I48" i="25"/>
  <c r="P48" i="25" s="1"/>
  <c r="I49" i="25"/>
  <c r="P49" i="25" s="1"/>
  <c r="I50" i="25"/>
  <c r="P50" i="25" s="1"/>
  <c r="I51" i="25"/>
  <c r="P51" i="25" s="1"/>
  <c r="I52" i="25"/>
  <c r="P52" i="25" s="1"/>
  <c r="I53" i="25"/>
  <c r="P53" i="25" s="1"/>
  <c r="I54" i="25"/>
  <c r="P54" i="25" s="1"/>
  <c r="I55" i="25"/>
  <c r="P55" i="25" s="1"/>
  <c r="I56" i="25"/>
  <c r="P56" i="25" s="1"/>
  <c r="I57" i="25"/>
  <c r="I58" i="25"/>
  <c r="I59" i="25"/>
  <c r="I60" i="25"/>
  <c r="I61" i="25"/>
  <c r="I62" i="25"/>
  <c r="I63" i="25"/>
  <c r="I64" i="25"/>
  <c r="P64" i="25" s="1"/>
  <c r="I65" i="25"/>
  <c r="P65" i="25" s="1"/>
  <c r="I66" i="25"/>
  <c r="P66" i="25" s="1"/>
  <c r="I67" i="25"/>
  <c r="P67" i="25" s="1"/>
  <c r="I68" i="25"/>
  <c r="P68" i="25" s="1"/>
  <c r="I69" i="25"/>
  <c r="P69" i="25" s="1"/>
  <c r="I70" i="25"/>
  <c r="P70" i="25" s="1"/>
  <c r="I71" i="25"/>
  <c r="P71" i="25" s="1"/>
  <c r="I72" i="25"/>
  <c r="P72" i="25" s="1"/>
  <c r="I73" i="25"/>
  <c r="I74" i="25"/>
  <c r="I75" i="25"/>
  <c r="I76" i="25"/>
  <c r="I77" i="25"/>
  <c r="I78" i="25"/>
  <c r="I79" i="25"/>
  <c r="I80" i="25"/>
  <c r="P80" i="25" s="1"/>
  <c r="I81" i="25"/>
  <c r="P81" i="25" s="1"/>
  <c r="I82" i="25"/>
  <c r="P82" i="25" s="1"/>
  <c r="I83" i="25"/>
  <c r="P83" i="25" s="1"/>
  <c r="I84" i="25"/>
  <c r="P84" i="25" s="1"/>
  <c r="I85" i="25"/>
  <c r="P85" i="25" s="1"/>
  <c r="I86" i="25"/>
  <c r="P86" i="25" s="1"/>
  <c r="I87" i="25"/>
  <c r="P87" i="25" s="1"/>
  <c r="I88" i="25"/>
  <c r="P88" i="25" s="1"/>
  <c r="I89" i="25"/>
  <c r="I90" i="25"/>
  <c r="I91" i="25"/>
  <c r="I92" i="25"/>
  <c r="I93" i="25"/>
  <c r="I94" i="25"/>
  <c r="I95" i="25"/>
  <c r="I96" i="25"/>
  <c r="P96" i="25" s="1"/>
  <c r="I97" i="25"/>
  <c r="P97" i="25" s="1"/>
  <c r="I98" i="25"/>
  <c r="P98" i="25" s="1"/>
  <c r="I99" i="25"/>
  <c r="P99" i="25" s="1"/>
  <c r="I100" i="25"/>
  <c r="P100" i="25" s="1"/>
  <c r="I101" i="25"/>
  <c r="P101" i="25" s="1"/>
  <c r="I102" i="25"/>
  <c r="P102" i="25" s="1"/>
  <c r="I103" i="25"/>
  <c r="P103" i="25" s="1"/>
  <c r="I104" i="25"/>
  <c r="P104" i="25" s="1"/>
  <c r="I105" i="25"/>
  <c r="I106" i="25"/>
  <c r="I107" i="25"/>
  <c r="I108" i="25"/>
  <c r="I109" i="25"/>
  <c r="I110" i="25"/>
  <c r="I111" i="25"/>
  <c r="I112" i="25"/>
  <c r="P112" i="25" s="1"/>
  <c r="I113" i="25"/>
  <c r="P113" i="25" s="1"/>
  <c r="I114" i="25"/>
  <c r="P114" i="25" s="1"/>
  <c r="I115" i="25"/>
  <c r="P115" i="25" s="1"/>
  <c r="I116" i="25"/>
  <c r="P116" i="25" s="1"/>
  <c r="I117" i="25"/>
  <c r="P117" i="25" s="1"/>
  <c r="I118" i="25"/>
  <c r="P118" i="25" s="1"/>
  <c r="I119" i="25"/>
  <c r="P119" i="25" s="1"/>
  <c r="I120" i="25"/>
  <c r="P120" i="25" s="1"/>
  <c r="I121" i="25"/>
  <c r="P121" i="25" s="1"/>
  <c r="I1" i="25"/>
  <c r="X149" i="29"/>
  <c r="X150" i="29" s="1"/>
  <c r="X151" i="29" s="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2" i="1"/>
  <c r="AU3" i="1"/>
  <c r="J141" i="5"/>
  <c r="J131" i="5"/>
  <c r="J143" i="5" s="1"/>
  <c r="J132" i="5"/>
  <c r="J144" i="5" s="1"/>
  <c r="J133" i="5"/>
  <c r="J145" i="5" s="1"/>
  <c r="J134" i="5"/>
  <c r="J135" i="5"/>
  <c r="J136" i="5"/>
  <c r="J137" i="5"/>
  <c r="J138" i="5"/>
  <c r="J139" i="5"/>
  <c r="J140" i="5"/>
  <c r="J142" i="5"/>
  <c r="O33" i="6"/>
  <c r="R15" i="6"/>
  <c r="N9" i="6"/>
  <c r="P12" i="6"/>
  <c r="Q12" i="6"/>
  <c r="R12" i="6"/>
  <c r="P15" i="6"/>
  <c r="O5" i="6"/>
  <c r="P8" i="6"/>
  <c r="Q8" i="6"/>
  <c r="Q11" i="6"/>
  <c r="R11" i="6"/>
  <c r="R14" i="6"/>
  <c r="N4" i="6"/>
  <c r="N33" i="6" s="1"/>
  <c r="P4" i="6"/>
  <c r="Q4" i="6"/>
  <c r="R4" i="6"/>
  <c r="P5" i="6"/>
  <c r="Q5" i="6"/>
  <c r="Q6" i="6"/>
  <c r="R6" i="6"/>
  <c r="N7" i="6"/>
  <c r="O7" i="6"/>
  <c r="O9" i="6"/>
  <c r="P9" i="6"/>
  <c r="Q9" i="6"/>
  <c r="P10" i="6"/>
  <c r="P13" i="6"/>
  <c r="Q13" i="6"/>
  <c r="M7" i="6"/>
  <c r="M9" i="6"/>
  <c r="M10" i="6"/>
  <c r="M4" i="6"/>
  <c r="M33" i="6" s="1"/>
  <c r="P119" i="30" l="1"/>
  <c r="R131" i="31"/>
  <c r="N10" i="6"/>
  <c r="Q10" i="6"/>
  <c r="M11" i="6"/>
  <c r="R13" i="6"/>
  <c r="O10" i="6"/>
  <c r="R9" i="6"/>
  <c r="R10" i="6"/>
  <c r="Q7" i="6"/>
  <c r="P7" i="6"/>
  <c r="Q15" i="6"/>
  <c r="M6" i="6"/>
  <c r="Q14" i="6"/>
  <c r="N5" i="6"/>
  <c r="M5" i="6"/>
  <c r="M34" i="6" s="1"/>
  <c r="P14" i="6"/>
  <c r="R7" i="6"/>
  <c r="M8" i="6"/>
  <c r="P11" i="6"/>
  <c r="O8" i="6"/>
  <c r="O11" i="6"/>
  <c r="N8" i="6"/>
  <c r="N11" i="6"/>
  <c r="T123" i="44"/>
  <c r="L135" i="44"/>
  <c r="L143" i="44"/>
  <c r="T143" i="44" s="1"/>
  <c r="T131" i="44"/>
  <c r="T122" i="44"/>
  <c r="L134" i="44"/>
  <c r="T124" i="44"/>
  <c r="L136" i="44"/>
  <c r="T136" i="44" s="1"/>
  <c r="L140" i="44"/>
  <c r="T140" i="44" s="1"/>
  <c r="J145" i="31"/>
  <c r="R145" i="31" s="1"/>
  <c r="R133" i="31"/>
  <c r="J137" i="31"/>
  <c r="R137" i="31" s="1"/>
  <c r="R125" i="31"/>
  <c r="J136" i="31"/>
  <c r="R136" i="31" s="1"/>
  <c r="R124" i="31"/>
  <c r="R123" i="31"/>
  <c r="J135" i="31"/>
  <c r="R135" i="31" s="1"/>
  <c r="R122" i="31"/>
  <c r="J134" i="31"/>
  <c r="R134" i="31" s="1"/>
  <c r="R113" i="31"/>
  <c r="R112" i="31"/>
  <c r="R111" i="31"/>
  <c r="R126" i="31"/>
  <c r="R110" i="31"/>
  <c r="M12" i="6"/>
  <c r="M51" i="17"/>
  <c r="B50" i="17"/>
  <c r="X50" i="17"/>
  <c r="K129" i="43"/>
  <c r="K134" i="43"/>
  <c r="R134" i="43" s="1"/>
  <c r="T132" i="44"/>
  <c r="I131" i="44"/>
  <c r="Q131" i="44" s="1"/>
  <c r="I128" i="44"/>
  <c r="Q128" i="44" s="1"/>
  <c r="T125" i="44"/>
  <c r="R132" i="43"/>
  <c r="K144" i="43"/>
  <c r="R144" i="43" s="1"/>
  <c r="R123" i="43"/>
  <c r="K135" i="43"/>
  <c r="R135" i="43" s="1"/>
  <c r="R124" i="43"/>
  <c r="I144" i="43"/>
  <c r="P144" i="43" s="1"/>
  <c r="I122" i="43"/>
  <c r="P122" i="43" s="1"/>
  <c r="I125" i="43"/>
  <c r="P125" i="43" s="1"/>
  <c r="I129" i="43"/>
  <c r="P129" i="43" s="1"/>
  <c r="I145" i="43"/>
  <c r="P145" i="43" s="1"/>
  <c r="I126" i="43"/>
  <c r="P126" i="43" s="1"/>
  <c r="I141" i="43"/>
  <c r="P141" i="43" s="1"/>
  <c r="M137" i="45"/>
  <c r="V137" i="45" s="1"/>
  <c r="I139" i="44"/>
  <c r="Q139" i="44" s="1"/>
  <c r="I125" i="44"/>
  <c r="Q125" i="44" s="1"/>
  <c r="T133" i="44"/>
  <c r="T130" i="44"/>
  <c r="T137" i="44"/>
  <c r="T122" i="32"/>
  <c r="K134" i="32"/>
  <c r="T134" i="32" s="1"/>
  <c r="T124" i="32"/>
  <c r="T123" i="32"/>
  <c r="T121" i="32"/>
  <c r="T110" i="32"/>
  <c r="K138" i="32"/>
  <c r="T138" i="32" s="1"/>
  <c r="K137" i="32"/>
  <c r="T137" i="32" s="1"/>
  <c r="T127" i="32"/>
  <c r="K140" i="32"/>
  <c r="T140" i="32" s="1"/>
  <c r="T128" i="32"/>
  <c r="T116" i="32"/>
  <c r="K131" i="32"/>
  <c r="K130" i="32"/>
  <c r="T115" i="32"/>
  <c r="R128" i="31"/>
  <c r="R127" i="31"/>
  <c r="I144" i="30"/>
  <c r="P144" i="30" s="1"/>
  <c r="P132" i="30"/>
  <c r="I143" i="30"/>
  <c r="P143" i="30" s="1"/>
  <c r="P131" i="30"/>
  <c r="I125" i="30"/>
  <c r="I124" i="30"/>
  <c r="I122" i="30"/>
  <c r="P130" i="30"/>
  <c r="P126" i="30"/>
  <c r="I123" i="30"/>
  <c r="P128" i="30"/>
  <c r="P127" i="30"/>
  <c r="V131" i="45"/>
  <c r="M122" i="45"/>
  <c r="J129" i="45"/>
  <c r="S129" i="45" s="1"/>
  <c r="M135" i="45"/>
  <c r="V135" i="45" s="1"/>
  <c r="V132" i="45"/>
  <c r="J139" i="45"/>
  <c r="S139" i="45" s="1"/>
  <c r="J144" i="45"/>
  <c r="S144" i="45" s="1"/>
  <c r="C122" i="43"/>
  <c r="B122" i="43"/>
  <c r="A123" i="43"/>
  <c r="I124" i="44"/>
  <c r="Q124" i="44" s="1"/>
  <c r="J128" i="45"/>
  <c r="S128" i="45" s="1"/>
  <c r="J140" i="45"/>
  <c r="S140" i="45" s="1"/>
  <c r="K128" i="43"/>
  <c r="J132" i="45"/>
  <c r="S132" i="45" s="1"/>
  <c r="I132" i="43"/>
  <c r="P132" i="43" s="1"/>
  <c r="C122" i="44"/>
  <c r="A123" i="44"/>
  <c r="B122" i="44"/>
  <c r="I131" i="43"/>
  <c r="P131" i="43" s="1"/>
  <c r="I142" i="44"/>
  <c r="Q142" i="44" s="1"/>
  <c r="I127" i="43"/>
  <c r="P127" i="43" s="1"/>
  <c r="R131" i="43"/>
  <c r="K143" i="43"/>
  <c r="R143" i="43" s="1"/>
  <c r="I133" i="43"/>
  <c r="P133" i="43" s="1"/>
  <c r="K126" i="43"/>
  <c r="K127" i="43"/>
  <c r="K125" i="43"/>
  <c r="J133" i="45"/>
  <c r="S133" i="45" s="1"/>
  <c r="J124" i="45"/>
  <c r="S124" i="45" s="1"/>
  <c r="K133" i="43"/>
  <c r="R130" i="43"/>
  <c r="T135" i="44"/>
  <c r="J137" i="45"/>
  <c r="S137" i="45" s="1"/>
  <c r="I134" i="43"/>
  <c r="P134" i="43" s="1"/>
  <c r="I145" i="44"/>
  <c r="Q145" i="44" s="1"/>
  <c r="I141" i="44"/>
  <c r="Q141" i="44" s="1"/>
  <c r="I137" i="44"/>
  <c r="Q137" i="44" s="1"/>
  <c r="I129" i="44"/>
  <c r="Q129" i="44" s="1"/>
  <c r="I133" i="44"/>
  <c r="Q133" i="44" s="1"/>
  <c r="J145" i="45"/>
  <c r="S145" i="45" s="1"/>
  <c r="J123" i="45"/>
  <c r="S123" i="45" s="1"/>
  <c r="C122" i="45"/>
  <c r="B122" i="45"/>
  <c r="A123" i="45"/>
  <c r="V133" i="45"/>
  <c r="M145" i="45"/>
  <c r="V145" i="45" s="1"/>
  <c r="T134" i="44"/>
  <c r="M124" i="45"/>
  <c r="M128" i="45"/>
  <c r="M129" i="45"/>
  <c r="M126" i="45"/>
  <c r="J126" i="45"/>
  <c r="S126" i="45" s="1"/>
  <c r="J142" i="45"/>
  <c r="S142" i="45" s="1"/>
  <c r="V130" i="45"/>
  <c r="K144" i="32"/>
  <c r="T144" i="32" s="1"/>
  <c r="K145" i="32"/>
  <c r="T145" i="32" s="1"/>
  <c r="T129" i="32"/>
  <c r="R130" i="31"/>
  <c r="J141" i="31"/>
  <c r="R141" i="31" s="1"/>
  <c r="P133" i="30"/>
  <c r="I141" i="30"/>
  <c r="P141" i="30" s="1"/>
  <c r="X152" i="29"/>
  <c r="B51" i="17" l="1"/>
  <c r="X51" i="17"/>
  <c r="M52" i="17"/>
  <c r="K141" i="43"/>
  <c r="R141" i="43" s="1"/>
  <c r="R129" i="43"/>
  <c r="K142" i="32"/>
  <c r="T142" i="32" s="1"/>
  <c r="T130" i="32"/>
  <c r="K143" i="32"/>
  <c r="T143" i="32" s="1"/>
  <c r="T131" i="32"/>
  <c r="I137" i="30"/>
  <c r="P137" i="30" s="1"/>
  <c r="P125" i="30"/>
  <c r="P123" i="30"/>
  <c r="I135" i="30"/>
  <c r="P135" i="30" s="1"/>
  <c r="P122" i="30"/>
  <c r="I134" i="30"/>
  <c r="P134" i="30" s="1"/>
  <c r="P124" i="30"/>
  <c r="I136" i="30"/>
  <c r="P136" i="30" s="1"/>
  <c r="V122" i="45"/>
  <c r="M134" i="45"/>
  <c r="V134" i="45" s="1"/>
  <c r="K137" i="43"/>
  <c r="R137" i="43" s="1"/>
  <c r="R125" i="43"/>
  <c r="V124" i="45"/>
  <c r="M136" i="45"/>
  <c r="V136" i="45" s="1"/>
  <c r="C123" i="45"/>
  <c r="B123" i="45"/>
  <c r="A124" i="45"/>
  <c r="C123" i="43"/>
  <c r="B123" i="43"/>
  <c r="A124" i="43"/>
  <c r="K139" i="43"/>
  <c r="R139" i="43" s="1"/>
  <c r="R127" i="43"/>
  <c r="V128" i="45"/>
  <c r="M140" i="45"/>
  <c r="V140" i="45" s="1"/>
  <c r="K138" i="43"/>
  <c r="R138" i="43" s="1"/>
  <c r="R126" i="43"/>
  <c r="T129" i="44"/>
  <c r="T141" i="44"/>
  <c r="V126" i="45"/>
  <c r="M138" i="45"/>
  <c r="V138" i="45" s="1"/>
  <c r="T126" i="44"/>
  <c r="T138" i="44"/>
  <c r="M141" i="45"/>
  <c r="V141" i="45" s="1"/>
  <c r="V129" i="45"/>
  <c r="T139" i="44"/>
  <c r="T127" i="44"/>
  <c r="C123" i="44"/>
  <c r="A124" i="44"/>
  <c r="B123" i="44"/>
  <c r="K145" i="43"/>
  <c r="R145" i="43" s="1"/>
  <c r="R133" i="43"/>
  <c r="K140" i="43"/>
  <c r="R140" i="43" s="1"/>
  <c r="R128" i="43"/>
  <c r="X153" i="29"/>
  <c r="X52" i="17" l="1"/>
  <c r="M53" i="17"/>
  <c r="B52" i="17"/>
  <c r="A125" i="44"/>
  <c r="B124" i="44"/>
  <c r="C124" i="44"/>
  <c r="B124" i="45"/>
  <c r="C124" i="45"/>
  <c r="A125" i="45"/>
  <c r="C124" i="43"/>
  <c r="B124" i="43"/>
  <c r="A125" i="43"/>
  <c r="X154" i="29"/>
  <c r="M54" i="17" l="1"/>
  <c r="X53" i="17"/>
  <c r="B53" i="17"/>
  <c r="C125" i="43"/>
  <c r="B125" i="43"/>
  <c r="A126" i="43"/>
  <c r="C125" i="45"/>
  <c r="A126" i="45"/>
  <c r="B125" i="45"/>
  <c r="C125" i="44"/>
  <c r="B125" i="44"/>
  <c r="A126" i="44"/>
  <c r="X155" i="29"/>
  <c r="X54" i="17" l="1"/>
  <c r="M55" i="17"/>
  <c r="B54" i="17"/>
  <c r="C126" i="44"/>
  <c r="B126" i="44"/>
  <c r="A127" i="44"/>
  <c r="C126" i="45"/>
  <c r="B126" i="45"/>
  <c r="A127" i="45"/>
  <c r="C126" i="43"/>
  <c r="B126" i="43"/>
  <c r="A127" i="43"/>
  <c r="X156" i="29"/>
  <c r="M56" i="17" l="1"/>
  <c r="X55" i="17"/>
  <c r="B55" i="17"/>
  <c r="A128" i="44"/>
  <c r="C127" i="44"/>
  <c r="B127" i="44"/>
  <c r="C127" i="43"/>
  <c r="B127" i="43"/>
  <c r="A128" i="43"/>
  <c r="A128" i="45"/>
  <c r="C127" i="45"/>
  <c r="B127" i="45"/>
  <c r="X157" i="29"/>
  <c r="B56" i="17" l="1"/>
  <c r="X56" i="17"/>
  <c r="M57" i="17"/>
  <c r="C128" i="43"/>
  <c r="B128" i="43"/>
  <c r="A129" i="43"/>
  <c r="A129" i="45"/>
  <c r="C128" i="45"/>
  <c r="B128" i="45"/>
  <c r="C128" i="44"/>
  <c r="B128" i="44"/>
  <c r="A129" i="44"/>
  <c r="X57" i="17" l="1"/>
  <c r="B57" i="17"/>
  <c r="M58" i="17"/>
  <c r="C129" i="45"/>
  <c r="B129" i="45"/>
  <c r="A130" i="45"/>
  <c r="C129" i="43"/>
  <c r="B129" i="43"/>
  <c r="A130" i="43"/>
  <c r="A130" i="44"/>
  <c r="C129" i="44"/>
  <c r="B129" i="44"/>
  <c r="B58" i="17" l="1"/>
  <c r="X58" i="17"/>
  <c r="M59" i="17"/>
  <c r="C130" i="44"/>
  <c r="B130" i="44"/>
  <c r="A131" i="44"/>
  <c r="C130" i="43"/>
  <c r="B130" i="43"/>
  <c r="A131" i="43"/>
  <c r="C130" i="45"/>
  <c r="B130" i="45"/>
  <c r="A131" i="45"/>
  <c r="X59" i="17" l="1"/>
  <c r="B59" i="17"/>
  <c r="C131" i="43"/>
  <c r="B131" i="43"/>
  <c r="A132" i="43"/>
  <c r="A132" i="45"/>
  <c r="C131" i="45"/>
  <c r="B131" i="45"/>
  <c r="C131" i="44"/>
  <c r="B131" i="44"/>
  <c r="A132" i="44"/>
  <c r="A133" i="45" l="1"/>
  <c r="B132" i="45"/>
  <c r="C132" i="45"/>
  <c r="C132" i="44"/>
  <c r="B132" i="44"/>
  <c r="A133" i="44"/>
  <c r="C132" i="43"/>
  <c r="B132" i="43"/>
  <c r="A133" i="43"/>
  <c r="A134" i="45" l="1"/>
  <c r="B133" i="45"/>
  <c r="C133" i="45"/>
  <c r="C133" i="43"/>
  <c r="B133" i="43"/>
  <c r="A134" i="43"/>
  <c r="C133" i="44"/>
  <c r="B133" i="44"/>
  <c r="A134" i="44"/>
  <c r="C134" i="44" l="1"/>
  <c r="B134" i="44"/>
  <c r="A135" i="44"/>
  <c r="A135" i="45"/>
  <c r="B134" i="45"/>
  <c r="C134" i="45"/>
  <c r="C134" i="43"/>
  <c r="B134" i="43"/>
  <c r="A135" i="43"/>
  <c r="C135" i="43" l="1"/>
  <c r="A136" i="43"/>
  <c r="B135" i="43"/>
  <c r="C135" i="45"/>
  <c r="B135" i="45"/>
  <c r="A136" i="45"/>
  <c r="C135" i="44"/>
  <c r="A136" i="44"/>
  <c r="B135" i="44"/>
  <c r="C136" i="44" l="1"/>
  <c r="A137" i="44"/>
  <c r="B136" i="44"/>
  <c r="B136" i="43"/>
  <c r="C136" i="43"/>
  <c r="A137" i="43"/>
  <c r="C136" i="45"/>
  <c r="A137" i="45"/>
  <c r="B136" i="45"/>
  <c r="A138" i="43" l="1"/>
  <c r="B137" i="43"/>
  <c r="C137" i="43"/>
  <c r="A138" i="45"/>
  <c r="C137" i="45"/>
  <c r="B137" i="45"/>
  <c r="C137" i="44"/>
  <c r="A138" i="44"/>
  <c r="B137" i="44"/>
  <c r="C138" i="44" l="1"/>
  <c r="A139" i="44"/>
  <c r="B138" i="44"/>
  <c r="C138" i="45"/>
  <c r="B138" i="45"/>
  <c r="A139" i="45"/>
  <c r="A139" i="43"/>
  <c r="C138" i="43"/>
  <c r="B138" i="43"/>
  <c r="A140" i="43" l="1"/>
  <c r="C139" i="43"/>
  <c r="B139" i="43"/>
  <c r="C139" i="44"/>
  <c r="A140" i="44"/>
  <c r="B139" i="44"/>
  <c r="C139" i="45"/>
  <c r="B139" i="45"/>
  <c r="A140" i="45"/>
  <c r="B140" i="45" l="1"/>
  <c r="C140" i="45"/>
  <c r="A141" i="45"/>
  <c r="A141" i="44"/>
  <c r="B140" i="44"/>
  <c r="C140" i="44"/>
  <c r="B140" i="43"/>
  <c r="C140" i="43"/>
  <c r="A141" i="43"/>
  <c r="C141" i="45" l="1"/>
  <c r="B141" i="45"/>
  <c r="A142" i="45"/>
  <c r="A142" i="43"/>
  <c r="C141" i="43"/>
  <c r="B141" i="43"/>
  <c r="C141" i="44"/>
  <c r="B141" i="44"/>
  <c r="A142" i="44"/>
  <c r="A143" i="44" l="1"/>
  <c r="C142" i="44"/>
  <c r="B142" i="44"/>
  <c r="C142" i="43"/>
  <c r="B142" i="43"/>
  <c r="A143" i="43"/>
  <c r="B142" i="45"/>
  <c r="A143" i="45"/>
  <c r="C142" i="45"/>
  <c r="A144" i="43" l="1"/>
  <c r="C143" i="43"/>
  <c r="B143" i="43"/>
  <c r="A144" i="45"/>
  <c r="C143" i="45"/>
  <c r="B143" i="45"/>
  <c r="A144" i="44"/>
  <c r="C143" i="44"/>
  <c r="B143" i="44"/>
  <c r="C144" i="44" l="1"/>
  <c r="B144" i="44"/>
  <c r="A145" i="44"/>
  <c r="A145" i="45"/>
  <c r="C144" i="45"/>
  <c r="B144" i="45"/>
  <c r="A145" i="43"/>
  <c r="C144" i="43"/>
  <c r="B144" i="43"/>
  <c r="C145" i="43" l="1"/>
  <c r="B145" i="43"/>
  <c r="C145" i="44"/>
  <c r="B145" i="44"/>
  <c r="C145" i="45"/>
  <c r="B145" i="45"/>
  <c r="H8" i="37" l="1"/>
  <c r="H7" i="37"/>
  <c r="H6" i="37"/>
  <c r="B48" i="23"/>
  <c r="B49" i="23"/>
  <c r="B50" i="23"/>
  <c r="B51" i="23"/>
  <c r="B52" i="23"/>
  <c r="B53" i="23"/>
  <c r="B47" i="23"/>
  <c r="H11" i="42"/>
  <c r="G11" i="42"/>
  <c r="G25" i="41"/>
  <c r="F25" i="41"/>
  <c r="E25" i="41"/>
  <c r="D25" i="41"/>
  <c r="F24" i="41"/>
  <c r="G24" i="41" s="1"/>
  <c r="E24" i="41"/>
  <c r="D24" i="41"/>
  <c r="G21" i="41"/>
  <c r="F21" i="41"/>
  <c r="E21" i="41"/>
  <c r="D21" i="41"/>
  <c r="V15" i="41"/>
  <c r="W14" i="41"/>
  <c r="U14" i="41"/>
  <c r="G14" i="41"/>
  <c r="F14" i="41"/>
  <c r="E14" i="41"/>
  <c r="W13" i="41"/>
  <c r="U13" i="41"/>
  <c r="E13" i="41"/>
  <c r="F13" i="41" s="1"/>
  <c r="W12" i="41"/>
  <c r="U12" i="41"/>
  <c r="W11" i="41"/>
  <c r="U11" i="41"/>
  <c r="W10" i="41"/>
  <c r="U10" i="41"/>
  <c r="W9" i="41"/>
  <c r="U9" i="41"/>
  <c r="W8" i="41"/>
  <c r="U8" i="41"/>
  <c r="W7" i="41"/>
  <c r="U7" i="41"/>
  <c r="D7" i="41"/>
  <c r="W6" i="41"/>
  <c r="U6" i="41"/>
  <c r="W5" i="41"/>
  <c r="U5" i="41"/>
  <c r="C5" i="41"/>
  <c r="W4" i="41"/>
  <c r="U4" i="41"/>
  <c r="D4" i="41"/>
  <c r="D5" i="41" s="1"/>
  <c r="W3" i="41"/>
  <c r="W15" i="41" s="1"/>
  <c r="D2" i="41" s="1"/>
  <c r="D6" i="41" s="1"/>
  <c r="D8" i="41" s="1"/>
  <c r="U3" i="41"/>
  <c r="C6" i="41" s="1"/>
  <c r="C8" i="41" s="1"/>
  <c r="D18" i="41" s="1"/>
  <c r="D3" i="41"/>
  <c r="E124" i="40"/>
  <c r="H119" i="40"/>
  <c r="G119" i="40"/>
  <c r="F119" i="40"/>
  <c r="F120" i="40" s="1"/>
  <c r="E119" i="40"/>
  <c r="E126" i="40" s="1"/>
  <c r="H118" i="40"/>
  <c r="G118" i="40"/>
  <c r="F118" i="40"/>
  <c r="E118" i="40"/>
  <c r="E125" i="40" s="1"/>
  <c r="H117" i="40"/>
  <c r="G117" i="40"/>
  <c r="F117" i="40"/>
  <c r="E117" i="40"/>
  <c r="H116" i="40"/>
  <c r="K116" i="40" s="1"/>
  <c r="N116" i="40" s="1"/>
  <c r="G116" i="40"/>
  <c r="J116" i="40" s="1"/>
  <c r="M116" i="40" s="1"/>
  <c r="F116" i="40"/>
  <c r="I116" i="40" s="1"/>
  <c r="L116" i="40" s="1"/>
  <c r="E110" i="40"/>
  <c r="E106" i="40"/>
  <c r="E102" i="40"/>
  <c r="E89" i="40"/>
  <c r="I88" i="40"/>
  <c r="I86" i="40"/>
  <c r="H86" i="40"/>
  <c r="G86" i="40"/>
  <c r="F86" i="40"/>
  <c r="L79" i="40"/>
  <c r="L64" i="40" s="1"/>
  <c r="K79" i="40"/>
  <c r="K64" i="40" s="1"/>
  <c r="J79" i="40"/>
  <c r="J64" i="40" s="1"/>
  <c r="I79" i="40"/>
  <c r="I64" i="40" s="1"/>
  <c r="H79" i="40"/>
  <c r="H64" i="40" s="1"/>
  <c r="G79" i="40"/>
  <c r="G64" i="40" s="1"/>
  <c r="F79" i="40"/>
  <c r="F64" i="40" s="1"/>
  <c r="E75" i="40"/>
  <c r="E74" i="40"/>
  <c r="E73" i="40"/>
  <c r="E72" i="40"/>
  <c r="G59" i="40"/>
  <c r="H59" i="40" s="1"/>
  <c r="I59" i="40" s="1"/>
  <c r="J59" i="40" s="1"/>
  <c r="K59" i="40" s="1"/>
  <c r="L59" i="40" s="1"/>
  <c r="M59" i="40" s="1"/>
  <c r="N59" i="40" s="1"/>
  <c r="I5" i="40"/>
  <c r="C5" i="40"/>
  <c r="I4" i="40"/>
  <c r="C4" i="40"/>
  <c r="I3" i="40"/>
  <c r="C3" i="40"/>
  <c r="P89" i="39"/>
  <c r="O89" i="39"/>
  <c r="N89" i="39"/>
  <c r="M89" i="39"/>
  <c r="P88" i="39"/>
  <c r="O88" i="39"/>
  <c r="N88" i="39"/>
  <c r="M88" i="39"/>
  <c r="P87" i="39"/>
  <c r="O87" i="39"/>
  <c r="N87" i="39"/>
  <c r="M87" i="39"/>
  <c r="P86" i="39"/>
  <c r="O86" i="39"/>
  <c r="N86" i="39"/>
  <c r="Q86" i="39" s="1"/>
  <c r="M86" i="39"/>
  <c r="P85" i="39"/>
  <c r="O85" i="39"/>
  <c r="N85" i="39"/>
  <c r="Q85" i="39" s="1"/>
  <c r="M85" i="39"/>
  <c r="P84" i="39"/>
  <c r="O84" i="39"/>
  <c r="N84" i="39"/>
  <c r="Q84" i="39" s="1"/>
  <c r="M84" i="39"/>
  <c r="P83" i="39"/>
  <c r="O83" i="39"/>
  <c r="N83" i="39"/>
  <c r="M83" i="39"/>
  <c r="P82" i="39"/>
  <c r="O82" i="39"/>
  <c r="N82" i="39"/>
  <c r="M82" i="39"/>
  <c r="P81" i="39"/>
  <c r="O81" i="39"/>
  <c r="N81" i="39"/>
  <c r="M81" i="39"/>
  <c r="P80" i="39"/>
  <c r="O80" i="39"/>
  <c r="N80" i="39"/>
  <c r="Q80" i="39" s="1"/>
  <c r="M80" i="39"/>
  <c r="P79" i="39"/>
  <c r="O79" i="39"/>
  <c r="N79" i="39"/>
  <c r="Q79" i="39" s="1"/>
  <c r="M79" i="39"/>
  <c r="P78" i="39"/>
  <c r="O78" i="39"/>
  <c r="N78" i="39"/>
  <c r="M78" i="39"/>
  <c r="P77" i="39"/>
  <c r="O77" i="39"/>
  <c r="Q77" i="39" s="1"/>
  <c r="N77" i="39"/>
  <c r="M77" i="39"/>
  <c r="P76" i="39"/>
  <c r="O76" i="39"/>
  <c r="N76" i="39"/>
  <c r="Q76" i="39" s="1"/>
  <c r="M76" i="39"/>
  <c r="P75" i="39"/>
  <c r="O75" i="39"/>
  <c r="N75" i="39"/>
  <c r="M75" i="39"/>
  <c r="P74" i="39"/>
  <c r="O74" i="39"/>
  <c r="N74" i="39"/>
  <c r="M74" i="39"/>
  <c r="P73" i="39"/>
  <c r="O73" i="39"/>
  <c r="N73" i="39"/>
  <c r="M73" i="39"/>
  <c r="P72" i="39"/>
  <c r="O72" i="39"/>
  <c r="N72" i="39"/>
  <c r="Q72" i="39" s="1"/>
  <c r="M72" i="39"/>
  <c r="P71" i="39"/>
  <c r="O71" i="39"/>
  <c r="N71" i="39"/>
  <c r="Q71" i="39" s="1"/>
  <c r="M71" i="39"/>
  <c r="P70" i="39"/>
  <c r="O70" i="39"/>
  <c r="N70" i="39"/>
  <c r="M70" i="39"/>
  <c r="Q69" i="39"/>
  <c r="P69" i="39"/>
  <c r="O69" i="39"/>
  <c r="N69" i="39"/>
  <c r="M69" i="39"/>
  <c r="P68" i="39"/>
  <c r="O68" i="39"/>
  <c r="N68" i="39"/>
  <c r="Q68" i="39" s="1"/>
  <c r="M68" i="39"/>
  <c r="P67" i="39"/>
  <c r="O67" i="39"/>
  <c r="N67" i="39"/>
  <c r="M67" i="39"/>
  <c r="P66" i="39"/>
  <c r="O66" i="39"/>
  <c r="N66" i="39"/>
  <c r="M66" i="39"/>
  <c r="P65" i="39"/>
  <c r="O65" i="39"/>
  <c r="N65" i="39"/>
  <c r="Q65" i="39" s="1"/>
  <c r="M65" i="39"/>
  <c r="P64" i="39"/>
  <c r="O64" i="39"/>
  <c r="N64" i="39"/>
  <c r="Q64" i="39" s="1"/>
  <c r="M64" i="39"/>
  <c r="P63" i="39"/>
  <c r="O63" i="39"/>
  <c r="N63" i="39"/>
  <c r="M63" i="39"/>
  <c r="P62" i="39"/>
  <c r="O62" i="39"/>
  <c r="N62" i="39"/>
  <c r="M62" i="39"/>
  <c r="P61" i="39"/>
  <c r="O61" i="39"/>
  <c r="N61" i="39"/>
  <c r="Q61" i="39" s="1"/>
  <c r="M61" i="39"/>
  <c r="P60" i="39"/>
  <c r="O60" i="39"/>
  <c r="N60" i="39"/>
  <c r="M60" i="39"/>
  <c r="P59" i="39"/>
  <c r="O59" i="39"/>
  <c r="N59" i="39"/>
  <c r="M59" i="39"/>
  <c r="P58" i="39"/>
  <c r="O58" i="39"/>
  <c r="N58" i="39"/>
  <c r="M58" i="39"/>
  <c r="P57" i="39"/>
  <c r="O57" i="39"/>
  <c r="N57" i="39"/>
  <c r="M57" i="39"/>
  <c r="P56" i="39"/>
  <c r="O56" i="39"/>
  <c r="N56" i="39"/>
  <c r="Q56" i="39" s="1"/>
  <c r="M56" i="39"/>
  <c r="P55" i="39"/>
  <c r="O55" i="39"/>
  <c r="N55" i="39"/>
  <c r="M55" i="39"/>
  <c r="P54" i="39"/>
  <c r="O54" i="39"/>
  <c r="N54" i="39"/>
  <c r="M54" i="39"/>
  <c r="P53" i="39"/>
  <c r="O53" i="39"/>
  <c r="N53" i="39"/>
  <c r="Q53" i="39" s="1"/>
  <c r="M53" i="39"/>
  <c r="P52" i="39"/>
  <c r="O52" i="39"/>
  <c r="N52" i="39"/>
  <c r="M52" i="39"/>
  <c r="P51" i="39"/>
  <c r="O51" i="39"/>
  <c r="N51" i="39"/>
  <c r="M51" i="39"/>
  <c r="P50" i="39"/>
  <c r="O50" i="39"/>
  <c r="N50" i="39"/>
  <c r="M50" i="39"/>
  <c r="P49" i="39"/>
  <c r="O49" i="39"/>
  <c r="N49" i="39"/>
  <c r="M49" i="39"/>
  <c r="P48" i="39"/>
  <c r="O48" i="39"/>
  <c r="N48" i="39"/>
  <c r="Q48" i="39" s="1"/>
  <c r="M48" i="39"/>
  <c r="P47" i="39"/>
  <c r="O47" i="39"/>
  <c r="N47" i="39"/>
  <c r="M47" i="39"/>
  <c r="P46" i="39"/>
  <c r="Q46" i="39" s="1"/>
  <c r="O46" i="39"/>
  <c r="N46" i="39"/>
  <c r="M46" i="39"/>
  <c r="P45" i="39"/>
  <c r="O45" i="39"/>
  <c r="N45" i="39"/>
  <c r="Q45" i="39" s="1"/>
  <c r="M45" i="39"/>
  <c r="P44" i="39"/>
  <c r="O44" i="39"/>
  <c r="N44" i="39"/>
  <c r="M44" i="39"/>
  <c r="P43" i="39"/>
  <c r="O43" i="39"/>
  <c r="N43" i="39"/>
  <c r="M43" i="39"/>
  <c r="P42" i="39"/>
  <c r="O42" i="39"/>
  <c r="N42" i="39"/>
  <c r="M42" i="39"/>
  <c r="P41" i="39"/>
  <c r="O41" i="39"/>
  <c r="N41" i="39"/>
  <c r="M41" i="39"/>
  <c r="P40" i="39"/>
  <c r="O40" i="39"/>
  <c r="N40" i="39"/>
  <c r="M40" i="39"/>
  <c r="P39" i="39"/>
  <c r="O39" i="39"/>
  <c r="N39" i="39"/>
  <c r="Q39" i="39" s="1"/>
  <c r="M39" i="39"/>
  <c r="P38" i="39"/>
  <c r="O38" i="39"/>
  <c r="N38" i="39"/>
  <c r="Q38" i="39" s="1"/>
  <c r="M38" i="39"/>
  <c r="P37" i="39"/>
  <c r="O37" i="39"/>
  <c r="N37" i="39"/>
  <c r="Q37" i="39" s="1"/>
  <c r="M37" i="39"/>
  <c r="AT36" i="39"/>
  <c r="J4" i="40" s="1"/>
  <c r="AS36" i="39"/>
  <c r="AR36" i="39"/>
  <c r="J5" i="40" s="1"/>
  <c r="AQ36" i="39"/>
  <c r="J3" i="40" s="1"/>
  <c r="AP36" i="39"/>
  <c r="AO36" i="39"/>
  <c r="AN36" i="39"/>
  <c r="AM36" i="39"/>
  <c r="AL36" i="39"/>
  <c r="AK36" i="39"/>
  <c r="AJ36" i="39"/>
  <c r="AI36" i="39"/>
  <c r="AH36" i="39"/>
  <c r="AG36" i="39"/>
  <c r="AF36" i="39"/>
  <c r="P36" i="39"/>
  <c r="O36" i="39"/>
  <c r="N36" i="39"/>
  <c r="M36" i="39"/>
  <c r="P35" i="39"/>
  <c r="O35" i="39"/>
  <c r="N35" i="39"/>
  <c r="Q35" i="39" s="1"/>
  <c r="M35" i="39"/>
  <c r="Z34" i="39"/>
  <c r="P34" i="39"/>
  <c r="O34" i="39"/>
  <c r="N34" i="39"/>
  <c r="M34" i="39"/>
  <c r="Z33" i="39"/>
  <c r="P33" i="39"/>
  <c r="O33" i="39"/>
  <c r="N33" i="39"/>
  <c r="M33" i="39"/>
  <c r="Z32" i="39"/>
  <c r="P32" i="39"/>
  <c r="O32" i="39"/>
  <c r="N32" i="39"/>
  <c r="M32" i="39"/>
  <c r="Z31" i="39"/>
  <c r="P31" i="39"/>
  <c r="O31" i="39"/>
  <c r="N31" i="39"/>
  <c r="M31" i="39"/>
  <c r="H31" i="39"/>
  <c r="C31" i="39"/>
  <c r="Z30" i="39"/>
  <c r="P30" i="39"/>
  <c r="O30" i="39"/>
  <c r="N30" i="39"/>
  <c r="Q30" i="39" s="1"/>
  <c r="M30" i="39"/>
  <c r="H30" i="39"/>
  <c r="C30" i="39"/>
  <c r="Z29" i="39"/>
  <c r="P29" i="39"/>
  <c r="O29" i="39"/>
  <c r="Q29" i="39" s="1"/>
  <c r="N29" i="39"/>
  <c r="M29" i="39"/>
  <c r="H29" i="39"/>
  <c r="C29" i="39"/>
  <c r="Z28" i="39"/>
  <c r="P28" i="39"/>
  <c r="O28" i="39"/>
  <c r="N28" i="39"/>
  <c r="Q28" i="39" s="1"/>
  <c r="M28" i="39"/>
  <c r="H28" i="39"/>
  <c r="C28" i="39"/>
  <c r="Z27" i="39"/>
  <c r="P27" i="39"/>
  <c r="O27" i="39"/>
  <c r="N27" i="39"/>
  <c r="M27" i="39"/>
  <c r="H27" i="39"/>
  <c r="C27" i="39"/>
  <c r="Z26" i="39"/>
  <c r="P26" i="39"/>
  <c r="O26" i="39"/>
  <c r="N26" i="39"/>
  <c r="M26" i="39"/>
  <c r="H26" i="39"/>
  <c r="C26" i="39"/>
  <c r="Z25" i="39"/>
  <c r="P25" i="39"/>
  <c r="O25" i="39"/>
  <c r="N25" i="39"/>
  <c r="M25" i="39"/>
  <c r="H25" i="39"/>
  <c r="C25" i="39"/>
  <c r="Z24" i="39"/>
  <c r="P24" i="39"/>
  <c r="O24" i="39"/>
  <c r="N24" i="39"/>
  <c r="M24" i="39"/>
  <c r="H24" i="39"/>
  <c r="C24" i="39"/>
  <c r="Z23" i="39"/>
  <c r="P23" i="39"/>
  <c r="O23" i="39"/>
  <c r="N23" i="39"/>
  <c r="M23" i="39"/>
  <c r="H23" i="39"/>
  <c r="C23" i="39"/>
  <c r="Z22" i="39"/>
  <c r="P22" i="39"/>
  <c r="O22" i="39"/>
  <c r="N22" i="39"/>
  <c r="M22" i="39"/>
  <c r="H22" i="39"/>
  <c r="C22" i="39"/>
  <c r="Z21" i="39"/>
  <c r="P21" i="39"/>
  <c r="O21" i="39"/>
  <c r="N21" i="39"/>
  <c r="M21" i="39"/>
  <c r="H21" i="39"/>
  <c r="C21" i="39"/>
  <c r="Z20" i="39"/>
  <c r="P20" i="39"/>
  <c r="O20" i="39"/>
  <c r="N20" i="39"/>
  <c r="M20" i="39"/>
  <c r="H20" i="39"/>
  <c r="C20" i="39"/>
  <c r="Z19" i="39"/>
  <c r="P19" i="39"/>
  <c r="O19" i="39"/>
  <c r="N19" i="39"/>
  <c r="M19" i="39"/>
  <c r="H19" i="39"/>
  <c r="C19" i="39"/>
  <c r="Z18" i="39"/>
  <c r="P18" i="39"/>
  <c r="O18" i="39"/>
  <c r="N18" i="39"/>
  <c r="Q18" i="39" s="1"/>
  <c r="M18" i="39"/>
  <c r="H18" i="39"/>
  <c r="C18" i="39"/>
  <c r="Z17" i="39"/>
  <c r="P17" i="39"/>
  <c r="O17" i="39"/>
  <c r="N17" i="39"/>
  <c r="M17" i="39"/>
  <c r="H17" i="39"/>
  <c r="C17" i="39"/>
  <c r="Z16" i="39"/>
  <c r="P16" i="39"/>
  <c r="O16" i="39"/>
  <c r="N16" i="39"/>
  <c r="M16" i="39"/>
  <c r="H16" i="39"/>
  <c r="C16" i="39"/>
  <c r="Z15" i="39"/>
  <c r="P15" i="39"/>
  <c r="O15" i="39"/>
  <c r="N15" i="39"/>
  <c r="M15" i="39"/>
  <c r="H15" i="39"/>
  <c r="C15" i="39"/>
  <c r="Z14" i="39"/>
  <c r="P14" i="39"/>
  <c r="O14" i="39"/>
  <c r="N14" i="39"/>
  <c r="M14" i="39"/>
  <c r="H14" i="39"/>
  <c r="C14" i="39"/>
  <c r="Z13" i="39"/>
  <c r="P13" i="39"/>
  <c r="O13" i="39"/>
  <c r="N13" i="39"/>
  <c r="M13" i="39"/>
  <c r="H13" i="39"/>
  <c r="C13" i="39"/>
  <c r="Z12" i="39"/>
  <c r="P12" i="39"/>
  <c r="O12" i="39"/>
  <c r="N12" i="39"/>
  <c r="Q12" i="39" s="1"/>
  <c r="M12" i="39"/>
  <c r="H12" i="39"/>
  <c r="C12" i="39"/>
  <c r="Z11" i="39"/>
  <c r="P11" i="39"/>
  <c r="O11" i="39"/>
  <c r="N11" i="39"/>
  <c r="M11" i="39"/>
  <c r="H11" i="39"/>
  <c r="C11" i="39"/>
  <c r="Z10" i="39"/>
  <c r="P10" i="39"/>
  <c r="O10" i="39"/>
  <c r="N10" i="39"/>
  <c r="M10" i="39"/>
  <c r="H10" i="39"/>
  <c r="C10" i="39"/>
  <c r="Z9" i="39"/>
  <c r="P9" i="39"/>
  <c r="O9" i="39"/>
  <c r="N9" i="39"/>
  <c r="M9" i="39"/>
  <c r="H9" i="39"/>
  <c r="C9" i="39"/>
  <c r="Z8" i="39"/>
  <c r="P8" i="39"/>
  <c r="O8" i="39"/>
  <c r="N8" i="39"/>
  <c r="M8" i="39"/>
  <c r="H8" i="39"/>
  <c r="C8" i="39"/>
  <c r="Z7" i="39"/>
  <c r="P7" i="39"/>
  <c r="O7" i="39"/>
  <c r="N7" i="39"/>
  <c r="Q7" i="39" s="1"/>
  <c r="M7" i="39"/>
  <c r="H7" i="39"/>
  <c r="C7" i="39"/>
  <c r="Z6" i="39"/>
  <c r="P6" i="39"/>
  <c r="O6" i="39"/>
  <c r="N6" i="39"/>
  <c r="M6" i="39"/>
  <c r="H6" i="39"/>
  <c r="C6" i="39"/>
  <c r="P5" i="39"/>
  <c r="O5" i="39"/>
  <c r="N5" i="39"/>
  <c r="M5" i="39"/>
  <c r="H5" i="39"/>
  <c r="C5" i="39"/>
  <c r="P4" i="39"/>
  <c r="O4" i="39"/>
  <c r="N4" i="39"/>
  <c r="Q4" i="39" s="1"/>
  <c r="M4" i="39"/>
  <c r="R4" i="39" s="1"/>
  <c r="H4" i="39"/>
  <c r="C4" i="39"/>
  <c r="P3" i="39"/>
  <c r="U3" i="39" s="1"/>
  <c r="O3" i="39"/>
  <c r="T3" i="39" s="1"/>
  <c r="N3" i="39"/>
  <c r="Q3" i="39" s="1"/>
  <c r="M3" i="39"/>
  <c r="R3" i="39" s="1"/>
  <c r="H3" i="39"/>
  <c r="C3" i="39"/>
  <c r="U2" i="39"/>
  <c r="T2" i="39"/>
  <c r="S2" i="39"/>
  <c r="R2" i="39"/>
  <c r="Q2" i="39"/>
  <c r="V2" i="39" s="1"/>
  <c r="G120" i="40" l="1"/>
  <c r="H120" i="40"/>
  <c r="Q87" i="39"/>
  <c r="Q44" i="39"/>
  <c r="Q52" i="39"/>
  <c r="S3" i="39"/>
  <c r="Q17" i="39"/>
  <c r="Q22" i="39"/>
  <c r="Q11" i="39"/>
  <c r="Q50" i="39"/>
  <c r="Q73" i="39"/>
  <c r="Q23" i="39"/>
  <c r="Q63" i="39"/>
  <c r="Q14" i="39"/>
  <c r="Q40" i="39"/>
  <c r="V3" i="39"/>
  <c r="V4" i="39" s="1"/>
  <c r="Q5" i="39"/>
  <c r="Q36" i="39"/>
  <c r="Q31" i="39"/>
  <c r="G13" i="41"/>
  <c r="Q67" i="39"/>
  <c r="Q6" i="39"/>
  <c r="Q55" i="39"/>
  <c r="U4" i="39"/>
  <c r="U5" i="39" s="1"/>
  <c r="U6" i="39" s="1"/>
  <c r="U7" i="39" s="1"/>
  <c r="U8" i="39" s="1"/>
  <c r="U9" i="39" s="1"/>
  <c r="U10" i="39" s="1"/>
  <c r="U11" i="39" s="1"/>
  <c r="U12" i="39" s="1"/>
  <c r="U13" i="39" s="1"/>
  <c r="U14" i="39" s="1"/>
  <c r="U15" i="39" s="1"/>
  <c r="U16" i="39" s="1"/>
  <c r="U17" i="39" s="1"/>
  <c r="U18" i="39" s="1"/>
  <c r="U19" i="39" s="1"/>
  <c r="U20" i="39" s="1"/>
  <c r="U21" i="39" s="1"/>
  <c r="U22" i="39" s="1"/>
  <c r="U23" i="39" s="1"/>
  <c r="U24" i="39" s="1"/>
  <c r="U25" i="39" s="1"/>
  <c r="U26" i="39" s="1"/>
  <c r="U27" i="39" s="1"/>
  <c r="U28" i="39" s="1"/>
  <c r="U29" i="39" s="1"/>
  <c r="U30" i="39" s="1"/>
  <c r="U31" i="39" s="1"/>
  <c r="U32" i="39" s="1"/>
  <c r="U33" i="39" s="1"/>
  <c r="U34" i="39" s="1"/>
  <c r="U35" i="39" s="1"/>
  <c r="U36" i="39" s="1"/>
  <c r="U37" i="39" s="1"/>
  <c r="U38" i="39" s="1"/>
  <c r="U39" i="39" s="1"/>
  <c r="U40" i="39" s="1"/>
  <c r="U41" i="39" s="1"/>
  <c r="U42" i="39" s="1"/>
  <c r="U43" i="39" s="1"/>
  <c r="U44" i="39" s="1"/>
  <c r="U45" i="39" s="1"/>
  <c r="U46" i="39" s="1"/>
  <c r="U47" i="39" s="1"/>
  <c r="U48" i="39" s="1"/>
  <c r="U49" i="39" s="1"/>
  <c r="U50" i="39" s="1"/>
  <c r="U51" i="39" s="1"/>
  <c r="U52" i="39" s="1"/>
  <c r="U53" i="39" s="1"/>
  <c r="U54" i="39" s="1"/>
  <c r="U55" i="39" s="1"/>
  <c r="U56" i="39" s="1"/>
  <c r="U57" i="39" s="1"/>
  <c r="U58" i="39" s="1"/>
  <c r="U59" i="39" s="1"/>
  <c r="U60" i="39" s="1"/>
  <c r="U61" i="39" s="1"/>
  <c r="U62" i="39" s="1"/>
  <c r="U63" i="39" s="1"/>
  <c r="U64" i="39" s="1"/>
  <c r="U65" i="39" s="1"/>
  <c r="U66" i="39" s="1"/>
  <c r="U67" i="39" s="1"/>
  <c r="U68" i="39" s="1"/>
  <c r="U69" i="39" s="1"/>
  <c r="U70" i="39" s="1"/>
  <c r="U71" i="39" s="1"/>
  <c r="U72" i="39" s="1"/>
  <c r="U73" i="39" s="1"/>
  <c r="U74" i="39" s="1"/>
  <c r="U75" i="39" s="1"/>
  <c r="U76" i="39" s="1"/>
  <c r="U77" i="39" s="1"/>
  <c r="U78" i="39" s="1"/>
  <c r="U79" i="39" s="1"/>
  <c r="U80" i="39" s="1"/>
  <c r="U81" i="39" s="1"/>
  <c r="U82" i="39" s="1"/>
  <c r="U83" i="39" s="1"/>
  <c r="U84" i="39" s="1"/>
  <c r="U85" i="39" s="1"/>
  <c r="U86" i="39" s="1"/>
  <c r="U87" i="39" s="1"/>
  <c r="U88" i="39" s="1"/>
  <c r="U89" i="39" s="1"/>
  <c r="R8" i="39"/>
  <c r="R9" i="39" s="1"/>
  <c r="R10" i="39"/>
  <c r="R11" i="39" s="1"/>
  <c r="R12" i="39" s="1"/>
  <c r="R13" i="39" s="1"/>
  <c r="R14" i="39" s="1"/>
  <c r="R15" i="39" s="1"/>
  <c r="R16" i="39" s="1"/>
  <c r="R17" i="39" s="1"/>
  <c r="R18" i="39" s="1"/>
  <c r="R19" i="39" s="1"/>
  <c r="R20" i="39" s="1"/>
  <c r="R21" i="39" s="1"/>
  <c r="R22" i="39" s="1"/>
  <c r="R23" i="39" s="1"/>
  <c r="R24" i="39" s="1"/>
  <c r="R25" i="39" s="1"/>
  <c r="R26" i="39" s="1"/>
  <c r="R27" i="39" s="1"/>
  <c r="R28" i="39" s="1"/>
  <c r="R29" i="39" s="1"/>
  <c r="R30" i="39" s="1"/>
  <c r="R31" i="39" s="1"/>
  <c r="R32" i="39" s="1"/>
  <c r="R33" i="39" s="1"/>
  <c r="Q15" i="39"/>
  <c r="Q49" i="39"/>
  <c r="T4" i="39"/>
  <c r="T5" i="39" s="1"/>
  <c r="T6" i="39" s="1"/>
  <c r="T7" i="39" s="1"/>
  <c r="T8" i="39" s="1"/>
  <c r="T9" i="39" s="1"/>
  <c r="T10" i="39" s="1"/>
  <c r="T11" i="39" s="1"/>
  <c r="T12" i="39" s="1"/>
  <c r="T13" i="39" s="1"/>
  <c r="T14" i="39" s="1"/>
  <c r="T15" i="39" s="1"/>
  <c r="T16" i="39" s="1"/>
  <c r="T17" i="39" s="1"/>
  <c r="T18" i="39" s="1"/>
  <c r="T19" i="39" s="1"/>
  <c r="T20" i="39" s="1"/>
  <c r="T21" i="39" s="1"/>
  <c r="T22" i="39" s="1"/>
  <c r="T23" i="39" s="1"/>
  <c r="T24" i="39" s="1"/>
  <c r="T25" i="39" s="1"/>
  <c r="T26" i="39" s="1"/>
  <c r="T27" i="39" s="1"/>
  <c r="T28" i="39" s="1"/>
  <c r="T29" i="39" s="1"/>
  <c r="T30" i="39" s="1"/>
  <c r="T31" i="39" s="1"/>
  <c r="T32" i="39" s="1"/>
  <c r="T33" i="39" s="1"/>
  <c r="T34" i="39" s="1"/>
  <c r="T35" i="39" s="1"/>
  <c r="T36" i="39" s="1"/>
  <c r="T37" i="39" s="1"/>
  <c r="T38" i="39" s="1"/>
  <c r="T39" i="39" s="1"/>
  <c r="T40" i="39" s="1"/>
  <c r="T41" i="39" s="1"/>
  <c r="T42" i="39" s="1"/>
  <c r="T43" i="39" s="1"/>
  <c r="T44" i="39" s="1"/>
  <c r="T45" i="39" s="1"/>
  <c r="T46" i="39" s="1"/>
  <c r="T47" i="39" s="1"/>
  <c r="T48" i="39" s="1"/>
  <c r="T49" i="39" s="1"/>
  <c r="T50" i="39" s="1"/>
  <c r="T51" i="39" s="1"/>
  <c r="T52" i="39" s="1"/>
  <c r="T53" i="39" s="1"/>
  <c r="T54" i="39" s="1"/>
  <c r="T55" i="39" s="1"/>
  <c r="T56" i="39" s="1"/>
  <c r="T57" i="39" s="1"/>
  <c r="T58" i="39" s="1"/>
  <c r="T59" i="39" s="1"/>
  <c r="T60" i="39" s="1"/>
  <c r="T61" i="39" s="1"/>
  <c r="T62" i="39" s="1"/>
  <c r="T63" i="39" s="1"/>
  <c r="T64" i="39" s="1"/>
  <c r="T65" i="39" s="1"/>
  <c r="T66" i="39" s="1"/>
  <c r="T67" i="39" s="1"/>
  <c r="T68" i="39" s="1"/>
  <c r="T69" i="39" s="1"/>
  <c r="T70" i="39" s="1"/>
  <c r="T71" i="39" s="1"/>
  <c r="T72" i="39" s="1"/>
  <c r="T73" i="39" s="1"/>
  <c r="T74" i="39" s="1"/>
  <c r="T75" i="39" s="1"/>
  <c r="T76" i="39" s="1"/>
  <c r="T77" i="39" s="1"/>
  <c r="T78" i="39" s="1"/>
  <c r="T79" i="39" s="1"/>
  <c r="T80" i="39" s="1"/>
  <c r="T81" i="39" s="1"/>
  <c r="T82" i="39" s="1"/>
  <c r="T83" i="39" s="1"/>
  <c r="T84" i="39" s="1"/>
  <c r="T85" i="39" s="1"/>
  <c r="T86" i="39" s="1"/>
  <c r="T87" i="39" s="1"/>
  <c r="T88" i="39" s="1"/>
  <c r="T89" i="39" s="1"/>
  <c r="Q27" i="39"/>
  <c r="Q10" i="39"/>
  <c r="Q42" i="39"/>
  <c r="Q21" i="39"/>
  <c r="Q34" i="39"/>
  <c r="Q59" i="39"/>
  <c r="Q26" i="39"/>
  <c r="Q78" i="39"/>
  <c r="Q51" i="39"/>
  <c r="Q16" i="39"/>
  <c r="Q57" i="39"/>
  <c r="Q82" i="39"/>
  <c r="Q20" i="39"/>
  <c r="R5" i="39"/>
  <c r="R6" i="39" s="1"/>
  <c r="R7" i="39" s="1"/>
  <c r="Q47" i="39"/>
  <c r="G18" i="41"/>
  <c r="F18" i="41"/>
  <c r="E18" i="41"/>
  <c r="Q74" i="39"/>
  <c r="G38" i="40"/>
  <c r="H35" i="40"/>
  <c r="F32" i="40"/>
  <c r="F38" i="40"/>
  <c r="G35" i="40"/>
  <c r="L31" i="40"/>
  <c r="L37" i="40"/>
  <c r="F35" i="40"/>
  <c r="K31" i="40"/>
  <c r="K37" i="40"/>
  <c r="L33" i="40"/>
  <c r="J31" i="40"/>
  <c r="L39" i="40"/>
  <c r="J37" i="40"/>
  <c r="K33" i="40"/>
  <c r="I31" i="40"/>
  <c r="K39" i="40"/>
  <c r="I37" i="40"/>
  <c r="J33" i="40"/>
  <c r="H31" i="40"/>
  <c r="J39" i="40"/>
  <c r="H37" i="40"/>
  <c r="I33" i="40"/>
  <c r="G31" i="40"/>
  <c r="I39" i="40"/>
  <c r="G37" i="40"/>
  <c r="H33" i="40"/>
  <c r="F31" i="40"/>
  <c r="H39" i="40"/>
  <c r="F37" i="40"/>
  <c r="G33" i="40"/>
  <c r="L30" i="40"/>
  <c r="G39" i="40"/>
  <c r="L36" i="40"/>
  <c r="F33" i="40"/>
  <c r="K30" i="40"/>
  <c r="F39" i="40"/>
  <c r="K36" i="40"/>
  <c r="L32" i="40"/>
  <c r="J30" i="40"/>
  <c r="L38" i="40"/>
  <c r="J36" i="40"/>
  <c r="K32" i="40"/>
  <c r="I30" i="40"/>
  <c r="K38" i="40"/>
  <c r="I36" i="40"/>
  <c r="L35" i="40"/>
  <c r="F87" i="40" s="1"/>
  <c r="J32" i="40"/>
  <c r="H30" i="40"/>
  <c r="J38" i="40"/>
  <c r="H36" i="40"/>
  <c r="K35" i="40"/>
  <c r="I32" i="40"/>
  <c r="G30" i="40"/>
  <c r="I38" i="40"/>
  <c r="G36" i="40"/>
  <c r="J35" i="40"/>
  <c r="H32" i="40"/>
  <c r="F30" i="40"/>
  <c r="H38" i="40"/>
  <c r="F36" i="40"/>
  <c r="I35" i="40"/>
  <c r="G32" i="40"/>
  <c r="Q25" i="39"/>
  <c r="H5" i="40"/>
  <c r="D5" i="40" s="1"/>
  <c r="Q66" i="39"/>
  <c r="S4" i="39"/>
  <c r="S5" i="39" s="1"/>
  <c r="S6" i="39" s="1"/>
  <c r="S7" i="39" s="1"/>
  <c r="S8" i="39" s="1"/>
  <c r="S9" i="39" s="1"/>
  <c r="S10" i="39" s="1"/>
  <c r="S11" i="39" s="1"/>
  <c r="S12" i="39" s="1"/>
  <c r="S13" i="39" s="1"/>
  <c r="S14" i="39" s="1"/>
  <c r="S15" i="39" s="1"/>
  <c r="S16" i="39" s="1"/>
  <c r="S17" i="39" s="1"/>
  <c r="S18" i="39" s="1"/>
  <c r="S19" i="39" s="1"/>
  <c r="S20" i="39" s="1"/>
  <c r="S21" i="39" s="1"/>
  <c r="S22" i="39" s="1"/>
  <c r="S23" i="39" s="1"/>
  <c r="S24" i="39" s="1"/>
  <c r="S25" i="39" s="1"/>
  <c r="S26" i="39" s="1"/>
  <c r="S27" i="39" s="1"/>
  <c r="S28" i="39" s="1"/>
  <c r="S29" i="39" s="1"/>
  <c r="S30" i="39" s="1"/>
  <c r="S31" i="39" s="1"/>
  <c r="S32" i="39" s="1"/>
  <c r="S33" i="39" s="1"/>
  <c r="S34" i="39" s="1"/>
  <c r="S35" i="39" s="1"/>
  <c r="S36" i="39" s="1"/>
  <c r="S37" i="39" s="1"/>
  <c r="S38" i="39" s="1"/>
  <c r="S39" i="39" s="1"/>
  <c r="S40" i="39" s="1"/>
  <c r="S41" i="39" s="1"/>
  <c r="S42" i="39" s="1"/>
  <c r="S43" i="39" s="1"/>
  <c r="S44" i="39" s="1"/>
  <c r="S45" i="39" s="1"/>
  <c r="S46" i="39" s="1"/>
  <c r="S47" i="39" s="1"/>
  <c r="S48" i="39" s="1"/>
  <c r="S49" i="39" s="1"/>
  <c r="S50" i="39" s="1"/>
  <c r="S51" i="39" s="1"/>
  <c r="S52" i="39" s="1"/>
  <c r="S53" i="39" s="1"/>
  <c r="S54" i="39" s="1"/>
  <c r="S55" i="39" s="1"/>
  <c r="S56" i="39" s="1"/>
  <c r="S57" i="39" s="1"/>
  <c r="S58" i="39" s="1"/>
  <c r="S59" i="39" s="1"/>
  <c r="S60" i="39" s="1"/>
  <c r="S61" i="39" s="1"/>
  <c r="S62" i="39" s="1"/>
  <c r="S63" i="39" s="1"/>
  <c r="S64" i="39" s="1"/>
  <c r="S65" i="39" s="1"/>
  <c r="S66" i="39" s="1"/>
  <c r="S67" i="39" s="1"/>
  <c r="S68" i="39" s="1"/>
  <c r="S69" i="39" s="1"/>
  <c r="S70" i="39" s="1"/>
  <c r="S71" i="39" s="1"/>
  <c r="S72" i="39" s="1"/>
  <c r="S73" i="39" s="1"/>
  <c r="S74" i="39" s="1"/>
  <c r="S75" i="39" s="1"/>
  <c r="S76" i="39" s="1"/>
  <c r="S77" i="39" s="1"/>
  <c r="S78" i="39" s="1"/>
  <c r="S79" i="39" s="1"/>
  <c r="S80" i="39" s="1"/>
  <c r="S81" i="39" s="1"/>
  <c r="S82" i="39" s="1"/>
  <c r="S83" i="39" s="1"/>
  <c r="S84" i="39" s="1"/>
  <c r="S85" i="39" s="1"/>
  <c r="S86" i="39" s="1"/>
  <c r="S87" i="39" s="1"/>
  <c r="S88" i="39" s="1"/>
  <c r="S89" i="39" s="1"/>
  <c r="Q8" i="39"/>
  <c r="Q24" i="39"/>
  <c r="Q32" i="39"/>
  <c r="H4" i="40"/>
  <c r="D4" i="40" s="1"/>
  <c r="E4" i="40" s="1"/>
  <c r="F19" i="40" s="1"/>
  <c r="G19" i="40" s="1"/>
  <c r="H19" i="40" s="1"/>
  <c r="I19" i="40" s="1"/>
  <c r="J19" i="40" s="1"/>
  <c r="K19" i="40" s="1"/>
  <c r="L19" i="40" s="1"/>
  <c r="M19" i="40" s="1"/>
  <c r="Q83" i="39"/>
  <c r="K29" i="40"/>
  <c r="J29" i="40"/>
  <c r="I29" i="40"/>
  <c r="H29" i="40"/>
  <c r="G29" i="40"/>
  <c r="F29" i="40"/>
  <c r="L28" i="40"/>
  <c r="L41" i="40" s="1"/>
  <c r="K28" i="40"/>
  <c r="J28" i="40"/>
  <c r="I28" i="40"/>
  <c r="H28" i="40"/>
  <c r="G28" i="40"/>
  <c r="F28" i="40"/>
  <c r="L29" i="40"/>
  <c r="Q33" i="39"/>
  <c r="Q9" i="39"/>
  <c r="H3" i="40"/>
  <c r="Q41" i="39"/>
  <c r="Q81" i="39"/>
  <c r="Q19" i="39"/>
  <c r="Q75" i="39"/>
  <c r="Q13" i="39"/>
  <c r="Q58" i="39"/>
  <c r="Q62" i="39"/>
  <c r="Q43" i="39"/>
  <c r="G29" i="41"/>
  <c r="F29" i="41"/>
  <c r="E29" i="41"/>
  <c r="D29" i="41"/>
  <c r="Q70" i="39"/>
  <c r="R34" i="39"/>
  <c r="R35" i="39" s="1"/>
  <c r="R36" i="39" s="1"/>
  <c r="R37" i="39" s="1"/>
  <c r="R38" i="39" s="1"/>
  <c r="R39" i="39" s="1"/>
  <c r="R40" i="39"/>
  <c r="R41" i="39" s="1"/>
  <c r="R42" i="39" s="1"/>
  <c r="R43" i="39" s="1"/>
  <c r="R44" i="39" s="1"/>
  <c r="R45" i="39" s="1"/>
  <c r="R46" i="39" s="1"/>
  <c r="R47" i="39" s="1"/>
  <c r="R48" i="39" s="1"/>
  <c r="R49" i="39" s="1"/>
  <c r="R50" i="39" s="1"/>
  <c r="R51" i="39" s="1"/>
  <c r="R52" i="39" s="1"/>
  <c r="R53" i="39" s="1"/>
  <c r="R54" i="39" s="1"/>
  <c r="R55" i="39" s="1"/>
  <c r="R56" i="39" s="1"/>
  <c r="R57" i="39" s="1"/>
  <c r="R58" i="39" s="1"/>
  <c r="R59" i="39" s="1"/>
  <c r="R60" i="39" s="1"/>
  <c r="R61" i="39" s="1"/>
  <c r="R62" i="39" s="1"/>
  <c r="R63" i="39" s="1"/>
  <c r="R64" i="39" s="1"/>
  <c r="R65" i="39" s="1"/>
  <c r="R66" i="39" s="1"/>
  <c r="R67" i="39" s="1"/>
  <c r="R68" i="39" s="1"/>
  <c r="R69" i="39" s="1"/>
  <c r="R70" i="39" s="1"/>
  <c r="R71" i="39" s="1"/>
  <c r="R72" i="39" s="1"/>
  <c r="R73" i="39" s="1"/>
  <c r="R74" i="39" s="1"/>
  <c r="R75" i="39" s="1"/>
  <c r="R76" i="39" s="1"/>
  <c r="R77" i="39" s="1"/>
  <c r="R78" i="39" s="1"/>
  <c r="R79" i="39" s="1"/>
  <c r="R80" i="39" s="1"/>
  <c r="R81" i="39" s="1"/>
  <c r="R82" i="39" s="1"/>
  <c r="R83" i="39" s="1"/>
  <c r="R84" i="39" s="1"/>
  <c r="R85" i="39" s="1"/>
  <c r="R86" i="39" s="1"/>
  <c r="R87" i="39" s="1"/>
  <c r="R88" i="39" s="1"/>
  <c r="R89" i="39" s="1"/>
  <c r="E5" i="40"/>
  <c r="F24" i="40" s="1"/>
  <c r="G24" i="40" s="1"/>
  <c r="H24" i="40" s="1"/>
  <c r="I24" i="40" s="1"/>
  <c r="J24" i="40" s="1"/>
  <c r="K24" i="40" s="1"/>
  <c r="L24" i="40" s="1"/>
  <c r="M24" i="40" s="1"/>
  <c r="Q60" i="39"/>
  <c r="Q54" i="39"/>
  <c r="Q89" i="39"/>
  <c r="Q88" i="39"/>
  <c r="D3" i="40" l="1"/>
  <c r="E3" i="40" s="1"/>
  <c r="F14" i="40" s="1"/>
  <c r="G14" i="40" s="1"/>
  <c r="H14" i="40" s="1"/>
  <c r="I14" i="40" s="1"/>
  <c r="J14" i="40" s="1"/>
  <c r="K14" i="40" s="1"/>
  <c r="L14" i="40" s="1"/>
  <c r="M14" i="40" s="1"/>
  <c r="N14" i="40" s="1"/>
  <c r="O14" i="40" s="1"/>
  <c r="P14" i="40" s="1"/>
  <c r="Q14" i="40" s="1"/>
  <c r="R14" i="40" s="1"/>
  <c r="S14" i="40" s="1"/>
  <c r="T14" i="40" s="1"/>
  <c r="U14" i="40" s="1"/>
  <c r="V14" i="40" s="1"/>
  <c r="W14" i="40" s="1"/>
  <c r="X14" i="40" s="1"/>
  <c r="I9" i="40"/>
  <c r="I81" i="40" s="1"/>
  <c r="H70" i="40"/>
  <c r="H46" i="40"/>
  <c r="H74" i="40" s="1"/>
  <c r="K41" i="40"/>
  <c r="K67" i="40" s="1"/>
  <c r="K65" i="40"/>
  <c r="M35" i="40"/>
  <c r="V5" i="39"/>
  <c r="F9" i="40"/>
  <c r="N19" i="40"/>
  <c r="G45" i="40"/>
  <c r="G73" i="40" s="1"/>
  <c r="G69" i="40"/>
  <c r="K9" i="40"/>
  <c r="I41" i="40"/>
  <c r="I67" i="40" s="1"/>
  <c r="I65" i="40"/>
  <c r="J65" i="40"/>
  <c r="J41" i="40"/>
  <c r="J67" i="40" s="1"/>
  <c r="K69" i="40"/>
  <c r="K45" i="40"/>
  <c r="K73" i="40" s="1"/>
  <c r="H41" i="40"/>
  <c r="H67" i="40" s="1"/>
  <c r="H65" i="40"/>
  <c r="F44" i="40"/>
  <c r="F72" i="40" s="1"/>
  <c r="F68" i="40"/>
  <c r="K70" i="40"/>
  <c r="K46" i="40"/>
  <c r="K74" i="40" s="1"/>
  <c r="H71" i="40"/>
  <c r="H47" i="40"/>
  <c r="H75" i="40" s="1"/>
  <c r="L71" i="40"/>
  <c r="L47" i="40"/>
  <c r="I71" i="40"/>
  <c r="I47" i="40"/>
  <c r="I75" i="40" s="1"/>
  <c r="F42" i="40"/>
  <c r="F66" i="40"/>
  <c r="G66" i="40"/>
  <c r="G42" i="40"/>
  <c r="K44" i="40"/>
  <c r="K72" i="40" s="1"/>
  <c r="K68" i="40"/>
  <c r="J71" i="40"/>
  <c r="J47" i="40"/>
  <c r="J75" i="40" s="1"/>
  <c r="V6" i="39"/>
  <c r="V7" i="39" s="1"/>
  <c r="V8" i="39" s="1"/>
  <c r="V9" i="39" s="1"/>
  <c r="V10" i="39" s="1"/>
  <c r="V11" i="39" s="1"/>
  <c r="V12" i="39" s="1"/>
  <c r="V13" i="39" s="1"/>
  <c r="V14" i="39" s="1"/>
  <c r="V15" i="39" s="1"/>
  <c r="V16" i="39" s="1"/>
  <c r="V17" i="39" s="1"/>
  <c r="V18" i="39" s="1"/>
  <c r="V19" i="39" s="1"/>
  <c r="V20" i="39" s="1"/>
  <c r="V21" i="39" s="1"/>
  <c r="V22" i="39" s="1"/>
  <c r="V23" i="39" s="1"/>
  <c r="V24" i="39" s="1"/>
  <c r="V25" i="39" s="1"/>
  <c r="V26" i="39" s="1"/>
  <c r="V27" i="39" s="1"/>
  <c r="V28" i="39" s="1"/>
  <c r="V29" i="39" s="1"/>
  <c r="V30" i="39" s="1"/>
  <c r="V31" i="39" s="1"/>
  <c r="V32" i="39" s="1"/>
  <c r="V33" i="39" s="1"/>
  <c r="V34" i="39" s="1"/>
  <c r="V35" i="39" s="1"/>
  <c r="V36" i="39" s="1"/>
  <c r="V37" i="39" s="1"/>
  <c r="V38" i="39" s="1"/>
  <c r="V39" i="39" s="1"/>
  <c r="V40" i="39" s="1"/>
  <c r="V41" i="39" s="1"/>
  <c r="V42" i="39" s="1"/>
  <c r="V43" i="39" s="1"/>
  <c r="V44" i="39" s="1"/>
  <c r="V45" i="39" s="1"/>
  <c r="V46" i="39" s="1"/>
  <c r="V47" i="39" s="1"/>
  <c r="V48" i="39" s="1"/>
  <c r="V49" i="39" s="1"/>
  <c r="V50" i="39" s="1"/>
  <c r="V51" i="39" s="1"/>
  <c r="V52" i="39" s="1"/>
  <c r="V53" i="39" s="1"/>
  <c r="V54" i="39" s="1"/>
  <c r="V55" i="39" s="1"/>
  <c r="V56" i="39" s="1"/>
  <c r="V57" i="39" s="1"/>
  <c r="V58" i="39" s="1"/>
  <c r="V59" i="39" s="1"/>
  <c r="V60" i="39" s="1"/>
  <c r="V61" i="39" s="1"/>
  <c r="V62" i="39" s="1"/>
  <c r="V63" i="39" s="1"/>
  <c r="V64" i="39" s="1"/>
  <c r="V65" i="39" s="1"/>
  <c r="V66" i="39" s="1"/>
  <c r="V67" i="39" s="1"/>
  <c r="V68" i="39" s="1"/>
  <c r="V69" i="39" s="1"/>
  <c r="V70" i="39" s="1"/>
  <c r="V71" i="39" s="1"/>
  <c r="V72" i="39" s="1"/>
  <c r="V73" i="39" s="1"/>
  <c r="V74" i="39" s="1"/>
  <c r="V75" i="39" s="1"/>
  <c r="V76" i="39" s="1"/>
  <c r="V77" i="39" s="1"/>
  <c r="V78" i="39" s="1"/>
  <c r="V79" i="39" s="1"/>
  <c r="V80" i="39" s="1"/>
  <c r="V81" i="39" s="1"/>
  <c r="V82" i="39" s="1"/>
  <c r="V83" i="39" s="1"/>
  <c r="V84" i="39" s="1"/>
  <c r="V85" i="39" s="1"/>
  <c r="V86" i="39" s="1"/>
  <c r="V87" i="39" s="1"/>
  <c r="V88" i="39" s="1"/>
  <c r="V89" i="39" s="1"/>
  <c r="H44" i="40"/>
  <c r="H72" i="40" s="1"/>
  <c r="H68" i="40"/>
  <c r="L44" i="40"/>
  <c r="L68" i="40"/>
  <c r="G70" i="40"/>
  <c r="G46" i="40"/>
  <c r="G74" i="40" s="1"/>
  <c r="G71" i="40"/>
  <c r="G47" i="40"/>
  <c r="G75" i="40" s="1"/>
  <c r="K71" i="40"/>
  <c r="K47" i="40"/>
  <c r="K75" i="40" s="1"/>
  <c r="L70" i="40"/>
  <c r="L46" i="40"/>
  <c r="H45" i="40"/>
  <c r="H73" i="40" s="1"/>
  <c r="H69" i="40"/>
  <c r="I66" i="40"/>
  <c r="I42" i="40"/>
  <c r="F71" i="40"/>
  <c r="F47" i="40"/>
  <c r="F75" i="40" s="1"/>
  <c r="K66" i="40"/>
  <c r="K42" i="40"/>
  <c r="I45" i="40"/>
  <c r="I73" i="40" s="1"/>
  <c r="I69" i="40"/>
  <c r="L9" i="40"/>
  <c r="L66" i="40"/>
  <c r="L42" i="40"/>
  <c r="M42" i="40" s="1"/>
  <c r="J44" i="40"/>
  <c r="J72" i="40" s="1"/>
  <c r="J68" i="40"/>
  <c r="N24" i="40"/>
  <c r="L69" i="40"/>
  <c r="L45" i="40"/>
  <c r="J9" i="40"/>
  <c r="H9" i="40"/>
  <c r="H66" i="40"/>
  <c r="H42" i="40"/>
  <c r="F70" i="40"/>
  <c r="F46" i="40"/>
  <c r="F74" i="40" s="1"/>
  <c r="J66" i="40"/>
  <c r="J42" i="40"/>
  <c r="F41" i="40"/>
  <c r="F67" i="40" s="1"/>
  <c r="F65" i="40"/>
  <c r="G9" i="40"/>
  <c r="L65" i="40"/>
  <c r="G44" i="40"/>
  <c r="G72" i="40" s="1"/>
  <c r="G68" i="40"/>
  <c r="I70" i="40"/>
  <c r="I46" i="40"/>
  <c r="I74" i="40" s="1"/>
  <c r="J70" i="40"/>
  <c r="J46" i="40"/>
  <c r="J74" i="40" s="1"/>
  <c r="G41" i="40"/>
  <c r="G67" i="40" s="1"/>
  <c r="G65" i="40"/>
  <c r="I44" i="40"/>
  <c r="I72" i="40" s="1"/>
  <c r="I68" i="40"/>
  <c r="F45" i="40"/>
  <c r="F73" i="40" s="1"/>
  <c r="F69" i="40"/>
  <c r="J45" i="40"/>
  <c r="J73" i="40" s="1"/>
  <c r="J69" i="40"/>
  <c r="M44" i="40" l="1"/>
  <c r="N44" i="40" s="1"/>
  <c r="O44" i="40" s="1"/>
  <c r="P44" i="40" s="1"/>
  <c r="Q44" i="40" s="1"/>
  <c r="R44" i="40" s="1"/>
  <c r="S44" i="40" s="1"/>
  <c r="T44" i="40" s="1"/>
  <c r="U44" i="40" s="1"/>
  <c r="V44" i="40" s="1"/>
  <c r="W44" i="40" s="1"/>
  <c r="X44" i="40" s="1"/>
  <c r="L72" i="40"/>
  <c r="O19" i="40"/>
  <c r="K22" i="40"/>
  <c r="K81" i="40"/>
  <c r="K12" i="40"/>
  <c r="K17" i="40"/>
  <c r="L67" i="40"/>
  <c r="F89" i="40"/>
  <c r="M41" i="40"/>
  <c r="L73" i="40"/>
  <c r="M45" i="40"/>
  <c r="N45" i="40" s="1"/>
  <c r="O45" i="40" s="1"/>
  <c r="P45" i="40" s="1"/>
  <c r="Q45" i="40" s="1"/>
  <c r="R45" i="40" s="1"/>
  <c r="S45" i="40" s="1"/>
  <c r="T45" i="40" s="1"/>
  <c r="U45" i="40" s="1"/>
  <c r="V45" i="40" s="1"/>
  <c r="W45" i="40" s="1"/>
  <c r="X45" i="40" s="1"/>
  <c r="F12" i="40"/>
  <c r="F17" i="40"/>
  <c r="F10" i="40"/>
  <c r="G10" i="40" s="1"/>
  <c r="H10" i="40" s="1"/>
  <c r="I10" i="40" s="1"/>
  <c r="J10" i="40" s="1"/>
  <c r="K10" i="40" s="1"/>
  <c r="L10" i="40" s="1"/>
  <c r="F22" i="40"/>
  <c r="F81" i="40"/>
  <c r="L75" i="40"/>
  <c r="M47" i="40"/>
  <c r="N47" i="40" s="1"/>
  <c r="O47" i="40" s="1"/>
  <c r="P47" i="40" s="1"/>
  <c r="Q47" i="40" s="1"/>
  <c r="R47" i="40" s="1"/>
  <c r="S47" i="40" s="1"/>
  <c r="T47" i="40" s="1"/>
  <c r="U47" i="40" s="1"/>
  <c r="V47" i="40" s="1"/>
  <c r="W47" i="40" s="1"/>
  <c r="X47" i="40" s="1"/>
  <c r="I17" i="40"/>
  <c r="N35" i="40"/>
  <c r="G87" i="40"/>
  <c r="F88" i="40"/>
  <c r="H12" i="40"/>
  <c r="H17" i="40"/>
  <c r="H22" i="40"/>
  <c r="H81" i="40"/>
  <c r="J17" i="40"/>
  <c r="J22" i="40"/>
  <c r="J81" i="40"/>
  <c r="J12" i="40"/>
  <c r="M46" i="40"/>
  <c r="N46" i="40" s="1"/>
  <c r="O46" i="40" s="1"/>
  <c r="P46" i="40" s="1"/>
  <c r="Q46" i="40" s="1"/>
  <c r="R46" i="40" s="1"/>
  <c r="S46" i="40" s="1"/>
  <c r="T46" i="40" s="1"/>
  <c r="U46" i="40" s="1"/>
  <c r="V46" i="40" s="1"/>
  <c r="W46" i="40" s="1"/>
  <c r="X46" i="40" s="1"/>
  <c r="L74" i="40"/>
  <c r="O24" i="40"/>
  <c r="I22" i="40"/>
  <c r="I12" i="40"/>
  <c r="G12" i="40"/>
  <c r="G17" i="40"/>
  <c r="G22" i="40"/>
  <c r="G81" i="40"/>
  <c r="L22" i="40"/>
  <c r="L81" i="40"/>
  <c r="L12" i="40"/>
  <c r="L17" i="40"/>
  <c r="M17" i="40" l="1"/>
  <c r="M12" i="40"/>
  <c r="M22" i="40"/>
  <c r="G88" i="40"/>
  <c r="K83" i="40"/>
  <c r="K20" i="40"/>
  <c r="F97" i="40"/>
  <c r="L83" i="40"/>
  <c r="L20" i="40"/>
  <c r="L15" i="40"/>
  <c r="F96" i="40"/>
  <c r="L82" i="40"/>
  <c r="I83" i="40"/>
  <c r="I20" i="40"/>
  <c r="L84" i="40"/>
  <c r="F98" i="40"/>
  <c r="L25" i="40"/>
  <c r="J82" i="40"/>
  <c r="J15" i="40"/>
  <c r="G83" i="40"/>
  <c r="G20" i="40"/>
  <c r="P19" i="40"/>
  <c r="Q19" i="40" s="1"/>
  <c r="R19" i="40" s="1"/>
  <c r="S19" i="40" s="1"/>
  <c r="T19" i="40" s="1"/>
  <c r="U19" i="40" s="1"/>
  <c r="V19" i="40" s="1"/>
  <c r="W19" i="40" s="1"/>
  <c r="X19" i="40" s="1"/>
  <c r="J83" i="40"/>
  <c r="J20" i="40"/>
  <c r="F18" i="40"/>
  <c r="F83" i="40"/>
  <c r="F20" i="40"/>
  <c r="I82" i="40"/>
  <c r="I15" i="40"/>
  <c r="H82" i="40"/>
  <c r="H15" i="40"/>
  <c r="N42" i="40"/>
  <c r="N12" i="40" s="1"/>
  <c r="P24" i="40"/>
  <c r="Q24" i="40" s="1"/>
  <c r="R24" i="40" s="1"/>
  <c r="S24" i="40" s="1"/>
  <c r="T24" i="40" s="1"/>
  <c r="U24" i="40" s="1"/>
  <c r="V24" i="40" s="1"/>
  <c r="W24" i="40" s="1"/>
  <c r="X24" i="40" s="1"/>
  <c r="K84" i="40"/>
  <c r="K25" i="40"/>
  <c r="G25" i="40"/>
  <c r="G84" i="40"/>
  <c r="F25" i="40"/>
  <c r="F84" i="40"/>
  <c r="F23" i="40"/>
  <c r="J84" i="40"/>
  <c r="J25" i="40"/>
  <c r="G82" i="40"/>
  <c r="G15" i="40"/>
  <c r="F13" i="40"/>
  <c r="F82" i="40"/>
  <c r="F15" i="40"/>
  <c r="H83" i="40"/>
  <c r="H20" i="40"/>
  <c r="I84" i="40"/>
  <c r="I25" i="40"/>
  <c r="G89" i="40"/>
  <c r="G90" i="40" s="1"/>
  <c r="N41" i="40"/>
  <c r="F90" i="40"/>
  <c r="K82" i="40"/>
  <c r="K15" i="40"/>
  <c r="O35" i="40"/>
  <c r="O12" i="40" s="1"/>
  <c r="H87" i="40"/>
  <c r="H25" i="40"/>
  <c r="H84" i="40"/>
  <c r="N22" i="40" l="1"/>
  <c r="N17" i="40"/>
  <c r="G98" i="40"/>
  <c r="G110" i="40" s="1"/>
  <c r="M25" i="40"/>
  <c r="G97" i="40"/>
  <c r="G106" i="40" s="1"/>
  <c r="M20" i="40"/>
  <c r="G93" i="40"/>
  <c r="G92" i="40"/>
  <c r="G91" i="40"/>
  <c r="P35" i="40"/>
  <c r="I87" i="40"/>
  <c r="G23" i="40"/>
  <c r="F26" i="40"/>
  <c r="H89" i="40"/>
  <c r="H90" i="40" s="1"/>
  <c r="O41" i="40"/>
  <c r="G18" i="40"/>
  <c r="F21" i="40"/>
  <c r="M15" i="40"/>
  <c r="M9" i="40"/>
  <c r="M10" i="40" s="1"/>
  <c r="G96" i="40"/>
  <c r="G102" i="40"/>
  <c r="H88" i="40"/>
  <c r="F95" i="40"/>
  <c r="F16" i="40"/>
  <c r="G13" i="40"/>
  <c r="G95" i="40" l="1"/>
  <c r="H97" i="40"/>
  <c r="H106" i="40" s="1"/>
  <c r="N20" i="40"/>
  <c r="H98" i="40"/>
  <c r="H110" i="40" s="1"/>
  <c r="N25" i="40"/>
  <c r="O22" i="40"/>
  <c r="O17" i="40"/>
  <c r="H93" i="40"/>
  <c r="H92" i="40"/>
  <c r="H91" i="40"/>
  <c r="H18" i="40"/>
  <c r="G21" i="40"/>
  <c r="I89" i="40"/>
  <c r="I90" i="40" s="1"/>
  <c r="P41" i="40"/>
  <c r="F54" i="40"/>
  <c r="F55" i="40"/>
  <c r="F60" i="40" s="1"/>
  <c r="H23" i="40"/>
  <c r="G26" i="40"/>
  <c r="O15" i="40"/>
  <c r="I96" i="40"/>
  <c r="I102" i="40"/>
  <c r="G16" i="40"/>
  <c r="H13" i="40"/>
  <c r="Q35" i="40"/>
  <c r="P12" i="40"/>
  <c r="F93" i="40"/>
  <c r="F92" i="40"/>
  <c r="F91" i="40"/>
  <c r="N15" i="40"/>
  <c r="N9" i="40"/>
  <c r="N10" i="40" s="1"/>
  <c r="H96" i="40"/>
  <c r="H102" i="40"/>
  <c r="P22" i="40" l="1"/>
  <c r="P17" i="40"/>
  <c r="P20" i="40" s="1"/>
  <c r="I97" i="40"/>
  <c r="I106" i="40" s="1"/>
  <c r="O20" i="40"/>
  <c r="I98" i="40"/>
  <c r="I110" i="40" s="1"/>
  <c r="O25" i="40"/>
  <c r="O9" i="40"/>
  <c r="H95" i="40"/>
  <c r="O10" i="40"/>
  <c r="I93" i="40"/>
  <c r="I92" i="40"/>
  <c r="I91" i="40"/>
  <c r="P25" i="40"/>
  <c r="Q41" i="40"/>
  <c r="R35" i="40"/>
  <c r="Q12" i="40"/>
  <c r="I18" i="40"/>
  <c r="H21" i="40"/>
  <c r="G54" i="40"/>
  <c r="G55" i="40"/>
  <c r="G60" i="40" s="1"/>
  <c r="G53" i="40"/>
  <c r="I23" i="40"/>
  <c r="H26" i="40"/>
  <c r="P15" i="40"/>
  <c r="H16" i="40"/>
  <c r="I13" i="40"/>
  <c r="I95" i="40" l="1"/>
  <c r="Q22" i="40"/>
  <c r="Q25" i="40" s="1"/>
  <c r="Q17" i="40"/>
  <c r="Q20" i="40" s="1"/>
  <c r="J18" i="40"/>
  <c r="I21" i="40"/>
  <c r="Q15" i="40"/>
  <c r="S35" i="40"/>
  <c r="R12" i="40"/>
  <c r="J23" i="40"/>
  <c r="I26" i="40"/>
  <c r="R41" i="40"/>
  <c r="I16" i="40"/>
  <c r="J13" i="40"/>
  <c r="H54" i="40"/>
  <c r="H55" i="40"/>
  <c r="H60" i="40" s="1"/>
  <c r="H53" i="40"/>
  <c r="P9" i="40"/>
  <c r="P10" i="40" s="1"/>
  <c r="R22" i="40" l="1"/>
  <c r="R25" i="40" s="1"/>
  <c r="R17" i="40"/>
  <c r="R20" i="40" s="1"/>
  <c r="I55" i="40"/>
  <c r="I60" i="40" s="1"/>
  <c r="I53" i="40"/>
  <c r="I54" i="40"/>
  <c r="J16" i="40"/>
  <c r="K13" i="40"/>
  <c r="S41" i="40"/>
  <c r="K23" i="40"/>
  <c r="J26" i="40"/>
  <c r="R15" i="40"/>
  <c r="T35" i="40"/>
  <c r="S12" i="40"/>
  <c r="Q9" i="40"/>
  <c r="Q10" i="40"/>
  <c r="J21" i="40"/>
  <c r="K18" i="40"/>
  <c r="R9" i="40" l="1"/>
  <c r="R10" i="40" s="1"/>
  <c r="S22" i="40"/>
  <c r="S17" i="40"/>
  <c r="S15" i="40"/>
  <c r="U35" i="40"/>
  <c r="T12" i="40"/>
  <c r="L23" i="40"/>
  <c r="K26" i="40"/>
  <c r="T41" i="40"/>
  <c r="S20" i="40"/>
  <c r="S25" i="40"/>
  <c r="K16" i="40"/>
  <c r="L13" i="40"/>
  <c r="J55" i="40"/>
  <c r="J60" i="40" s="1"/>
  <c r="J53" i="40"/>
  <c r="J54" i="40"/>
  <c r="K21" i="40"/>
  <c r="L18" i="40"/>
  <c r="M18" i="40" s="1"/>
  <c r="T22" i="40" l="1"/>
  <c r="T25" i="40" s="1"/>
  <c r="T17" i="40"/>
  <c r="T20" i="40" s="1"/>
  <c r="K55" i="40"/>
  <c r="K60" i="40" s="1"/>
  <c r="K53" i="40"/>
  <c r="K54" i="40"/>
  <c r="U41" i="40"/>
  <c r="M23" i="40"/>
  <c r="L26" i="40"/>
  <c r="L16" i="40"/>
  <c r="M13" i="40"/>
  <c r="T15" i="40"/>
  <c r="V35" i="40"/>
  <c r="U12" i="40"/>
  <c r="S9" i="40"/>
  <c r="S10" i="40" s="1"/>
  <c r="L21" i="40"/>
  <c r="U22" i="40" l="1"/>
  <c r="U17" i="40"/>
  <c r="T9" i="40"/>
  <c r="U15" i="40"/>
  <c r="L55" i="40"/>
  <c r="L60" i="40" s="1"/>
  <c r="L53" i="40"/>
  <c r="L54" i="40"/>
  <c r="N23" i="40"/>
  <c r="G111" i="40"/>
  <c r="M26" i="40"/>
  <c r="G112" i="40" s="1"/>
  <c r="K120" i="40" s="1"/>
  <c r="M16" i="40"/>
  <c r="N13" i="40"/>
  <c r="G103" i="40"/>
  <c r="V41" i="40"/>
  <c r="U20" i="40"/>
  <c r="U25" i="40"/>
  <c r="K56" i="40"/>
  <c r="W35" i="40"/>
  <c r="V12" i="40"/>
  <c r="M21" i="40"/>
  <c r="G107" i="40"/>
  <c r="N18" i="40"/>
  <c r="T10" i="40"/>
  <c r="V22" i="40" l="1"/>
  <c r="V17" i="40"/>
  <c r="U9" i="40"/>
  <c r="U10" i="40" s="1"/>
  <c r="L56" i="40"/>
  <c r="V15" i="40"/>
  <c r="K119" i="40"/>
  <c r="K118" i="40"/>
  <c r="K117" i="40"/>
  <c r="N21" i="40"/>
  <c r="H108" i="40" s="1"/>
  <c r="M120" i="40" s="1"/>
  <c r="H107" i="40"/>
  <c r="L108" i="40" s="1"/>
  <c r="O18" i="40"/>
  <c r="X35" i="40"/>
  <c r="X12" i="40" s="1"/>
  <c r="W12" i="40"/>
  <c r="W41" i="40"/>
  <c r="V20" i="40"/>
  <c r="V25" i="40"/>
  <c r="O13" i="40"/>
  <c r="H103" i="40"/>
  <c r="L104" i="40" s="1"/>
  <c r="N16" i="40"/>
  <c r="M55" i="40"/>
  <c r="M53" i="40"/>
  <c r="G104" i="40"/>
  <c r="I120" i="40" s="1"/>
  <c r="M54" i="40"/>
  <c r="H111" i="40"/>
  <c r="L112" i="40" s="1"/>
  <c r="N26" i="40"/>
  <c r="H112" i="40" s="1"/>
  <c r="N120" i="40" s="1"/>
  <c r="O23" i="40"/>
  <c r="J119" i="40"/>
  <c r="J118" i="40"/>
  <c r="W22" i="40" l="1"/>
  <c r="W17" i="40"/>
  <c r="W15" i="40"/>
  <c r="O21" i="40"/>
  <c r="I108" i="40" s="1"/>
  <c r="I109" i="40" s="1"/>
  <c r="I107" i="40"/>
  <c r="P18" i="40"/>
  <c r="I111" i="40"/>
  <c r="O26" i="40"/>
  <c r="I112" i="40" s="1"/>
  <c r="I113" i="40" s="1"/>
  <c r="P23" i="40"/>
  <c r="N118" i="40"/>
  <c r="N119" i="40"/>
  <c r="N117" i="40"/>
  <c r="M119" i="40"/>
  <c r="M117" i="40"/>
  <c r="M118" i="40"/>
  <c r="P13" i="40"/>
  <c r="I103" i="40"/>
  <c r="O16" i="40"/>
  <c r="I104" i="40" s="1"/>
  <c r="X41" i="40"/>
  <c r="W20" i="40"/>
  <c r="W25" i="40"/>
  <c r="X15" i="40"/>
  <c r="V9" i="40"/>
  <c r="V10" i="40" s="1"/>
  <c r="D14" i="42"/>
  <c r="M60" i="40"/>
  <c r="I118" i="40"/>
  <c r="F125" i="40" s="1"/>
  <c r="I117" i="40"/>
  <c r="F124" i="40" s="1"/>
  <c r="I119" i="40"/>
  <c r="F126" i="40" s="1"/>
  <c r="M56" i="40"/>
  <c r="N55" i="40"/>
  <c r="H104" i="40"/>
  <c r="H105" i="40" s="1"/>
  <c r="L120" i="40" s="1"/>
  <c r="N54" i="40"/>
  <c r="AF58" i="17" l="1"/>
  <c r="AF15" i="17"/>
  <c r="X17" i="40"/>
  <c r="X22" i="40"/>
  <c r="X25" i="40" s="1"/>
  <c r="D7" i="42"/>
  <c r="G14" i="42"/>
  <c r="G7" i="42"/>
  <c r="E14" i="42"/>
  <c r="H6" i="42"/>
  <c r="Q13" i="40"/>
  <c r="P16" i="40"/>
  <c r="F127" i="40"/>
  <c r="P26" i="40"/>
  <c r="Q23" i="40"/>
  <c r="P21" i="40"/>
  <c r="Q18" i="40"/>
  <c r="L117" i="40"/>
  <c r="G124" i="40" s="1"/>
  <c r="L119" i="40"/>
  <c r="G126" i="40" s="1"/>
  <c r="H126" i="40" s="1"/>
  <c r="L118" i="40"/>
  <c r="G125" i="40" s="1"/>
  <c r="H125" i="40" s="1"/>
  <c r="W9" i="40"/>
  <c r="W10" i="40" s="1"/>
  <c r="N56" i="40"/>
  <c r="I105" i="40"/>
  <c r="AF16" i="17" l="1"/>
  <c r="AF59" i="17"/>
  <c r="G15" i="42"/>
  <c r="F19" i="21"/>
  <c r="H14" i="42"/>
  <c r="H7" i="42"/>
  <c r="Q21" i="40"/>
  <c r="R18" i="40"/>
  <c r="Q26" i="40"/>
  <c r="R23" i="40"/>
  <c r="G127" i="40"/>
  <c r="E7" i="42"/>
  <c r="H124" i="40"/>
  <c r="H127" i="40"/>
  <c r="X20" i="40"/>
  <c r="X9" i="40"/>
  <c r="X10" i="40" s="1"/>
  <c r="R13" i="40"/>
  <c r="Q16" i="40"/>
  <c r="H15" i="42" l="1"/>
  <c r="F20" i="21"/>
  <c r="S13" i="40"/>
  <c r="R16" i="40"/>
  <c r="S18" i="40"/>
  <c r="R21" i="40"/>
  <c r="R26" i="40"/>
  <c r="S23" i="40"/>
  <c r="S26" i="40" l="1"/>
  <c r="T23" i="40"/>
  <c r="T18" i="40"/>
  <c r="S21" i="40"/>
  <c r="T13" i="40"/>
  <c r="S16" i="40"/>
  <c r="U13" i="40" l="1"/>
  <c r="T16" i="40"/>
  <c r="U18" i="40"/>
  <c r="T21" i="40"/>
  <c r="T26" i="40"/>
  <c r="U23" i="40"/>
  <c r="U26" i="40" l="1"/>
  <c r="V23" i="40"/>
  <c r="V18" i="40"/>
  <c r="U21" i="40"/>
  <c r="V13" i="40"/>
  <c r="U16" i="40"/>
  <c r="W23" i="40" l="1"/>
  <c r="V26" i="40"/>
  <c r="V16" i="40"/>
  <c r="W13" i="40"/>
  <c r="W18" i="40"/>
  <c r="V21" i="40"/>
  <c r="X18" i="40" l="1"/>
  <c r="X21" i="40" s="1"/>
  <c r="W21" i="40"/>
  <c r="W16" i="40"/>
  <c r="X13" i="40"/>
  <c r="X16" i="40" s="1"/>
  <c r="X23" i="40"/>
  <c r="X26" i="40" s="1"/>
  <c r="W26" i="40"/>
  <c r="M3" i="32" l="1"/>
  <c r="M4" i="32"/>
  <c r="M5" i="32"/>
  <c r="M6" i="32"/>
  <c r="M7" i="32"/>
  <c r="M8" i="32"/>
  <c r="M9" i="32"/>
  <c r="M10" i="32"/>
  <c r="M11" i="32"/>
  <c r="M12" i="32"/>
  <c r="M13" i="32"/>
  <c r="M14" i="32"/>
  <c r="M15" i="32"/>
  <c r="M16" i="32"/>
  <c r="M17" i="32"/>
  <c r="M18" i="32"/>
  <c r="M19" i="32"/>
  <c r="M20" i="32"/>
  <c r="M21" i="32"/>
  <c r="M22" i="32"/>
  <c r="M23" i="32"/>
  <c r="M24" i="32"/>
  <c r="M25" i="32"/>
  <c r="M26"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67" i="32"/>
  <c r="M68" i="32"/>
  <c r="M69" i="32"/>
  <c r="M70" i="32"/>
  <c r="M71" i="32"/>
  <c r="M72" i="32"/>
  <c r="M73" i="32"/>
  <c r="M74" i="32"/>
  <c r="M75" i="32"/>
  <c r="M76" i="32"/>
  <c r="M77" i="32"/>
  <c r="M78" i="32"/>
  <c r="M79" i="32"/>
  <c r="M80" i="32"/>
  <c r="M81" i="32"/>
  <c r="M82" i="32"/>
  <c r="M83" i="32"/>
  <c r="M84" i="32"/>
  <c r="M85" i="32"/>
  <c r="M86" i="32"/>
  <c r="M87" i="32"/>
  <c r="M88" i="32"/>
  <c r="M89" i="32"/>
  <c r="M90" i="32"/>
  <c r="M91" i="32"/>
  <c r="M92" i="32"/>
  <c r="M93" i="32"/>
  <c r="M94" i="32"/>
  <c r="M95" i="32"/>
  <c r="M96" i="32"/>
  <c r="M97" i="32"/>
  <c r="M98" i="32"/>
  <c r="M99" i="32"/>
  <c r="M100" i="32"/>
  <c r="M101" i="32"/>
  <c r="M102" i="32"/>
  <c r="M103" i="32"/>
  <c r="M104" i="32"/>
  <c r="M105" i="32"/>
  <c r="M106" i="32"/>
  <c r="M107" i="32"/>
  <c r="M108" i="32"/>
  <c r="M109" i="32"/>
  <c r="M110" i="32"/>
  <c r="M111" i="32"/>
  <c r="M112" i="32"/>
  <c r="M113" i="32"/>
  <c r="M114" i="32"/>
  <c r="M115" i="32"/>
  <c r="M116" i="32"/>
  <c r="M117" i="32"/>
  <c r="M118" i="32"/>
  <c r="M119" i="32"/>
  <c r="M120" i="32"/>
  <c r="M121" i="32"/>
  <c r="M122" i="32"/>
  <c r="M123" i="32"/>
  <c r="M124" i="32"/>
  <c r="M125" i="32"/>
  <c r="M126" i="32"/>
  <c r="M127" i="32"/>
  <c r="M128" i="32"/>
  <c r="M129" i="32"/>
  <c r="M130" i="32"/>
  <c r="M131" i="32"/>
  <c r="M132" i="32"/>
  <c r="M133" i="32"/>
  <c r="M134" i="32"/>
  <c r="M135" i="32"/>
  <c r="M136" i="32"/>
  <c r="M137" i="32"/>
  <c r="M138" i="32"/>
  <c r="M139" i="32"/>
  <c r="M140" i="32"/>
  <c r="M141" i="32"/>
  <c r="M142" i="32"/>
  <c r="M143" i="32"/>
  <c r="M144" i="32"/>
  <c r="M145" i="32"/>
  <c r="M2" i="32"/>
  <c r="J123" i="32"/>
  <c r="S123" i="32" s="1"/>
  <c r="J124" i="32"/>
  <c r="S124" i="32" s="1"/>
  <c r="J122" i="32"/>
  <c r="S122" i="32" s="1"/>
  <c r="H5" i="32"/>
  <c r="Q5" i="32" s="1"/>
  <c r="I5" i="32"/>
  <c r="R5" i="32" s="1"/>
  <c r="H6" i="32"/>
  <c r="Q6" i="32" s="1"/>
  <c r="I6" i="32"/>
  <c r="R6" i="32" s="1"/>
  <c r="H7" i="32"/>
  <c r="Q7" i="32" s="1"/>
  <c r="I7" i="32"/>
  <c r="R7" i="32" s="1"/>
  <c r="H8" i="32"/>
  <c r="Q8" i="32" s="1"/>
  <c r="I8" i="32"/>
  <c r="R8" i="32" s="1"/>
  <c r="H9" i="32"/>
  <c r="Q9" i="32" s="1"/>
  <c r="I9" i="32"/>
  <c r="R9" i="32" s="1"/>
  <c r="H10" i="32"/>
  <c r="Q10" i="32" s="1"/>
  <c r="I10" i="32"/>
  <c r="R10" i="32" s="1"/>
  <c r="H11" i="32"/>
  <c r="Q11" i="32" s="1"/>
  <c r="I11" i="32"/>
  <c r="R11" i="32" s="1"/>
  <c r="H12" i="32"/>
  <c r="Q12" i="32" s="1"/>
  <c r="I12" i="32"/>
  <c r="R12" i="32" s="1"/>
  <c r="H13" i="32"/>
  <c r="Q13" i="32" s="1"/>
  <c r="I13" i="32"/>
  <c r="R13" i="32" s="1"/>
  <c r="H14" i="32"/>
  <c r="Q14" i="32" s="1"/>
  <c r="I14" i="32"/>
  <c r="R14" i="32" s="1"/>
  <c r="H15" i="32"/>
  <c r="Q15" i="32" s="1"/>
  <c r="I15" i="32"/>
  <c r="R15" i="32" s="1"/>
  <c r="H16" i="32"/>
  <c r="Q16" i="32" s="1"/>
  <c r="I16" i="32"/>
  <c r="R16" i="32" s="1"/>
  <c r="H17" i="32"/>
  <c r="Q17" i="32" s="1"/>
  <c r="I17" i="32"/>
  <c r="R17" i="32" s="1"/>
  <c r="H18" i="32"/>
  <c r="Q18" i="32" s="1"/>
  <c r="I18" i="32"/>
  <c r="R18" i="32" s="1"/>
  <c r="H19" i="32"/>
  <c r="Q19" i="32" s="1"/>
  <c r="I19" i="32"/>
  <c r="R19" i="32" s="1"/>
  <c r="H20" i="32"/>
  <c r="Q20" i="32" s="1"/>
  <c r="I20" i="32"/>
  <c r="R20" i="32" s="1"/>
  <c r="H21" i="32"/>
  <c r="Q21" i="32" s="1"/>
  <c r="I21" i="32"/>
  <c r="R21" i="32" s="1"/>
  <c r="H22" i="32"/>
  <c r="Q22" i="32" s="1"/>
  <c r="I22" i="32"/>
  <c r="R22" i="32" s="1"/>
  <c r="H23" i="32"/>
  <c r="Q23" i="32" s="1"/>
  <c r="I23" i="32"/>
  <c r="R23" i="32" s="1"/>
  <c r="H24" i="32"/>
  <c r="Q24" i="32" s="1"/>
  <c r="I24" i="32"/>
  <c r="R24" i="32" s="1"/>
  <c r="H25" i="32"/>
  <c r="Q25" i="32" s="1"/>
  <c r="I25" i="32"/>
  <c r="R25" i="32" s="1"/>
  <c r="H26" i="32"/>
  <c r="Q26" i="32" s="1"/>
  <c r="I26" i="32"/>
  <c r="R26" i="32" s="1"/>
  <c r="H27" i="32"/>
  <c r="Q27" i="32" s="1"/>
  <c r="I27" i="32"/>
  <c r="R27" i="32" s="1"/>
  <c r="H28" i="32"/>
  <c r="Q28" i="32" s="1"/>
  <c r="I28" i="32"/>
  <c r="R28" i="32" s="1"/>
  <c r="H29" i="32"/>
  <c r="Q29" i="32" s="1"/>
  <c r="I29" i="32"/>
  <c r="R29" i="32" s="1"/>
  <c r="H30" i="32"/>
  <c r="Q30" i="32" s="1"/>
  <c r="I30" i="32"/>
  <c r="R30" i="32" s="1"/>
  <c r="H31" i="32"/>
  <c r="Q31" i="32" s="1"/>
  <c r="I31" i="32"/>
  <c r="R31" i="32" s="1"/>
  <c r="H32" i="32"/>
  <c r="Q32" i="32" s="1"/>
  <c r="I32" i="32"/>
  <c r="R32" i="32" s="1"/>
  <c r="H33" i="32"/>
  <c r="Q33" i="32" s="1"/>
  <c r="I33" i="32"/>
  <c r="R33" i="32" s="1"/>
  <c r="H34" i="32"/>
  <c r="Q34" i="32" s="1"/>
  <c r="I34" i="32"/>
  <c r="R34" i="32" s="1"/>
  <c r="H35" i="32"/>
  <c r="Q35" i="32" s="1"/>
  <c r="I35" i="32"/>
  <c r="R35" i="32" s="1"/>
  <c r="H36" i="32"/>
  <c r="Q36" i="32" s="1"/>
  <c r="I36" i="32"/>
  <c r="R36" i="32" s="1"/>
  <c r="H37" i="32"/>
  <c r="Q37" i="32" s="1"/>
  <c r="I37" i="32"/>
  <c r="R37" i="32" s="1"/>
  <c r="H38" i="32"/>
  <c r="Q38" i="32" s="1"/>
  <c r="I38" i="32"/>
  <c r="R38" i="32" s="1"/>
  <c r="H39" i="32"/>
  <c r="Q39" i="32" s="1"/>
  <c r="I39" i="32"/>
  <c r="R39" i="32" s="1"/>
  <c r="H40" i="32"/>
  <c r="Q40" i="32" s="1"/>
  <c r="I40" i="32"/>
  <c r="R40" i="32" s="1"/>
  <c r="H41" i="32"/>
  <c r="Q41" i="32" s="1"/>
  <c r="I41" i="32"/>
  <c r="R41" i="32" s="1"/>
  <c r="H42" i="32"/>
  <c r="Q42" i="32" s="1"/>
  <c r="I42" i="32"/>
  <c r="R42" i="32" s="1"/>
  <c r="H43" i="32"/>
  <c r="Q43" i="32" s="1"/>
  <c r="I43" i="32"/>
  <c r="R43" i="32" s="1"/>
  <c r="H44" i="32"/>
  <c r="Q44" i="32" s="1"/>
  <c r="I44" i="32"/>
  <c r="R44" i="32" s="1"/>
  <c r="H45" i="32"/>
  <c r="Q45" i="32" s="1"/>
  <c r="I45" i="32"/>
  <c r="R45" i="32" s="1"/>
  <c r="H46" i="32"/>
  <c r="Q46" i="32" s="1"/>
  <c r="I46" i="32"/>
  <c r="R46" i="32" s="1"/>
  <c r="H47" i="32"/>
  <c r="Q47" i="32" s="1"/>
  <c r="I47" i="32"/>
  <c r="R47" i="32" s="1"/>
  <c r="H48" i="32"/>
  <c r="Q48" i="32" s="1"/>
  <c r="I48" i="32"/>
  <c r="R48" i="32" s="1"/>
  <c r="H49" i="32"/>
  <c r="Q49" i="32" s="1"/>
  <c r="I49" i="32"/>
  <c r="R49" i="32" s="1"/>
  <c r="H50" i="32"/>
  <c r="Q50" i="32" s="1"/>
  <c r="I50" i="32"/>
  <c r="R50" i="32" s="1"/>
  <c r="H51" i="32"/>
  <c r="Q51" i="32" s="1"/>
  <c r="I51" i="32"/>
  <c r="R51" i="32" s="1"/>
  <c r="H52" i="32"/>
  <c r="Q52" i="32" s="1"/>
  <c r="I52" i="32"/>
  <c r="R52" i="32" s="1"/>
  <c r="H53" i="32"/>
  <c r="Q53" i="32" s="1"/>
  <c r="I53" i="32"/>
  <c r="R53" i="32" s="1"/>
  <c r="H54" i="32"/>
  <c r="Q54" i="32" s="1"/>
  <c r="I54" i="32"/>
  <c r="R54" i="32" s="1"/>
  <c r="H55" i="32"/>
  <c r="Q55" i="32" s="1"/>
  <c r="I55" i="32"/>
  <c r="R55" i="32" s="1"/>
  <c r="H56" i="32"/>
  <c r="Q56" i="32" s="1"/>
  <c r="I56" i="32"/>
  <c r="R56" i="32" s="1"/>
  <c r="H57" i="32"/>
  <c r="Q57" i="32" s="1"/>
  <c r="I57" i="32"/>
  <c r="R57" i="32" s="1"/>
  <c r="H58" i="32"/>
  <c r="Q58" i="32" s="1"/>
  <c r="I58" i="32"/>
  <c r="R58" i="32" s="1"/>
  <c r="H59" i="32"/>
  <c r="Q59" i="32" s="1"/>
  <c r="I59" i="32"/>
  <c r="R59" i="32" s="1"/>
  <c r="H60" i="32"/>
  <c r="Q60" i="32" s="1"/>
  <c r="I60" i="32"/>
  <c r="R60" i="32" s="1"/>
  <c r="H61" i="32"/>
  <c r="Q61" i="32" s="1"/>
  <c r="I61" i="32"/>
  <c r="R61" i="32" s="1"/>
  <c r="H62" i="32"/>
  <c r="Q62" i="32" s="1"/>
  <c r="I62" i="32"/>
  <c r="R62" i="32" s="1"/>
  <c r="H63" i="32"/>
  <c r="Q63" i="32" s="1"/>
  <c r="I63" i="32"/>
  <c r="R63" i="32" s="1"/>
  <c r="H64" i="32"/>
  <c r="Q64" i="32" s="1"/>
  <c r="I64" i="32"/>
  <c r="R64" i="32" s="1"/>
  <c r="H65" i="32"/>
  <c r="Q65" i="32" s="1"/>
  <c r="I65" i="32"/>
  <c r="R65" i="32" s="1"/>
  <c r="H66" i="32"/>
  <c r="Q66" i="32" s="1"/>
  <c r="I66" i="32"/>
  <c r="R66" i="32" s="1"/>
  <c r="H67" i="32"/>
  <c r="Q67" i="32" s="1"/>
  <c r="I67" i="32"/>
  <c r="R67" i="32" s="1"/>
  <c r="H68" i="32"/>
  <c r="Q68" i="32" s="1"/>
  <c r="I68" i="32"/>
  <c r="R68" i="32" s="1"/>
  <c r="H69" i="32"/>
  <c r="Q69" i="32" s="1"/>
  <c r="I69" i="32"/>
  <c r="R69" i="32" s="1"/>
  <c r="H70" i="32"/>
  <c r="Q70" i="32" s="1"/>
  <c r="I70" i="32"/>
  <c r="R70" i="32" s="1"/>
  <c r="H71" i="32"/>
  <c r="Q71" i="32" s="1"/>
  <c r="I71" i="32"/>
  <c r="R71" i="32" s="1"/>
  <c r="H72" i="32"/>
  <c r="Q72" i="32" s="1"/>
  <c r="I72" i="32"/>
  <c r="R72" i="32" s="1"/>
  <c r="H73" i="32"/>
  <c r="Q73" i="32" s="1"/>
  <c r="I73" i="32"/>
  <c r="R73" i="32" s="1"/>
  <c r="I74" i="32"/>
  <c r="R74" i="32" s="1"/>
  <c r="I75" i="32"/>
  <c r="R75" i="32" s="1"/>
  <c r="I76" i="32"/>
  <c r="R76" i="32" s="1"/>
  <c r="I77" i="32"/>
  <c r="R77" i="32" s="1"/>
  <c r="I78" i="32"/>
  <c r="R78" i="32" s="1"/>
  <c r="I79" i="32"/>
  <c r="R79" i="32" s="1"/>
  <c r="I80" i="32"/>
  <c r="R80" i="32" s="1"/>
  <c r="I81" i="32"/>
  <c r="R81" i="32" s="1"/>
  <c r="I82" i="32"/>
  <c r="R82" i="32" s="1"/>
  <c r="I83" i="32"/>
  <c r="R83" i="32" s="1"/>
  <c r="I84" i="32"/>
  <c r="R84" i="32" s="1"/>
  <c r="I85" i="32"/>
  <c r="R85" i="32" s="1"/>
  <c r="I86" i="32"/>
  <c r="R86" i="32" s="1"/>
  <c r="I87" i="32"/>
  <c r="R87" i="32" s="1"/>
  <c r="I88" i="32"/>
  <c r="R88" i="32" s="1"/>
  <c r="I89" i="32"/>
  <c r="R89" i="32" s="1"/>
  <c r="I90" i="32"/>
  <c r="R90" i="32" s="1"/>
  <c r="I91" i="32"/>
  <c r="R91" i="32" s="1"/>
  <c r="I92" i="32"/>
  <c r="R92" i="32" s="1"/>
  <c r="I93" i="32"/>
  <c r="R93" i="32" s="1"/>
  <c r="I94" i="32"/>
  <c r="R94" i="32" s="1"/>
  <c r="I95" i="32"/>
  <c r="R95" i="32" s="1"/>
  <c r="I96" i="32"/>
  <c r="R96" i="32" s="1"/>
  <c r="I97" i="32"/>
  <c r="R97" i="32" s="1"/>
  <c r="I98" i="32"/>
  <c r="R98" i="32" s="1"/>
  <c r="I99" i="32"/>
  <c r="R99" i="32" s="1"/>
  <c r="I100" i="32"/>
  <c r="R100" i="32" s="1"/>
  <c r="I101" i="32"/>
  <c r="R101" i="32" s="1"/>
  <c r="I102" i="32"/>
  <c r="R102" i="32" s="1"/>
  <c r="I103" i="32"/>
  <c r="R103" i="32" s="1"/>
  <c r="I104" i="32"/>
  <c r="R104" i="32" s="1"/>
  <c r="I105" i="32"/>
  <c r="R105" i="32" s="1"/>
  <c r="I106" i="32"/>
  <c r="R106" i="32" s="1"/>
  <c r="I107" i="32"/>
  <c r="R107" i="32" s="1"/>
  <c r="I108" i="32"/>
  <c r="R108" i="32" s="1"/>
  <c r="I109" i="32"/>
  <c r="R109" i="32" s="1"/>
  <c r="I110" i="32"/>
  <c r="R110" i="32" s="1"/>
  <c r="I111" i="32"/>
  <c r="R111" i="32" s="1"/>
  <c r="I112" i="32"/>
  <c r="R112" i="32" s="1"/>
  <c r="I113" i="32"/>
  <c r="R113" i="32" s="1"/>
  <c r="H114" i="32"/>
  <c r="Q114" i="32" s="1"/>
  <c r="I114" i="32"/>
  <c r="R114" i="32" s="1"/>
  <c r="I115" i="32"/>
  <c r="R115" i="32" s="1"/>
  <c r="I116" i="32"/>
  <c r="R116" i="32" s="1"/>
  <c r="I117" i="32"/>
  <c r="R117" i="32" s="1"/>
  <c r="I118" i="32"/>
  <c r="R118" i="32" s="1"/>
  <c r="I119" i="32"/>
  <c r="R119" i="32" s="1"/>
  <c r="I120" i="32"/>
  <c r="R120" i="32" s="1"/>
  <c r="I121" i="32"/>
  <c r="R121" i="32" s="1"/>
  <c r="I122" i="32"/>
  <c r="R122" i="32" s="1"/>
  <c r="I123" i="32"/>
  <c r="R123" i="32" s="1"/>
  <c r="I124" i="32"/>
  <c r="R124" i="32" s="1"/>
  <c r="I125" i="32"/>
  <c r="R125" i="32" s="1"/>
  <c r="I126" i="32"/>
  <c r="R126" i="32" s="1"/>
  <c r="I127" i="32"/>
  <c r="R127" i="32" s="1"/>
  <c r="I128" i="32"/>
  <c r="R128" i="32" s="1"/>
  <c r="I129" i="32"/>
  <c r="R129" i="32" s="1"/>
  <c r="I130" i="32"/>
  <c r="R130" i="32" s="1"/>
  <c r="I131" i="32"/>
  <c r="R131" i="32" s="1"/>
  <c r="I132" i="32"/>
  <c r="R132" i="32" s="1"/>
  <c r="I133" i="32"/>
  <c r="R133" i="32" s="1"/>
  <c r="I134" i="32"/>
  <c r="R134" i="32" s="1"/>
  <c r="I135" i="32"/>
  <c r="R135" i="32" s="1"/>
  <c r="I136" i="32"/>
  <c r="R136" i="32" s="1"/>
  <c r="I137" i="32"/>
  <c r="R137" i="32" s="1"/>
  <c r="I138" i="32"/>
  <c r="R138" i="32" s="1"/>
  <c r="I139" i="32"/>
  <c r="R139" i="32" s="1"/>
  <c r="I140" i="32"/>
  <c r="R140" i="32" s="1"/>
  <c r="I141" i="32"/>
  <c r="R141" i="32" s="1"/>
  <c r="I142" i="32"/>
  <c r="R142" i="32" s="1"/>
  <c r="I143" i="32"/>
  <c r="R143" i="32" s="1"/>
  <c r="I144" i="32"/>
  <c r="R144" i="32" s="1"/>
  <c r="I145" i="32"/>
  <c r="R145" i="32" s="1"/>
  <c r="I4" i="32"/>
  <c r="R4" i="32" s="1"/>
  <c r="H4" i="32"/>
  <c r="Q4" i="32" s="1"/>
  <c r="A4" i="32"/>
  <c r="I3" i="32"/>
  <c r="R3" i="32" s="1"/>
  <c r="H3" i="32"/>
  <c r="Q3" i="32" s="1"/>
  <c r="A3" i="32"/>
  <c r="I2" i="32"/>
  <c r="R2" i="32" s="1"/>
  <c r="H2" i="32"/>
  <c r="Q2" i="32" s="1"/>
  <c r="G2" i="32"/>
  <c r="P2" i="32" s="1"/>
  <c r="A2" i="32"/>
  <c r="I1" i="32"/>
  <c r="R1" i="32" s="1"/>
  <c r="H1" i="32"/>
  <c r="Q1" i="32" s="1"/>
  <c r="G1" i="32"/>
  <c r="P1" i="32" s="1"/>
  <c r="J1" i="32"/>
  <c r="S1" i="32" s="1"/>
  <c r="F1" i="32"/>
  <c r="O1" i="32" s="1"/>
  <c r="E1" i="32"/>
  <c r="D1" i="32"/>
  <c r="C1" i="32"/>
  <c r="B1" i="32"/>
  <c r="A1" i="32"/>
  <c r="Q123" i="31"/>
  <c r="Q124" i="31"/>
  <c r="Q122" i="31"/>
  <c r="L3" i="31"/>
  <c r="L4" i="31"/>
  <c r="L5" i="31"/>
  <c r="L6" i="31"/>
  <c r="L7" i="31"/>
  <c r="L8" i="31"/>
  <c r="L9" i="31"/>
  <c r="L10" i="31"/>
  <c r="P10" i="31"/>
  <c r="L11" i="31"/>
  <c r="L12" i="31"/>
  <c r="L13" i="31"/>
  <c r="L14" i="31"/>
  <c r="L15" i="31"/>
  <c r="L16" i="31"/>
  <c r="L17" i="31"/>
  <c r="L18" i="31"/>
  <c r="L19" i="31"/>
  <c r="L20" i="31"/>
  <c r="L21" i="31"/>
  <c r="L22" i="31"/>
  <c r="L23" i="31"/>
  <c r="L24" i="31"/>
  <c r="L25" i="31"/>
  <c r="L26" i="31"/>
  <c r="L27" i="31"/>
  <c r="L28" i="31"/>
  <c r="L29" i="31"/>
  <c r="O29" i="31"/>
  <c r="P29" i="31"/>
  <c r="Q29" i="31"/>
  <c r="L30" i="31"/>
  <c r="L31" i="31"/>
  <c r="L32" i="31"/>
  <c r="L33" i="31"/>
  <c r="L34" i="31"/>
  <c r="L35" i="31"/>
  <c r="L36" i="31"/>
  <c r="L37" i="31"/>
  <c r="L38" i="31"/>
  <c r="L39" i="31"/>
  <c r="L40" i="31"/>
  <c r="L41" i="31"/>
  <c r="L42" i="31"/>
  <c r="L43" i="31"/>
  <c r="L44" i="31"/>
  <c r="L45" i="31"/>
  <c r="L46" i="31"/>
  <c r="L47" i="31"/>
  <c r="L48" i="31"/>
  <c r="L49" i="31"/>
  <c r="L50" i="31"/>
  <c r="L51" i="31"/>
  <c r="O51" i="31"/>
  <c r="L52" i="31"/>
  <c r="L53" i="31"/>
  <c r="L54" i="31"/>
  <c r="L55" i="31"/>
  <c r="L56" i="31"/>
  <c r="L57" i="31"/>
  <c r="L58" i="31"/>
  <c r="L59" i="31"/>
  <c r="L60" i="31"/>
  <c r="L61" i="31"/>
  <c r="L62" i="31"/>
  <c r="L63" i="31"/>
  <c r="L64" i="31"/>
  <c r="L65" i="31"/>
  <c r="L66" i="31"/>
  <c r="L67" i="31"/>
  <c r="O67" i="31"/>
  <c r="L68" i="31"/>
  <c r="L69" i="31"/>
  <c r="L70" i="31"/>
  <c r="L71" i="31"/>
  <c r="P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P96" i="31"/>
  <c r="L97" i="31"/>
  <c r="L98" i="31"/>
  <c r="L99" i="31"/>
  <c r="L100" i="31"/>
  <c r="L101" i="31"/>
  <c r="L102" i="31"/>
  <c r="L103" i="31"/>
  <c r="L104" i="31"/>
  <c r="L105" i="31"/>
  <c r="L106" i="31"/>
  <c r="L107" i="31"/>
  <c r="L108" i="31"/>
  <c r="L109" i="31"/>
  <c r="L110" i="31"/>
  <c r="L111" i="31"/>
  <c r="L112" i="31"/>
  <c r="L113" i="31"/>
  <c r="L114" i="31"/>
  <c r="L115" i="31"/>
  <c r="L116" i="31"/>
  <c r="L117" i="31"/>
  <c r="L118" i="31"/>
  <c r="L119" i="31"/>
  <c r="L120" i="31"/>
  <c r="L121" i="31"/>
  <c r="L122" i="31"/>
  <c r="L123" i="31"/>
  <c r="L124" i="31"/>
  <c r="L125" i="31"/>
  <c r="L126" i="31"/>
  <c r="L127" i="31"/>
  <c r="L128" i="31"/>
  <c r="L129" i="31"/>
  <c r="L130" i="31"/>
  <c r="L131" i="31"/>
  <c r="L132" i="31"/>
  <c r="L133" i="31"/>
  <c r="L134" i="31"/>
  <c r="L135" i="31"/>
  <c r="L136" i="31"/>
  <c r="L137" i="31"/>
  <c r="P137" i="31"/>
  <c r="L138" i="31"/>
  <c r="L139" i="31"/>
  <c r="L140" i="31"/>
  <c r="L141" i="31"/>
  <c r="L142" i="31"/>
  <c r="L143" i="31"/>
  <c r="L144" i="31"/>
  <c r="L145" i="31"/>
  <c r="L2" i="31"/>
  <c r="G4" i="31"/>
  <c r="O4" i="31" s="1"/>
  <c r="H4" i="31"/>
  <c r="P4" i="31" s="1"/>
  <c r="G5" i="31"/>
  <c r="O5" i="31" s="1"/>
  <c r="H5" i="31"/>
  <c r="P5" i="31" s="1"/>
  <c r="G6" i="31"/>
  <c r="O6" i="31" s="1"/>
  <c r="H6" i="31"/>
  <c r="P6" i="31" s="1"/>
  <c r="G7" i="31"/>
  <c r="O7" i="31" s="1"/>
  <c r="H7" i="31"/>
  <c r="P7" i="31" s="1"/>
  <c r="G8" i="31"/>
  <c r="O8" i="31" s="1"/>
  <c r="H8" i="31"/>
  <c r="P8" i="31" s="1"/>
  <c r="G9" i="31"/>
  <c r="O9" i="31" s="1"/>
  <c r="H9" i="31"/>
  <c r="P9" i="31" s="1"/>
  <c r="G10" i="31"/>
  <c r="O10" i="31" s="1"/>
  <c r="H10" i="31"/>
  <c r="G11" i="31"/>
  <c r="O11" i="31" s="1"/>
  <c r="H11" i="31"/>
  <c r="P11" i="31" s="1"/>
  <c r="G12" i="31"/>
  <c r="O12" i="31" s="1"/>
  <c r="H12" i="31"/>
  <c r="P12" i="31" s="1"/>
  <c r="G13" i="31"/>
  <c r="O13" i="31" s="1"/>
  <c r="H13" i="31"/>
  <c r="P13" i="31" s="1"/>
  <c r="G14" i="31"/>
  <c r="O14" i="31" s="1"/>
  <c r="H14" i="31"/>
  <c r="P14" i="31" s="1"/>
  <c r="G15" i="31"/>
  <c r="O15" i="31" s="1"/>
  <c r="H15" i="31"/>
  <c r="P15" i="31" s="1"/>
  <c r="G16" i="31"/>
  <c r="O16" i="31" s="1"/>
  <c r="H16" i="31"/>
  <c r="P16" i="31" s="1"/>
  <c r="G17" i="31"/>
  <c r="O17" i="31" s="1"/>
  <c r="H17" i="31"/>
  <c r="P17" i="31" s="1"/>
  <c r="G18" i="31"/>
  <c r="O18" i="31" s="1"/>
  <c r="H18" i="31"/>
  <c r="P18" i="31" s="1"/>
  <c r="G19" i="31"/>
  <c r="O19" i="31" s="1"/>
  <c r="H19" i="31"/>
  <c r="P19" i="31" s="1"/>
  <c r="G20" i="31"/>
  <c r="O20" i="31" s="1"/>
  <c r="H20" i="31"/>
  <c r="P20" i="31" s="1"/>
  <c r="G21" i="31"/>
  <c r="O21" i="31" s="1"/>
  <c r="H21" i="31"/>
  <c r="P21" i="31" s="1"/>
  <c r="G22" i="31"/>
  <c r="O22" i="31" s="1"/>
  <c r="H22" i="31"/>
  <c r="P22" i="31" s="1"/>
  <c r="G23" i="31"/>
  <c r="O23" i="31" s="1"/>
  <c r="H23" i="31"/>
  <c r="P23" i="31" s="1"/>
  <c r="G24" i="31"/>
  <c r="O24" i="31" s="1"/>
  <c r="H24" i="31"/>
  <c r="P24" i="31" s="1"/>
  <c r="G25" i="31"/>
  <c r="O25" i="31" s="1"/>
  <c r="H25" i="31"/>
  <c r="P25" i="31" s="1"/>
  <c r="G26" i="31"/>
  <c r="O26" i="31" s="1"/>
  <c r="H26" i="31"/>
  <c r="P26" i="31" s="1"/>
  <c r="G27" i="31"/>
  <c r="O27" i="31" s="1"/>
  <c r="H27" i="31"/>
  <c r="P27" i="31" s="1"/>
  <c r="G28" i="31"/>
  <c r="O28" i="31" s="1"/>
  <c r="H28" i="31"/>
  <c r="P28" i="31" s="1"/>
  <c r="G29" i="31"/>
  <c r="H29" i="31"/>
  <c r="G30" i="31"/>
  <c r="O30" i="31" s="1"/>
  <c r="H30" i="31"/>
  <c r="P30" i="31" s="1"/>
  <c r="G31" i="31"/>
  <c r="O31" i="31" s="1"/>
  <c r="H31" i="31"/>
  <c r="P31" i="31" s="1"/>
  <c r="G32" i="31"/>
  <c r="O32" i="31" s="1"/>
  <c r="H32" i="31"/>
  <c r="P32" i="31" s="1"/>
  <c r="G33" i="31"/>
  <c r="O33" i="31" s="1"/>
  <c r="H33" i="31"/>
  <c r="P33" i="31" s="1"/>
  <c r="G34" i="31"/>
  <c r="O34" i="31" s="1"/>
  <c r="H34" i="31"/>
  <c r="P34" i="31" s="1"/>
  <c r="G35" i="31"/>
  <c r="O35" i="31" s="1"/>
  <c r="H35" i="31"/>
  <c r="P35" i="31" s="1"/>
  <c r="G36" i="31"/>
  <c r="O36" i="31" s="1"/>
  <c r="H36" i="31"/>
  <c r="P36" i="31" s="1"/>
  <c r="G37" i="31"/>
  <c r="O37" i="31" s="1"/>
  <c r="H37" i="31"/>
  <c r="P37" i="31" s="1"/>
  <c r="G38" i="31"/>
  <c r="O38" i="31" s="1"/>
  <c r="H38" i="31"/>
  <c r="P38" i="31" s="1"/>
  <c r="G39" i="31"/>
  <c r="O39" i="31" s="1"/>
  <c r="H39" i="31"/>
  <c r="P39" i="31" s="1"/>
  <c r="G40" i="31"/>
  <c r="O40" i="31" s="1"/>
  <c r="H40" i="31"/>
  <c r="P40" i="31" s="1"/>
  <c r="G41" i="31"/>
  <c r="O41" i="31" s="1"/>
  <c r="H41" i="31"/>
  <c r="P41" i="31" s="1"/>
  <c r="G42" i="31"/>
  <c r="O42" i="31" s="1"/>
  <c r="H42" i="31"/>
  <c r="P42" i="31" s="1"/>
  <c r="G43" i="31"/>
  <c r="O43" i="31" s="1"/>
  <c r="H43" i="31"/>
  <c r="P43" i="31" s="1"/>
  <c r="G44" i="31"/>
  <c r="O44" i="31" s="1"/>
  <c r="H44" i="31"/>
  <c r="P44" i="31" s="1"/>
  <c r="G45" i="31"/>
  <c r="O45" i="31" s="1"/>
  <c r="H45" i="31"/>
  <c r="P45" i="31" s="1"/>
  <c r="G46" i="31"/>
  <c r="O46" i="31" s="1"/>
  <c r="H46" i="31"/>
  <c r="P46" i="31" s="1"/>
  <c r="G47" i="31"/>
  <c r="O47" i="31" s="1"/>
  <c r="H47" i="31"/>
  <c r="P47" i="31" s="1"/>
  <c r="G48" i="31"/>
  <c r="O48" i="31" s="1"/>
  <c r="H48" i="31"/>
  <c r="P48" i="31" s="1"/>
  <c r="G49" i="31"/>
  <c r="O49" i="31" s="1"/>
  <c r="H49" i="31"/>
  <c r="P49" i="31" s="1"/>
  <c r="G50" i="31"/>
  <c r="O50" i="31" s="1"/>
  <c r="H50" i="31"/>
  <c r="P50" i="31" s="1"/>
  <c r="G51" i="31"/>
  <c r="H51" i="31"/>
  <c r="P51" i="31" s="1"/>
  <c r="G52" i="31"/>
  <c r="O52" i="31" s="1"/>
  <c r="H52" i="31"/>
  <c r="P52" i="31" s="1"/>
  <c r="G53" i="31"/>
  <c r="O53" i="31" s="1"/>
  <c r="H53" i="31"/>
  <c r="P53" i="31" s="1"/>
  <c r="G54" i="31"/>
  <c r="O54" i="31" s="1"/>
  <c r="H54" i="31"/>
  <c r="P54" i="31" s="1"/>
  <c r="G55" i="31"/>
  <c r="O55" i="31" s="1"/>
  <c r="H55" i="31"/>
  <c r="P55" i="31" s="1"/>
  <c r="G56" i="31"/>
  <c r="O56" i="31" s="1"/>
  <c r="H56" i="31"/>
  <c r="P56" i="31" s="1"/>
  <c r="G57" i="31"/>
  <c r="O57" i="31" s="1"/>
  <c r="H57" i="31"/>
  <c r="P57" i="31" s="1"/>
  <c r="Q57" i="31"/>
  <c r="G58" i="31"/>
  <c r="O58" i="31" s="1"/>
  <c r="H58" i="31"/>
  <c r="P58" i="31" s="1"/>
  <c r="G59" i="31"/>
  <c r="O59" i="31" s="1"/>
  <c r="H59" i="31"/>
  <c r="P59" i="31" s="1"/>
  <c r="G60" i="31"/>
  <c r="O60" i="31" s="1"/>
  <c r="H60" i="31"/>
  <c r="P60" i="31" s="1"/>
  <c r="G61" i="31"/>
  <c r="O61" i="31" s="1"/>
  <c r="H61" i="31"/>
  <c r="P61" i="31" s="1"/>
  <c r="G62" i="31"/>
  <c r="O62" i="31" s="1"/>
  <c r="H62" i="31"/>
  <c r="P62" i="31" s="1"/>
  <c r="G63" i="31"/>
  <c r="O63" i="31" s="1"/>
  <c r="H63" i="31"/>
  <c r="P63" i="31" s="1"/>
  <c r="G64" i="31"/>
  <c r="O64" i="31" s="1"/>
  <c r="H64" i="31"/>
  <c r="P64" i="31" s="1"/>
  <c r="G65" i="31"/>
  <c r="O65" i="31" s="1"/>
  <c r="H65" i="31"/>
  <c r="P65" i="31" s="1"/>
  <c r="G66" i="31"/>
  <c r="O66" i="31" s="1"/>
  <c r="H66" i="31"/>
  <c r="P66" i="31" s="1"/>
  <c r="G67" i="31"/>
  <c r="H67" i="31"/>
  <c r="P67" i="31" s="1"/>
  <c r="G68" i="31"/>
  <c r="O68" i="31" s="1"/>
  <c r="H68" i="31"/>
  <c r="P68" i="31" s="1"/>
  <c r="G69" i="31"/>
  <c r="O69" i="31" s="1"/>
  <c r="H69" i="31"/>
  <c r="P69" i="31" s="1"/>
  <c r="G70" i="31"/>
  <c r="O70" i="31" s="1"/>
  <c r="H70" i="31"/>
  <c r="P70" i="31" s="1"/>
  <c r="G71" i="31"/>
  <c r="O71" i="31" s="1"/>
  <c r="H71" i="31"/>
  <c r="G72" i="31"/>
  <c r="O72" i="31" s="1"/>
  <c r="H72" i="31"/>
  <c r="P72" i="31" s="1"/>
  <c r="G73" i="31"/>
  <c r="O73" i="31" s="1"/>
  <c r="H73" i="31"/>
  <c r="P73" i="31" s="1"/>
  <c r="H74" i="31"/>
  <c r="P74" i="31" s="1"/>
  <c r="H75" i="31"/>
  <c r="P75" i="31" s="1"/>
  <c r="H76" i="31"/>
  <c r="P76" i="31" s="1"/>
  <c r="H77" i="31"/>
  <c r="P77" i="31" s="1"/>
  <c r="H78" i="31"/>
  <c r="P78" i="31" s="1"/>
  <c r="H79" i="31"/>
  <c r="P79" i="31" s="1"/>
  <c r="H80" i="31"/>
  <c r="P80" i="31" s="1"/>
  <c r="H81" i="31"/>
  <c r="P81" i="31" s="1"/>
  <c r="H82" i="31"/>
  <c r="P82" i="31" s="1"/>
  <c r="H83" i="31"/>
  <c r="P83" i="31" s="1"/>
  <c r="H84" i="31"/>
  <c r="P84" i="31" s="1"/>
  <c r="H85" i="31"/>
  <c r="P85" i="31" s="1"/>
  <c r="H86" i="31"/>
  <c r="P86" i="31" s="1"/>
  <c r="H87" i="31"/>
  <c r="P87" i="31" s="1"/>
  <c r="G88" i="31"/>
  <c r="H88" i="31"/>
  <c r="P88" i="31" s="1"/>
  <c r="H89" i="31"/>
  <c r="P89" i="31" s="1"/>
  <c r="H90" i="31"/>
  <c r="P90" i="31" s="1"/>
  <c r="H91" i="31"/>
  <c r="P91" i="31" s="1"/>
  <c r="H92" i="31"/>
  <c r="P92" i="31" s="1"/>
  <c r="H93" i="31"/>
  <c r="P93" i="31" s="1"/>
  <c r="H94" i="31"/>
  <c r="P94" i="31" s="1"/>
  <c r="H95" i="31"/>
  <c r="P95" i="31" s="1"/>
  <c r="G96" i="31"/>
  <c r="H96" i="31"/>
  <c r="H97" i="31"/>
  <c r="P97" i="31" s="1"/>
  <c r="H98" i="31"/>
  <c r="P98" i="31" s="1"/>
  <c r="H99" i="31"/>
  <c r="P99" i="31" s="1"/>
  <c r="H100" i="31"/>
  <c r="P100" i="31" s="1"/>
  <c r="H101" i="31"/>
  <c r="P101" i="31" s="1"/>
  <c r="H102" i="31"/>
  <c r="P102" i="31" s="1"/>
  <c r="H103" i="31"/>
  <c r="P103" i="31" s="1"/>
  <c r="H104" i="31"/>
  <c r="P104" i="31" s="1"/>
  <c r="H105" i="31"/>
  <c r="P105" i="31" s="1"/>
  <c r="H106" i="31"/>
  <c r="P106" i="31" s="1"/>
  <c r="H107" i="31"/>
  <c r="P107" i="31" s="1"/>
  <c r="H108" i="31"/>
  <c r="P108" i="31" s="1"/>
  <c r="G109" i="31"/>
  <c r="O109" i="31" s="1"/>
  <c r="H109" i="31"/>
  <c r="P109" i="31" s="1"/>
  <c r="G110" i="31"/>
  <c r="O110" i="31" s="1"/>
  <c r="H110" i="31"/>
  <c r="P110" i="31" s="1"/>
  <c r="H111" i="31"/>
  <c r="P111" i="31" s="1"/>
  <c r="H112" i="31"/>
  <c r="P112" i="31" s="1"/>
  <c r="H113" i="31"/>
  <c r="P113" i="31" s="1"/>
  <c r="H114" i="31"/>
  <c r="P114" i="31" s="1"/>
  <c r="H115" i="31"/>
  <c r="P115" i="31" s="1"/>
  <c r="H116" i="31"/>
  <c r="P116" i="31" s="1"/>
  <c r="H117" i="31"/>
  <c r="P117" i="31" s="1"/>
  <c r="H118" i="31"/>
  <c r="P118" i="31" s="1"/>
  <c r="H119" i="31"/>
  <c r="P119" i="31" s="1"/>
  <c r="H120" i="31"/>
  <c r="P120" i="31" s="1"/>
  <c r="H121" i="31"/>
  <c r="P121" i="31" s="1"/>
  <c r="H122" i="31"/>
  <c r="P122" i="31" s="1"/>
  <c r="H123" i="31"/>
  <c r="P123" i="31" s="1"/>
  <c r="H124" i="31"/>
  <c r="P124" i="31" s="1"/>
  <c r="H125" i="31"/>
  <c r="P125" i="31" s="1"/>
  <c r="H126" i="31"/>
  <c r="P126" i="31" s="1"/>
  <c r="H127" i="31"/>
  <c r="P127" i="31" s="1"/>
  <c r="H128" i="31"/>
  <c r="P128" i="31" s="1"/>
  <c r="H129" i="31"/>
  <c r="P129" i="31" s="1"/>
  <c r="H130" i="31"/>
  <c r="P130" i="31" s="1"/>
  <c r="H131" i="31"/>
  <c r="P131" i="31" s="1"/>
  <c r="H132" i="31"/>
  <c r="P132" i="31" s="1"/>
  <c r="H133" i="31"/>
  <c r="P133" i="31" s="1"/>
  <c r="H134" i="31"/>
  <c r="P134" i="31" s="1"/>
  <c r="H135" i="31"/>
  <c r="P135" i="31" s="1"/>
  <c r="H136" i="31"/>
  <c r="P136" i="31" s="1"/>
  <c r="H137" i="31"/>
  <c r="H138" i="31"/>
  <c r="P138" i="31" s="1"/>
  <c r="H139" i="31"/>
  <c r="P139" i="31" s="1"/>
  <c r="H140" i="31"/>
  <c r="P140" i="31" s="1"/>
  <c r="H141" i="31"/>
  <c r="P141" i="31" s="1"/>
  <c r="H142" i="31"/>
  <c r="P142" i="31" s="1"/>
  <c r="H143" i="31"/>
  <c r="P143" i="31" s="1"/>
  <c r="H144" i="31"/>
  <c r="P144" i="31" s="1"/>
  <c r="H145" i="31"/>
  <c r="P145" i="31" s="1"/>
  <c r="H3" i="31"/>
  <c r="P3" i="31" s="1"/>
  <c r="G3" i="31"/>
  <c r="O3" i="31" s="1"/>
  <c r="A3" i="31"/>
  <c r="H2" i="31"/>
  <c r="P2" i="31" s="1"/>
  <c r="G2" i="31"/>
  <c r="O2" i="31" s="1"/>
  <c r="A2" i="31"/>
  <c r="H1" i="31"/>
  <c r="G1" i="31"/>
  <c r="F1" i="31"/>
  <c r="E1" i="31"/>
  <c r="D1" i="31"/>
  <c r="C1" i="31"/>
  <c r="B1" i="31"/>
  <c r="A1" i="31"/>
  <c r="K3" i="30"/>
  <c r="K4" i="30"/>
  <c r="K5" i="30"/>
  <c r="K6" i="30"/>
  <c r="K7" i="30"/>
  <c r="K8" i="30"/>
  <c r="K9" i="30"/>
  <c r="K10" i="30"/>
  <c r="K11" i="30"/>
  <c r="K12" i="30"/>
  <c r="K13" i="30"/>
  <c r="K14" i="30"/>
  <c r="K15" i="30"/>
  <c r="K16" i="30"/>
  <c r="K17" i="30"/>
  <c r="N17" i="30"/>
  <c r="O17" i="30"/>
  <c r="K18" i="30"/>
  <c r="N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2" i="30"/>
  <c r="G5" i="30"/>
  <c r="N5" i="30" s="1"/>
  <c r="H5" i="30"/>
  <c r="O5" i="30" s="1"/>
  <c r="G6" i="30"/>
  <c r="N6" i="30" s="1"/>
  <c r="H6" i="30"/>
  <c r="O6" i="30" s="1"/>
  <c r="G7" i="30"/>
  <c r="N7" i="30" s="1"/>
  <c r="H7" i="30"/>
  <c r="O7" i="30" s="1"/>
  <c r="G8" i="30"/>
  <c r="N8" i="30" s="1"/>
  <c r="H8" i="30"/>
  <c r="O8" i="30" s="1"/>
  <c r="G9" i="30"/>
  <c r="N9" i="30" s="1"/>
  <c r="H9" i="30"/>
  <c r="O9" i="30" s="1"/>
  <c r="G10" i="30"/>
  <c r="N10" i="30" s="1"/>
  <c r="H10" i="30"/>
  <c r="O10" i="30" s="1"/>
  <c r="G11" i="30"/>
  <c r="N11" i="30" s="1"/>
  <c r="H11" i="30"/>
  <c r="O11" i="30" s="1"/>
  <c r="G12" i="30"/>
  <c r="N12" i="30" s="1"/>
  <c r="H12" i="30"/>
  <c r="O12" i="30" s="1"/>
  <c r="G13" i="30"/>
  <c r="N13" i="30" s="1"/>
  <c r="H13" i="30"/>
  <c r="O13" i="30" s="1"/>
  <c r="G14" i="30"/>
  <c r="N14" i="30" s="1"/>
  <c r="H14" i="30"/>
  <c r="O14" i="30" s="1"/>
  <c r="G15" i="30"/>
  <c r="N15" i="30" s="1"/>
  <c r="H15" i="30"/>
  <c r="O15" i="30" s="1"/>
  <c r="G16" i="30"/>
  <c r="N16" i="30" s="1"/>
  <c r="H16" i="30"/>
  <c r="O16" i="30" s="1"/>
  <c r="G17" i="30"/>
  <c r="H17" i="30"/>
  <c r="G18" i="30"/>
  <c r="H18" i="30"/>
  <c r="O18" i="30" s="1"/>
  <c r="G19" i="30"/>
  <c r="N19" i="30" s="1"/>
  <c r="H19" i="30"/>
  <c r="O19" i="30" s="1"/>
  <c r="G20" i="30"/>
  <c r="N20" i="30" s="1"/>
  <c r="H20" i="30"/>
  <c r="O20" i="30" s="1"/>
  <c r="G21" i="30"/>
  <c r="N21" i="30" s="1"/>
  <c r="H21" i="30"/>
  <c r="O21" i="30" s="1"/>
  <c r="G22" i="30"/>
  <c r="N22" i="30" s="1"/>
  <c r="H22" i="30"/>
  <c r="O22" i="30" s="1"/>
  <c r="G23" i="30"/>
  <c r="N23" i="30" s="1"/>
  <c r="H23" i="30"/>
  <c r="O23" i="30" s="1"/>
  <c r="G24" i="30"/>
  <c r="N24" i="30" s="1"/>
  <c r="H24" i="30"/>
  <c r="O24" i="30" s="1"/>
  <c r="G25" i="30"/>
  <c r="N25" i="30" s="1"/>
  <c r="H25" i="30"/>
  <c r="O25" i="30" s="1"/>
  <c r="G26" i="30"/>
  <c r="N26" i="30" s="1"/>
  <c r="H26" i="30"/>
  <c r="O26" i="30" s="1"/>
  <c r="G27" i="30"/>
  <c r="N27" i="30" s="1"/>
  <c r="H27" i="30"/>
  <c r="O27" i="30" s="1"/>
  <c r="G28" i="30"/>
  <c r="N28" i="30" s="1"/>
  <c r="H28" i="30"/>
  <c r="O28" i="30" s="1"/>
  <c r="G29" i="30"/>
  <c r="N29" i="30" s="1"/>
  <c r="H29" i="30"/>
  <c r="O29" i="30" s="1"/>
  <c r="G30" i="30"/>
  <c r="N30" i="30" s="1"/>
  <c r="H30" i="30"/>
  <c r="O30" i="30" s="1"/>
  <c r="G31" i="30"/>
  <c r="N31" i="30" s="1"/>
  <c r="H31" i="30"/>
  <c r="O31" i="30" s="1"/>
  <c r="G32" i="30"/>
  <c r="N32" i="30" s="1"/>
  <c r="H32" i="30"/>
  <c r="O32" i="30" s="1"/>
  <c r="G33" i="30"/>
  <c r="N33" i="30" s="1"/>
  <c r="H33" i="30"/>
  <c r="O33" i="30" s="1"/>
  <c r="G34" i="30"/>
  <c r="N34" i="30" s="1"/>
  <c r="H34" i="30"/>
  <c r="O34" i="30" s="1"/>
  <c r="G35" i="30"/>
  <c r="N35" i="30" s="1"/>
  <c r="H35" i="30"/>
  <c r="O35" i="30" s="1"/>
  <c r="G36" i="30"/>
  <c r="N36" i="30" s="1"/>
  <c r="H36" i="30"/>
  <c r="O36" i="30" s="1"/>
  <c r="G37" i="30"/>
  <c r="N37" i="30" s="1"/>
  <c r="H37" i="30"/>
  <c r="O37" i="30" s="1"/>
  <c r="G38" i="30"/>
  <c r="N38" i="30" s="1"/>
  <c r="H38" i="30"/>
  <c r="O38" i="30" s="1"/>
  <c r="G39" i="30"/>
  <c r="N39" i="30" s="1"/>
  <c r="H39" i="30"/>
  <c r="O39" i="30" s="1"/>
  <c r="G40" i="30"/>
  <c r="N40" i="30" s="1"/>
  <c r="H40" i="30"/>
  <c r="O40" i="30" s="1"/>
  <c r="G41" i="30"/>
  <c r="N41" i="30" s="1"/>
  <c r="H41" i="30"/>
  <c r="O41" i="30" s="1"/>
  <c r="G42" i="30"/>
  <c r="N42" i="30" s="1"/>
  <c r="H42" i="30"/>
  <c r="O42" i="30" s="1"/>
  <c r="G43" i="30"/>
  <c r="N43" i="30" s="1"/>
  <c r="H43" i="30"/>
  <c r="O43" i="30" s="1"/>
  <c r="G44" i="30"/>
  <c r="N44" i="30" s="1"/>
  <c r="H44" i="30"/>
  <c r="O44" i="30" s="1"/>
  <c r="G45" i="30"/>
  <c r="N45" i="30" s="1"/>
  <c r="H45" i="30"/>
  <c r="O45" i="30" s="1"/>
  <c r="G46" i="30"/>
  <c r="N46" i="30" s="1"/>
  <c r="H46" i="30"/>
  <c r="O46" i="30" s="1"/>
  <c r="G47" i="30"/>
  <c r="N47" i="30" s="1"/>
  <c r="H47" i="30"/>
  <c r="O47" i="30" s="1"/>
  <c r="G48" i="30"/>
  <c r="N48" i="30" s="1"/>
  <c r="H48" i="30"/>
  <c r="O48" i="30" s="1"/>
  <c r="G49" i="30"/>
  <c r="N49" i="30" s="1"/>
  <c r="H49" i="30"/>
  <c r="O49" i="30" s="1"/>
  <c r="G50" i="30"/>
  <c r="N50" i="30" s="1"/>
  <c r="H50" i="30"/>
  <c r="O50" i="30" s="1"/>
  <c r="G51" i="30"/>
  <c r="N51" i="30" s="1"/>
  <c r="H51" i="30"/>
  <c r="O51" i="30" s="1"/>
  <c r="G52" i="30"/>
  <c r="N52" i="30" s="1"/>
  <c r="H52" i="30"/>
  <c r="O52" i="30" s="1"/>
  <c r="G53" i="30"/>
  <c r="N53" i="30" s="1"/>
  <c r="H53" i="30"/>
  <c r="O53" i="30" s="1"/>
  <c r="G54" i="30"/>
  <c r="N54" i="30" s="1"/>
  <c r="H54" i="30"/>
  <c r="O54" i="30" s="1"/>
  <c r="G55" i="30"/>
  <c r="N55" i="30" s="1"/>
  <c r="H55" i="30"/>
  <c r="O55" i="30" s="1"/>
  <c r="G56" i="30"/>
  <c r="N56" i="30" s="1"/>
  <c r="H56" i="30"/>
  <c r="O56" i="30" s="1"/>
  <c r="G57" i="30"/>
  <c r="N57" i="30" s="1"/>
  <c r="H57" i="30"/>
  <c r="O57" i="30" s="1"/>
  <c r="G58" i="30"/>
  <c r="N58" i="30" s="1"/>
  <c r="H58" i="30"/>
  <c r="O58" i="30" s="1"/>
  <c r="G59" i="30"/>
  <c r="N59" i="30" s="1"/>
  <c r="H59" i="30"/>
  <c r="O59" i="30" s="1"/>
  <c r="G60" i="30"/>
  <c r="N60" i="30" s="1"/>
  <c r="H60" i="30"/>
  <c r="O60" i="30" s="1"/>
  <c r="G61" i="30"/>
  <c r="N61" i="30" s="1"/>
  <c r="H61" i="30"/>
  <c r="O61" i="30" s="1"/>
  <c r="G62" i="30"/>
  <c r="N62" i="30" s="1"/>
  <c r="H62" i="30"/>
  <c r="O62" i="30" s="1"/>
  <c r="G63" i="30"/>
  <c r="N63" i="30" s="1"/>
  <c r="H63" i="30"/>
  <c r="O63" i="30" s="1"/>
  <c r="G64" i="30"/>
  <c r="N64" i="30" s="1"/>
  <c r="H64" i="30"/>
  <c r="O64" i="30" s="1"/>
  <c r="G65" i="30"/>
  <c r="N65" i="30" s="1"/>
  <c r="H65" i="30"/>
  <c r="O65" i="30" s="1"/>
  <c r="G66" i="30"/>
  <c r="N66" i="30" s="1"/>
  <c r="H66" i="30"/>
  <c r="O66" i="30" s="1"/>
  <c r="G67" i="30"/>
  <c r="N67" i="30" s="1"/>
  <c r="H67" i="30"/>
  <c r="O67" i="30" s="1"/>
  <c r="G68" i="30"/>
  <c r="N68" i="30" s="1"/>
  <c r="H68" i="30"/>
  <c r="O68" i="30" s="1"/>
  <c r="G69" i="30"/>
  <c r="N69" i="30" s="1"/>
  <c r="H69" i="30"/>
  <c r="O69" i="30" s="1"/>
  <c r="G70" i="30"/>
  <c r="N70" i="30" s="1"/>
  <c r="H70" i="30"/>
  <c r="O70" i="30" s="1"/>
  <c r="G71" i="30"/>
  <c r="N71" i="30" s="1"/>
  <c r="H71" i="30"/>
  <c r="O71" i="30" s="1"/>
  <c r="G72" i="30"/>
  <c r="N72" i="30" s="1"/>
  <c r="H72" i="30"/>
  <c r="O72" i="30" s="1"/>
  <c r="G73" i="30"/>
  <c r="N73" i="30" s="1"/>
  <c r="H73" i="30"/>
  <c r="O73" i="30" s="1"/>
  <c r="H74" i="30"/>
  <c r="O74" i="30" s="1"/>
  <c r="H75" i="30"/>
  <c r="O75" i="30" s="1"/>
  <c r="H76" i="30"/>
  <c r="O76" i="30" s="1"/>
  <c r="H77" i="30"/>
  <c r="O77" i="30" s="1"/>
  <c r="H78" i="30"/>
  <c r="O78" i="30" s="1"/>
  <c r="H79" i="30"/>
  <c r="O79" i="30" s="1"/>
  <c r="H80" i="30"/>
  <c r="O80" i="30" s="1"/>
  <c r="H81" i="30"/>
  <c r="O81" i="30" s="1"/>
  <c r="H82" i="30"/>
  <c r="O82" i="30" s="1"/>
  <c r="H83" i="30"/>
  <c r="O83" i="30" s="1"/>
  <c r="H84" i="30"/>
  <c r="O84" i="30" s="1"/>
  <c r="H85" i="30"/>
  <c r="O85" i="30" s="1"/>
  <c r="H86" i="30"/>
  <c r="O86" i="30" s="1"/>
  <c r="G87" i="30"/>
  <c r="H87" i="30"/>
  <c r="O87" i="30" s="1"/>
  <c r="H88" i="30"/>
  <c r="O88" i="30" s="1"/>
  <c r="H89" i="30"/>
  <c r="O89" i="30" s="1"/>
  <c r="H90" i="30"/>
  <c r="O90" i="30" s="1"/>
  <c r="H91" i="30"/>
  <c r="O91" i="30" s="1"/>
  <c r="H92" i="30"/>
  <c r="O92" i="30" s="1"/>
  <c r="H93" i="30"/>
  <c r="O93" i="30" s="1"/>
  <c r="H94" i="30"/>
  <c r="O94" i="30" s="1"/>
  <c r="H95" i="30"/>
  <c r="O95" i="30" s="1"/>
  <c r="H96" i="30"/>
  <c r="O96" i="30" s="1"/>
  <c r="H97" i="30"/>
  <c r="O97" i="30" s="1"/>
  <c r="H98" i="30"/>
  <c r="O98" i="30" s="1"/>
  <c r="H99" i="30"/>
  <c r="O99" i="30" s="1"/>
  <c r="H100" i="30"/>
  <c r="O100" i="30" s="1"/>
  <c r="H101" i="30"/>
  <c r="O101" i="30" s="1"/>
  <c r="H102" i="30"/>
  <c r="O102" i="30" s="1"/>
  <c r="H103" i="30"/>
  <c r="O103" i="30" s="1"/>
  <c r="H104" i="30"/>
  <c r="O104" i="30" s="1"/>
  <c r="H105" i="30"/>
  <c r="O105" i="30" s="1"/>
  <c r="H106" i="30"/>
  <c r="O106" i="30" s="1"/>
  <c r="H107" i="30"/>
  <c r="O107" i="30" s="1"/>
  <c r="H108" i="30"/>
  <c r="O108" i="30" s="1"/>
  <c r="H109" i="30"/>
  <c r="O109" i="30" s="1"/>
  <c r="H110" i="30"/>
  <c r="O110" i="30" s="1"/>
  <c r="H111" i="30"/>
  <c r="O111" i="30" s="1"/>
  <c r="G112" i="30"/>
  <c r="N112" i="30" s="1"/>
  <c r="H112" i="30"/>
  <c r="O112" i="30" s="1"/>
  <c r="H113" i="30"/>
  <c r="O113" i="30" s="1"/>
  <c r="H114" i="30"/>
  <c r="O114" i="30" s="1"/>
  <c r="H115" i="30"/>
  <c r="O115" i="30" s="1"/>
  <c r="H116" i="30"/>
  <c r="O116" i="30" s="1"/>
  <c r="H117" i="30"/>
  <c r="O117" i="30" s="1"/>
  <c r="H118" i="30"/>
  <c r="O118" i="30" s="1"/>
  <c r="H119" i="30"/>
  <c r="O119" i="30" s="1"/>
  <c r="H120" i="30"/>
  <c r="O120" i="30" s="1"/>
  <c r="H121" i="30"/>
  <c r="O121" i="30" s="1"/>
  <c r="H122" i="30"/>
  <c r="O122" i="30" s="1"/>
  <c r="H123" i="30"/>
  <c r="O123" i="30" s="1"/>
  <c r="H124" i="30"/>
  <c r="O124" i="30" s="1"/>
  <c r="H125" i="30"/>
  <c r="O125" i="30" s="1"/>
  <c r="H126" i="30"/>
  <c r="O126" i="30" s="1"/>
  <c r="H127" i="30"/>
  <c r="O127" i="30" s="1"/>
  <c r="H128" i="30"/>
  <c r="O128" i="30" s="1"/>
  <c r="H129" i="30"/>
  <c r="O129" i="30" s="1"/>
  <c r="H130" i="30"/>
  <c r="O130" i="30" s="1"/>
  <c r="H131" i="30"/>
  <c r="O131" i="30" s="1"/>
  <c r="H132" i="30"/>
  <c r="O132" i="30" s="1"/>
  <c r="H133" i="30"/>
  <c r="O133" i="30" s="1"/>
  <c r="H134" i="30"/>
  <c r="O134" i="30" s="1"/>
  <c r="H135" i="30"/>
  <c r="O135" i="30" s="1"/>
  <c r="H136" i="30"/>
  <c r="O136" i="30" s="1"/>
  <c r="H137" i="30"/>
  <c r="O137" i="30" s="1"/>
  <c r="H138" i="30"/>
  <c r="O138" i="30" s="1"/>
  <c r="H139" i="30"/>
  <c r="O139" i="30" s="1"/>
  <c r="H140" i="30"/>
  <c r="O140" i="30" s="1"/>
  <c r="H141" i="30"/>
  <c r="O141" i="30" s="1"/>
  <c r="H142" i="30"/>
  <c r="O142" i="30" s="1"/>
  <c r="H143" i="30"/>
  <c r="O143" i="30" s="1"/>
  <c r="H144" i="30"/>
  <c r="O144" i="30" s="1"/>
  <c r="H145" i="30"/>
  <c r="O145" i="30" s="1"/>
  <c r="H4" i="30"/>
  <c r="O4" i="30" s="1"/>
  <c r="G4" i="30"/>
  <c r="N4" i="30" s="1"/>
  <c r="H3" i="30"/>
  <c r="O3" i="30" s="1"/>
  <c r="G3" i="30"/>
  <c r="N3" i="30" s="1"/>
  <c r="H2" i="30"/>
  <c r="O2" i="30" s="1"/>
  <c r="G2" i="30"/>
  <c r="N2" i="30" s="1"/>
  <c r="H1" i="30"/>
  <c r="G1" i="30"/>
  <c r="F1" i="30"/>
  <c r="E1" i="30"/>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B62" i="31"/>
  <c r="C62" i="31"/>
  <c r="A63" i="31"/>
  <c r="B63" i="31"/>
  <c r="C63" i="31"/>
  <c r="A64" i="31"/>
  <c r="B64" i="31"/>
  <c r="C64" i="31"/>
  <c r="A65" i="31"/>
  <c r="B65" i="31"/>
  <c r="C65" i="31"/>
  <c r="A66" i="31"/>
  <c r="B66" i="31"/>
  <c r="C66" i="31"/>
  <c r="A67" i="31"/>
  <c r="B67" i="31"/>
  <c r="C67" i="31"/>
  <c r="A68" i="31"/>
  <c r="B68" i="31"/>
  <c r="C68" i="31"/>
  <c r="A69" i="31"/>
  <c r="B69" i="31"/>
  <c r="C69" i="31"/>
  <c r="A70" i="31"/>
  <c r="B70" i="31"/>
  <c r="C70" i="31"/>
  <c r="A71" i="31"/>
  <c r="B71" i="31"/>
  <c r="C71" i="31"/>
  <c r="A72" i="31"/>
  <c r="B72" i="31"/>
  <c r="C72" i="31"/>
  <c r="A73" i="31"/>
  <c r="B73" i="31"/>
  <c r="C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s="1"/>
  <c r="A123" i="31" s="1"/>
  <c r="A5" i="30"/>
  <c r="A6" i="30"/>
  <c r="A7" i="30"/>
  <c r="A8" i="30"/>
  <c r="A9" i="30"/>
  <c r="A10" i="30"/>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B62" i="30"/>
  <c r="C62" i="30"/>
  <c r="A63" i="30"/>
  <c r="B63" i="30"/>
  <c r="C63" i="30"/>
  <c r="A64" i="30"/>
  <c r="B64" i="30"/>
  <c r="C64" i="30"/>
  <c r="A65" i="30"/>
  <c r="B65" i="30"/>
  <c r="C65" i="30"/>
  <c r="A66" i="30"/>
  <c r="B66" i="30"/>
  <c r="C66" i="30"/>
  <c r="A67" i="30"/>
  <c r="B67" i="30"/>
  <c r="C67" i="30"/>
  <c r="A68" i="30"/>
  <c r="B68" i="30"/>
  <c r="C68" i="30"/>
  <c r="A69" i="30"/>
  <c r="B69" i="30"/>
  <c r="C69" i="30"/>
  <c r="A70" i="30"/>
  <c r="B70" i="30"/>
  <c r="C70" i="30"/>
  <c r="A71" i="30"/>
  <c r="B71" i="30"/>
  <c r="C71" i="30"/>
  <c r="A72" i="30"/>
  <c r="B72" i="30"/>
  <c r="C72" i="30"/>
  <c r="A73" i="30"/>
  <c r="B73" i="30"/>
  <c r="C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 r="A108" i="30"/>
  <c r="A109" i="30"/>
  <c r="A110" i="30"/>
  <c r="A111" i="30"/>
  <c r="A112" i="30"/>
  <c r="A113" i="30"/>
  <c r="A114" i="30"/>
  <c r="A115" i="30"/>
  <c r="A116" i="30"/>
  <c r="A117" i="30"/>
  <c r="A118" i="30"/>
  <c r="A119" i="30"/>
  <c r="A120" i="30"/>
  <c r="A121" i="30"/>
  <c r="A122" i="30" s="1"/>
  <c r="A123" i="30" s="1"/>
  <c r="A5" i="32"/>
  <c r="A6" i="32"/>
  <c r="A7" i="32"/>
  <c r="A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A61" i="32"/>
  <c r="A62" i="32"/>
  <c r="B62" i="32"/>
  <c r="C62" i="32"/>
  <c r="A63" i="32"/>
  <c r="B63" i="32"/>
  <c r="C63" i="32"/>
  <c r="A64" i="32"/>
  <c r="B64" i="32"/>
  <c r="C64" i="32"/>
  <c r="A65" i="32"/>
  <c r="B65" i="32"/>
  <c r="C65" i="32"/>
  <c r="A66" i="32"/>
  <c r="B66" i="32"/>
  <c r="C66" i="32"/>
  <c r="A67" i="32"/>
  <c r="B67" i="32"/>
  <c r="C67" i="32"/>
  <c r="A68" i="32"/>
  <c r="B68" i="32"/>
  <c r="C68" i="32"/>
  <c r="A69" i="32"/>
  <c r="B69" i="32"/>
  <c r="C69" i="32"/>
  <c r="A70" i="32"/>
  <c r="B70" i="32"/>
  <c r="C70" i="32"/>
  <c r="A71" i="32"/>
  <c r="B71" i="32"/>
  <c r="C71" i="32"/>
  <c r="A72" i="32"/>
  <c r="B72" i="32"/>
  <c r="C72" i="32"/>
  <c r="A73" i="32"/>
  <c r="B73" i="32"/>
  <c r="C73" i="32"/>
  <c r="A74" i="32"/>
  <c r="A75" i="32"/>
  <c r="A76" i="32"/>
  <c r="A77" i="32"/>
  <c r="A78" i="32"/>
  <c r="A79" i="32"/>
  <c r="A80" i="32"/>
  <c r="A81" i="32"/>
  <c r="A82"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1" i="32"/>
  <c r="A112" i="32"/>
  <c r="A113" i="32"/>
  <c r="A114" i="32"/>
  <c r="A115" i="32"/>
  <c r="A116" i="32"/>
  <c r="A117" i="32"/>
  <c r="A118" i="32"/>
  <c r="A119" i="32"/>
  <c r="A120" i="32"/>
  <c r="A121" i="32"/>
  <c r="A122" i="32" s="1"/>
  <c r="A4" i="31"/>
  <c r="A4" i="30"/>
  <c r="A3" i="30"/>
  <c r="A2" i="30"/>
  <c r="C1" i="30"/>
  <c r="B1" i="30"/>
  <c r="A1" i="30"/>
  <c r="L5" i="9"/>
  <c r="L6" i="9" s="1"/>
  <c r="L7" i="9" s="1"/>
  <c r="L8" i="9" s="1"/>
  <c r="L9" i="9" s="1"/>
  <c r="L10" i="9" s="1"/>
  <c r="L11" i="9" s="1"/>
  <c r="L12" i="9" s="1"/>
  <c r="L13" i="9" s="1"/>
  <c r="G5" i="9"/>
  <c r="G6" i="9" s="1"/>
  <c r="G7" i="9" s="1"/>
  <c r="B5" i="9"/>
  <c r="B6" i="9" s="1"/>
  <c r="B7" i="9" s="1"/>
  <c r="B8" i="9" s="1"/>
  <c r="B9" i="9" s="1"/>
  <c r="B10" i="9" s="1"/>
  <c r="B11" i="9" s="1"/>
  <c r="B12" i="9" s="1"/>
  <c r="B13" i="9" s="1"/>
  <c r="M3" i="29"/>
  <c r="M4" i="29"/>
  <c r="M5" i="29"/>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65" i="29"/>
  <c r="M66" i="29"/>
  <c r="M67" i="29"/>
  <c r="M68" i="29"/>
  <c r="M69" i="29"/>
  <c r="M70" i="29"/>
  <c r="M71" i="29"/>
  <c r="M72" i="29"/>
  <c r="M73" i="29"/>
  <c r="M74" i="29"/>
  <c r="M75" i="29"/>
  <c r="M76" i="29"/>
  <c r="M77" i="29"/>
  <c r="M78" i="29"/>
  <c r="M79" i="29"/>
  <c r="M80" i="29"/>
  <c r="M81" i="29"/>
  <c r="M82" i="29"/>
  <c r="M83" i="29"/>
  <c r="M84" i="29"/>
  <c r="M85" i="29"/>
  <c r="M86" i="29"/>
  <c r="M87" i="29"/>
  <c r="M88" i="29"/>
  <c r="M89" i="29"/>
  <c r="M90" i="29"/>
  <c r="M91" i="29"/>
  <c r="M92" i="29"/>
  <c r="M93" i="29"/>
  <c r="M94" i="29"/>
  <c r="M95" i="29"/>
  <c r="M96" i="29"/>
  <c r="M97" i="29"/>
  <c r="M98" i="29"/>
  <c r="M99" i="29"/>
  <c r="M100" i="29"/>
  <c r="M101" i="29"/>
  <c r="M102" i="29"/>
  <c r="M103" i="29"/>
  <c r="M104" i="29"/>
  <c r="M105" i="29"/>
  <c r="M106" i="29"/>
  <c r="M107" i="29"/>
  <c r="M108" i="29"/>
  <c r="M109" i="29"/>
  <c r="M110" i="29"/>
  <c r="M111" i="29"/>
  <c r="M112" i="29"/>
  <c r="M113" i="29"/>
  <c r="M114" i="29"/>
  <c r="M115" i="29"/>
  <c r="M116" i="29"/>
  <c r="M117" i="29"/>
  <c r="M118" i="29"/>
  <c r="M119" i="29"/>
  <c r="M120" i="29"/>
  <c r="M121" i="29"/>
  <c r="I4" i="29"/>
  <c r="R4" i="29" s="1"/>
  <c r="I5" i="29"/>
  <c r="R5" i="29" s="1"/>
  <c r="I6" i="29"/>
  <c r="R6" i="29" s="1"/>
  <c r="I7" i="29"/>
  <c r="R7" i="29" s="1"/>
  <c r="I8" i="29"/>
  <c r="R8" i="29" s="1"/>
  <c r="I9" i="29"/>
  <c r="R9" i="29" s="1"/>
  <c r="I10" i="29"/>
  <c r="R10" i="29" s="1"/>
  <c r="I11" i="29"/>
  <c r="R11" i="29" s="1"/>
  <c r="I12" i="29"/>
  <c r="R12" i="29" s="1"/>
  <c r="I13" i="29"/>
  <c r="R13" i="29" s="1"/>
  <c r="I14" i="29"/>
  <c r="R14" i="29" s="1"/>
  <c r="I15" i="29"/>
  <c r="R15" i="29" s="1"/>
  <c r="I16" i="29"/>
  <c r="R16" i="29" s="1"/>
  <c r="I17" i="29"/>
  <c r="R17" i="29" s="1"/>
  <c r="I18" i="29"/>
  <c r="R18" i="29" s="1"/>
  <c r="I19" i="29"/>
  <c r="R19" i="29" s="1"/>
  <c r="I20" i="29"/>
  <c r="R20" i="29" s="1"/>
  <c r="I21" i="29"/>
  <c r="R21" i="29" s="1"/>
  <c r="I22" i="29"/>
  <c r="R22" i="29" s="1"/>
  <c r="I23" i="29"/>
  <c r="R23" i="29" s="1"/>
  <c r="I24" i="29"/>
  <c r="R24" i="29" s="1"/>
  <c r="I25" i="29"/>
  <c r="R25" i="29" s="1"/>
  <c r="I26" i="29"/>
  <c r="R26" i="29" s="1"/>
  <c r="I27" i="29"/>
  <c r="R27" i="29" s="1"/>
  <c r="I28" i="29"/>
  <c r="R28" i="29" s="1"/>
  <c r="I29" i="29"/>
  <c r="R29" i="29" s="1"/>
  <c r="I30" i="29"/>
  <c r="R30" i="29" s="1"/>
  <c r="I31" i="29"/>
  <c r="R31" i="29" s="1"/>
  <c r="I32" i="29"/>
  <c r="R32" i="29" s="1"/>
  <c r="I33" i="29"/>
  <c r="R33" i="29" s="1"/>
  <c r="I34" i="29"/>
  <c r="R34" i="29" s="1"/>
  <c r="I35" i="29"/>
  <c r="R35" i="29" s="1"/>
  <c r="I36" i="29"/>
  <c r="R36" i="29" s="1"/>
  <c r="I37" i="29"/>
  <c r="R37" i="29" s="1"/>
  <c r="I38" i="29"/>
  <c r="R38" i="29" s="1"/>
  <c r="I39" i="29"/>
  <c r="R39" i="29" s="1"/>
  <c r="I40" i="29"/>
  <c r="R40" i="29" s="1"/>
  <c r="I41" i="29"/>
  <c r="R41" i="29" s="1"/>
  <c r="I42" i="29"/>
  <c r="R42" i="29" s="1"/>
  <c r="I43" i="29"/>
  <c r="R43" i="29" s="1"/>
  <c r="I44" i="29"/>
  <c r="R44" i="29" s="1"/>
  <c r="I45" i="29"/>
  <c r="R45" i="29" s="1"/>
  <c r="I46" i="29"/>
  <c r="R46" i="29" s="1"/>
  <c r="I47" i="29"/>
  <c r="R47" i="29" s="1"/>
  <c r="I48" i="29"/>
  <c r="R48" i="29" s="1"/>
  <c r="I49" i="29"/>
  <c r="R49" i="29" s="1"/>
  <c r="I50" i="29"/>
  <c r="R50" i="29" s="1"/>
  <c r="I51" i="29"/>
  <c r="R51" i="29" s="1"/>
  <c r="I52" i="29"/>
  <c r="R52" i="29" s="1"/>
  <c r="I53" i="29"/>
  <c r="R53" i="29" s="1"/>
  <c r="I54" i="29"/>
  <c r="R54" i="29" s="1"/>
  <c r="I55" i="29"/>
  <c r="R55" i="29" s="1"/>
  <c r="I56" i="29"/>
  <c r="R56" i="29" s="1"/>
  <c r="I57" i="29"/>
  <c r="R57" i="29" s="1"/>
  <c r="I58" i="29"/>
  <c r="R58" i="29" s="1"/>
  <c r="I59" i="29"/>
  <c r="R59" i="29" s="1"/>
  <c r="I60" i="29"/>
  <c r="R60" i="29" s="1"/>
  <c r="I61" i="29"/>
  <c r="R61" i="29" s="1"/>
  <c r="I62" i="29"/>
  <c r="R62" i="29" s="1"/>
  <c r="I63" i="29"/>
  <c r="R63" i="29" s="1"/>
  <c r="I64" i="29"/>
  <c r="R64" i="29" s="1"/>
  <c r="I65" i="29"/>
  <c r="R65" i="29" s="1"/>
  <c r="I66" i="29"/>
  <c r="R66" i="29" s="1"/>
  <c r="I67" i="29"/>
  <c r="R67" i="29" s="1"/>
  <c r="I68" i="29"/>
  <c r="R68" i="29" s="1"/>
  <c r="I69" i="29"/>
  <c r="R69" i="29" s="1"/>
  <c r="I70" i="29"/>
  <c r="R70" i="29" s="1"/>
  <c r="I71" i="29"/>
  <c r="R71" i="29" s="1"/>
  <c r="I72" i="29"/>
  <c r="R72" i="29" s="1"/>
  <c r="I73" i="29"/>
  <c r="R73" i="29" s="1"/>
  <c r="I74" i="29"/>
  <c r="R74" i="29" s="1"/>
  <c r="I75" i="29"/>
  <c r="R75" i="29" s="1"/>
  <c r="I76" i="29"/>
  <c r="R76" i="29" s="1"/>
  <c r="I77" i="29"/>
  <c r="R77" i="29" s="1"/>
  <c r="I78" i="29"/>
  <c r="R78" i="29" s="1"/>
  <c r="I79" i="29"/>
  <c r="R79" i="29" s="1"/>
  <c r="I80" i="29"/>
  <c r="R80" i="29" s="1"/>
  <c r="I81" i="29"/>
  <c r="R81" i="29" s="1"/>
  <c r="I82" i="29"/>
  <c r="R82" i="29" s="1"/>
  <c r="I83" i="29"/>
  <c r="R83" i="29" s="1"/>
  <c r="I84" i="29"/>
  <c r="R84" i="29" s="1"/>
  <c r="I85" i="29"/>
  <c r="R85" i="29" s="1"/>
  <c r="I86" i="29"/>
  <c r="R86" i="29" s="1"/>
  <c r="I87" i="29"/>
  <c r="R87" i="29" s="1"/>
  <c r="I88" i="29"/>
  <c r="R88" i="29" s="1"/>
  <c r="I89" i="29"/>
  <c r="R89" i="29" s="1"/>
  <c r="I90" i="29"/>
  <c r="R90" i="29" s="1"/>
  <c r="I91" i="29"/>
  <c r="R91" i="29" s="1"/>
  <c r="I92" i="29"/>
  <c r="R92" i="29" s="1"/>
  <c r="I93" i="29"/>
  <c r="R93" i="29" s="1"/>
  <c r="I94" i="29"/>
  <c r="R94" i="29" s="1"/>
  <c r="I95" i="29"/>
  <c r="R95" i="29" s="1"/>
  <c r="I96" i="29"/>
  <c r="R96" i="29" s="1"/>
  <c r="I97" i="29"/>
  <c r="R97" i="29" s="1"/>
  <c r="I98" i="29"/>
  <c r="R98" i="29" s="1"/>
  <c r="I99" i="29"/>
  <c r="R99" i="29" s="1"/>
  <c r="I100" i="29"/>
  <c r="R100" i="29" s="1"/>
  <c r="I101" i="29"/>
  <c r="R101" i="29" s="1"/>
  <c r="I102" i="29"/>
  <c r="R102" i="29" s="1"/>
  <c r="I103" i="29"/>
  <c r="R103" i="29" s="1"/>
  <c r="I104" i="29"/>
  <c r="R104" i="29" s="1"/>
  <c r="I105" i="29"/>
  <c r="R105" i="29" s="1"/>
  <c r="I106" i="29"/>
  <c r="R106" i="29" s="1"/>
  <c r="I107" i="29"/>
  <c r="R107" i="29" s="1"/>
  <c r="I108" i="29"/>
  <c r="R108" i="29" s="1"/>
  <c r="I109" i="29"/>
  <c r="R109" i="29" s="1"/>
  <c r="I110" i="29"/>
  <c r="R110" i="29" s="1"/>
  <c r="I111" i="29"/>
  <c r="R111" i="29" s="1"/>
  <c r="I112" i="29"/>
  <c r="R112" i="29" s="1"/>
  <c r="I113" i="29"/>
  <c r="R113" i="29" s="1"/>
  <c r="I114" i="29"/>
  <c r="R114" i="29" s="1"/>
  <c r="I115" i="29"/>
  <c r="R115" i="29" s="1"/>
  <c r="I116" i="29"/>
  <c r="R116" i="29" s="1"/>
  <c r="I117" i="29"/>
  <c r="R117" i="29" s="1"/>
  <c r="I118" i="29"/>
  <c r="R118" i="29" s="1"/>
  <c r="I119" i="29"/>
  <c r="R119" i="29" s="1"/>
  <c r="I120" i="29"/>
  <c r="R120" i="29" s="1"/>
  <c r="I121" i="29"/>
  <c r="R121" i="29" s="1"/>
  <c r="I2" i="29"/>
  <c r="R2" i="29" s="1"/>
  <c r="I3" i="29"/>
  <c r="R3" i="29" s="1"/>
  <c r="I1" i="29"/>
  <c r="R1" i="29" s="1"/>
  <c r="H4" i="29"/>
  <c r="Q4" i="29" s="1"/>
  <c r="H5" i="29"/>
  <c r="Q5" i="29" s="1"/>
  <c r="H6" i="29"/>
  <c r="Q6" i="29" s="1"/>
  <c r="H7" i="29"/>
  <c r="Q7" i="29" s="1"/>
  <c r="H8" i="29"/>
  <c r="Q8" i="29" s="1"/>
  <c r="H9" i="29"/>
  <c r="Q9" i="29" s="1"/>
  <c r="H10" i="29"/>
  <c r="Q10" i="29" s="1"/>
  <c r="H11" i="29"/>
  <c r="Q11" i="29" s="1"/>
  <c r="H12" i="29"/>
  <c r="Q12" i="29" s="1"/>
  <c r="H13" i="29"/>
  <c r="Q13" i="29" s="1"/>
  <c r="H14" i="29"/>
  <c r="Q14" i="29" s="1"/>
  <c r="H15" i="29"/>
  <c r="Q15" i="29" s="1"/>
  <c r="H16" i="29"/>
  <c r="Q16" i="29" s="1"/>
  <c r="H17" i="29"/>
  <c r="Q17" i="29" s="1"/>
  <c r="H18" i="29"/>
  <c r="Q18" i="29" s="1"/>
  <c r="H19" i="29"/>
  <c r="Q19" i="29" s="1"/>
  <c r="H20" i="29"/>
  <c r="Q20" i="29" s="1"/>
  <c r="H21" i="29"/>
  <c r="Q21" i="29" s="1"/>
  <c r="H22" i="29"/>
  <c r="Q22" i="29" s="1"/>
  <c r="H23" i="29"/>
  <c r="Q23" i="29" s="1"/>
  <c r="H24" i="29"/>
  <c r="Q24" i="29" s="1"/>
  <c r="H25" i="29"/>
  <c r="Q25" i="29" s="1"/>
  <c r="H26" i="29"/>
  <c r="Q26" i="29" s="1"/>
  <c r="H27" i="29"/>
  <c r="Q27" i="29" s="1"/>
  <c r="H28" i="29"/>
  <c r="Q28" i="29" s="1"/>
  <c r="H29" i="29"/>
  <c r="Q29" i="29" s="1"/>
  <c r="H30" i="29"/>
  <c r="Q30" i="29" s="1"/>
  <c r="H31" i="29"/>
  <c r="Q31" i="29" s="1"/>
  <c r="H32" i="29"/>
  <c r="Q32" i="29" s="1"/>
  <c r="H33" i="29"/>
  <c r="Q33" i="29" s="1"/>
  <c r="H34" i="29"/>
  <c r="Q34" i="29" s="1"/>
  <c r="H35" i="29"/>
  <c r="Q35" i="29" s="1"/>
  <c r="H36" i="29"/>
  <c r="Q36" i="29" s="1"/>
  <c r="H37" i="29"/>
  <c r="Q37" i="29" s="1"/>
  <c r="H38" i="29"/>
  <c r="Q38" i="29" s="1"/>
  <c r="H39" i="29"/>
  <c r="Q39" i="29" s="1"/>
  <c r="H40" i="29"/>
  <c r="Q40" i="29" s="1"/>
  <c r="H41" i="29"/>
  <c r="Q41" i="29" s="1"/>
  <c r="H42" i="29"/>
  <c r="Q42" i="29" s="1"/>
  <c r="H43" i="29"/>
  <c r="Q43" i="29" s="1"/>
  <c r="H44" i="29"/>
  <c r="Q44" i="29" s="1"/>
  <c r="H45" i="29"/>
  <c r="Q45" i="29" s="1"/>
  <c r="H46" i="29"/>
  <c r="Q46" i="29" s="1"/>
  <c r="H47" i="29"/>
  <c r="Q47" i="29" s="1"/>
  <c r="H48" i="29"/>
  <c r="Q48" i="29" s="1"/>
  <c r="H49" i="29"/>
  <c r="Q49" i="29" s="1"/>
  <c r="H50" i="29"/>
  <c r="Q50" i="29" s="1"/>
  <c r="H51" i="29"/>
  <c r="Q51" i="29" s="1"/>
  <c r="H52" i="29"/>
  <c r="Q52" i="29" s="1"/>
  <c r="H53" i="29"/>
  <c r="Q53" i="29" s="1"/>
  <c r="H54" i="29"/>
  <c r="Q54" i="29" s="1"/>
  <c r="H55" i="29"/>
  <c r="Q55" i="29" s="1"/>
  <c r="H56" i="29"/>
  <c r="Q56" i="29" s="1"/>
  <c r="H57" i="29"/>
  <c r="Q57" i="29" s="1"/>
  <c r="H58" i="29"/>
  <c r="Q58" i="29" s="1"/>
  <c r="H59" i="29"/>
  <c r="Q59" i="29" s="1"/>
  <c r="H60" i="29"/>
  <c r="Q60" i="29" s="1"/>
  <c r="H61" i="29"/>
  <c r="Q61" i="29" s="1"/>
  <c r="H62" i="29"/>
  <c r="Q62" i="29" s="1"/>
  <c r="H63" i="29"/>
  <c r="Q63" i="29" s="1"/>
  <c r="H64" i="29"/>
  <c r="Q64" i="29" s="1"/>
  <c r="H65" i="29"/>
  <c r="Q65" i="29" s="1"/>
  <c r="H66" i="29"/>
  <c r="Q66" i="29" s="1"/>
  <c r="H67" i="29"/>
  <c r="Q67" i="29" s="1"/>
  <c r="H68" i="29"/>
  <c r="Q68" i="29" s="1"/>
  <c r="H69" i="29"/>
  <c r="Q69" i="29" s="1"/>
  <c r="H70" i="29"/>
  <c r="Q70" i="29" s="1"/>
  <c r="H71" i="29"/>
  <c r="Q71" i="29" s="1"/>
  <c r="H72" i="29"/>
  <c r="Q72" i="29" s="1"/>
  <c r="H73" i="29"/>
  <c r="Q73" i="29" s="1"/>
  <c r="H81" i="29"/>
  <c r="Q81" i="29" s="1"/>
  <c r="H82" i="29"/>
  <c r="Q82" i="29" s="1"/>
  <c r="H83" i="29"/>
  <c r="Q83" i="29" s="1"/>
  <c r="H84" i="29"/>
  <c r="Q84" i="29" s="1"/>
  <c r="H86" i="29"/>
  <c r="Q86" i="29" s="1"/>
  <c r="H87" i="29"/>
  <c r="Q87" i="29" s="1"/>
  <c r="H88" i="29"/>
  <c r="Q88" i="29" s="1"/>
  <c r="H95" i="29"/>
  <c r="Q95" i="29" s="1"/>
  <c r="H102" i="29"/>
  <c r="Q102" i="29" s="1"/>
  <c r="H2" i="29"/>
  <c r="Q2" i="29" s="1"/>
  <c r="H3" i="29"/>
  <c r="Q3" i="29" s="1"/>
  <c r="H1" i="29"/>
  <c r="Q1" i="29" s="1"/>
  <c r="B62" i="29"/>
  <c r="C62" i="29"/>
  <c r="B63" i="29"/>
  <c r="C63" i="29"/>
  <c r="B64" i="29"/>
  <c r="C64" i="29"/>
  <c r="B65" i="29"/>
  <c r="C65" i="29"/>
  <c r="B66" i="29"/>
  <c r="C66" i="29"/>
  <c r="B67" i="29"/>
  <c r="C67" i="29"/>
  <c r="B68" i="29"/>
  <c r="C68" i="29"/>
  <c r="B69" i="29"/>
  <c r="C69" i="29"/>
  <c r="B70" i="29"/>
  <c r="C70" i="29"/>
  <c r="B71" i="29"/>
  <c r="C71" i="29"/>
  <c r="B72" i="29"/>
  <c r="C72" i="29"/>
  <c r="B73" i="29"/>
  <c r="C73" i="29"/>
  <c r="D1" i="29"/>
  <c r="J80" i="29"/>
  <c r="S80" i="29" s="1"/>
  <c r="J82" i="29"/>
  <c r="S82" i="29" s="1"/>
  <c r="J110" i="29"/>
  <c r="S110" i="29" s="1"/>
  <c r="J112" i="29"/>
  <c r="S112" i="29" s="1"/>
  <c r="G2" i="29"/>
  <c r="P2" i="29" s="1"/>
  <c r="G1" i="29"/>
  <c r="P1" i="29" s="1"/>
  <c r="J1" i="29"/>
  <c r="S1" i="29" s="1"/>
  <c r="F1" i="29"/>
  <c r="M2" i="29"/>
  <c r="E1" i="29"/>
  <c r="C1" i="29"/>
  <c r="B1" i="29"/>
  <c r="A1" i="29"/>
  <c r="V149" i="27"/>
  <c r="V150" i="27" s="1"/>
  <c r="V151" i="27" s="1"/>
  <c r="V152" i="27" s="1"/>
  <c r="V153" i="27" s="1"/>
  <c r="V154" i="27" s="1"/>
  <c r="V155" i="27" s="1"/>
  <c r="V156" i="27" s="1"/>
  <c r="V157" i="27" s="1"/>
  <c r="L3" i="27"/>
  <c r="L4" i="27"/>
  <c r="L5" i="27"/>
  <c r="L6" i="27"/>
  <c r="L7" i="27"/>
  <c r="L8" i="27"/>
  <c r="L9" i="27"/>
  <c r="L10" i="27"/>
  <c r="L11" i="27"/>
  <c r="L12" i="27"/>
  <c r="L13" i="27"/>
  <c r="L14" i="27"/>
  <c r="L15" i="27"/>
  <c r="L16" i="27"/>
  <c r="L17" i="27"/>
  <c r="L18" i="27"/>
  <c r="L19" i="27"/>
  <c r="L20" i="27"/>
  <c r="L21" i="27"/>
  <c r="L22" i="27"/>
  <c r="L23" i="27"/>
  <c r="L24" i="27"/>
  <c r="O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O69" i="27"/>
  <c r="L70" i="27"/>
  <c r="L71" i="27"/>
  <c r="L72" i="27"/>
  <c r="L73" i="27"/>
  <c r="L74" i="27"/>
  <c r="L75" i="27"/>
  <c r="L76" i="27"/>
  <c r="L77" i="27"/>
  <c r="L78" i="27"/>
  <c r="L79" i="27"/>
  <c r="L80" i="27"/>
  <c r="L81" i="27"/>
  <c r="L82" i="27"/>
  <c r="L83" i="27"/>
  <c r="L84" i="27"/>
  <c r="L85" i="27"/>
  <c r="L86" i="27"/>
  <c r="L87" i="27"/>
  <c r="L88" i="27"/>
  <c r="L89" i="27"/>
  <c r="L90" i="27"/>
  <c r="L91" i="27"/>
  <c r="L92" i="27"/>
  <c r="L93" i="27"/>
  <c r="L94" i="27"/>
  <c r="L95" i="27"/>
  <c r="L96" i="27"/>
  <c r="L97" i="27"/>
  <c r="L98" i="27"/>
  <c r="L99" i="27"/>
  <c r="L100" i="27"/>
  <c r="L101" i="27"/>
  <c r="L102" i="27"/>
  <c r="L103" i="27"/>
  <c r="L104" i="27"/>
  <c r="L105" i="27"/>
  <c r="L106" i="27"/>
  <c r="L107" i="27"/>
  <c r="L108" i="27"/>
  <c r="L109" i="27"/>
  <c r="L110" i="27"/>
  <c r="L111" i="27"/>
  <c r="L112" i="27"/>
  <c r="P112" i="27"/>
  <c r="L113" i="27"/>
  <c r="L114" i="27"/>
  <c r="L115" i="27"/>
  <c r="P115" i="27"/>
  <c r="L116" i="27"/>
  <c r="L117" i="27"/>
  <c r="L118" i="27"/>
  <c r="L119" i="27"/>
  <c r="L120" i="27"/>
  <c r="L121" i="27"/>
  <c r="L2" i="27"/>
  <c r="H2" i="27"/>
  <c r="P2" i="27" s="1"/>
  <c r="H3" i="27"/>
  <c r="P3" i="27" s="1"/>
  <c r="H4" i="27"/>
  <c r="P4" i="27" s="1"/>
  <c r="H5" i="27"/>
  <c r="P5" i="27" s="1"/>
  <c r="H6" i="27"/>
  <c r="P6" i="27" s="1"/>
  <c r="H7" i="27"/>
  <c r="P7" i="27" s="1"/>
  <c r="H8" i="27"/>
  <c r="P8" i="27" s="1"/>
  <c r="H9" i="27"/>
  <c r="P9" i="27" s="1"/>
  <c r="H10" i="27"/>
  <c r="P10" i="27" s="1"/>
  <c r="H11" i="27"/>
  <c r="P11" i="27" s="1"/>
  <c r="H12" i="27"/>
  <c r="P12" i="27" s="1"/>
  <c r="H13" i="27"/>
  <c r="P13" i="27" s="1"/>
  <c r="H14" i="27"/>
  <c r="P14" i="27" s="1"/>
  <c r="H15" i="27"/>
  <c r="P15" i="27" s="1"/>
  <c r="H16" i="27"/>
  <c r="P16" i="27" s="1"/>
  <c r="H17" i="27"/>
  <c r="P17" i="27" s="1"/>
  <c r="H18" i="27"/>
  <c r="P18" i="27" s="1"/>
  <c r="H19" i="27"/>
  <c r="P19" i="27" s="1"/>
  <c r="H20" i="27"/>
  <c r="P20" i="27" s="1"/>
  <c r="H21" i="27"/>
  <c r="P21" i="27" s="1"/>
  <c r="H22" i="27"/>
  <c r="P22" i="27" s="1"/>
  <c r="H23" i="27"/>
  <c r="P23" i="27" s="1"/>
  <c r="H24" i="27"/>
  <c r="P24" i="27" s="1"/>
  <c r="H25" i="27"/>
  <c r="P25" i="27" s="1"/>
  <c r="H26" i="27"/>
  <c r="P26" i="27" s="1"/>
  <c r="H27" i="27"/>
  <c r="P27" i="27" s="1"/>
  <c r="H28" i="27"/>
  <c r="P28" i="27" s="1"/>
  <c r="H29" i="27"/>
  <c r="P29" i="27" s="1"/>
  <c r="H30" i="27"/>
  <c r="P30" i="27" s="1"/>
  <c r="H31" i="27"/>
  <c r="P31" i="27" s="1"/>
  <c r="H32" i="27"/>
  <c r="P32" i="27" s="1"/>
  <c r="H33" i="27"/>
  <c r="P33" i="27" s="1"/>
  <c r="H34" i="27"/>
  <c r="P34" i="27" s="1"/>
  <c r="H35" i="27"/>
  <c r="P35" i="27" s="1"/>
  <c r="H36" i="27"/>
  <c r="P36" i="27" s="1"/>
  <c r="H37" i="27"/>
  <c r="P37" i="27" s="1"/>
  <c r="H38" i="27"/>
  <c r="P38" i="27" s="1"/>
  <c r="H39" i="27"/>
  <c r="P39" i="27" s="1"/>
  <c r="H40" i="27"/>
  <c r="P40" i="27" s="1"/>
  <c r="H41" i="27"/>
  <c r="P41" i="27" s="1"/>
  <c r="H42" i="27"/>
  <c r="P42" i="27" s="1"/>
  <c r="H43" i="27"/>
  <c r="P43" i="27" s="1"/>
  <c r="H44" i="27"/>
  <c r="P44" i="27" s="1"/>
  <c r="H45" i="27"/>
  <c r="P45" i="27" s="1"/>
  <c r="H46" i="27"/>
  <c r="P46" i="27" s="1"/>
  <c r="H47" i="27"/>
  <c r="P47" i="27" s="1"/>
  <c r="H48" i="27"/>
  <c r="P48" i="27" s="1"/>
  <c r="H49" i="27"/>
  <c r="P49" i="27" s="1"/>
  <c r="H50" i="27"/>
  <c r="P50" i="27" s="1"/>
  <c r="H51" i="27"/>
  <c r="P51" i="27" s="1"/>
  <c r="H52" i="27"/>
  <c r="P52" i="27" s="1"/>
  <c r="H53" i="27"/>
  <c r="P53" i="27" s="1"/>
  <c r="H54" i="27"/>
  <c r="P54" i="27" s="1"/>
  <c r="H55" i="27"/>
  <c r="P55" i="27" s="1"/>
  <c r="H56" i="27"/>
  <c r="P56" i="27" s="1"/>
  <c r="H57" i="27"/>
  <c r="P57" i="27" s="1"/>
  <c r="H58" i="27"/>
  <c r="P58" i="27" s="1"/>
  <c r="H59" i="27"/>
  <c r="P59" i="27" s="1"/>
  <c r="H60" i="27"/>
  <c r="P60" i="27" s="1"/>
  <c r="H61" i="27"/>
  <c r="P61" i="27" s="1"/>
  <c r="H62" i="27"/>
  <c r="P62" i="27" s="1"/>
  <c r="H63" i="27"/>
  <c r="P63" i="27" s="1"/>
  <c r="H64" i="27"/>
  <c r="P64" i="27" s="1"/>
  <c r="H65" i="27"/>
  <c r="P65" i="27" s="1"/>
  <c r="H66" i="27"/>
  <c r="P66" i="27" s="1"/>
  <c r="H67" i="27"/>
  <c r="P67" i="27" s="1"/>
  <c r="H68" i="27"/>
  <c r="P68" i="27" s="1"/>
  <c r="H69" i="27"/>
  <c r="P69" i="27" s="1"/>
  <c r="H70" i="27"/>
  <c r="P70" i="27" s="1"/>
  <c r="H71" i="27"/>
  <c r="P71" i="27" s="1"/>
  <c r="H72" i="27"/>
  <c r="P72" i="27" s="1"/>
  <c r="H73" i="27"/>
  <c r="P73" i="27" s="1"/>
  <c r="H74" i="27"/>
  <c r="P74" i="27" s="1"/>
  <c r="H75" i="27"/>
  <c r="P75" i="27" s="1"/>
  <c r="H76" i="27"/>
  <c r="P76" i="27" s="1"/>
  <c r="H77" i="27"/>
  <c r="P77" i="27" s="1"/>
  <c r="H78" i="27"/>
  <c r="P78" i="27" s="1"/>
  <c r="H79" i="27"/>
  <c r="P79" i="27" s="1"/>
  <c r="H80" i="27"/>
  <c r="P80" i="27" s="1"/>
  <c r="H81" i="27"/>
  <c r="P81" i="27" s="1"/>
  <c r="H82" i="27"/>
  <c r="P82" i="27" s="1"/>
  <c r="H83" i="27"/>
  <c r="P83" i="27" s="1"/>
  <c r="H84" i="27"/>
  <c r="P84" i="27" s="1"/>
  <c r="H85" i="27"/>
  <c r="P85" i="27" s="1"/>
  <c r="H86" i="27"/>
  <c r="P86" i="27" s="1"/>
  <c r="H87" i="27"/>
  <c r="P87" i="27" s="1"/>
  <c r="H88" i="27"/>
  <c r="P88" i="27" s="1"/>
  <c r="H89" i="27"/>
  <c r="P89" i="27" s="1"/>
  <c r="H90" i="27"/>
  <c r="P90" i="27" s="1"/>
  <c r="H91" i="27"/>
  <c r="P91" i="27" s="1"/>
  <c r="H92" i="27"/>
  <c r="P92" i="27" s="1"/>
  <c r="H93" i="27"/>
  <c r="P93" i="27" s="1"/>
  <c r="H94" i="27"/>
  <c r="P94" i="27" s="1"/>
  <c r="H95" i="27"/>
  <c r="P95" i="27" s="1"/>
  <c r="H96" i="27"/>
  <c r="P96" i="27" s="1"/>
  <c r="H97" i="27"/>
  <c r="P97" i="27" s="1"/>
  <c r="H98" i="27"/>
  <c r="P98" i="27" s="1"/>
  <c r="H99" i="27"/>
  <c r="P99" i="27" s="1"/>
  <c r="H100" i="27"/>
  <c r="P100" i="27" s="1"/>
  <c r="H101" i="27"/>
  <c r="P101" i="27" s="1"/>
  <c r="H102" i="27"/>
  <c r="P102" i="27" s="1"/>
  <c r="H103" i="27"/>
  <c r="P103" i="27" s="1"/>
  <c r="H104" i="27"/>
  <c r="P104" i="27" s="1"/>
  <c r="H105" i="27"/>
  <c r="P105" i="27" s="1"/>
  <c r="H106" i="27"/>
  <c r="P106" i="27" s="1"/>
  <c r="H107" i="27"/>
  <c r="P107" i="27" s="1"/>
  <c r="H108" i="27"/>
  <c r="P108" i="27" s="1"/>
  <c r="H109" i="27"/>
  <c r="P109" i="27" s="1"/>
  <c r="H110" i="27"/>
  <c r="P110" i="27" s="1"/>
  <c r="H111" i="27"/>
  <c r="P111" i="27" s="1"/>
  <c r="H112" i="27"/>
  <c r="H113" i="27"/>
  <c r="P113" i="27" s="1"/>
  <c r="H114" i="27"/>
  <c r="P114" i="27" s="1"/>
  <c r="H115" i="27"/>
  <c r="H116" i="27"/>
  <c r="P116" i="27" s="1"/>
  <c r="H117" i="27"/>
  <c r="P117" i="27" s="1"/>
  <c r="H118" i="27"/>
  <c r="P118" i="27" s="1"/>
  <c r="H119" i="27"/>
  <c r="P119" i="27" s="1"/>
  <c r="H120" i="27"/>
  <c r="P120" i="27" s="1"/>
  <c r="H121" i="27"/>
  <c r="P121" i="27" s="1"/>
  <c r="H1" i="27"/>
  <c r="Q3" i="27"/>
  <c r="Q4" i="27"/>
  <c r="Q5" i="27"/>
  <c r="Q7" i="27"/>
  <c r="Q52" i="27"/>
  <c r="Q55" i="27"/>
  <c r="Q57" i="27"/>
  <c r="Q68" i="27"/>
  <c r="Q69" i="27"/>
  <c r="Q71" i="27"/>
  <c r="Q73" i="27"/>
  <c r="Q90" i="27"/>
  <c r="G3" i="27"/>
  <c r="O3" i="27" s="1"/>
  <c r="G4" i="27"/>
  <c r="O4" i="27" s="1"/>
  <c r="G5" i="27"/>
  <c r="O5" i="27" s="1"/>
  <c r="G6" i="27"/>
  <c r="O6" i="27" s="1"/>
  <c r="G7" i="27"/>
  <c r="O7" i="27" s="1"/>
  <c r="G8" i="27"/>
  <c r="O8" i="27" s="1"/>
  <c r="G9" i="27"/>
  <c r="O9" i="27" s="1"/>
  <c r="G10" i="27"/>
  <c r="O10" i="27" s="1"/>
  <c r="G11" i="27"/>
  <c r="O11" i="27" s="1"/>
  <c r="G12" i="27"/>
  <c r="O12" i="27" s="1"/>
  <c r="G13" i="27"/>
  <c r="O13" i="27" s="1"/>
  <c r="G14" i="27"/>
  <c r="O14" i="27" s="1"/>
  <c r="G15" i="27"/>
  <c r="O15" i="27" s="1"/>
  <c r="G16" i="27"/>
  <c r="O16" i="27" s="1"/>
  <c r="G17" i="27"/>
  <c r="O17" i="27" s="1"/>
  <c r="G18" i="27"/>
  <c r="O18" i="27" s="1"/>
  <c r="G19" i="27"/>
  <c r="O19" i="27" s="1"/>
  <c r="G20" i="27"/>
  <c r="O20" i="27" s="1"/>
  <c r="G21" i="27"/>
  <c r="O21" i="27" s="1"/>
  <c r="G22" i="27"/>
  <c r="O22" i="27" s="1"/>
  <c r="G23" i="27"/>
  <c r="O23" i="27" s="1"/>
  <c r="G24" i="27"/>
  <c r="G25" i="27"/>
  <c r="O25" i="27" s="1"/>
  <c r="G26" i="27"/>
  <c r="O26" i="27" s="1"/>
  <c r="G27" i="27"/>
  <c r="O27" i="27" s="1"/>
  <c r="G28" i="27"/>
  <c r="O28" i="27" s="1"/>
  <c r="G29" i="27"/>
  <c r="O29" i="27" s="1"/>
  <c r="G30" i="27"/>
  <c r="O30" i="27" s="1"/>
  <c r="G31" i="27"/>
  <c r="O31" i="27" s="1"/>
  <c r="G32" i="27"/>
  <c r="O32" i="27" s="1"/>
  <c r="G33" i="27"/>
  <c r="O33" i="27" s="1"/>
  <c r="G34" i="27"/>
  <c r="O34" i="27" s="1"/>
  <c r="G35" i="27"/>
  <c r="O35" i="27" s="1"/>
  <c r="G36" i="27"/>
  <c r="O36" i="27" s="1"/>
  <c r="G37" i="27"/>
  <c r="O37" i="27" s="1"/>
  <c r="G38" i="27"/>
  <c r="O38" i="27" s="1"/>
  <c r="G39" i="27"/>
  <c r="O39" i="27" s="1"/>
  <c r="G40" i="27"/>
  <c r="O40" i="27" s="1"/>
  <c r="G41" i="27"/>
  <c r="O41" i="27" s="1"/>
  <c r="G42" i="27"/>
  <c r="O42" i="27" s="1"/>
  <c r="G43" i="27"/>
  <c r="O43" i="27" s="1"/>
  <c r="G44" i="27"/>
  <c r="O44" i="27" s="1"/>
  <c r="G45" i="27"/>
  <c r="O45" i="27" s="1"/>
  <c r="G46" i="27"/>
  <c r="O46" i="27" s="1"/>
  <c r="G47" i="27"/>
  <c r="O47" i="27" s="1"/>
  <c r="G48" i="27"/>
  <c r="O48" i="27" s="1"/>
  <c r="G49" i="27"/>
  <c r="O49" i="27" s="1"/>
  <c r="G50" i="27"/>
  <c r="O50" i="27" s="1"/>
  <c r="G51" i="27"/>
  <c r="O51" i="27" s="1"/>
  <c r="G52" i="27"/>
  <c r="O52" i="27" s="1"/>
  <c r="G53" i="27"/>
  <c r="O53" i="27" s="1"/>
  <c r="G54" i="27"/>
  <c r="O54" i="27" s="1"/>
  <c r="G55" i="27"/>
  <c r="O55" i="27" s="1"/>
  <c r="G56" i="27"/>
  <c r="O56" i="27" s="1"/>
  <c r="G57" i="27"/>
  <c r="O57" i="27" s="1"/>
  <c r="G58" i="27"/>
  <c r="O58" i="27" s="1"/>
  <c r="G59" i="27"/>
  <c r="O59" i="27" s="1"/>
  <c r="G60" i="27"/>
  <c r="O60" i="27" s="1"/>
  <c r="G61" i="27"/>
  <c r="O61" i="27" s="1"/>
  <c r="G62" i="27"/>
  <c r="O62" i="27" s="1"/>
  <c r="G63" i="27"/>
  <c r="O63" i="27" s="1"/>
  <c r="G64" i="27"/>
  <c r="O64" i="27" s="1"/>
  <c r="G65" i="27"/>
  <c r="O65" i="27" s="1"/>
  <c r="G66" i="27"/>
  <c r="O66" i="27" s="1"/>
  <c r="G67" i="27"/>
  <c r="O67" i="27" s="1"/>
  <c r="G68" i="27"/>
  <c r="O68" i="27" s="1"/>
  <c r="G69" i="27"/>
  <c r="G70" i="27"/>
  <c r="O70" i="27" s="1"/>
  <c r="G71" i="27"/>
  <c r="O71" i="27" s="1"/>
  <c r="G72" i="27"/>
  <c r="O72" i="27" s="1"/>
  <c r="G73" i="27"/>
  <c r="O73" i="27" s="1"/>
  <c r="G86" i="27"/>
  <c r="O86" i="27" s="1"/>
  <c r="G87" i="27"/>
  <c r="O87" i="27" s="1"/>
  <c r="G88" i="27"/>
  <c r="O88" i="27" s="1"/>
  <c r="G89" i="27"/>
  <c r="O89" i="27" s="1"/>
  <c r="G90" i="27"/>
  <c r="O90" i="27" s="1"/>
  <c r="G91" i="27"/>
  <c r="O91" i="27" s="1"/>
  <c r="G94" i="27"/>
  <c r="O94" i="27" s="1"/>
  <c r="G107" i="27"/>
  <c r="O107" i="27" s="1"/>
  <c r="G108" i="27"/>
  <c r="O108" i="27" s="1"/>
  <c r="G109" i="27"/>
  <c r="O109" i="27" s="1"/>
  <c r="G110" i="27"/>
  <c r="O110" i="27" s="1"/>
  <c r="G111" i="27"/>
  <c r="O111" i="27" s="1"/>
  <c r="E1" i="27"/>
  <c r="B62" i="27"/>
  <c r="C62" i="27"/>
  <c r="B63" i="27"/>
  <c r="C63" i="27"/>
  <c r="B64" i="27"/>
  <c r="C64" i="27"/>
  <c r="B65" i="27"/>
  <c r="C65" i="27"/>
  <c r="B66" i="27"/>
  <c r="C66" i="27"/>
  <c r="B67" i="27"/>
  <c r="C67" i="27"/>
  <c r="B68" i="27"/>
  <c r="C68" i="27"/>
  <c r="B69" i="27"/>
  <c r="C69" i="27"/>
  <c r="B70" i="27"/>
  <c r="C70" i="27"/>
  <c r="B71" i="27"/>
  <c r="C71" i="27"/>
  <c r="B72" i="27"/>
  <c r="C72" i="27"/>
  <c r="B73" i="27"/>
  <c r="C73" i="27"/>
  <c r="D1" i="27"/>
  <c r="G2" i="27"/>
  <c r="O2" i="27" s="1"/>
  <c r="A2" i="27"/>
  <c r="G1" i="27"/>
  <c r="F1" i="27"/>
  <c r="C1" i="27"/>
  <c r="B1" i="27"/>
  <c r="A1" i="27"/>
  <c r="T149" i="25"/>
  <c r="T150" i="25" s="1"/>
  <c r="T151" i="25" s="1"/>
  <c r="T152" i="25" s="1"/>
  <c r="T153" i="25" s="1"/>
  <c r="T154" i="25" s="1"/>
  <c r="T155" i="25" s="1"/>
  <c r="T156" i="25" s="1"/>
  <c r="T157" i="25" s="1"/>
  <c r="F1" i="25"/>
  <c r="M1" i="25" s="1"/>
  <c r="K3" i="25"/>
  <c r="K4" i="25"/>
  <c r="K5" i="25"/>
  <c r="K6" i="25"/>
  <c r="K7" i="25"/>
  <c r="K8" i="25"/>
  <c r="K9" i="25"/>
  <c r="K10" i="25"/>
  <c r="K11" i="25"/>
  <c r="O11" i="25"/>
  <c r="K12" i="25"/>
  <c r="K13" i="25"/>
  <c r="K14" i="25"/>
  <c r="K15" i="25"/>
  <c r="K16" i="25"/>
  <c r="K17" i="25"/>
  <c r="O17" i="25"/>
  <c r="K18" i="25"/>
  <c r="K19" i="25"/>
  <c r="K20" i="25"/>
  <c r="K21" i="25"/>
  <c r="K22" i="25"/>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O51" i="25"/>
  <c r="K52" i="25"/>
  <c r="K53" i="25"/>
  <c r="K54" i="25"/>
  <c r="K55" i="25"/>
  <c r="K56" i="25"/>
  <c r="K57" i="25"/>
  <c r="K58" i="25"/>
  <c r="K59" i="25"/>
  <c r="K60" i="25"/>
  <c r="K61" i="25"/>
  <c r="K62" i="25"/>
  <c r="K63" i="25"/>
  <c r="K64" i="25"/>
  <c r="K65"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O113" i="25"/>
  <c r="K114" i="25"/>
  <c r="K115" i="25"/>
  <c r="K116" i="25"/>
  <c r="K117" i="25"/>
  <c r="K118" i="25"/>
  <c r="K119" i="25"/>
  <c r="K120" i="25"/>
  <c r="K121" i="25"/>
  <c r="H4" i="25"/>
  <c r="O4" i="25" s="1"/>
  <c r="H5" i="25"/>
  <c r="O5" i="25" s="1"/>
  <c r="H6" i="25"/>
  <c r="O6" i="25" s="1"/>
  <c r="H7" i="25"/>
  <c r="O7" i="25" s="1"/>
  <c r="H8" i="25"/>
  <c r="O8" i="25" s="1"/>
  <c r="H9" i="25"/>
  <c r="O9" i="25" s="1"/>
  <c r="H10" i="25"/>
  <c r="O10" i="25" s="1"/>
  <c r="H11" i="25"/>
  <c r="H12" i="25"/>
  <c r="O12" i="25" s="1"/>
  <c r="H13" i="25"/>
  <c r="O13" i="25" s="1"/>
  <c r="H14" i="25"/>
  <c r="O14" i="25" s="1"/>
  <c r="H15" i="25"/>
  <c r="O15" i="25" s="1"/>
  <c r="H16" i="25"/>
  <c r="O16" i="25" s="1"/>
  <c r="H17" i="25"/>
  <c r="H18" i="25"/>
  <c r="O18" i="25" s="1"/>
  <c r="H19" i="25"/>
  <c r="O19" i="25" s="1"/>
  <c r="H20" i="25"/>
  <c r="O20" i="25" s="1"/>
  <c r="H21" i="25"/>
  <c r="O21" i="25" s="1"/>
  <c r="H22" i="25"/>
  <c r="O22" i="25" s="1"/>
  <c r="H23" i="25"/>
  <c r="O23" i="25" s="1"/>
  <c r="H24" i="25"/>
  <c r="O24" i="25" s="1"/>
  <c r="H25" i="25"/>
  <c r="O25" i="25" s="1"/>
  <c r="H26" i="25"/>
  <c r="O26" i="25" s="1"/>
  <c r="H27" i="25"/>
  <c r="O27" i="25" s="1"/>
  <c r="H28" i="25"/>
  <c r="O28" i="25" s="1"/>
  <c r="H29" i="25"/>
  <c r="O29" i="25" s="1"/>
  <c r="H30" i="25"/>
  <c r="O30" i="25" s="1"/>
  <c r="H31" i="25"/>
  <c r="O31" i="25" s="1"/>
  <c r="H32" i="25"/>
  <c r="O32" i="25" s="1"/>
  <c r="H33" i="25"/>
  <c r="O33" i="25" s="1"/>
  <c r="H34" i="25"/>
  <c r="O34" i="25" s="1"/>
  <c r="H35" i="25"/>
  <c r="O35" i="25" s="1"/>
  <c r="H36" i="25"/>
  <c r="O36" i="25" s="1"/>
  <c r="H37" i="25"/>
  <c r="O37" i="25" s="1"/>
  <c r="H38" i="25"/>
  <c r="O38" i="25" s="1"/>
  <c r="H39" i="25"/>
  <c r="O39" i="25" s="1"/>
  <c r="H40" i="25"/>
  <c r="O40" i="25" s="1"/>
  <c r="H41" i="25"/>
  <c r="O41" i="25" s="1"/>
  <c r="H42" i="25"/>
  <c r="O42" i="25" s="1"/>
  <c r="H43" i="25"/>
  <c r="O43" i="25" s="1"/>
  <c r="H44" i="25"/>
  <c r="O44" i="25" s="1"/>
  <c r="H45" i="25"/>
  <c r="O45" i="25" s="1"/>
  <c r="H46" i="25"/>
  <c r="O46" i="25" s="1"/>
  <c r="H47" i="25"/>
  <c r="O47" i="25" s="1"/>
  <c r="H48" i="25"/>
  <c r="O48" i="25" s="1"/>
  <c r="H49" i="25"/>
  <c r="O49" i="25" s="1"/>
  <c r="H50" i="25"/>
  <c r="O50" i="25" s="1"/>
  <c r="H51" i="25"/>
  <c r="H52" i="25"/>
  <c r="O52" i="25" s="1"/>
  <c r="H53" i="25"/>
  <c r="O53" i="25" s="1"/>
  <c r="H54" i="25"/>
  <c r="O54" i="25" s="1"/>
  <c r="H55" i="25"/>
  <c r="O55" i="25" s="1"/>
  <c r="H56" i="25"/>
  <c r="O56" i="25" s="1"/>
  <c r="H57" i="25"/>
  <c r="O57" i="25" s="1"/>
  <c r="H58" i="25"/>
  <c r="O58" i="25" s="1"/>
  <c r="H59" i="25"/>
  <c r="O59" i="25" s="1"/>
  <c r="H60" i="25"/>
  <c r="O60" i="25" s="1"/>
  <c r="H61" i="25"/>
  <c r="O61" i="25" s="1"/>
  <c r="H62" i="25"/>
  <c r="O62" i="25" s="1"/>
  <c r="H63" i="25"/>
  <c r="O63" i="25" s="1"/>
  <c r="H64" i="25"/>
  <c r="O64" i="25" s="1"/>
  <c r="H65" i="25"/>
  <c r="O65" i="25" s="1"/>
  <c r="H66" i="25"/>
  <c r="O66" i="25" s="1"/>
  <c r="H67" i="25"/>
  <c r="O67" i="25" s="1"/>
  <c r="H68" i="25"/>
  <c r="O68" i="25" s="1"/>
  <c r="H69" i="25"/>
  <c r="O69" i="25" s="1"/>
  <c r="H70" i="25"/>
  <c r="O70" i="25" s="1"/>
  <c r="H71" i="25"/>
  <c r="O71" i="25" s="1"/>
  <c r="H72" i="25"/>
  <c r="O72" i="25" s="1"/>
  <c r="H73" i="25"/>
  <c r="O73" i="25" s="1"/>
  <c r="H74" i="25"/>
  <c r="O74" i="25" s="1"/>
  <c r="H75" i="25"/>
  <c r="O75" i="25" s="1"/>
  <c r="H76" i="25"/>
  <c r="O76" i="25" s="1"/>
  <c r="H77" i="25"/>
  <c r="O77" i="25" s="1"/>
  <c r="H78" i="25"/>
  <c r="O78" i="25" s="1"/>
  <c r="H79" i="25"/>
  <c r="O79" i="25" s="1"/>
  <c r="H80" i="25"/>
  <c r="O80" i="25" s="1"/>
  <c r="H81" i="25"/>
  <c r="O81" i="25" s="1"/>
  <c r="H82" i="25"/>
  <c r="O82" i="25" s="1"/>
  <c r="H83" i="25"/>
  <c r="O83" i="25" s="1"/>
  <c r="H84" i="25"/>
  <c r="O84" i="25" s="1"/>
  <c r="H85" i="25"/>
  <c r="O85" i="25" s="1"/>
  <c r="H86" i="25"/>
  <c r="O86" i="25" s="1"/>
  <c r="H87" i="25"/>
  <c r="O87" i="25" s="1"/>
  <c r="H88" i="25"/>
  <c r="O88" i="25" s="1"/>
  <c r="H89" i="25"/>
  <c r="O89" i="25" s="1"/>
  <c r="H90" i="25"/>
  <c r="O90" i="25" s="1"/>
  <c r="H91" i="25"/>
  <c r="O91" i="25" s="1"/>
  <c r="H92" i="25"/>
  <c r="O92" i="25" s="1"/>
  <c r="H93" i="25"/>
  <c r="O93" i="25" s="1"/>
  <c r="H94" i="25"/>
  <c r="O94" i="25" s="1"/>
  <c r="H95" i="25"/>
  <c r="O95" i="25" s="1"/>
  <c r="H96" i="25"/>
  <c r="O96" i="25" s="1"/>
  <c r="H97" i="25"/>
  <c r="O97" i="25" s="1"/>
  <c r="H98" i="25"/>
  <c r="O98" i="25" s="1"/>
  <c r="H99" i="25"/>
  <c r="O99" i="25" s="1"/>
  <c r="H100" i="25"/>
  <c r="O100" i="25" s="1"/>
  <c r="H101" i="25"/>
  <c r="O101" i="25" s="1"/>
  <c r="H102" i="25"/>
  <c r="O102" i="25" s="1"/>
  <c r="H103" i="25"/>
  <c r="O103" i="25" s="1"/>
  <c r="H104" i="25"/>
  <c r="O104" i="25" s="1"/>
  <c r="H105" i="25"/>
  <c r="O105" i="25" s="1"/>
  <c r="H106" i="25"/>
  <c r="O106" i="25" s="1"/>
  <c r="H107" i="25"/>
  <c r="O107" i="25" s="1"/>
  <c r="H108" i="25"/>
  <c r="O108" i="25" s="1"/>
  <c r="H109" i="25"/>
  <c r="O109" i="25" s="1"/>
  <c r="H110" i="25"/>
  <c r="O110" i="25" s="1"/>
  <c r="H111" i="25"/>
  <c r="O111" i="25" s="1"/>
  <c r="H112" i="25"/>
  <c r="O112" i="25" s="1"/>
  <c r="H113" i="25"/>
  <c r="H114" i="25"/>
  <c r="O114" i="25" s="1"/>
  <c r="H115" i="25"/>
  <c r="O115" i="25" s="1"/>
  <c r="H116" i="25"/>
  <c r="O116" i="25" s="1"/>
  <c r="H117" i="25"/>
  <c r="O117" i="25" s="1"/>
  <c r="H118" i="25"/>
  <c r="O118" i="25" s="1"/>
  <c r="H119" i="25"/>
  <c r="O119" i="25" s="1"/>
  <c r="H120" i="25"/>
  <c r="O120" i="25" s="1"/>
  <c r="H121" i="25"/>
  <c r="O121" i="25" s="1"/>
  <c r="H2" i="25"/>
  <c r="O2" i="25" s="1"/>
  <c r="H3" i="25"/>
  <c r="O3" i="25" s="1"/>
  <c r="H1" i="25"/>
  <c r="O1" i="25" s="1"/>
  <c r="E1" i="25"/>
  <c r="L1" i="25" s="1"/>
  <c r="G14" i="37"/>
  <c r="I35" i="37"/>
  <c r="I33" i="37"/>
  <c r="I32" i="37"/>
  <c r="D35" i="37"/>
  <c r="E35" i="37"/>
  <c r="F35" i="37"/>
  <c r="G35" i="37"/>
  <c r="C35" i="37"/>
  <c r="CJ2" i="1"/>
  <c r="CJ3" i="1"/>
  <c r="CJ4" i="1"/>
  <c r="CJ5" i="1"/>
  <c r="CJ6" i="1"/>
  <c r="CJ7" i="1"/>
  <c r="CJ8" i="1"/>
  <c r="CJ9" i="1"/>
  <c r="CJ10" i="1"/>
  <c r="CJ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AN121" i="1"/>
  <c r="AO121" i="1"/>
  <c r="AP121" i="1"/>
  <c r="AQ121" i="1"/>
  <c r="AR121" i="1"/>
  <c r="AS121" i="1"/>
  <c r="AT121" i="1"/>
  <c r="L121" i="45" s="1"/>
  <c r="AN74" i="1"/>
  <c r="AO74" i="1"/>
  <c r="AP74" i="1"/>
  <c r="AQ74" i="1"/>
  <c r="AR74" i="1"/>
  <c r="AS74" i="1"/>
  <c r="AT74" i="1"/>
  <c r="AN75" i="1"/>
  <c r="AO75" i="1"/>
  <c r="AP75" i="1"/>
  <c r="AQ75" i="1"/>
  <c r="AR75" i="1"/>
  <c r="AS75" i="1"/>
  <c r="AT75" i="1"/>
  <c r="AN76" i="1"/>
  <c r="AO76" i="1"/>
  <c r="AP76" i="1"/>
  <c r="AQ76" i="1"/>
  <c r="AR76" i="1"/>
  <c r="AS76" i="1"/>
  <c r="AT76" i="1"/>
  <c r="Q76" i="31" s="1"/>
  <c r="AN77" i="1"/>
  <c r="AO77" i="1"/>
  <c r="AP77" i="1"/>
  <c r="AQ77" i="1"/>
  <c r="AR77" i="1"/>
  <c r="AS77" i="1"/>
  <c r="AT77" i="1"/>
  <c r="Q77" i="31" s="1"/>
  <c r="AN78" i="1"/>
  <c r="AO78" i="1"/>
  <c r="AP78" i="1"/>
  <c r="AQ78" i="1"/>
  <c r="AR78" i="1"/>
  <c r="AS78" i="1"/>
  <c r="AT78" i="1"/>
  <c r="Q78" i="31" s="1"/>
  <c r="AN79" i="1"/>
  <c r="AO79" i="1"/>
  <c r="AP79" i="1"/>
  <c r="AQ79" i="1"/>
  <c r="AR79" i="1"/>
  <c r="AS79" i="1"/>
  <c r="AT79" i="1"/>
  <c r="J79" i="29" s="1"/>
  <c r="S79" i="29" s="1"/>
  <c r="AN80" i="1"/>
  <c r="AO80" i="1"/>
  <c r="AP80" i="1"/>
  <c r="AQ80" i="1"/>
  <c r="AR80" i="1"/>
  <c r="AS80" i="1"/>
  <c r="AT80" i="1"/>
  <c r="Q80" i="31" s="1"/>
  <c r="AN81" i="1"/>
  <c r="AO81" i="1"/>
  <c r="AP81" i="1"/>
  <c r="AQ81" i="1"/>
  <c r="AR81" i="1"/>
  <c r="AS81" i="1"/>
  <c r="AT81" i="1"/>
  <c r="AN82" i="1"/>
  <c r="AO82" i="1"/>
  <c r="AP82" i="1"/>
  <c r="AQ82" i="1"/>
  <c r="AR82" i="1"/>
  <c r="AS82" i="1"/>
  <c r="AT82" i="1"/>
  <c r="Q82" i="27" s="1"/>
  <c r="AN83" i="1"/>
  <c r="AO83" i="1"/>
  <c r="AP83" i="1"/>
  <c r="AQ83" i="1"/>
  <c r="AR83" i="1"/>
  <c r="AS83" i="1"/>
  <c r="AT83" i="1"/>
  <c r="AN84" i="1"/>
  <c r="AO84" i="1"/>
  <c r="AP84" i="1"/>
  <c r="AQ84" i="1"/>
  <c r="AR84" i="1"/>
  <c r="AS84" i="1"/>
  <c r="AT84" i="1"/>
  <c r="AN85" i="1"/>
  <c r="AO85" i="1"/>
  <c r="AP85" i="1"/>
  <c r="AQ85" i="1"/>
  <c r="AR85" i="1"/>
  <c r="AS85" i="1"/>
  <c r="AT85" i="1"/>
  <c r="Q85" i="27" s="1"/>
  <c r="AN86" i="1"/>
  <c r="AO86" i="1"/>
  <c r="AP86" i="1"/>
  <c r="AQ86" i="1"/>
  <c r="AR86" i="1"/>
  <c r="AS86" i="1"/>
  <c r="AT86" i="1"/>
  <c r="AN87" i="1"/>
  <c r="AO87" i="1"/>
  <c r="AP87" i="1"/>
  <c r="AQ87" i="1"/>
  <c r="AR87" i="1"/>
  <c r="AS87" i="1"/>
  <c r="AT87" i="1"/>
  <c r="AN88" i="1"/>
  <c r="AO88" i="1"/>
  <c r="AP88" i="1"/>
  <c r="AQ88" i="1"/>
  <c r="AR88" i="1"/>
  <c r="AS88" i="1"/>
  <c r="AT88" i="1"/>
  <c r="L88" i="45" s="1"/>
  <c r="AN89" i="1"/>
  <c r="AO89" i="1"/>
  <c r="AP89" i="1"/>
  <c r="AQ89" i="1"/>
  <c r="AR89" i="1"/>
  <c r="AS89" i="1"/>
  <c r="AT89" i="1"/>
  <c r="L89" i="45" s="1"/>
  <c r="AN90" i="1"/>
  <c r="AO90" i="1"/>
  <c r="AP90" i="1"/>
  <c r="AQ90" i="1"/>
  <c r="AR90" i="1"/>
  <c r="AS90" i="1"/>
  <c r="AT90" i="1"/>
  <c r="L90" i="45" s="1"/>
  <c r="AN91" i="1"/>
  <c r="AO91" i="1"/>
  <c r="AP91" i="1"/>
  <c r="AQ91" i="1"/>
  <c r="AR91" i="1"/>
  <c r="AS91" i="1"/>
  <c r="AT91" i="1"/>
  <c r="L91" i="45" s="1"/>
  <c r="AN92" i="1"/>
  <c r="AO92" i="1"/>
  <c r="AP92" i="1"/>
  <c r="AQ92" i="1"/>
  <c r="AR92" i="1"/>
  <c r="AS92" i="1"/>
  <c r="AT92" i="1"/>
  <c r="L92" i="45" s="1"/>
  <c r="AN93" i="1"/>
  <c r="AO93" i="1"/>
  <c r="AP93" i="1"/>
  <c r="AQ93" i="1"/>
  <c r="AR93" i="1"/>
  <c r="AS93" i="1"/>
  <c r="AT93" i="1"/>
  <c r="AN94" i="1"/>
  <c r="AO94" i="1"/>
  <c r="AP94" i="1"/>
  <c r="AQ94" i="1"/>
  <c r="AR94" i="1"/>
  <c r="AS94" i="1"/>
  <c r="AT94" i="1"/>
  <c r="L94" i="45" s="1"/>
  <c r="AN95" i="1"/>
  <c r="AO95" i="1"/>
  <c r="AP95" i="1"/>
  <c r="AQ95" i="1"/>
  <c r="AR95" i="1"/>
  <c r="AS95" i="1"/>
  <c r="AT95" i="1"/>
  <c r="L95" i="45" s="1"/>
  <c r="AN96" i="1"/>
  <c r="AO96" i="1"/>
  <c r="AP96" i="1"/>
  <c r="AQ96" i="1"/>
  <c r="AR96" i="1"/>
  <c r="AS96" i="1"/>
  <c r="AT96" i="1"/>
  <c r="L96" i="45" s="1"/>
  <c r="AN97" i="1"/>
  <c r="AO97" i="1"/>
  <c r="AP97" i="1"/>
  <c r="AQ97" i="1"/>
  <c r="AR97" i="1"/>
  <c r="AS97" i="1"/>
  <c r="AT97" i="1"/>
  <c r="AN98" i="1"/>
  <c r="AO98" i="1"/>
  <c r="AP98" i="1"/>
  <c r="AQ98" i="1"/>
  <c r="AR98" i="1"/>
  <c r="AS98" i="1"/>
  <c r="AT98" i="1"/>
  <c r="AN99" i="1"/>
  <c r="AO99" i="1"/>
  <c r="AP99" i="1"/>
  <c r="AQ99" i="1"/>
  <c r="AR99" i="1"/>
  <c r="AS99" i="1"/>
  <c r="AT99" i="1"/>
  <c r="AN100" i="1"/>
  <c r="AO100" i="1"/>
  <c r="AP100" i="1"/>
  <c r="AQ100" i="1"/>
  <c r="AR100" i="1"/>
  <c r="AS100" i="1"/>
  <c r="AT100" i="1"/>
  <c r="L100" i="45" s="1"/>
  <c r="AN101" i="1"/>
  <c r="AO101" i="1"/>
  <c r="AP101" i="1"/>
  <c r="AQ101" i="1"/>
  <c r="AR101" i="1"/>
  <c r="AS101" i="1"/>
  <c r="AT101" i="1"/>
  <c r="AN102" i="1"/>
  <c r="AO102" i="1"/>
  <c r="AP102" i="1"/>
  <c r="AQ102" i="1"/>
  <c r="AR102" i="1"/>
  <c r="AS102" i="1"/>
  <c r="AT102" i="1"/>
  <c r="AN103" i="1"/>
  <c r="AO103" i="1"/>
  <c r="AP103" i="1"/>
  <c r="AQ103" i="1"/>
  <c r="AR103" i="1"/>
  <c r="AS103" i="1"/>
  <c r="AT103" i="1"/>
  <c r="AN104" i="1"/>
  <c r="AO104" i="1"/>
  <c r="AP104" i="1"/>
  <c r="AQ104" i="1"/>
  <c r="AR104" i="1"/>
  <c r="AS104" i="1"/>
  <c r="AT104" i="1"/>
  <c r="L104" i="45" s="1"/>
  <c r="AN105" i="1"/>
  <c r="AO105" i="1"/>
  <c r="AP105" i="1"/>
  <c r="AQ105" i="1"/>
  <c r="AR105" i="1"/>
  <c r="AS105" i="1"/>
  <c r="AT105" i="1"/>
  <c r="AN106" i="1"/>
  <c r="AO106" i="1"/>
  <c r="AP106" i="1"/>
  <c r="AQ106" i="1"/>
  <c r="AR106" i="1"/>
  <c r="AS106" i="1"/>
  <c r="AT106" i="1"/>
  <c r="L106" i="45" s="1"/>
  <c r="AN107" i="1"/>
  <c r="AO107" i="1"/>
  <c r="AP107" i="1"/>
  <c r="AQ107" i="1"/>
  <c r="AR107" i="1"/>
  <c r="AS107" i="1"/>
  <c r="AT107" i="1"/>
  <c r="L107" i="45" s="1"/>
  <c r="AN108" i="1"/>
  <c r="AO108" i="1"/>
  <c r="AP108" i="1"/>
  <c r="AQ108" i="1"/>
  <c r="AR108" i="1"/>
  <c r="AS108" i="1"/>
  <c r="AT108" i="1"/>
  <c r="AN109" i="1"/>
  <c r="AO109" i="1"/>
  <c r="AP109" i="1"/>
  <c r="AQ109" i="1"/>
  <c r="AR109" i="1"/>
  <c r="AS109" i="1"/>
  <c r="AT109" i="1"/>
  <c r="AN110" i="1"/>
  <c r="AO110" i="1"/>
  <c r="AP110" i="1"/>
  <c r="AQ110" i="1"/>
  <c r="AR110" i="1"/>
  <c r="AS110" i="1"/>
  <c r="AT110" i="1"/>
  <c r="L110" i="45" s="1"/>
  <c r="AN111" i="1"/>
  <c r="AO111" i="1"/>
  <c r="AP111" i="1"/>
  <c r="AQ111" i="1"/>
  <c r="AR111" i="1"/>
  <c r="AS111" i="1"/>
  <c r="AT111" i="1"/>
  <c r="L111" i="45" s="1"/>
  <c r="AN112" i="1"/>
  <c r="AO112" i="1"/>
  <c r="AP112" i="1"/>
  <c r="AQ112" i="1"/>
  <c r="AR112" i="1"/>
  <c r="AS112" i="1"/>
  <c r="AT112" i="1"/>
  <c r="L112" i="45" s="1"/>
  <c r="AN113" i="1"/>
  <c r="AO113" i="1"/>
  <c r="AP113" i="1"/>
  <c r="AQ113" i="1"/>
  <c r="AR113" i="1"/>
  <c r="AS113" i="1"/>
  <c r="AT113" i="1"/>
  <c r="L113" i="45" s="1"/>
  <c r="AN114" i="1"/>
  <c r="AO114" i="1"/>
  <c r="AP114" i="1"/>
  <c r="AQ114" i="1"/>
  <c r="AR114" i="1"/>
  <c r="AS114" i="1"/>
  <c r="AT114" i="1"/>
  <c r="L114" i="45" s="1"/>
  <c r="AN115" i="1"/>
  <c r="AO115" i="1"/>
  <c r="AP115" i="1"/>
  <c r="AQ115" i="1"/>
  <c r="AR115" i="1"/>
  <c r="AS115" i="1"/>
  <c r="AT115" i="1"/>
  <c r="L115" i="45" s="1"/>
  <c r="AN116" i="1"/>
  <c r="AO116" i="1"/>
  <c r="AP116" i="1"/>
  <c r="AQ116" i="1"/>
  <c r="AR116" i="1"/>
  <c r="AS116" i="1"/>
  <c r="AT116" i="1"/>
  <c r="L116" i="45" s="1"/>
  <c r="AN117" i="1"/>
  <c r="AO117" i="1"/>
  <c r="AP117" i="1"/>
  <c r="AQ117" i="1"/>
  <c r="AR117" i="1"/>
  <c r="AS117" i="1"/>
  <c r="AT117" i="1"/>
  <c r="L117" i="45" s="1"/>
  <c r="AN118" i="1"/>
  <c r="AO118" i="1"/>
  <c r="AP118" i="1"/>
  <c r="AQ118" i="1"/>
  <c r="AR118" i="1"/>
  <c r="AS118" i="1"/>
  <c r="AT118" i="1"/>
  <c r="L118" i="45" s="1"/>
  <c r="AN119" i="1"/>
  <c r="AO119" i="1"/>
  <c r="AP119" i="1"/>
  <c r="AQ119" i="1"/>
  <c r="AR119" i="1"/>
  <c r="AS119" i="1"/>
  <c r="AT119" i="1"/>
  <c r="L119" i="45" s="1"/>
  <c r="AN120" i="1"/>
  <c r="AO120" i="1"/>
  <c r="AP120" i="1"/>
  <c r="AQ120" i="1"/>
  <c r="AR120" i="1"/>
  <c r="AS120" i="1"/>
  <c r="AT120" i="1"/>
  <c r="L120" i="45" s="1"/>
  <c r="AN4" i="1"/>
  <c r="AO4" i="1"/>
  <c r="AP4" i="1"/>
  <c r="AQ4" i="1"/>
  <c r="AR4" i="1"/>
  <c r="AS4" i="1"/>
  <c r="AT4" i="1"/>
  <c r="Q4" i="31" s="1"/>
  <c r="AN5" i="1"/>
  <c r="AO5" i="1"/>
  <c r="AP5" i="1"/>
  <c r="AQ5" i="1"/>
  <c r="AR5" i="1"/>
  <c r="AS5" i="1"/>
  <c r="AT5" i="1"/>
  <c r="Q5" i="31" s="1"/>
  <c r="AN6" i="1"/>
  <c r="AO6" i="1"/>
  <c r="AP6" i="1"/>
  <c r="AQ6" i="1"/>
  <c r="AR6" i="1"/>
  <c r="AS6" i="1"/>
  <c r="AT6" i="1"/>
  <c r="AN7" i="1"/>
  <c r="AO7" i="1"/>
  <c r="AP7" i="1"/>
  <c r="AQ7" i="1"/>
  <c r="AR7" i="1"/>
  <c r="AS7" i="1"/>
  <c r="AT7" i="1"/>
  <c r="AN8" i="1"/>
  <c r="AO8" i="1"/>
  <c r="AP8" i="1"/>
  <c r="AQ8" i="1"/>
  <c r="AR8" i="1"/>
  <c r="AS8" i="1"/>
  <c r="AT8" i="1"/>
  <c r="Q8" i="31" s="1"/>
  <c r="AN9" i="1"/>
  <c r="AO9" i="1"/>
  <c r="AP9" i="1"/>
  <c r="AQ9" i="1"/>
  <c r="AR9" i="1"/>
  <c r="AS9" i="1"/>
  <c r="AT9" i="1"/>
  <c r="J9" i="29" s="1"/>
  <c r="S9" i="29" s="1"/>
  <c r="AN10" i="1"/>
  <c r="AO10" i="1"/>
  <c r="AP10" i="1"/>
  <c r="AQ10" i="1"/>
  <c r="AR10" i="1"/>
  <c r="AS10" i="1"/>
  <c r="AT10" i="1"/>
  <c r="AN11" i="1"/>
  <c r="AO11" i="1"/>
  <c r="AP11" i="1"/>
  <c r="AQ11" i="1"/>
  <c r="AR11" i="1"/>
  <c r="AS11" i="1"/>
  <c r="AT11" i="1"/>
  <c r="Q11" i="31" s="1"/>
  <c r="AN12" i="1"/>
  <c r="AO12" i="1"/>
  <c r="AP12" i="1"/>
  <c r="AQ12" i="1"/>
  <c r="AR12" i="1"/>
  <c r="AS12" i="1"/>
  <c r="AT12" i="1"/>
  <c r="Q12" i="31" s="1"/>
  <c r="AN13" i="1"/>
  <c r="AO13" i="1"/>
  <c r="AP13" i="1"/>
  <c r="AQ13" i="1"/>
  <c r="AR13" i="1"/>
  <c r="AS13" i="1"/>
  <c r="AT13" i="1"/>
  <c r="AN14" i="1"/>
  <c r="AO14" i="1"/>
  <c r="AP14" i="1"/>
  <c r="AQ14" i="1"/>
  <c r="AR14" i="1"/>
  <c r="AS14" i="1"/>
  <c r="AT14" i="1"/>
  <c r="AN15" i="1"/>
  <c r="AO15" i="1"/>
  <c r="AP15" i="1"/>
  <c r="AQ15" i="1"/>
  <c r="AR15" i="1"/>
  <c r="AS15" i="1"/>
  <c r="AT15" i="1"/>
  <c r="AN16" i="1"/>
  <c r="AO16" i="1"/>
  <c r="AP16" i="1"/>
  <c r="AQ16" i="1"/>
  <c r="AR16" i="1"/>
  <c r="AS16" i="1"/>
  <c r="AT16" i="1"/>
  <c r="AN17" i="1"/>
  <c r="AO17" i="1"/>
  <c r="AP17" i="1"/>
  <c r="AQ17" i="1"/>
  <c r="AR17" i="1"/>
  <c r="AS17" i="1"/>
  <c r="AT17" i="1"/>
  <c r="AN18" i="1"/>
  <c r="AO18" i="1"/>
  <c r="AP18" i="1"/>
  <c r="AQ18" i="1"/>
  <c r="AR18" i="1"/>
  <c r="AS18" i="1"/>
  <c r="AT18" i="1"/>
  <c r="AN19" i="1"/>
  <c r="AO19" i="1"/>
  <c r="AP19" i="1"/>
  <c r="AQ19" i="1"/>
  <c r="AR19" i="1"/>
  <c r="AS19" i="1"/>
  <c r="AT19" i="1"/>
  <c r="AN20" i="1"/>
  <c r="AO20" i="1"/>
  <c r="AP20" i="1"/>
  <c r="AQ20" i="1"/>
  <c r="AR20" i="1"/>
  <c r="AS20" i="1"/>
  <c r="AT20" i="1"/>
  <c r="Q20" i="27" s="1"/>
  <c r="AN21" i="1"/>
  <c r="AO21" i="1"/>
  <c r="AP21" i="1"/>
  <c r="AQ21" i="1"/>
  <c r="AR21" i="1"/>
  <c r="AS21" i="1"/>
  <c r="AT21" i="1"/>
  <c r="Q21" i="27" s="1"/>
  <c r="AN22" i="1"/>
  <c r="AO22" i="1"/>
  <c r="AP22" i="1"/>
  <c r="AQ22" i="1"/>
  <c r="AR22" i="1"/>
  <c r="AS22" i="1"/>
  <c r="AT22" i="1"/>
  <c r="AN23" i="1"/>
  <c r="AO23" i="1"/>
  <c r="AP23" i="1"/>
  <c r="AQ23" i="1"/>
  <c r="AR23" i="1"/>
  <c r="AS23" i="1"/>
  <c r="AT23" i="1"/>
  <c r="Q23" i="27" s="1"/>
  <c r="AN24" i="1"/>
  <c r="AO24" i="1"/>
  <c r="AP24" i="1"/>
  <c r="AQ24" i="1"/>
  <c r="AR24" i="1"/>
  <c r="AS24" i="1"/>
  <c r="AT24" i="1"/>
  <c r="Q24" i="31" s="1"/>
  <c r="AN25" i="1"/>
  <c r="AO25" i="1"/>
  <c r="AP25" i="1"/>
  <c r="AQ25" i="1"/>
  <c r="AR25" i="1"/>
  <c r="AS25" i="1"/>
  <c r="AT25" i="1"/>
  <c r="AN26" i="1"/>
  <c r="AO26" i="1"/>
  <c r="AP26" i="1"/>
  <c r="AQ26" i="1"/>
  <c r="AR26" i="1"/>
  <c r="AS26" i="1"/>
  <c r="AT26" i="1"/>
  <c r="AN27" i="1"/>
  <c r="AO27" i="1"/>
  <c r="AP27" i="1"/>
  <c r="AQ27" i="1"/>
  <c r="AR27" i="1"/>
  <c r="AS27" i="1"/>
  <c r="AT27" i="1"/>
  <c r="AN28" i="1"/>
  <c r="AO28" i="1"/>
  <c r="AP28" i="1"/>
  <c r="AQ28" i="1"/>
  <c r="AR28" i="1"/>
  <c r="AS28" i="1"/>
  <c r="AT28" i="1"/>
  <c r="AN29" i="1"/>
  <c r="AO29" i="1"/>
  <c r="AP29" i="1"/>
  <c r="AQ29" i="1"/>
  <c r="AR29" i="1"/>
  <c r="AS29" i="1"/>
  <c r="AT29" i="1"/>
  <c r="AN30" i="1"/>
  <c r="AO30" i="1"/>
  <c r="AP30" i="1"/>
  <c r="AQ30" i="1"/>
  <c r="AR30" i="1"/>
  <c r="AS30" i="1"/>
  <c r="AT30" i="1"/>
  <c r="AN31" i="1"/>
  <c r="AO31" i="1"/>
  <c r="AP31" i="1"/>
  <c r="AQ31" i="1"/>
  <c r="AR31" i="1"/>
  <c r="AS31" i="1"/>
  <c r="AT31" i="1"/>
  <c r="AN32" i="1"/>
  <c r="AO32" i="1"/>
  <c r="AP32" i="1"/>
  <c r="AQ32" i="1"/>
  <c r="AR32" i="1"/>
  <c r="AS32" i="1"/>
  <c r="AT32" i="1"/>
  <c r="Q32" i="31" s="1"/>
  <c r="AN33" i="1"/>
  <c r="AO33" i="1"/>
  <c r="AP33" i="1"/>
  <c r="AQ33" i="1"/>
  <c r="AR33" i="1"/>
  <c r="AS33" i="1"/>
  <c r="AT33" i="1"/>
  <c r="J33" i="29" s="1"/>
  <c r="S33" i="29" s="1"/>
  <c r="AN34" i="1"/>
  <c r="AO34" i="1"/>
  <c r="AP34" i="1"/>
  <c r="AQ34" i="1"/>
  <c r="AR34" i="1"/>
  <c r="AS34" i="1"/>
  <c r="AT34" i="1"/>
  <c r="J34" i="29" s="1"/>
  <c r="S34" i="29" s="1"/>
  <c r="AN35" i="1"/>
  <c r="AO35" i="1"/>
  <c r="AP35" i="1"/>
  <c r="AQ35" i="1"/>
  <c r="AR35" i="1"/>
  <c r="AS35" i="1"/>
  <c r="AT35" i="1"/>
  <c r="Q35" i="27" s="1"/>
  <c r="AN36" i="1"/>
  <c r="AO36" i="1"/>
  <c r="AP36" i="1"/>
  <c r="AQ36" i="1"/>
  <c r="AR36" i="1"/>
  <c r="AS36" i="1"/>
  <c r="AT36" i="1"/>
  <c r="AN37" i="1"/>
  <c r="AO37" i="1"/>
  <c r="AP37" i="1"/>
  <c r="AQ37" i="1"/>
  <c r="AR37" i="1"/>
  <c r="AS37" i="1"/>
  <c r="AT37" i="1"/>
  <c r="AN38" i="1"/>
  <c r="AO38" i="1"/>
  <c r="AP38" i="1"/>
  <c r="AQ38" i="1"/>
  <c r="AR38" i="1"/>
  <c r="AS38" i="1"/>
  <c r="AT38" i="1"/>
  <c r="AN39" i="1"/>
  <c r="AO39" i="1"/>
  <c r="AP39" i="1"/>
  <c r="AQ39" i="1"/>
  <c r="AR39" i="1"/>
  <c r="AS39" i="1"/>
  <c r="AT39" i="1"/>
  <c r="Q39" i="27" s="1"/>
  <c r="AN40" i="1"/>
  <c r="AO40" i="1"/>
  <c r="AP40" i="1"/>
  <c r="AQ40" i="1"/>
  <c r="AR40" i="1"/>
  <c r="AS40" i="1"/>
  <c r="AT40" i="1"/>
  <c r="AN41" i="1"/>
  <c r="AO41" i="1"/>
  <c r="AP41" i="1"/>
  <c r="AQ41" i="1"/>
  <c r="AR41" i="1"/>
  <c r="AS41" i="1"/>
  <c r="AT41" i="1"/>
  <c r="AN42" i="1"/>
  <c r="AO42" i="1"/>
  <c r="AP42" i="1"/>
  <c r="AQ42" i="1"/>
  <c r="AR42" i="1"/>
  <c r="AS42" i="1"/>
  <c r="AT42" i="1"/>
  <c r="AN43" i="1"/>
  <c r="AO43" i="1"/>
  <c r="AP43" i="1"/>
  <c r="AQ43" i="1"/>
  <c r="AR43" i="1"/>
  <c r="AS43" i="1"/>
  <c r="AT43" i="1"/>
  <c r="Q43" i="31" s="1"/>
  <c r="AN44" i="1"/>
  <c r="AO44" i="1"/>
  <c r="AP44" i="1"/>
  <c r="AQ44" i="1"/>
  <c r="AR44" i="1"/>
  <c r="AS44" i="1"/>
  <c r="AT44" i="1"/>
  <c r="Q44" i="31" s="1"/>
  <c r="AN45" i="1"/>
  <c r="AO45" i="1"/>
  <c r="AP45" i="1"/>
  <c r="AQ45" i="1"/>
  <c r="AR45" i="1"/>
  <c r="AS45" i="1"/>
  <c r="AT45" i="1"/>
  <c r="AN46" i="1"/>
  <c r="AO46" i="1"/>
  <c r="AP46" i="1"/>
  <c r="AQ46" i="1"/>
  <c r="AR46" i="1"/>
  <c r="AS46" i="1"/>
  <c r="AT46" i="1"/>
  <c r="AN47" i="1"/>
  <c r="AO47" i="1"/>
  <c r="AP47" i="1"/>
  <c r="AQ47" i="1"/>
  <c r="AR47" i="1"/>
  <c r="AS47" i="1"/>
  <c r="AT47" i="1"/>
  <c r="AN48" i="1"/>
  <c r="AO48" i="1"/>
  <c r="AP48" i="1"/>
  <c r="AQ48" i="1"/>
  <c r="AR48" i="1"/>
  <c r="AS48" i="1"/>
  <c r="AT48" i="1"/>
  <c r="AN49" i="1"/>
  <c r="AO49" i="1"/>
  <c r="AP49" i="1"/>
  <c r="AQ49" i="1"/>
  <c r="AR49" i="1"/>
  <c r="AS49" i="1"/>
  <c r="AT49" i="1"/>
  <c r="Q49" i="27" s="1"/>
  <c r="AN50" i="1"/>
  <c r="AO50" i="1"/>
  <c r="AP50" i="1"/>
  <c r="AQ50" i="1"/>
  <c r="AR50" i="1"/>
  <c r="AS50" i="1"/>
  <c r="AT50" i="1"/>
  <c r="AN51" i="1"/>
  <c r="AO51" i="1"/>
  <c r="AP51" i="1"/>
  <c r="AQ51" i="1"/>
  <c r="AR51" i="1"/>
  <c r="AS51" i="1"/>
  <c r="AT51" i="1"/>
  <c r="Q51" i="31" s="1"/>
  <c r="AN52" i="1"/>
  <c r="AO52" i="1"/>
  <c r="AP52" i="1"/>
  <c r="AQ52" i="1"/>
  <c r="AR52" i="1"/>
  <c r="AS52" i="1"/>
  <c r="AT52" i="1"/>
  <c r="AN53" i="1"/>
  <c r="AO53" i="1"/>
  <c r="AP53" i="1"/>
  <c r="AQ53" i="1"/>
  <c r="AR53" i="1"/>
  <c r="AS53" i="1"/>
  <c r="AT53" i="1"/>
  <c r="Q53" i="27" s="1"/>
  <c r="AN54" i="1"/>
  <c r="AO54" i="1"/>
  <c r="AP54" i="1"/>
  <c r="AQ54" i="1"/>
  <c r="AR54" i="1"/>
  <c r="AS54" i="1"/>
  <c r="AT54" i="1"/>
  <c r="AN55" i="1"/>
  <c r="AO55" i="1"/>
  <c r="AP55" i="1"/>
  <c r="AQ55" i="1"/>
  <c r="AR55" i="1"/>
  <c r="AS55" i="1"/>
  <c r="AT55" i="1"/>
  <c r="AN56" i="1"/>
  <c r="AO56" i="1"/>
  <c r="AP56" i="1"/>
  <c r="AQ56" i="1"/>
  <c r="AR56" i="1"/>
  <c r="AS56" i="1"/>
  <c r="AT56" i="1"/>
  <c r="AN57" i="1"/>
  <c r="AO57" i="1"/>
  <c r="AP57" i="1"/>
  <c r="AQ57" i="1"/>
  <c r="AR57" i="1"/>
  <c r="AS57" i="1"/>
  <c r="AT57" i="1"/>
  <c r="J57" i="29" s="1"/>
  <c r="S57" i="29" s="1"/>
  <c r="AN58" i="1"/>
  <c r="AO58" i="1"/>
  <c r="AP58" i="1"/>
  <c r="AQ58" i="1"/>
  <c r="AR58" i="1"/>
  <c r="AS58" i="1"/>
  <c r="AT58" i="1"/>
  <c r="J58" i="29" s="1"/>
  <c r="S58" i="29" s="1"/>
  <c r="AN59" i="1"/>
  <c r="AO59" i="1"/>
  <c r="AP59" i="1"/>
  <c r="AQ59" i="1"/>
  <c r="AR59" i="1"/>
  <c r="AS59" i="1"/>
  <c r="AT59" i="1"/>
  <c r="J59" i="32" s="1"/>
  <c r="S59" i="32" s="1"/>
  <c r="AN60" i="1"/>
  <c r="AO60" i="1"/>
  <c r="AP60" i="1"/>
  <c r="AQ60" i="1"/>
  <c r="AR60" i="1"/>
  <c r="AS60" i="1"/>
  <c r="AT60" i="1"/>
  <c r="AN61" i="1"/>
  <c r="AO61" i="1"/>
  <c r="AP61" i="1"/>
  <c r="AQ61" i="1"/>
  <c r="AR61" i="1"/>
  <c r="AS61" i="1"/>
  <c r="AT61" i="1"/>
  <c r="AN62" i="1"/>
  <c r="AO62" i="1"/>
  <c r="AP62" i="1"/>
  <c r="AQ62" i="1"/>
  <c r="AR62" i="1"/>
  <c r="AS62" i="1"/>
  <c r="AT62" i="1"/>
  <c r="AN63" i="1"/>
  <c r="AO63" i="1"/>
  <c r="AP63" i="1"/>
  <c r="AQ63" i="1"/>
  <c r="AR63" i="1"/>
  <c r="AS63" i="1"/>
  <c r="AT63" i="1"/>
  <c r="AN64" i="1"/>
  <c r="AO64" i="1"/>
  <c r="AP64" i="1"/>
  <c r="AQ64" i="1"/>
  <c r="AR64" i="1"/>
  <c r="AS64" i="1"/>
  <c r="AT64" i="1"/>
  <c r="AN65" i="1"/>
  <c r="AO65" i="1"/>
  <c r="AP65" i="1"/>
  <c r="AQ65" i="1"/>
  <c r="AR65" i="1"/>
  <c r="AS65" i="1"/>
  <c r="AT65" i="1"/>
  <c r="J65" i="29" s="1"/>
  <c r="S65" i="29" s="1"/>
  <c r="AN66" i="1"/>
  <c r="AO66" i="1"/>
  <c r="AP66" i="1"/>
  <c r="AQ66" i="1"/>
  <c r="AR66" i="1"/>
  <c r="AS66" i="1"/>
  <c r="AT66" i="1"/>
  <c r="J66" i="29" s="1"/>
  <c r="S66" i="29" s="1"/>
  <c r="AN67" i="1"/>
  <c r="AO67" i="1"/>
  <c r="AP67" i="1"/>
  <c r="AQ67" i="1"/>
  <c r="AR67" i="1"/>
  <c r="AS67" i="1"/>
  <c r="AT67" i="1"/>
  <c r="Q67" i="31" s="1"/>
  <c r="AN68" i="1"/>
  <c r="AO68" i="1"/>
  <c r="AP68" i="1"/>
  <c r="AQ68" i="1"/>
  <c r="AR68" i="1"/>
  <c r="AS68" i="1"/>
  <c r="AT68" i="1"/>
  <c r="Q68" i="31" s="1"/>
  <c r="AN69" i="1"/>
  <c r="AO69" i="1"/>
  <c r="AP69" i="1"/>
  <c r="AQ69" i="1"/>
  <c r="AR69" i="1"/>
  <c r="AS69" i="1"/>
  <c r="AT69" i="1"/>
  <c r="Q69" i="31" s="1"/>
  <c r="AN70" i="1"/>
  <c r="AO70" i="1"/>
  <c r="AP70" i="1"/>
  <c r="AQ70" i="1"/>
  <c r="AR70" i="1"/>
  <c r="AS70" i="1"/>
  <c r="AT70" i="1"/>
  <c r="AN71" i="1"/>
  <c r="AO71" i="1"/>
  <c r="AP71" i="1"/>
  <c r="AQ71" i="1"/>
  <c r="AR71" i="1"/>
  <c r="AS71" i="1"/>
  <c r="AT71" i="1"/>
  <c r="AN72" i="1"/>
  <c r="AO72" i="1"/>
  <c r="AP72" i="1"/>
  <c r="AQ72" i="1"/>
  <c r="AR72" i="1"/>
  <c r="AS72" i="1"/>
  <c r="AT72" i="1"/>
  <c r="AN73" i="1"/>
  <c r="AO73" i="1"/>
  <c r="AP73" i="1"/>
  <c r="AQ73" i="1"/>
  <c r="AR73" i="1"/>
  <c r="AS73" i="1"/>
  <c r="AT73" i="1"/>
  <c r="J73" i="29" s="1"/>
  <c r="S73" i="29" s="1"/>
  <c r="AN2" i="1"/>
  <c r="AO2" i="1"/>
  <c r="AP2" i="1"/>
  <c r="AQ2" i="1"/>
  <c r="AR2" i="1"/>
  <c r="AS2" i="1"/>
  <c r="AT2" i="1"/>
  <c r="AN3" i="1"/>
  <c r="AO3" i="1"/>
  <c r="AP3" i="1"/>
  <c r="AQ3" i="1"/>
  <c r="AR3" i="1"/>
  <c r="AS3" i="1"/>
  <c r="AT3" i="1"/>
  <c r="J3" i="32" s="1"/>
  <c r="S3" i="32" s="1"/>
  <c r="I136" i="5"/>
  <c r="L136" i="45" s="1"/>
  <c r="U136" i="45" s="1"/>
  <c r="I135" i="5"/>
  <c r="L135" i="45" s="1"/>
  <c r="U135" i="45" s="1"/>
  <c r="I134" i="5"/>
  <c r="I133" i="5"/>
  <c r="L133" i="45" s="1"/>
  <c r="U133" i="45" s="1"/>
  <c r="I132" i="5"/>
  <c r="L132" i="45" s="1"/>
  <c r="U132" i="45" s="1"/>
  <c r="I131" i="5"/>
  <c r="L131" i="45" s="1"/>
  <c r="U131" i="45" s="1"/>
  <c r="AW75" i="1"/>
  <c r="AW87" i="1" s="1"/>
  <c r="AW99" i="1" s="1"/>
  <c r="AW111" i="1" s="1"/>
  <c r="AX75" i="1"/>
  <c r="AX87" i="1" s="1"/>
  <c r="AX99" i="1" s="1"/>
  <c r="AX111" i="1" s="1"/>
  <c r="AY75" i="1"/>
  <c r="AY87" i="1" s="1"/>
  <c r="AY99" i="1" s="1"/>
  <c r="AY111" i="1" s="1"/>
  <c r="AZ75" i="1"/>
  <c r="BA75" i="1"/>
  <c r="BA87" i="1" s="1"/>
  <c r="BA99" i="1" s="1"/>
  <c r="BA111" i="1" s="1"/>
  <c r="BB75" i="1"/>
  <c r="BB87" i="1" s="1"/>
  <c r="BB99" i="1" s="1"/>
  <c r="BB111" i="1" s="1"/>
  <c r="BC75" i="1"/>
  <c r="BC87" i="1" s="1"/>
  <c r="BC99" i="1" s="1"/>
  <c r="BC111" i="1" s="1"/>
  <c r="BD75" i="1"/>
  <c r="BD87" i="1" s="1"/>
  <c r="BE75" i="1"/>
  <c r="BE87" i="1" s="1"/>
  <c r="BE99" i="1" s="1"/>
  <c r="BE111" i="1" s="1"/>
  <c r="BF75" i="1"/>
  <c r="BF87" i="1" s="1"/>
  <c r="BF99" i="1" s="1"/>
  <c r="BF111" i="1" s="1"/>
  <c r="BG75" i="1"/>
  <c r="BG87" i="1" s="1"/>
  <c r="BG99" i="1" s="1"/>
  <c r="BG111" i="1" s="1"/>
  <c r="BH75" i="1"/>
  <c r="BH87" i="1" s="1"/>
  <c r="BH99" i="1" s="1"/>
  <c r="BH111" i="1" s="1"/>
  <c r="BI75" i="1"/>
  <c r="BI87" i="1" s="1"/>
  <c r="BI99" i="1" s="1"/>
  <c r="BI111" i="1" s="1"/>
  <c r="BJ75" i="1"/>
  <c r="BJ87" i="1" s="1"/>
  <c r="BJ99" i="1" s="1"/>
  <c r="BJ111" i="1" s="1"/>
  <c r="BK75" i="1"/>
  <c r="BK87" i="1" s="1"/>
  <c r="BK99" i="1" s="1"/>
  <c r="BK111" i="1" s="1"/>
  <c r="BL75" i="1"/>
  <c r="BL87" i="1" s="1"/>
  <c r="BL99" i="1" s="1"/>
  <c r="BL111" i="1" s="1"/>
  <c r="BM75" i="1"/>
  <c r="BM87" i="1" s="1"/>
  <c r="BM99" i="1" s="1"/>
  <c r="BM111" i="1" s="1"/>
  <c r="BN75" i="1"/>
  <c r="BN87" i="1" s="1"/>
  <c r="BN99" i="1" s="1"/>
  <c r="BN111" i="1" s="1"/>
  <c r="BO75" i="1"/>
  <c r="G75" i="27" s="1"/>
  <c r="O75" i="27" s="1"/>
  <c r="AW76" i="1"/>
  <c r="AW88" i="1" s="1"/>
  <c r="AW100" i="1" s="1"/>
  <c r="AW112" i="1" s="1"/>
  <c r="AX76" i="1"/>
  <c r="AX88" i="1" s="1"/>
  <c r="AX100" i="1" s="1"/>
  <c r="AX112" i="1" s="1"/>
  <c r="AY76" i="1"/>
  <c r="AY88" i="1" s="1"/>
  <c r="AY100" i="1" s="1"/>
  <c r="AY112" i="1" s="1"/>
  <c r="AZ76" i="1"/>
  <c r="AZ88" i="1" s="1"/>
  <c r="AZ100" i="1" s="1"/>
  <c r="AZ112" i="1" s="1"/>
  <c r="BA76" i="1"/>
  <c r="BB76" i="1"/>
  <c r="BB88" i="1" s="1"/>
  <c r="BB100" i="1" s="1"/>
  <c r="BB112" i="1" s="1"/>
  <c r="BC76" i="1"/>
  <c r="BC88" i="1" s="1"/>
  <c r="BC100" i="1" s="1"/>
  <c r="BC112" i="1" s="1"/>
  <c r="BD76" i="1"/>
  <c r="BD88" i="1" s="1"/>
  <c r="BD100" i="1" s="1"/>
  <c r="BD112" i="1" s="1"/>
  <c r="BE76" i="1"/>
  <c r="BE88" i="1" s="1"/>
  <c r="BE100" i="1" s="1"/>
  <c r="BE112" i="1" s="1"/>
  <c r="BF76" i="1"/>
  <c r="BF88" i="1" s="1"/>
  <c r="BF100" i="1" s="1"/>
  <c r="BF112" i="1" s="1"/>
  <c r="BG76" i="1"/>
  <c r="BG88" i="1" s="1"/>
  <c r="BG100" i="1" s="1"/>
  <c r="BG112" i="1" s="1"/>
  <c r="BH76" i="1"/>
  <c r="BH88" i="1" s="1"/>
  <c r="BH100" i="1" s="1"/>
  <c r="BH112" i="1" s="1"/>
  <c r="BI76" i="1"/>
  <c r="BI88" i="1" s="1"/>
  <c r="BI100" i="1" s="1"/>
  <c r="BI112" i="1" s="1"/>
  <c r="BJ76" i="1"/>
  <c r="BK76" i="1"/>
  <c r="BK88" i="1" s="1"/>
  <c r="BK100" i="1" s="1"/>
  <c r="BK112" i="1" s="1"/>
  <c r="BL76" i="1"/>
  <c r="BL88" i="1" s="1"/>
  <c r="BL100" i="1" s="1"/>
  <c r="BL112" i="1" s="1"/>
  <c r="BM76" i="1"/>
  <c r="BM88" i="1" s="1"/>
  <c r="BM100" i="1" s="1"/>
  <c r="BM112" i="1" s="1"/>
  <c r="BN76" i="1"/>
  <c r="BN88" i="1" s="1"/>
  <c r="BN100" i="1" s="1"/>
  <c r="BN112" i="1" s="1"/>
  <c r="BO76" i="1"/>
  <c r="AW77" i="1"/>
  <c r="AW89" i="1" s="1"/>
  <c r="AW101" i="1" s="1"/>
  <c r="AW113" i="1" s="1"/>
  <c r="AX77" i="1"/>
  <c r="AX89" i="1" s="1"/>
  <c r="AX101" i="1" s="1"/>
  <c r="AX113" i="1" s="1"/>
  <c r="AY77" i="1"/>
  <c r="AY89" i="1" s="1"/>
  <c r="AY101" i="1" s="1"/>
  <c r="AY113" i="1" s="1"/>
  <c r="AZ77" i="1"/>
  <c r="AZ89" i="1" s="1"/>
  <c r="AZ101" i="1" s="1"/>
  <c r="AZ113" i="1" s="1"/>
  <c r="BA77" i="1"/>
  <c r="BA89" i="1" s="1"/>
  <c r="BA101" i="1" s="1"/>
  <c r="BA113" i="1" s="1"/>
  <c r="BB77" i="1"/>
  <c r="BB89" i="1" s="1"/>
  <c r="BB101" i="1" s="1"/>
  <c r="BB113" i="1" s="1"/>
  <c r="BC77" i="1"/>
  <c r="BC89" i="1" s="1"/>
  <c r="BC101" i="1" s="1"/>
  <c r="BC113" i="1" s="1"/>
  <c r="BD77" i="1"/>
  <c r="BD89" i="1" s="1"/>
  <c r="BD101" i="1" s="1"/>
  <c r="BD113" i="1" s="1"/>
  <c r="BE77" i="1"/>
  <c r="BE89" i="1" s="1"/>
  <c r="BE101" i="1" s="1"/>
  <c r="BE113" i="1" s="1"/>
  <c r="BF77" i="1"/>
  <c r="BF89" i="1" s="1"/>
  <c r="BF101" i="1" s="1"/>
  <c r="BF113" i="1" s="1"/>
  <c r="BG77" i="1"/>
  <c r="BG89" i="1" s="1"/>
  <c r="BG101" i="1" s="1"/>
  <c r="BG113" i="1" s="1"/>
  <c r="BH77" i="1"/>
  <c r="BH89" i="1" s="1"/>
  <c r="BH101" i="1" s="1"/>
  <c r="BH113" i="1" s="1"/>
  <c r="BI77" i="1"/>
  <c r="BI89" i="1" s="1"/>
  <c r="BI101" i="1" s="1"/>
  <c r="BI113" i="1" s="1"/>
  <c r="BJ77" i="1"/>
  <c r="BJ89" i="1" s="1"/>
  <c r="BJ101" i="1" s="1"/>
  <c r="BJ113" i="1" s="1"/>
  <c r="BK77" i="1"/>
  <c r="BK89" i="1" s="1"/>
  <c r="BK101" i="1" s="1"/>
  <c r="BK113" i="1" s="1"/>
  <c r="BL77" i="1"/>
  <c r="BL89" i="1" s="1"/>
  <c r="BL101" i="1" s="1"/>
  <c r="BL113" i="1" s="1"/>
  <c r="BM77" i="1"/>
  <c r="BM89" i="1" s="1"/>
  <c r="BM101" i="1" s="1"/>
  <c r="BM113" i="1" s="1"/>
  <c r="BN77" i="1"/>
  <c r="BO77" i="1"/>
  <c r="AW78" i="1"/>
  <c r="AW90" i="1" s="1"/>
  <c r="AW102" i="1" s="1"/>
  <c r="AW114" i="1" s="1"/>
  <c r="AX78" i="1"/>
  <c r="AX90" i="1" s="1"/>
  <c r="AX102" i="1" s="1"/>
  <c r="AX114" i="1" s="1"/>
  <c r="AY78" i="1"/>
  <c r="AY90" i="1" s="1"/>
  <c r="AY102" i="1" s="1"/>
  <c r="AY114" i="1" s="1"/>
  <c r="AZ78" i="1"/>
  <c r="AZ90" i="1" s="1"/>
  <c r="AZ102" i="1" s="1"/>
  <c r="AZ114" i="1" s="1"/>
  <c r="BA78" i="1"/>
  <c r="BA90" i="1" s="1"/>
  <c r="BA102" i="1" s="1"/>
  <c r="BA114" i="1" s="1"/>
  <c r="BB78" i="1"/>
  <c r="BB90" i="1" s="1"/>
  <c r="BB102" i="1" s="1"/>
  <c r="BB114" i="1" s="1"/>
  <c r="BC78" i="1"/>
  <c r="BC90" i="1" s="1"/>
  <c r="BC102" i="1" s="1"/>
  <c r="BC114" i="1" s="1"/>
  <c r="BD78" i="1"/>
  <c r="BD90" i="1" s="1"/>
  <c r="BD102" i="1" s="1"/>
  <c r="BD114" i="1" s="1"/>
  <c r="BE78" i="1"/>
  <c r="BF78" i="1"/>
  <c r="BF90" i="1" s="1"/>
  <c r="BF102" i="1" s="1"/>
  <c r="BF114" i="1" s="1"/>
  <c r="BG78" i="1"/>
  <c r="BG90" i="1" s="1"/>
  <c r="BG102" i="1" s="1"/>
  <c r="BG114" i="1" s="1"/>
  <c r="BH78" i="1"/>
  <c r="BH90" i="1" s="1"/>
  <c r="BH102" i="1" s="1"/>
  <c r="BH114" i="1" s="1"/>
  <c r="BI78" i="1"/>
  <c r="BI90" i="1" s="1"/>
  <c r="BI102" i="1" s="1"/>
  <c r="BI114" i="1" s="1"/>
  <c r="BJ78" i="1"/>
  <c r="BJ90" i="1" s="1"/>
  <c r="BJ102" i="1" s="1"/>
  <c r="BJ114" i="1" s="1"/>
  <c r="BK78" i="1"/>
  <c r="BK90" i="1" s="1"/>
  <c r="BK102" i="1" s="1"/>
  <c r="BK114" i="1" s="1"/>
  <c r="BL78" i="1"/>
  <c r="BL90" i="1" s="1"/>
  <c r="BL102" i="1" s="1"/>
  <c r="BL114" i="1" s="1"/>
  <c r="BM78" i="1"/>
  <c r="BM90" i="1" s="1"/>
  <c r="BM102" i="1" s="1"/>
  <c r="BM114" i="1" s="1"/>
  <c r="BN78" i="1"/>
  <c r="BN90" i="1" s="1"/>
  <c r="BN102" i="1" s="1"/>
  <c r="BN114" i="1" s="1"/>
  <c r="BO78" i="1"/>
  <c r="AW79" i="1"/>
  <c r="AW91" i="1" s="1"/>
  <c r="AW103" i="1" s="1"/>
  <c r="AW115" i="1" s="1"/>
  <c r="AX79" i="1"/>
  <c r="AX91" i="1" s="1"/>
  <c r="AX103" i="1" s="1"/>
  <c r="AX115" i="1" s="1"/>
  <c r="AY79" i="1"/>
  <c r="AY91" i="1" s="1"/>
  <c r="AY103" i="1" s="1"/>
  <c r="AY115" i="1" s="1"/>
  <c r="AZ79" i="1"/>
  <c r="AZ91" i="1" s="1"/>
  <c r="AZ103" i="1" s="1"/>
  <c r="AZ115" i="1" s="1"/>
  <c r="BA79" i="1"/>
  <c r="BA91" i="1" s="1"/>
  <c r="BA103" i="1" s="1"/>
  <c r="BA115" i="1" s="1"/>
  <c r="BB79" i="1"/>
  <c r="BB91" i="1" s="1"/>
  <c r="BB103" i="1" s="1"/>
  <c r="BB115" i="1" s="1"/>
  <c r="BC79" i="1"/>
  <c r="BC91" i="1" s="1"/>
  <c r="BC103" i="1" s="1"/>
  <c r="BC115" i="1" s="1"/>
  <c r="BD79" i="1"/>
  <c r="BD91" i="1" s="1"/>
  <c r="BD103" i="1" s="1"/>
  <c r="BD115" i="1" s="1"/>
  <c r="BE79" i="1"/>
  <c r="BE91" i="1" s="1"/>
  <c r="BE103" i="1" s="1"/>
  <c r="BE115" i="1" s="1"/>
  <c r="BF79" i="1"/>
  <c r="BF91" i="1" s="1"/>
  <c r="BF103" i="1" s="1"/>
  <c r="BF115" i="1" s="1"/>
  <c r="BG79" i="1"/>
  <c r="BG91" i="1" s="1"/>
  <c r="BG103" i="1" s="1"/>
  <c r="BG115" i="1" s="1"/>
  <c r="BH79" i="1"/>
  <c r="BH91" i="1" s="1"/>
  <c r="BH103" i="1" s="1"/>
  <c r="BH115" i="1" s="1"/>
  <c r="BI79" i="1"/>
  <c r="BI91" i="1" s="1"/>
  <c r="BI103" i="1" s="1"/>
  <c r="BI115" i="1" s="1"/>
  <c r="BJ79" i="1"/>
  <c r="BJ91" i="1" s="1"/>
  <c r="BJ103" i="1" s="1"/>
  <c r="BJ115" i="1" s="1"/>
  <c r="BK79" i="1"/>
  <c r="BK91" i="1" s="1"/>
  <c r="BK103" i="1" s="1"/>
  <c r="BK115" i="1" s="1"/>
  <c r="BL79" i="1"/>
  <c r="BL91" i="1" s="1"/>
  <c r="BL103" i="1" s="1"/>
  <c r="BL115" i="1" s="1"/>
  <c r="BM79" i="1"/>
  <c r="BM91" i="1" s="1"/>
  <c r="BM103" i="1" s="1"/>
  <c r="BM115" i="1" s="1"/>
  <c r="BN79" i="1"/>
  <c r="BN91" i="1" s="1"/>
  <c r="BN103" i="1" s="1"/>
  <c r="BN115" i="1" s="1"/>
  <c r="BO79" i="1"/>
  <c r="AW80" i="1"/>
  <c r="AW92" i="1" s="1"/>
  <c r="AW104" i="1" s="1"/>
  <c r="AW116" i="1" s="1"/>
  <c r="AX80" i="1"/>
  <c r="AX92" i="1" s="1"/>
  <c r="AX104" i="1" s="1"/>
  <c r="AX116" i="1" s="1"/>
  <c r="AY80" i="1"/>
  <c r="AZ80" i="1"/>
  <c r="AZ92" i="1" s="1"/>
  <c r="AZ104" i="1" s="1"/>
  <c r="AZ116" i="1" s="1"/>
  <c r="BA80" i="1"/>
  <c r="BA92" i="1" s="1"/>
  <c r="BA104" i="1" s="1"/>
  <c r="BA116" i="1" s="1"/>
  <c r="BB80" i="1"/>
  <c r="BB92" i="1" s="1"/>
  <c r="BB104" i="1" s="1"/>
  <c r="BB116" i="1" s="1"/>
  <c r="BC80" i="1"/>
  <c r="BC92" i="1" s="1"/>
  <c r="BC104" i="1" s="1"/>
  <c r="BC116" i="1" s="1"/>
  <c r="BD80" i="1"/>
  <c r="BD92" i="1" s="1"/>
  <c r="BD104" i="1" s="1"/>
  <c r="BD116" i="1" s="1"/>
  <c r="BE80" i="1"/>
  <c r="BE92" i="1" s="1"/>
  <c r="BE104" i="1" s="1"/>
  <c r="BE116" i="1" s="1"/>
  <c r="BF80" i="1"/>
  <c r="BF92" i="1" s="1"/>
  <c r="BF104" i="1" s="1"/>
  <c r="BF116" i="1" s="1"/>
  <c r="BG80" i="1"/>
  <c r="BG92" i="1" s="1"/>
  <c r="BG104" i="1" s="1"/>
  <c r="BG116" i="1" s="1"/>
  <c r="BH80" i="1"/>
  <c r="BH92" i="1" s="1"/>
  <c r="BH104" i="1" s="1"/>
  <c r="BH116" i="1" s="1"/>
  <c r="BI80" i="1"/>
  <c r="BI92" i="1" s="1"/>
  <c r="BI104" i="1" s="1"/>
  <c r="BI116" i="1" s="1"/>
  <c r="BJ80" i="1"/>
  <c r="BJ92" i="1" s="1"/>
  <c r="BJ104" i="1" s="1"/>
  <c r="BJ116" i="1" s="1"/>
  <c r="BK80" i="1"/>
  <c r="BK92" i="1" s="1"/>
  <c r="BK104" i="1" s="1"/>
  <c r="BK116" i="1" s="1"/>
  <c r="BL80" i="1"/>
  <c r="BL92" i="1" s="1"/>
  <c r="BL104" i="1" s="1"/>
  <c r="BL116" i="1" s="1"/>
  <c r="BM80" i="1"/>
  <c r="BM92" i="1" s="1"/>
  <c r="BM104" i="1" s="1"/>
  <c r="BM116" i="1" s="1"/>
  <c r="BN80" i="1"/>
  <c r="BO80" i="1"/>
  <c r="AW81" i="1"/>
  <c r="AW93" i="1" s="1"/>
  <c r="AW105" i="1" s="1"/>
  <c r="AW117" i="1" s="1"/>
  <c r="AX81" i="1"/>
  <c r="AX93" i="1" s="1"/>
  <c r="AX105" i="1" s="1"/>
  <c r="AX117" i="1" s="1"/>
  <c r="AY81" i="1"/>
  <c r="AY93" i="1" s="1"/>
  <c r="AY105" i="1" s="1"/>
  <c r="AY117" i="1" s="1"/>
  <c r="AZ81" i="1"/>
  <c r="AZ93" i="1" s="1"/>
  <c r="AZ105" i="1" s="1"/>
  <c r="AZ117" i="1" s="1"/>
  <c r="BA81" i="1"/>
  <c r="BA93" i="1" s="1"/>
  <c r="BA105" i="1" s="1"/>
  <c r="BA117" i="1" s="1"/>
  <c r="BB81" i="1"/>
  <c r="BB93" i="1" s="1"/>
  <c r="BB105" i="1" s="1"/>
  <c r="BB117" i="1" s="1"/>
  <c r="BC81" i="1"/>
  <c r="BC93" i="1" s="1"/>
  <c r="BC105" i="1" s="1"/>
  <c r="BC117" i="1" s="1"/>
  <c r="BD81" i="1"/>
  <c r="BD93" i="1" s="1"/>
  <c r="BD105" i="1" s="1"/>
  <c r="BD117" i="1" s="1"/>
  <c r="BE81" i="1"/>
  <c r="BE93" i="1" s="1"/>
  <c r="BE105" i="1" s="1"/>
  <c r="BE117" i="1" s="1"/>
  <c r="BF81" i="1"/>
  <c r="BF93" i="1" s="1"/>
  <c r="BF105" i="1" s="1"/>
  <c r="BF117" i="1" s="1"/>
  <c r="BG81" i="1"/>
  <c r="BG93" i="1" s="1"/>
  <c r="BG105" i="1" s="1"/>
  <c r="BG117" i="1" s="1"/>
  <c r="BH81" i="1"/>
  <c r="BH93" i="1" s="1"/>
  <c r="BH105" i="1" s="1"/>
  <c r="BH117" i="1" s="1"/>
  <c r="BI81" i="1"/>
  <c r="BJ81" i="1"/>
  <c r="BJ93" i="1" s="1"/>
  <c r="BJ105" i="1" s="1"/>
  <c r="BJ117" i="1" s="1"/>
  <c r="BK81" i="1"/>
  <c r="BL81" i="1"/>
  <c r="BL93" i="1" s="1"/>
  <c r="BL105" i="1" s="1"/>
  <c r="BL117" i="1" s="1"/>
  <c r="BM81" i="1"/>
  <c r="BM93" i="1" s="1"/>
  <c r="BM105" i="1" s="1"/>
  <c r="BM117" i="1" s="1"/>
  <c r="BN81" i="1"/>
  <c r="BN93" i="1" s="1"/>
  <c r="BN105" i="1" s="1"/>
  <c r="BN117" i="1" s="1"/>
  <c r="BO81" i="1"/>
  <c r="AW82" i="1"/>
  <c r="AW94" i="1" s="1"/>
  <c r="AW106" i="1" s="1"/>
  <c r="AW118" i="1" s="1"/>
  <c r="AX82" i="1"/>
  <c r="AX94" i="1" s="1"/>
  <c r="AX106" i="1" s="1"/>
  <c r="AX118" i="1" s="1"/>
  <c r="AY82" i="1"/>
  <c r="AZ82" i="1"/>
  <c r="AZ94" i="1" s="1"/>
  <c r="AZ106" i="1" s="1"/>
  <c r="AZ118" i="1" s="1"/>
  <c r="BA82" i="1"/>
  <c r="BA94" i="1" s="1"/>
  <c r="BA106" i="1" s="1"/>
  <c r="BA118" i="1" s="1"/>
  <c r="BB82" i="1"/>
  <c r="BB94" i="1" s="1"/>
  <c r="BB106" i="1" s="1"/>
  <c r="BB118" i="1" s="1"/>
  <c r="BC82" i="1"/>
  <c r="BC94" i="1" s="1"/>
  <c r="BC106" i="1" s="1"/>
  <c r="BC118" i="1" s="1"/>
  <c r="BD82" i="1"/>
  <c r="BD94" i="1" s="1"/>
  <c r="BD106" i="1" s="1"/>
  <c r="BD118" i="1" s="1"/>
  <c r="BE82" i="1"/>
  <c r="BE94" i="1" s="1"/>
  <c r="BE106" i="1" s="1"/>
  <c r="BE118" i="1" s="1"/>
  <c r="BF82" i="1"/>
  <c r="BF94" i="1" s="1"/>
  <c r="BF106" i="1" s="1"/>
  <c r="BF118" i="1" s="1"/>
  <c r="BG82" i="1"/>
  <c r="BG94" i="1" s="1"/>
  <c r="BG106" i="1" s="1"/>
  <c r="BG118" i="1" s="1"/>
  <c r="BH82" i="1"/>
  <c r="BH94" i="1" s="1"/>
  <c r="BH106" i="1" s="1"/>
  <c r="BH118" i="1" s="1"/>
  <c r="BI82" i="1"/>
  <c r="BI94" i="1" s="1"/>
  <c r="BI106" i="1" s="1"/>
  <c r="BI118" i="1" s="1"/>
  <c r="BJ82" i="1"/>
  <c r="BJ94" i="1" s="1"/>
  <c r="BJ106" i="1" s="1"/>
  <c r="BJ118" i="1" s="1"/>
  <c r="BK82" i="1"/>
  <c r="BK94" i="1" s="1"/>
  <c r="BK106" i="1" s="1"/>
  <c r="BK118" i="1" s="1"/>
  <c r="BL82" i="1"/>
  <c r="BL94" i="1" s="1"/>
  <c r="BL106" i="1" s="1"/>
  <c r="BL118" i="1" s="1"/>
  <c r="BM82" i="1"/>
  <c r="BM94" i="1" s="1"/>
  <c r="BM106" i="1" s="1"/>
  <c r="BM118" i="1" s="1"/>
  <c r="BN82" i="1"/>
  <c r="BN94" i="1" s="1"/>
  <c r="BN106" i="1" s="1"/>
  <c r="BN118" i="1" s="1"/>
  <c r="BO82" i="1"/>
  <c r="AW83" i="1"/>
  <c r="AW95" i="1" s="1"/>
  <c r="AW107" i="1" s="1"/>
  <c r="AW119" i="1" s="1"/>
  <c r="AX83" i="1"/>
  <c r="AX95" i="1" s="1"/>
  <c r="AX107" i="1" s="1"/>
  <c r="AX119" i="1" s="1"/>
  <c r="AY83" i="1"/>
  <c r="AY95" i="1" s="1"/>
  <c r="AY107" i="1" s="1"/>
  <c r="AY119" i="1" s="1"/>
  <c r="AZ83" i="1"/>
  <c r="AZ95" i="1" s="1"/>
  <c r="AZ107" i="1" s="1"/>
  <c r="AZ119" i="1" s="1"/>
  <c r="BA83" i="1"/>
  <c r="BA95" i="1" s="1"/>
  <c r="BA107" i="1" s="1"/>
  <c r="BA119" i="1" s="1"/>
  <c r="BB83" i="1"/>
  <c r="BB95" i="1" s="1"/>
  <c r="BB107" i="1" s="1"/>
  <c r="BB119" i="1" s="1"/>
  <c r="BC83" i="1"/>
  <c r="BC95" i="1" s="1"/>
  <c r="BC107" i="1" s="1"/>
  <c r="BC119" i="1" s="1"/>
  <c r="BD83" i="1"/>
  <c r="BD95" i="1" s="1"/>
  <c r="BD107" i="1" s="1"/>
  <c r="BD119" i="1" s="1"/>
  <c r="BE83" i="1"/>
  <c r="BE95" i="1" s="1"/>
  <c r="BE107" i="1" s="1"/>
  <c r="BE119" i="1" s="1"/>
  <c r="BF83" i="1"/>
  <c r="BF95" i="1" s="1"/>
  <c r="BF107" i="1" s="1"/>
  <c r="BF119" i="1" s="1"/>
  <c r="BG83" i="1"/>
  <c r="BG95" i="1" s="1"/>
  <c r="BG107" i="1" s="1"/>
  <c r="BG119" i="1" s="1"/>
  <c r="BH83" i="1"/>
  <c r="BH95" i="1" s="1"/>
  <c r="BH107" i="1" s="1"/>
  <c r="BH119" i="1" s="1"/>
  <c r="BI83" i="1"/>
  <c r="BI95" i="1" s="1"/>
  <c r="BI107" i="1" s="1"/>
  <c r="BI119" i="1" s="1"/>
  <c r="BJ83" i="1"/>
  <c r="BJ95" i="1" s="1"/>
  <c r="BJ107" i="1" s="1"/>
  <c r="BJ119" i="1" s="1"/>
  <c r="BK83" i="1"/>
  <c r="BK95" i="1" s="1"/>
  <c r="BK107" i="1" s="1"/>
  <c r="BK119" i="1" s="1"/>
  <c r="BL83" i="1"/>
  <c r="BL95" i="1" s="1"/>
  <c r="BL107" i="1" s="1"/>
  <c r="BL119" i="1" s="1"/>
  <c r="BM83" i="1"/>
  <c r="BM95" i="1" s="1"/>
  <c r="BM107" i="1" s="1"/>
  <c r="BM119" i="1" s="1"/>
  <c r="BN83" i="1"/>
  <c r="BN95" i="1" s="1"/>
  <c r="BN107" i="1" s="1"/>
  <c r="BN119" i="1" s="1"/>
  <c r="BO83" i="1"/>
  <c r="AW84" i="1"/>
  <c r="AW96" i="1" s="1"/>
  <c r="AW108" i="1" s="1"/>
  <c r="AW120" i="1" s="1"/>
  <c r="AX84" i="1"/>
  <c r="AX96" i="1" s="1"/>
  <c r="AX108" i="1" s="1"/>
  <c r="AX120" i="1" s="1"/>
  <c r="AY84" i="1"/>
  <c r="AY96" i="1" s="1"/>
  <c r="AY108" i="1" s="1"/>
  <c r="AY120" i="1" s="1"/>
  <c r="AZ84" i="1"/>
  <c r="AZ96" i="1" s="1"/>
  <c r="AZ108" i="1" s="1"/>
  <c r="AZ120" i="1" s="1"/>
  <c r="BA84" i="1"/>
  <c r="BA96" i="1" s="1"/>
  <c r="BA108" i="1" s="1"/>
  <c r="BA120" i="1" s="1"/>
  <c r="BB84" i="1"/>
  <c r="BB96" i="1" s="1"/>
  <c r="BB108" i="1" s="1"/>
  <c r="BB120" i="1" s="1"/>
  <c r="BC84" i="1"/>
  <c r="BC96" i="1" s="1"/>
  <c r="BC108" i="1" s="1"/>
  <c r="BC120" i="1" s="1"/>
  <c r="BD84" i="1"/>
  <c r="BD96" i="1" s="1"/>
  <c r="BD108" i="1" s="1"/>
  <c r="BD120" i="1" s="1"/>
  <c r="BE84" i="1"/>
  <c r="BE96" i="1" s="1"/>
  <c r="BE108" i="1" s="1"/>
  <c r="BE120" i="1" s="1"/>
  <c r="BF84" i="1"/>
  <c r="BF96" i="1" s="1"/>
  <c r="BF108" i="1" s="1"/>
  <c r="BF120" i="1" s="1"/>
  <c r="BG84" i="1"/>
  <c r="BG96" i="1" s="1"/>
  <c r="BG108" i="1" s="1"/>
  <c r="BG120" i="1" s="1"/>
  <c r="BH84" i="1"/>
  <c r="BH96" i="1" s="1"/>
  <c r="BH108" i="1" s="1"/>
  <c r="BH120" i="1" s="1"/>
  <c r="BI84" i="1"/>
  <c r="BI96" i="1" s="1"/>
  <c r="BI108" i="1" s="1"/>
  <c r="BI120" i="1" s="1"/>
  <c r="BJ84" i="1"/>
  <c r="BJ96" i="1" s="1"/>
  <c r="BJ108" i="1" s="1"/>
  <c r="BJ120" i="1" s="1"/>
  <c r="BK84" i="1"/>
  <c r="BK96" i="1" s="1"/>
  <c r="BK108" i="1" s="1"/>
  <c r="BK120" i="1" s="1"/>
  <c r="BL84" i="1"/>
  <c r="BL96" i="1" s="1"/>
  <c r="BL108" i="1" s="1"/>
  <c r="BL120" i="1" s="1"/>
  <c r="BM84" i="1"/>
  <c r="BM96" i="1" s="1"/>
  <c r="BM108" i="1" s="1"/>
  <c r="BM120" i="1" s="1"/>
  <c r="BN84" i="1"/>
  <c r="BN96" i="1" s="1"/>
  <c r="BN108" i="1" s="1"/>
  <c r="BN120" i="1" s="1"/>
  <c r="BO84" i="1"/>
  <c r="AW85" i="1"/>
  <c r="AW97" i="1" s="1"/>
  <c r="AW109" i="1" s="1"/>
  <c r="AW121" i="1" s="1"/>
  <c r="AX85" i="1"/>
  <c r="AX97" i="1" s="1"/>
  <c r="AX109" i="1" s="1"/>
  <c r="AX121" i="1" s="1"/>
  <c r="AY85" i="1"/>
  <c r="AY97" i="1" s="1"/>
  <c r="AY109" i="1" s="1"/>
  <c r="AY121" i="1" s="1"/>
  <c r="AZ85" i="1"/>
  <c r="AZ97" i="1" s="1"/>
  <c r="AZ109" i="1" s="1"/>
  <c r="AZ121" i="1" s="1"/>
  <c r="BA85" i="1"/>
  <c r="BA97" i="1" s="1"/>
  <c r="BA109" i="1" s="1"/>
  <c r="BA121" i="1" s="1"/>
  <c r="BB85" i="1"/>
  <c r="BB97" i="1" s="1"/>
  <c r="BB109" i="1" s="1"/>
  <c r="BB121" i="1" s="1"/>
  <c r="BC85" i="1"/>
  <c r="BC97" i="1" s="1"/>
  <c r="BC109" i="1" s="1"/>
  <c r="BC121" i="1" s="1"/>
  <c r="BD85" i="1"/>
  <c r="BD97" i="1" s="1"/>
  <c r="BD109" i="1" s="1"/>
  <c r="BD121" i="1" s="1"/>
  <c r="BE85" i="1"/>
  <c r="BE97" i="1" s="1"/>
  <c r="BE109" i="1" s="1"/>
  <c r="BE121" i="1" s="1"/>
  <c r="BF85" i="1"/>
  <c r="BF97" i="1" s="1"/>
  <c r="BF109" i="1" s="1"/>
  <c r="BF121" i="1" s="1"/>
  <c r="BG85" i="1"/>
  <c r="BG97" i="1" s="1"/>
  <c r="BG109" i="1" s="1"/>
  <c r="BG121" i="1" s="1"/>
  <c r="BH85" i="1"/>
  <c r="BH97" i="1" s="1"/>
  <c r="BH109" i="1" s="1"/>
  <c r="BH121" i="1" s="1"/>
  <c r="BI85" i="1"/>
  <c r="BI97" i="1" s="1"/>
  <c r="BI109" i="1" s="1"/>
  <c r="BI121" i="1" s="1"/>
  <c r="BJ85" i="1"/>
  <c r="BJ97" i="1" s="1"/>
  <c r="BJ109" i="1" s="1"/>
  <c r="BJ121" i="1" s="1"/>
  <c r="BK85" i="1"/>
  <c r="BK97" i="1" s="1"/>
  <c r="BK109" i="1" s="1"/>
  <c r="BK121" i="1" s="1"/>
  <c r="BL85" i="1"/>
  <c r="BL97" i="1" s="1"/>
  <c r="BL109" i="1" s="1"/>
  <c r="BL121" i="1" s="1"/>
  <c r="BM85" i="1"/>
  <c r="BM97" i="1" s="1"/>
  <c r="BM109" i="1" s="1"/>
  <c r="BM121" i="1" s="1"/>
  <c r="BN85" i="1"/>
  <c r="BN97" i="1" s="1"/>
  <c r="BN109" i="1" s="1"/>
  <c r="BN121" i="1" s="1"/>
  <c r="BO85" i="1"/>
  <c r="BO86" i="1"/>
  <c r="AZ87" i="1"/>
  <c r="AZ99" i="1" s="1"/>
  <c r="AZ111" i="1" s="1"/>
  <c r="BO87" i="1"/>
  <c r="BA88" i="1"/>
  <c r="BA100" i="1" s="1"/>
  <c r="BA112" i="1" s="1"/>
  <c r="BJ88" i="1"/>
  <c r="BJ100" i="1" s="1"/>
  <c r="BJ112" i="1" s="1"/>
  <c r="BO88" i="1"/>
  <c r="H88" i="32" s="1"/>
  <c r="Q88" i="32" s="1"/>
  <c r="BN89" i="1"/>
  <c r="BN101" i="1" s="1"/>
  <c r="BN113" i="1" s="1"/>
  <c r="BO89" i="1"/>
  <c r="BE90" i="1"/>
  <c r="BE102" i="1" s="1"/>
  <c r="BE114" i="1" s="1"/>
  <c r="BO90" i="1"/>
  <c r="BO91" i="1"/>
  <c r="AY92" i="1"/>
  <c r="AY104" i="1" s="1"/>
  <c r="AY116" i="1" s="1"/>
  <c r="BN92" i="1"/>
  <c r="BN104" i="1" s="1"/>
  <c r="BN116" i="1" s="1"/>
  <c r="BO92" i="1"/>
  <c r="G92" i="27" s="1"/>
  <c r="O92" i="27" s="1"/>
  <c r="BI93" i="1"/>
  <c r="BI105" i="1" s="1"/>
  <c r="BI117" i="1" s="1"/>
  <c r="BK93" i="1"/>
  <c r="BK105" i="1" s="1"/>
  <c r="BK117" i="1" s="1"/>
  <c r="BO93" i="1"/>
  <c r="AY94" i="1"/>
  <c r="AY106" i="1" s="1"/>
  <c r="AY118" i="1" s="1"/>
  <c r="BO94" i="1"/>
  <c r="BO95" i="1"/>
  <c r="BO96" i="1"/>
  <c r="BO97" i="1"/>
  <c r="BO98" i="1"/>
  <c r="BD99" i="1"/>
  <c r="BD111" i="1" s="1"/>
  <c r="BO99" i="1"/>
  <c r="BO100" i="1"/>
  <c r="BO101" i="1"/>
  <c r="BO102" i="1"/>
  <c r="BO103" i="1"/>
  <c r="BO104" i="1"/>
  <c r="BO105" i="1"/>
  <c r="BO106" i="1"/>
  <c r="BO107" i="1"/>
  <c r="BO108" i="1"/>
  <c r="G108" i="31" s="1"/>
  <c r="O108" i="31" s="1"/>
  <c r="BO109" i="1"/>
  <c r="BO110" i="1"/>
  <c r="BO111" i="1"/>
  <c r="BO112" i="1"/>
  <c r="BO113" i="1"/>
  <c r="BO114" i="1"/>
  <c r="BO115" i="1"/>
  <c r="BO116" i="1"/>
  <c r="BO117" i="1"/>
  <c r="BO118" i="1"/>
  <c r="BO119" i="1"/>
  <c r="BO120" i="1"/>
  <c r="BO121" i="1"/>
  <c r="B129" i="5"/>
  <c r="B130" i="5"/>
  <c r="B131" i="5"/>
  <c r="B132" i="5"/>
  <c r="B133" i="5"/>
  <c r="B134" i="5"/>
  <c r="B135" i="5"/>
  <c r="B136" i="5"/>
  <c r="B137" i="5"/>
  <c r="B138" i="5"/>
  <c r="B139" i="5"/>
  <c r="B140" i="5"/>
  <c r="B141" i="5"/>
  <c r="B142" i="5"/>
  <c r="B143" i="5"/>
  <c r="B144" i="5"/>
  <c r="B145" i="5"/>
  <c r="B112" i="5"/>
  <c r="B113" i="5"/>
  <c r="B114" i="5"/>
  <c r="B115" i="5"/>
  <c r="B116" i="5"/>
  <c r="B117" i="5"/>
  <c r="B118" i="5"/>
  <c r="B119" i="5"/>
  <c r="B120" i="5"/>
  <c r="B121" i="5"/>
  <c r="B122" i="5"/>
  <c r="B123" i="5"/>
  <c r="B124" i="5"/>
  <c r="B125" i="5"/>
  <c r="B126" i="5"/>
  <c r="B127" i="5"/>
  <c r="B128"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I21" i="38"/>
  <c r="D21" i="38"/>
  <c r="K11" i="38"/>
  <c r="H11" i="38"/>
  <c r="E11" i="38"/>
  <c r="K10" i="38"/>
  <c r="H10" i="38"/>
  <c r="E10" i="38"/>
  <c r="J70" i="37"/>
  <c r="J69" i="37"/>
  <c r="J55" i="37" s="1"/>
  <c r="J68" i="37"/>
  <c r="J54" i="37" s="1"/>
  <c r="J67" i="37"/>
  <c r="J53" i="37" s="1"/>
  <c r="J66" i="37"/>
  <c r="J65" i="37"/>
  <c r="J64" i="37"/>
  <c r="J50" i="37" s="1"/>
  <c r="J63" i="37"/>
  <c r="J49" i="37" s="1"/>
  <c r="J62" i="37"/>
  <c r="J48" i="37" s="1"/>
  <c r="J61" i="37"/>
  <c r="J47" i="37" s="1"/>
  <c r="O60" i="37"/>
  <c r="N60" i="37"/>
  <c r="M60" i="37"/>
  <c r="J56" i="37"/>
  <c r="E56" i="37"/>
  <c r="D56" i="37"/>
  <c r="C56" i="37"/>
  <c r="S55" i="37"/>
  <c r="E55" i="37"/>
  <c r="D55" i="37"/>
  <c r="C55" i="37"/>
  <c r="J52" i="37"/>
  <c r="S51" i="37"/>
  <c r="J51" i="37"/>
  <c r="S50" i="37"/>
  <c r="S49" i="37"/>
  <c r="S48" i="37"/>
  <c r="S47" i="37"/>
  <c r="M38" i="37"/>
  <c r="M37" i="37"/>
  <c r="H12" i="37"/>
  <c r="M36" i="37"/>
  <c r="O27" i="37"/>
  <c r="M27" i="37"/>
  <c r="M26" i="37"/>
  <c r="M25" i="37"/>
  <c r="Q24" i="37"/>
  <c r="M24" i="37"/>
  <c r="O23" i="37"/>
  <c r="N23" i="37"/>
  <c r="M23" i="37"/>
  <c r="G23" i="37"/>
  <c r="F23" i="37"/>
  <c r="E23" i="37"/>
  <c r="D23" i="37"/>
  <c r="C23" i="37"/>
  <c r="M22" i="37"/>
  <c r="I22" i="37"/>
  <c r="I23" i="37" s="1"/>
  <c r="M21" i="37"/>
  <c r="I21" i="37"/>
  <c r="M20" i="37"/>
  <c r="M19" i="37"/>
  <c r="M18" i="37"/>
  <c r="F14" i="37"/>
  <c r="E14" i="37"/>
  <c r="F15" i="37" s="1"/>
  <c r="D14" i="37"/>
  <c r="D15" i="37" s="1"/>
  <c r="C14" i="37"/>
  <c r="R13" i="37"/>
  <c r="R27" i="37" s="1"/>
  <c r="Q13" i="37"/>
  <c r="E59" i="37" s="1"/>
  <c r="P13" i="37"/>
  <c r="D59" i="37" s="1"/>
  <c r="O13" i="37"/>
  <c r="N13" i="37"/>
  <c r="N27" i="37" s="1"/>
  <c r="G13" i="37"/>
  <c r="G12" i="37"/>
  <c r="Q11" i="37"/>
  <c r="Q25" i="37" s="1"/>
  <c r="P11" i="37"/>
  <c r="P25" i="37" s="1"/>
  <c r="O11" i="37"/>
  <c r="O25" i="37" s="1"/>
  <c r="N11" i="37"/>
  <c r="N25" i="37" s="1"/>
  <c r="G11" i="37"/>
  <c r="R11" i="37" s="1"/>
  <c r="Q10" i="37"/>
  <c r="P10" i="37"/>
  <c r="O10" i="37"/>
  <c r="P24" i="37" s="1"/>
  <c r="N10" i="37"/>
  <c r="N24" i="37" s="1"/>
  <c r="G10" i="37"/>
  <c r="R10" i="37" s="1"/>
  <c r="Q9" i="37"/>
  <c r="Q23" i="37" s="1"/>
  <c r="P9" i="37"/>
  <c r="P23" i="37" s="1"/>
  <c r="O9" i="37"/>
  <c r="N9" i="37"/>
  <c r="G9" i="37"/>
  <c r="R9" i="37" s="1"/>
  <c r="G8" i="37"/>
  <c r="G7" i="37"/>
  <c r="I6" i="37"/>
  <c r="I7" i="37" s="1"/>
  <c r="I8" i="37" s="1"/>
  <c r="G6" i="37"/>
  <c r="I5" i="37"/>
  <c r="G5" i="37"/>
  <c r="G4" i="37"/>
  <c r="J97" i="29" l="1"/>
  <c r="S97" i="29" s="1"/>
  <c r="L97" i="45"/>
  <c r="Q99" i="27"/>
  <c r="L99" i="45"/>
  <c r="Q108" i="31"/>
  <c r="L108" i="45"/>
  <c r="J134" i="32"/>
  <c r="S134" i="32" s="1"/>
  <c r="L134" i="45"/>
  <c r="U134" i="45" s="1"/>
  <c r="Q101" i="31"/>
  <c r="L101" i="45"/>
  <c r="J92" i="29"/>
  <c r="S92" i="29" s="1"/>
  <c r="Q103" i="27"/>
  <c r="L103" i="45"/>
  <c r="Q87" i="27"/>
  <c r="L87" i="45"/>
  <c r="J105" i="29"/>
  <c r="S105" i="29" s="1"/>
  <c r="L105" i="45"/>
  <c r="J98" i="29"/>
  <c r="S98" i="29" s="1"/>
  <c r="L98" i="45"/>
  <c r="J113" i="29"/>
  <c r="S113" i="29" s="1"/>
  <c r="Q109" i="31"/>
  <c r="L109" i="45"/>
  <c r="Q93" i="31"/>
  <c r="L93" i="45"/>
  <c r="Q102" i="27"/>
  <c r="L102" i="45"/>
  <c r="Q86" i="27"/>
  <c r="L86" i="45"/>
  <c r="J136" i="32"/>
  <c r="S136" i="32" s="1"/>
  <c r="K118" i="44"/>
  <c r="I118" i="31"/>
  <c r="I118" i="27"/>
  <c r="Q118" i="27" s="1"/>
  <c r="I111" i="31"/>
  <c r="I111" i="27"/>
  <c r="Q111" i="27" s="1"/>
  <c r="K111" i="44"/>
  <c r="K120" i="44"/>
  <c r="I120" i="31"/>
  <c r="I120" i="27"/>
  <c r="K113" i="44"/>
  <c r="I113" i="31"/>
  <c r="I113" i="27"/>
  <c r="Q113" i="27" s="1"/>
  <c r="K115" i="44"/>
  <c r="I115" i="31"/>
  <c r="Q115" i="31" s="1"/>
  <c r="I115" i="27"/>
  <c r="Q115" i="27" s="1"/>
  <c r="Q112" i="31"/>
  <c r="K117" i="44"/>
  <c r="I117" i="31"/>
  <c r="I117" i="27"/>
  <c r="Q117" i="27" s="1"/>
  <c r="I110" i="31"/>
  <c r="Q110" i="31" s="1"/>
  <c r="K110" i="44"/>
  <c r="I110" i="27"/>
  <c r="I119" i="31"/>
  <c r="Q119" i="31" s="1"/>
  <c r="K119" i="44"/>
  <c r="I119" i="27"/>
  <c r="Q119" i="27" s="1"/>
  <c r="I112" i="31"/>
  <c r="I112" i="27"/>
  <c r="Q112" i="27" s="1"/>
  <c r="K112" i="44"/>
  <c r="K121" i="44"/>
  <c r="I121" i="31"/>
  <c r="Q121" i="31" s="1"/>
  <c r="I121" i="27"/>
  <c r="Q121" i="27" s="1"/>
  <c r="I114" i="31"/>
  <c r="Q114" i="31" s="1"/>
  <c r="I114" i="27"/>
  <c r="Q114" i="27" s="1"/>
  <c r="K114" i="44"/>
  <c r="I116" i="31"/>
  <c r="Q116" i="31" s="1"/>
  <c r="I116" i="27"/>
  <c r="Q116" i="27" s="1"/>
  <c r="K116" i="44"/>
  <c r="H103" i="32"/>
  <c r="Q103" i="32" s="1"/>
  <c r="G103" i="31"/>
  <c r="O103" i="31" s="1"/>
  <c r="G103" i="30"/>
  <c r="N103" i="30" s="1"/>
  <c r="H103" i="29"/>
  <c r="Q103" i="29" s="1"/>
  <c r="G103" i="27"/>
  <c r="O103" i="27" s="1"/>
  <c r="H121" i="32"/>
  <c r="Q121" i="32" s="1"/>
  <c r="G121" i="31"/>
  <c r="O121" i="31" s="1"/>
  <c r="H121" i="29"/>
  <c r="Q121" i="29" s="1"/>
  <c r="G121" i="30"/>
  <c r="N121" i="30" s="1"/>
  <c r="G121" i="27"/>
  <c r="O121" i="27" s="1"/>
  <c r="G104" i="31"/>
  <c r="O104" i="31" s="1"/>
  <c r="H104" i="32"/>
  <c r="Q104" i="32" s="1"/>
  <c r="G104" i="30"/>
  <c r="N104" i="30" s="1"/>
  <c r="H104" i="29"/>
  <c r="Q104" i="29" s="1"/>
  <c r="G104" i="27"/>
  <c r="O104" i="27" s="1"/>
  <c r="H119" i="32"/>
  <c r="Q119" i="32" s="1"/>
  <c r="G119" i="31"/>
  <c r="O119" i="31" s="1"/>
  <c r="H119" i="29"/>
  <c r="Q119" i="29" s="1"/>
  <c r="G119" i="30"/>
  <c r="N119" i="30" s="1"/>
  <c r="G119" i="27"/>
  <c r="O119" i="27" s="1"/>
  <c r="G105" i="31"/>
  <c r="O105" i="31" s="1"/>
  <c r="H105" i="32"/>
  <c r="Q105" i="32" s="1"/>
  <c r="G105" i="30"/>
  <c r="N105" i="30" s="1"/>
  <c r="H105" i="29"/>
  <c r="Q105" i="29" s="1"/>
  <c r="G105" i="27"/>
  <c r="O105" i="27" s="1"/>
  <c r="H120" i="32"/>
  <c r="Q120" i="32" s="1"/>
  <c r="G120" i="31"/>
  <c r="O120" i="31" s="1"/>
  <c r="H120" i="29"/>
  <c r="Q120" i="29" s="1"/>
  <c r="G120" i="30"/>
  <c r="N120" i="30" s="1"/>
  <c r="G120" i="27"/>
  <c r="O120" i="27" s="1"/>
  <c r="H93" i="32"/>
  <c r="Q93" i="32" s="1"/>
  <c r="G93" i="31"/>
  <c r="H93" i="29"/>
  <c r="Q93" i="29" s="1"/>
  <c r="G93" i="30"/>
  <c r="G93" i="27"/>
  <c r="O93" i="27" s="1"/>
  <c r="G106" i="31"/>
  <c r="O106" i="31" s="1"/>
  <c r="G106" i="30"/>
  <c r="N106" i="30" s="1"/>
  <c r="H106" i="32"/>
  <c r="Q106" i="32" s="1"/>
  <c r="H106" i="29"/>
  <c r="Q106" i="29" s="1"/>
  <c r="G106" i="27"/>
  <c r="O106" i="27" s="1"/>
  <c r="H118" i="32"/>
  <c r="Q118" i="32" s="1"/>
  <c r="G118" i="30"/>
  <c r="N118" i="30" s="1"/>
  <c r="H118" i="29"/>
  <c r="Q118" i="29" s="1"/>
  <c r="G118" i="31"/>
  <c r="O118" i="31" s="1"/>
  <c r="G102" i="31"/>
  <c r="O102" i="31" s="1"/>
  <c r="H102" i="32"/>
  <c r="Q102" i="32" s="1"/>
  <c r="G102" i="30"/>
  <c r="N102" i="30" s="1"/>
  <c r="G102" i="27"/>
  <c r="O102" i="27" s="1"/>
  <c r="G85" i="31"/>
  <c r="G85" i="30"/>
  <c r="H85" i="32"/>
  <c r="Q85" i="32" s="1"/>
  <c r="G85" i="27"/>
  <c r="O85" i="27" s="1"/>
  <c r="H100" i="32"/>
  <c r="Q100" i="32" s="1"/>
  <c r="G100" i="30"/>
  <c r="N100" i="30" s="1"/>
  <c r="H100" i="29"/>
  <c r="Q100" i="29" s="1"/>
  <c r="G100" i="27"/>
  <c r="O100" i="27" s="1"/>
  <c r="H79" i="32"/>
  <c r="Q79" i="32" s="1"/>
  <c r="G79" i="30"/>
  <c r="G79" i="31"/>
  <c r="H79" i="29"/>
  <c r="Q79" i="29" s="1"/>
  <c r="G79" i="27"/>
  <c r="O79" i="27" s="1"/>
  <c r="G114" i="31"/>
  <c r="O114" i="31" s="1"/>
  <c r="G114" i="30"/>
  <c r="N114" i="30" s="1"/>
  <c r="G114" i="27"/>
  <c r="O114" i="27" s="1"/>
  <c r="H114" i="29"/>
  <c r="Q114" i="29" s="1"/>
  <c r="Q19" i="27"/>
  <c r="Q19" i="31"/>
  <c r="Q120" i="31"/>
  <c r="Q120" i="27"/>
  <c r="Q104" i="31"/>
  <c r="Q104" i="27"/>
  <c r="Q88" i="31"/>
  <c r="Q88" i="27"/>
  <c r="G88" i="30"/>
  <c r="H117" i="32"/>
  <c r="Q117" i="32" s="1"/>
  <c r="G117" i="30"/>
  <c r="N117" i="30" s="1"/>
  <c r="G117" i="31"/>
  <c r="O117" i="31" s="1"/>
  <c r="G117" i="27"/>
  <c r="O117" i="27" s="1"/>
  <c r="H117" i="29"/>
  <c r="Q117" i="29" s="1"/>
  <c r="H85" i="29"/>
  <c r="Q85" i="29" s="1"/>
  <c r="G100" i="31"/>
  <c r="O100" i="31" s="1"/>
  <c r="G99" i="31"/>
  <c r="O99" i="31" s="1"/>
  <c r="H99" i="32"/>
  <c r="Q99" i="32" s="1"/>
  <c r="G99" i="30"/>
  <c r="N99" i="30" s="1"/>
  <c r="H99" i="29"/>
  <c r="Q99" i="29" s="1"/>
  <c r="G99" i="27"/>
  <c r="O99" i="27" s="1"/>
  <c r="J2" i="32"/>
  <c r="S2" i="32" s="1"/>
  <c r="Q2" i="31"/>
  <c r="J42" i="29"/>
  <c r="S42" i="29" s="1"/>
  <c r="Q42" i="27"/>
  <c r="H89" i="32"/>
  <c r="Q89" i="32" s="1"/>
  <c r="G89" i="30"/>
  <c r="H89" i="29"/>
  <c r="Q89" i="29" s="1"/>
  <c r="G89" i="31"/>
  <c r="Q28" i="31"/>
  <c r="J28" i="32"/>
  <c r="S28" i="32" s="1"/>
  <c r="J28" i="29"/>
  <c r="S28" i="29" s="1"/>
  <c r="Q81" i="27"/>
  <c r="J81" i="29"/>
  <c r="S81" i="29" s="1"/>
  <c r="Q58" i="27"/>
  <c r="G101" i="31"/>
  <c r="O101" i="31" s="1"/>
  <c r="H101" i="29"/>
  <c r="Q101" i="29" s="1"/>
  <c r="H101" i="32"/>
  <c r="Q101" i="32" s="1"/>
  <c r="G101" i="27"/>
  <c r="O101" i="27" s="1"/>
  <c r="G116" i="30"/>
  <c r="N116" i="30" s="1"/>
  <c r="H116" i="32"/>
  <c r="Q116" i="32" s="1"/>
  <c r="G116" i="31"/>
  <c r="O116" i="31" s="1"/>
  <c r="G116" i="27"/>
  <c r="O116" i="27" s="1"/>
  <c r="H116" i="29"/>
  <c r="Q116" i="29" s="1"/>
  <c r="G90" i="31"/>
  <c r="G90" i="30"/>
  <c r="H90" i="32"/>
  <c r="Q90" i="32" s="1"/>
  <c r="H90" i="29"/>
  <c r="Q90" i="29" s="1"/>
  <c r="G84" i="31"/>
  <c r="G84" i="30"/>
  <c r="H84" i="32"/>
  <c r="Q84" i="32" s="1"/>
  <c r="G84" i="27"/>
  <c r="O84" i="27" s="1"/>
  <c r="J26" i="29"/>
  <c r="S26" i="29" s="1"/>
  <c r="Q26" i="27"/>
  <c r="J10" i="29"/>
  <c r="S10" i="29" s="1"/>
  <c r="Q10" i="27"/>
  <c r="H78" i="32"/>
  <c r="Q78" i="32" s="1"/>
  <c r="G78" i="31"/>
  <c r="H78" i="29"/>
  <c r="Q78" i="29" s="1"/>
  <c r="G78" i="30"/>
  <c r="G78" i="27"/>
  <c r="O78" i="27" s="1"/>
  <c r="G83" i="31"/>
  <c r="G83" i="30"/>
  <c r="H83" i="32"/>
  <c r="Q83" i="32" s="1"/>
  <c r="G83" i="27"/>
  <c r="O83" i="27" s="1"/>
  <c r="Q60" i="31"/>
  <c r="J60" i="32"/>
  <c r="S60" i="32" s="1"/>
  <c r="J60" i="29"/>
  <c r="S60" i="29" s="1"/>
  <c r="Q37" i="31"/>
  <c r="Q37" i="27"/>
  <c r="J106" i="29"/>
  <c r="S106" i="29" s="1"/>
  <c r="Q106" i="31"/>
  <c r="Q106" i="27"/>
  <c r="J90" i="29"/>
  <c r="S90" i="29" s="1"/>
  <c r="J90" i="32"/>
  <c r="S90" i="32" s="1"/>
  <c r="J74" i="29"/>
  <c r="S74" i="29" s="1"/>
  <c r="Q74" i="31"/>
  <c r="Q74" i="27"/>
  <c r="G101" i="30"/>
  <c r="N101" i="30" s="1"/>
  <c r="G135" i="30"/>
  <c r="N135" i="30" s="1"/>
  <c r="N87" i="30"/>
  <c r="G92" i="31"/>
  <c r="G92" i="30"/>
  <c r="H92" i="32"/>
  <c r="Q92" i="32" s="1"/>
  <c r="H92" i="29"/>
  <c r="Q92" i="29" s="1"/>
  <c r="J62" i="29"/>
  <c r="S62" i="29" s="1"/>
  <c r="Q62" i="31"/>
  <c r="J62" i="32"/>
  <c r="S62" i="32" s="1"/>
  <c r="Q46" i="31"/>
  <c r="J46" i="29"/>
  <c r="S46" i="29" s="1"/>
  <c r="J30" i="29"/>
  <c r="S30" i="29" s="1"/>
  <c r="Q30" i="31"/>
  <c r="J30" i="32"/>
  <c r="S30" i="32" s="1"/>
  <c r="Q14" i="31"/>
  <c r="J14" i="29"/>
  <c r="S14" i="29" s="1"/>
  <c r="Q83" i="31"/>
  <c r="Q83" i="27"/>
  <c r="G118" i="27"/>
  <c r="O118" i="27" s="1"/>
  <c r="J95" i="29"/>
  <c r="S95" i="29" s="1"/>
  <c r="J95" i="32"/>
  <c r="S95" i="32" s="1"/>
  <c r="Q95" i="31"/>
  <c r="G77" i="31"/>
  <c r="H77" i="32"/>
  <c r="Q77" i="32" s="1"/>
  <c r="G77" i="30"/>
  <c r="H77" i="29"/>
  <c r="Q77" i="29" s="1"/>
  <c r="G77" i="27"/>
  <c r="O77" i="27" s="1"/>
  <c r="G136" i="31"/>
  <c r="O136" i="31" s="1"/>
  <c r="O88" i="31"/>
  <c r="G115" i="30"/>
  <c r="N115" i="30" s="1"/>
  <c r="H115" i="32"/>
  <c r="Q115" i="32" s="1"/>
  <c r="G115" i="31"/>
  <c r="O115" i="31" s="1"/>
  <c r="G115" i="27"/>
  <c r="O115" i="27" s="1"/>
  <c r="H115" i="29"/>
  <c r="Q115" i="29" s="1"/>
  <c r="G94" i="31"/>
  <c r="G94" i="30"/>
  <c r="H94" i="29"/>
  <c r="Q94" i="29" s="1"/>
  <c r="H94" i="32"/>
  <c r="Q94" i="32" s="1"/>
  <c r="H136" i="32"/>
  <c r="Q136" i="32" s="1"/>
  <c r="G112" i="31"/>
  <c r="O112" i="31" s="1"/>
  <c r="H112" i="32"/>
  <c r="Q112" i="32" s="1"/>
  <c r="G112" i="27"/>
  <c r="O112" i="27" s="1"/>
  <c r="H112" i="29"/>
  <c r="Q112" i="29" s="1"/>
  <c r="G97" i="31"/>
  <c r="H97" i="32"/>
  <c r="Q97" i="32" s="1"/>
  <c r="H97" i="29"/>
  <c r="Q97" i="29" s="1"/>
  <c r="G97" i="30"/>
  <c r="G97" i="27"/>
  <c r="O97" i="27" s="1"/>
  <c r="H87" i="32"/>
  <c r="Q87" i="32" s="1"/>
  <c r="G87" i="31"/>
  <c r="Q64" i="31"/>
  <c r="J64" i="32"/>
  <c r="S64" i="32" s="1"/>
  <c r="Q48" i="31"/>
  <c r="J48" i="29"/>
  <c r="S48" i="29" s="1"/>
  <c r="Q16" i="31"/>
  <c r="J16" i="29"/>
  <c r="S16" i="29" s="1"/>
  <c r="J78" i="29"/>
  <c r="S78" i="29" s="1"/>
  <c r="H111" i="32"/>
  <c r="Q111" i="32" s="1"/>
  <c r="G111" i="31"/>
  <c r="O111" i="31" s="1"/>
  <c r="H111" i="29"/>
  <c r="Q111" i="29" s="1"/>
  <c r="G111" i="30"/>
  <c r="N111" i="30" s="1"/>
  <c r="G76" i="31"/>
  <c r="G76" i="30"/>
  <c r="H76" i="29"/>
  <c r="Q76" i="29" s="1"/>
  <c r="H76" i="32"/>
  <c r="Q76" i="32" s="1"/>
  <c r="J41" i="29"/>
  <c r="S41" i="29" s="1"/>
  <c r="Q41" i="27"/>
  <c r="J25" i="29"/>
  <c r="S25" i="29" s="1"/>
  <c r="J25" i="32"/>
  <c r="S25" i="32" s="1"/>
  <c r="Q25" i="31"/>
  <c r="Q25" i="27"/>
  <c r="J94" i="29"/>
  <c r="S94" i="29" s="1"/>
  <c r="J94" i="32"/>
  <c r="S94" i="32" s="1"/>
  <c r="Q94" i="31"/>
  <c r="Q105" i="27"/>
  <c r="J57" i="32"/>
  <c r="S57" i="32" s="1"/>
  <c r="Q92" i="31"/>
  <c r="J92" i="32"/>
  <c r="S92" i="32" s="1"/>
  <c r="H110" i="32"/>
  <c r="Q110" i="32" s="1"/>
  <c r="H110" i="29"/>
  <c r="Q110" i="29" s="1"/>
  <c r="G110" i="30"/>
  <c r="N110" i="30" s="1"/>
  <c r="H96" i="32"/>
  <c r="Q96" i="32" s="1"/>
  <c r="G96" i="30"/>
  <c r="H96" i="29"/>
  <c r="Q96" i="29" s="1"/>
  <c r="G96" i="27"/>
  <c r="O96" i="27" s="1"/>
  <c r="H81" i="32"/>
  <c r="Q81" i="32" s="1"/>
  <c r="G81" i="31"/>
  <c r="G81" i="30"/>
  <c r="G81" i="27"/>
  <c r="O81" i="27" s="1"/>
  <c r="Q50" i="27"/>
  <c r="J50" i="29"/>
  <c r="S50" i="29" s="1"/>
  <c r="Q18" i="27"/>
  <c r="J18" i="29"/>
  <c r="S18" i="29" s="1"/>
  <c r="G76" i="27"/>
  <c r="O76" i="27" s="1"/>
  <c r="J32" i="32"/>
  <c r="S32" i="32" s="1"/>
  <c r="G82" i="30"/>
  <c r="H82" i="32"/>
  <c r="Q82" i="32" s="1"/>
  <c r="G82" i="31"/>
  <c r="G82" i="27"/>
  <c r="O82" i="27" s="1"/>
  <c r="G144" i="31"/>
  <c r="O144" i="31" s="1"/>
  <c r="O96" i="31"/>
  <c r="H109" i="32"/>
  <c r="Q109" i="32" s="1"/>
  <c r="H109" i="29"/>
  <c r="Q109" i="29" s="1"/>
  <c r="G109" i="30"/>
  <c r="N109" i="30" s="1"/>
  <c r="G91" i="31"/>
  <c r="G91" i="30"/>
  <c r="H91" i="32"/>
  <c r="Q91" i="32" s="1"/>
  <c r="H91" i="29"/>
  <c r="Q91" i="29" s="1"/>
  <c r="Q59" i="31"/>
  <c r="J59" i="29"/>
  <c r="S59" i="29" s="1"/>
  <c r="Q27" i="31"/>
  <c r="J27" i="32"/>
  <c r="S27" i="32" s="1"/>
  <c r="J27" i="29"/>
  <c r="S27" i="29" s="1"/>
  <c r="Q96" i="31"/>
  <c r="J96" i="32"/>
  <c r="S96" i="32" s="1"/>
  <c r="G98" i="31"/>
  <c r="O98" i="31" s="1"/>
  <c r="H98" i="32"/>
  <c r="Q98" i="32" s="1"/>
  <c r="G98" i="30"/>
  <c r="N98" i="30" s="1"/>
  <c r="H98" i="29"/>
  <c r="Q98" i="29" s="1"/>
  <c r="G98" i="27"/>
  <c r="O98" i="27" s="1"/>
  <c r="H108" i="32"/>
  <c r="Q108" i="32" s="1"/>
  <c r="G108" i="30"/>
  <c r="N108" i="30" s="1"/>
  <c r="H108" i="29"/>
  <c r="Q108" i="29" s="1"/>
  <c r="G75" i="31"/>
  <c r="G75" i="30"/>
  <c r="H75" i="29"/>
  <c r="Q75" i="29" s="1"/>
  <c r="H75" i="32"/>
  <c r="Q75" i="32" s="1"/>
  <c r="Q36" i="31"/>
  <c r="Q36" i="27"/>
  <c r="J89" i="29"/>
  <c r="S89" i="29" s="1"/>
  <c r="J89" i="32"/>
  <c r="S89" i="32" s="1"/>
  <c r="Q89" i="31"/>
  <c r="Q89" i="27"/>
  <c r="J121" i="29"/>
  <c r="S121" i="29" s="1"/>
  <c r="J121" i="32"/>
  <c r="S121" i="32" s="1"/>
  <c r="Q101" i="27"/>
  <c r="J29" i="32"/>
  <c r="S29" i="32" s="1"/>
  <c r="G113" i="31"/>
  <c r="O113" i="31" s="1"/>
  <c r="H113" i="32"/>
  <c r="Q113" i="32" s="1"/>
  <c r="G113" i="30"/>
  <c r="N113" i="30" s="1"/>
  <c r="G113" i="27"/>
  <c r="O113" i="27" s="1"/>
  <c r="H113" i="29"/>
  <c r="Q113" i="29" s="1"/>
  <c r="H107" i="32"/>
  <c r="Q107" i="32" s="1"/>
  <c r="G107" i="30"/>
  <c r="N107" i="30" s="1"/>
  <c r="H107" i="29"/>
  <c r="Q107" i="29" s="1"/>
  <c r="G107" i="31"/>
  <c r="O107" i="31" s="1"/>
  <c r="H95" i="32"/>
  <c r="Q95" i="32" s="1"/>
  <c r="G95" i="31"/>
  <c r="G95" i="30"/>
  <c r="G86" i="31"/>
  <c r="G86" i="30"/>
  <c r="H86" i="32"/>
  <c r="Q86" i="32" s="1"/>
  <c r="H80" i="32"/>
  <c r="Q80" i="32" s="1"/>
  <c r="G80" i="31"/>
  <c r="G80" i="30"/>
  <c r="G80" i="27"/>
  <c r="O80" i="27" s="1"/>
  <c r="H80" i="29"/>
  <c r="Q80" i="29" s="1"/>
  <c r="Q61" i="31"/>
  <c r="J61" i="32"/>
  <c r="S61" i="32" s="1"/>
  <c r="Q45" i="31"/>
  <c r="J45" i="29"/>
  <c r="S45" i="29" s="1"/>
  <c r="Q13" i="31"/>
  <c r="J13" i="29"/>
  <c r="S13" i="29" s="1"/>
  <c r="J114" i="29"/>
  <c r="S114" i="29" s="1"/>
  <c r="G95" i="27"/>
  <c r="O95" i="27" s="1"/>
  <c r="Q9" i="27"/>
  <c r="Q70" i="31"/>
  <c r="J70" i="29"/>
  <c r="S70" i="29" s="1"/>
  <c r="J70" i="32"/>
  <c r="S70" i="32" s="1"/>
  <c r="Q70" i="27"/>
  <c r="Q91" i="31"/>
  <c r="Q91" i="27"/>
  <c r="J91" i="32"/>
  <c r="S91" i="32" s="1"/>
  <c r="J91" i="29"/>
  <c r="S91" i="29" s="1"/>
  <c r="Q75" i="31"/>
  <c r="Q75" i="27"/>
  <c r="J75" i="32"/>
  <c r="S75" i="32" s="1"/>
  <c r="J75" i="29"/>
  <c r="S75" i="29" s="1"/>
  <c r="J116" i="29"/>
  <c r="S116" i="29" s="1"/>
  <c r="J116" i="32"/>
  <c r="S116" i="32" s="1"/>
  <c r="J100" i="29"/>
  <c r="S100" i="29" s="1"/>
  <c r="J100" i="32"/>
  <c r="S100" i="32" s="1"/>
  <c r="Q100" i="31"/>
  <c r="Q100" i="27"/>
  <c r="Q107" i="31"/>
  <c r="Q107" i="27"/>
  <c r="J107" i="32"/>
  <c r="S107" i="32" s="1"/>
  <c r="J107" i="29"/>
  <c r="S107" i="29" s="1"/>
  <c r="I138" i="5"/>
  <c r="L138" i="45" s="1"/>
  <c r="U138" i="45" s="1"/>
  <c r="Q126" i="31"/>
  <c r="J126" i="32"/>
  <c r="S126" i="32" s="1"/>
  <c r="J63" i="29"/>
  <c r="S63" i="29" s="1"/>
  <c r="Q63" i="27"/>
  <c r="Q63" i="31"/>
  <c r="J63" i="32"/>
  <c r="S63" i="32" s="1"/>
  <c r="J31" i="32"/>
  <c r="S31" i="32" s="1"/>
  <c r="J31" i="29"/>
  <c r="S31" i="29" s="1"/>
  <c r="Q31" i="27"/>
  <c r="Q31" i="31"/>
  <c r="J84" i="29"/>
  <c r="S84" i="29" s="1"/>
  <c r="J84" i="32"/>
  <c r="S84" i="32" s="1"/>
  <c r="Q84" i="31"/>
  <c r="Q84" i="27"/>
  <c r="Q6" i="31"/>
  <c r="J6" i="29"/>
  <c r="S6" i="29" s="1"/>
  <c r="J6" i="32"/>
  <c r="S6" i="32" s="1"/>
  <c r="Q6" i="27"/>
  <c r="I137" i="5"/>
  <c r="L137" i="45" s="1"/>
  <c r="U137" i="45" s="1"/>
  <c r="Q125" i="31"/>
  <c r="J125" i="32"/>
  <c r="S125" i="32" s="1"/>
  <c r="Q54" i="31"/>
  <c r="J54" i="29"/>
  <c r="S54" i="29" s="1"/>
  <c r="J54" i="32"/>
  <c r="S54" i="32" s="1"/>
  <c r="Q54" i="27"/>
  <c r="Q22" i="31"/>
  <c r="J22" i="29"/>
  <c r="S22" i="29" s="1"/>
  <c r="J22" i="32"/>
  <c r="S22" i="32" s="1"/>
  <c r="Q22" i="27"/>
  <c r="Q38" i="31"/>
  <c r="J38" i="29"/>
  <c r="S38" i="29" s="1"/>
  <c r="J38" i="32"/>
  <c r="S38" i="32" s="1"/>
  <c r="Q38" i="27"/>
  <c r="Q47" i="27"/>
  <c r="Q47" i="31"/>
  <c r="J47" i="32"/>
  <c r="S47" i="32" s="1"/>
  <c r="J47" i="29"/>
  <c r="S47" i="29" s="1"/>
  <c r="Q15" i="27"/>
  <c r="Q15" i="31"/>
  <c r="J15" i="32"/>
  <c r="S15" i="32" s="1"/>
  <c r="J15" i="29"/>
  <c r="S15" i="29" s="1"/>
  <c r="J72" i="29"/>
  <c r="S72" i="29" s="1"/>
  <c r="J72" i="32"/>
  <c r="S72" i="32" s="1"/>
  <c r="J56" i="29"/>
  <c r="S56" i="29" s="1"/>
  <c r="J56" i="32"/>
  <c r="S56" i="32" s="1"/>
  <c r="Q24" i="27"/>
  <c r="J17" i="32"/>
  <c r="S17" i="32" s="1"/>
  <c r="Q17" i="31"/>
  <c r="J113" i="32"/>
  <c r="S113" i="32" s="1"/>
  <c r="Q113" i="31"/>
  <c r="I145" i="5"/>
  <c r="L145" i="45" s="1"/>
  <c r="U145" i="45" s="1"/>
  <c r="J133" i="32"/>
  <c r="S133" i="32" s="1"/>
  <c r="J115" i="29"/>
  <c r="S115" i="29" s="1"/>
  <c r="J115" i="32"/>
  <c r="S115" i="32" s="1"/>
  <c r="J99" i="29"/>
  <c r="S99" i="29" s="1"/>
  <c r="J99" i="32"/>
  <c r="S99" i="32" s="1"/>
  <c r="J83" i="29"/>
  <c r="S83" i="29" s="1"/>
  <c r="J83" i="32"/>
  <c r="S83" i="32" s="1"/>
  <c r="Q98" i="27"/>
  <c r="Q66" i="27"/>
  <c r="Q34" i="27"/>
  <c r="Q2" i="27"/>
  <c r="J108" i="29"/>
  <c r="S108" i="29" s="1"/>
  <c r="J76" i="29"/>
  <c r="S76" i="29" s="1"/>
  <c r="J44" i="29"/>
  <c r="S44" i="29" s="1"/>
  <c r="J12" i="29"/>
  <c r="S12" i="29" s="1"/>
  <c r="J112" i="32"/>
  <c r="S112" i="32" s="1"/>
  <c r="J80" i="32"/>
  <c r="S80" i="32" s="1"/>
  <c r="J48" i="32"/>
  <c r="S48" i="32" s="1"/>
  <c r="J16" i="32"/>
  <c r="S16" i="32" s="1"/>
  <c r="J135" i="32"/>
  <c r="S135" i="32" s="1"/>
  <c r="J40" i="29"/>
  <c r="S40" i="29" s="1"/>
  <c r="J40" i="32"/>
  <c r="S40" i="32" s="1"/>
  <c r="Q40" i="27"/>
  <c r="J71" i="29"/>
  <c r="S71" i="29" s="1"/>
  <c r="Q71" i="31"/>
  <c r="J71" i="32"/>
  <c r="S71" i="32" s="1"/>
  <c r="J55" i="29"/>
  <c r="S55" i="29" s="1"/>
  <c r="Q55" i="31"/>
  <c r="J55" i="32"/>
  <c r="S55" i="32" s="1"/>
  <c r="J39" i="29"/>
  <c r="S39" i="29" s="1"/>
  <c r="Q39" i="31"/>
  <c r="J39" i="32"/>
  <c r="S39" i="32" s="1"/>
  <c r="J23" i="29"/>
  <c r="S23" i="29" s="1"/>
  <c r="Q23" i="31"/>
  <c r="J23" i="32"/>
  <c r="S23" i="32" s="1"/>
  <c r="J7" i="29"/>
  <c r="S7" i="29" s="1"/>
  <c r="Q7" i="31"/>
  <c r="J7" i="32"/>
  <c r="S7" i="32" s="1"/>
  <c r="Q97" i="27"/>
  <c r="Q65" i="27"/>
  <c r="Q33" i="27"/>
  <c r="Q17" i="27"/>
  <c r="J43" i="29"/>
  <c r="S43" i="29" s="1"/>
  <c r="J11" i="29"/>
  <c r="S11" i="29" s="1"/>
  <c r="Q105" i="31"/>
  <c r="Q99" i="31"/>
  <c r="Q73" i="31"/>
  <c r="Q41" i="31"/>
  <c r="Q35" i="31"/>
  <c r="Q9" i="31"/>
  <c r="J111" i="32"/>
  <c r="S111" i="32" s="1"/>
  <c r="J79" i="32"/>
  <c r="S79" i="32" s="1"/>
  <c r="J128" i="32"/>
  <c r="S128" i="32" s="1"/>
  <c r="Q128" i="31"/>
  <c r="J49" i="32"/>
  <c r="S49" i="32" s="1"/>
  <c r="Q49" i="31"/>
  <c r="Q118" i="31"/>
  <c r="J118" i="29"/>
  <c r="S118" i="29" s="1"/>
  <c r="J118" i="32"/>
  <c r="S118" i="32" s="1"/>
  <c r="J17" i="29"/>
  <c r="S17" i="29" s="1"/>
  <c r="J93" i="32"/>
  <c r="S93" i="32" s="1"/>
  <c r="J67" i="29"/>
  <c r="S67" i="29" s="1"/>
  <c r="J67" i="32"/>
  <c r="S67" i="32" s="1"/>
  <c r="J19" i="29"/>
  <c r="S19" i="29" s="1"/>
  <c r="J19" i="32"/>
  <c r="S19" i="32" s="1"/>
  <c r="Q42" i="31"/>
  <c r="J69" i="29"/>
  <c r="S69" i="29" s="1"/>
  <c r="J69" i="32"/>
  <c r="S69" i="32" s="1"/>
  <c r="J77" i="29"/>
  <c r="S77" i="29" s="1"/>
  <c r="J117" i="29"/>
  <c r="S117" i="29" s="1"/>
  <c r="J117" i="32"/>
  <c r="S117" i="32" s="1"/>
  <c r="J101" i="29"/>
  <c r="S101" i="29" s="1"/>
  <c r="J101" i="32"/>
  <c r="S101" i="32" s="1"/>
  <c r="J85" i="29"/>
  <c r="S85" i="29" s="1"/>
  <c r="J85" i="32"/>
  <c r="S85" i="32" s="1"/>
  <c r="Q96" i="27"/>
  <c r="Q80" i="27"/>
  <c r="Q64" i="27"/>
  <c r="Q48" i="27"/>
  <c r="Q32" i="27"/>
  <c r="Q16" i="27"/>
  <c r="J2" i="29"/>
  <c r="S2" i="29" s="1"/>
  <c r="Q111" i="31"/>
  <c r="Q79" i="31"/>
  <c r="J110" i="32"/>
  <c r="S110" i="32" s="1"/>
  <c r="J78" i="32"/>
  <c r="S78" i="32" s="1"/>
  <c r="J46" i="32"/>
  <c r="S46" i="32" s="1"/>
  <c r="J14" i="32"/>
  <c r="S14" i="32" s="1"/>
  <c r="I139" i="5"/>
  <c r="L139" i="45" s="1"/>
  <c r="U139" i="45" s="1"/>
  <c r="J127" i="32"/>
  <c r="S127" i="32" s="1"/>
  <c r="Q127" i="31"/>
  <c r="Q8" i="27"/>
  <c r="J120" i="29"/>
  <c r="S120" i="29" s="1"/>
  <c r="J120" i="32"/>
  <c r="S120" i="32" s="1"/>
  <c r="J111" i="29"/>
  <c r="S111" i="29" s="1"/>
  <c r="J53" i="29"/>
  <c r="S53" i="29" s="1"/>
  <c r="J53" i="32"/>
  <c r="S53" i="32" s="1"/>
  <c r="J37" i="29"/>
  <c r="S37" i="29" s="1"/>
  <c r="J37" i="32"/>
  <c r="S37" i="32" s="1"/>
  <c r="J21" i="29"/>
  <c r="S21" i="29" s="1"/>
  <c r="J21" i="32"/>
  <c r="S21" i="32" s="1"/>
  <c r="Q95" i="27"/>
  <c r="Q79" i="27"/>
  <c r="Q117" i="31"/>
  <c r="Q85" i="31"/>
  <c r="Q53" i="31"/>
  <c r="Q21" i="31"/>
  <c r="J109" i="32"/>
  <c r="S109" i="32" s="1"/>
  <c r="J77" i="32"/>
  <c r="S77" i="32" s="1"/>
  <c r="J45" i="32"/>
  <c r="S45" i="32" s="1"/>
  <c r="J13" i="32"/>
  <c r="S13" i="32" s="1"/>
  <c r="Q72" i="27"/>
  <c r="J35" i="29"/>
  <c r="S35" i="29" s="1"/>
  <c r="J35" i="32"/>
  <c r="S35" i="32" s="1"/>
  <c r="J88" i="29"/>
  <c r="S88" i="29" s="1"/>
  <c r="J88" i="32"/>
  <c r="S88" i="32" s="1"/>
  <c r="J58" i="32"/>
  <c r="S58" i="32" s="1"/>
  <c r="J5" i="29"/>
  <c r="S5" i="29" s="1"/>
  <c r="J5" i="32"/>
  <c r="S5" i="32" s="1"/>
  <c r="J109" i="29"/>
  <c r="S109" i="29" s="1"/>
  <c r="I140" i="5"/>
  <c r="L140" i="45" s="1"/>
  <c r="U140" i="45" s="1"/>
  <c r="J66" i="32"/>
  <c r="S66" i="32" s="1"/>
  <c r="Q66" i="31"/>
  <c r="J50" i="32"/>
  <c r="S50" i="32" s="1"/>
  <c r="Q50" i="31"/>
  <c r="J34" i="32"/>
  <c r="S34" i="32" s="1"/>
  <c r="Q34" i="31"/>
  <c r="J18" i="32"/>
  <c r="S18" i="32" s="1"/>
  <c r="Q18" i="31"/>
  <c r="J119" i="29"/>
  <c r="S119" i="29" s="1"/>
  <c r="J119" i="32"/>
  <c r="S119" i="32" s="1"/>
  <c r="J103" i="29"/>
  <c r="S103" i="29" s="1"/>
  <c r="Q103" i="31"/>
  <c r="J103" i="32"/>
  <c r="S103" i="32" s="1"/>
  <c r="J87" i="29"/>
  <c r="S87" i="29" s="1"/>
  <c r="Q87" i="31"/>
  <c r="J87" i="32"/>
  <c r="S87" i="32" s="1"/>
  <c r="Q110" i="27"/>
  <c r="Q94" i="27"/>
  <c r="Q78" i="27"/>
  <c r="Q62" i="27"/>
  <c r="Q46" i="27"/>
  <c r="Q30" i="27"/>
  <c r="Q14" i="27"/>
  <c r="J96" i="29"/>
  <c r="S96" i="29" s="1"/>
  <c r="J64" i="29"/>
  <c r="S64" i="29" s="1"/>
  <c r="J32" i="29"/>
  <c r="S32" i="29" s="1"/>
  <c r="Q72" i="31"/>
  <c r="Q40" i="31"/>
  <c r="J108" i="32"/>
  <c r="S108" i="32" s="1"/>
  <c r="J76" i="32"/>
  <c r="S76" i="32" s="1"/>
  <c r="J44" i="32"/>
  <c r="S44" i="32" s="1"/>
  <c r="J12" i="32"/>
  <c r="S12" i="32" s="1"/>
  <c r="I141" i="5"/>
  <c r="L141" i="45" s="1"/>
  <c r="U141" i="45" s="1"/>
  <c r="J129" i="32"/>
  <c r="S129" i="32" s="1"/>
  <c r="J51" i="29"/>
  <c r="S51" i="29" s="1"/>
  <c r="J51" i="32"/>
  <c r="S51" i="32" s="1"/>
  <c r="J81" i="32"/>
  <c r="S81" i="32" s="1"/>
  <c r="Q81" i="31"/>
  <c r="J26" i="32"/>
  <c r="S26" i="32" s="1"/>
  <c r="J3" i="29"/>
  <c r="S3" i="29" s="1"/>
  <c r="Q3" i="31"/>
  <c r="Q109" i="27"/>
  <c r="Q93" i="27"/>
  <c r="Q77" i="27"/>
  <c r="Q61" i="27"/>
  <c r="Q45" i="27"/>
  <c r="Q29" i="27"/>
  <c r="Q13" i="27"/>
  <c r="J43" i="32"/>
  <c r="S43" i="32" s="1"/>
  <c r="J11" i="32"/>
  <c r="S11" i="32" s="1"/>
  <c r="J65" i="32"/>
  <c r="S65" i="32" s="1"/>
  <c r="Q65" i="31"/>
  <c r="J33" i="32"/>
  <c r="S33" i="32" s="1"/>
  <c r="Q33" i="31"/>
  <c r="Q102" i="31"/>
  <c r="J102" i="29"/>
  <c r="S102" i="29" s="1"/>
  <c r="J102" i="32"/>
  <c r="S102" i="32" s="1"/>
  <c r="Q86" i="31"/>
  <c r="J86" i="29"/>
  <c r="S86" i="29" s="1"/>
  <c r="J86" i="32"/>
  <c r="S86" i="32" s="1"/>
  <c r="J49" i="29"/>
  <c r="S49" i="29" s="1"/>
  <c r="Q56" i="31"/>
  <c r="J104" i="29"/>
  <c r="S104" i="29" s="1"/>
  <c r="J104" i="32"/>
  <c r="S104" i="32" s="1"/>
  <c r="Q10" i="31"/>
  <c r="Q67" i="27"/>
  <c r="J68" i="29"/>
  <c r="S68" i="29" s="1"/>
  <c r="J68" i="32"/>
  <c r="S68" i="32" s="1"/>
  <c r="J52" i="29"/>
  <c r="S52" i="29" s="1"/>
  <c r="J52" i="32"/>
  <c r="S52" i="32" s="1"/>
  <c r="J36" i="29"/>
  <c r="S36" i="29" s="1"/>
  <c r="J36" i="32"/>
  <c r="S36" i="32" s="1"/>
  <c r="J20" i="29"/>
  <c r="S20" i="29" s="1"/>
  <c r="J20" i="32"/>
  <c r="S20" i="32" s="1"/>
  <c r="J4" i="29"/>
  <c r="S4" i="29" s="1"/>
  <c r="J4" i="32"/>
  <c r="S4" i="32" s="1"/>
  <c r="Q108" i="27"/>
  <c r="Q92" i="27"/>
  <c r="Q76" i="27"/>
  <c r="Q60" i="27"/>
  <c r="Q44" i="27"/>
  <c r="Q28" i="27"/>
  <c r="Q12" i="27"/>
  <c r="Q90" i="31"/>
  <c r="Q58" i="31"/>
  <c r="Q52" i="31"/>
  <c r="Q26" i="31"/>
  <c r="Q20" i="31"/>
  <c r="J106" i="32"/>
  <c r="S106" i="32" s="1"/>
  <c r="J74" i="32"/>
  <c r="S74" i="32" s="1"/>
  <c r="J42" i="32"/>
  <c r="S42" i="32" s="1"/>
  <c r="J10" i="32"/>
  <c r="S10" i="32" s="1"/>
  <c r="J24" i="29"/>
  <c r="S24" i="29" s="1"/>
  <c r="J24" i="32"/>
  <c r="S24" i="32" s="1"/>
  <c r="J8" i="29"/>
  <c r="S8" i="29" s="1"/>
  <c r="J8" i="32"/>
  <c r="S8" i="32" s="1"/>
  <c r="Q56" i="27"/>
  <c r="I142" i="5"/>
  <c r="L142" i="45" s="1"/>
  <c r="U142" i="45" s="1"/>
  <c r="J130" i="32"/>
  <c r="S130" i="32" s="1"/>
  <c r="I143" i="5"/>
  <c r="L143" i="45" s="1"/>
  <c r="U143" i="45" s="1"/>
  <c r="J131" i="32"/>
  <c r="S131" i="32" s="1"/>
  <c r="J97" i="32"/>
  <c r="S97" i="32" s="1"/>
  <c r="Q97" i="31"/>
  <c r="I144" i="5"/>
  <c r="L144" i="45" s="1"/>
  <c r="U144" i="45" s="1"/>
  <c r="J132" i="32"/>
  <c r="S132" i="32" s="1"/>
  <c r="Q51" i="27"/>
  <c r="J114" i="32"/>
  <c r="S114" i="32" s="1"/>
  <c r="J98" i="32"/>
  <c r="S98" i="32" s="1"/>
  <c r="Q98" i="31"/>
  <c r="J82" i="32"/>
  <c r="S82" i="32" s="1"/>
  <c r="Q82" i="31"/>
  <c r="Q59" i="27"/>
  <c r="Q43" i="27"/>
  <c r="Q27" i="27"/>
  <c r="Q11" i="27"/>
  <c r="J93" i="29"/>
  <c r="S93" i="29" s="1"/>
  <c r="J61" i="29"/>
  <c r="S61" i="29" s="1"/>
  <c r="J29" i="29"/>
  <c r="S29" i="29" s="1"/>
  <c r="J105" i="32"/>
  <c r="S105" i="32" s="1"/>
  <c r="J73" i="32"/>
  <c r="S73" i="32" s="1"/>
  <c r="J41" i="32"/>
  <c r="S41" i="32" s="1"/>
  <c r="J9" i="32"/>
  <c r="S9" i="32" s="1"/>
  <c r="A123" i="32"/>
  <c r="C122" i="32"/>
  <c r="B122" i="32"/>
  <c r="A124" i="31"/>
  <c r="C123" i="31"/>
  <c r="B123" i="31"/>
  <c r="B122" i="31"/>
  <c r="C122" i="31"/>
  <c r="A124" i="30"/>
  <c r="C123" i="30"/>
  <c r="B123" i="30"/>
  <c r="B122" i="30"/>
  <c r="C122" i="30"/>
  <c r="G8" i="9"/>
  <c r="H5" i="37"/>
  <c r="H4" i="37"/>
  <c r="F55" i="37"/>
  <c r="G55" i="37" s="1"/>
  <c r="R23" i="37"/>
  <c r="P12" i="37"/>
  <c r="O12" i="37"/>
  <c r="N12" i="37"/>
  <c r="N26" i="37" s="1"/>
  <c r="R12" i="37"/>
  <c r="Q12" i="37"/>
  <c r="F56" i="37"/>
  <c r="G56" i="37" s="1"/>
  <c r="R24" i="37"/>
  <c r="F57" i="37"/>
  <c r="R25" i="37"/>
  <c r="Q27" i="37"/>
  <c r="F59" i="37"/>
  <c r="G59" i="37" s="1"/>
  <c r="P27" i="37"/>
  <c r="C57" i="37"/>
  <c r="E15" i="37"/>
  <c r="O24" i="37"/>
  <c r="D57" i="37"/>
  <c r="E57" i="37"/>
  <c r="H140" i="32" l="1"/>
  <c r="Q140" i="32" s="1"/>
  <c r="O79" i="31"/>
  <c r="G127" i="31"/>
  <c r="O127" i="31" s="1"/>
  <c r="H127" i="32"/>
  <c r="Q127" i="32" s="1"/>
  <c r="H131" i="32"/>
  <c r="Q131" i="32" s="1"/>
  <c r="H142" i="32"/>
  <c r="Q142" i="32" s="1"/>
  <c r="N83" i="30"/>
  <c r="G131" i="30"/>
  <c r="N131" i="30" s="1"/>
  <c r="H130" i="32"/>
  <c r="Q130" i="32" s="1"/>
  <c r="H144" i="32"/>
  <c r="Q144" i="32" s="1"/>
  <c r="G125" i="31"/>
  <c r="O125" i="31" s="1"/>
  <c r="O77" i="31"/>
  <c r="G131" i="31"/>
  <c r="O131" i="31" s="1"/>
  <c r="O83" i="31"/>
  <c r="H133" i="32"/>
  <c r="Q133" i="32" s="1"/>
  <c r="N95" i="30"/>
  <c r="G143" i="30"/>
  <c r="N143" i="30" s="1"/>
  <c r="G140" i="31"/>
  <c r="O140" i="31" s="1"/>
  <c r="O92" i="31"/>
  <c r="H132" i="32"/>
  <c r="Q132" i="32" s="1"/>
  <c r="N77" i="30"/>
  <c r="G125" i="30"/>
  <c r="N125" i="30" s="1"/>
  <c r="N96" i="30"/>
  <c r="G144" i="30"/>
  <c r="N144" i="30" s="1"/>
  <c r="H125" i="32"/>
  <c r="Q125" i="32" s="1"/>
  <c r="H123" i="32"/>
  <c r="Q123" i="32" s="1"/>
  <c r="G130" i="30"/>
  <c r="N130" i="30" s="1"/>
  <c r="N82" i="30"/>
  <c r="H124" i="32"/>
  <c r="Q124" i="32" s="1"/>
  <c r="G135" i="31"/>
  <c r="O135" i="31" s="1"/>
  <c r="O87" i="31"/>
  <c r="N94" i="30"/>
  <c r="G142" i="30"/>
  <c r="N142" i="30" s="1"/>
  <c r="H138" i="32"/>
  <c r="Q138" i="32" s="1"/>
  <c r="N85" i="30"/>
  <c r="G133" i="30"/>
  <c r="N133" i="30" s="1"/>
  <c r="N93" i="30"/>
  <c r="G141" i="30"/>
  <c r="N141" i="30" s="1"/>
  <c r="G145" i="31"/>
  <c r="O145" i="31" s="1"/>
  <c r="O97" i="31"/>
  <c r="O95" i="31"/>
  <c r="G143" i="31"/>
  <c r="O143" i="31" s="1"/>
  <c r="H143" i="32"/>
  <c r="Q143" i="32" s="1"/>
  <c r="H135" i="32"/>
  <c r="Q135" i="32" s="1"/>
  <c r="G142" i="31"/>
  <c r="O142" i="31" s="1"/>
  <c r="O94" i="31"/>
  <c r="N78" i="30"/>
  <c r="G126" i="30"/>
  <c r="N126" i="30" s="1"/>
  <c r="N90" i="30"/>
  <c r="G138" i="30"/>
  <c r="N138" i="30" s="1"/>
  <c r="O85" i="31"/>
  <c r="G133" i="31"/>
  <c r="O133" i="31" s="1"/>
  <c r="G140" i="30"/>
  <c r="N140" i="30" s="1"/>
  <c r="N92" i="30"/>
  <c r="G136" i="30"/>
  <c r="N136" i="30" s="1"/>
  <c r="N88" i="30"/>
  <c r="G129" i="30"/>
  <c r="N129" i="30" s="1"/>
  <c r="N81" i="30"/>
  <c r="N84" i="30"/>
  <c r="G132" i="30"/>
  <c r="N132" i="30" s="1"/>
  <c r="O82" i="31"/>
  <c r="G130" i="31"/>
  <c r="O130" i="31" s="1"/>
  <c r="O84" i="31"/>
  <c r="G132" i="31"/>
  <c r="O132" i="31" s="1"/>
  <c r="N80" i="30"/>
  <c r="G128" i="30"/>
  <c r="N128" i="30" s="1"/>
  <c r="G123" i="30"/>
  <c r="N123" i="30" s="1"/>
  <c r="N75" i="30"/>
  <c r="G124" i="30"/>
  <c r="N124" i="30" s="1"/>
  <c r="N76" i="30"/>
  <c r="O90" i="31"/>
  <c r="G138" i="31"/>
  <c r="O138" i="31" s="1"/>
  <c r="G141" i="31"/>
  <c r="O141" i="31" s="1"/>
  <c r="O93" i="31"/>
  <c r="H137" i="32"/>
  <c r="Q137" i="32" s="1"/>
  <c r="G129" i="31"/>
  <c r="O129" i="31" s="1"/>
  <c r="O81" i="31"/>
  <c r="H129" i="32"/>
  <c r="Q129" i="32" s="1"/>
  <c r="G128" i="31"/>
  <c r="O128" i="31" s="1"/>
  <c r="O80" i="31"/>
  <c r="O75" i="31"/>
  <c r="G123" i="31"/>
  <c r="O123" i="31" s="1"/>
  <c r="G124" i="31"/>
  <c r="O124" i="31" s="1"/>
  <c r="O76" i="31"/>
  <c r="N97" i="30"/>
  <c r="G145" i="30"/>
  <c r="N145" i="30" s="1"/>
  <c r="G126" i="31"/>
  <c r="O126" i="31" s="1"/>
  <c r="O78" i="31"/>
  <c r="O89" i="31"/>
  <c r="G137" i="31"/>
  <c r="O137" i="31" s="1"/>
  <c r="H141" i="32"/>
  <c r="Q141" i="32" s="1"/>
  <c r="O91" i="31"/>
  <c r="G139" i="31"/>
  <c r="O139" i="31" s="1"/>
  <c r="G134" i="31"/>
  <c r="O134" i="31" s="1"/>
  <c r="O86" i="31"/>
  <c r="N79" i="30"/>
  <c r="G127" i="30"/>
  <c r="N127" i="30" s="1"/>
  <c r="H128" i="32"/>
  <c r="Q128" i="32" s="1"/>
  <c r="H139" i="32"/>
  <c r="Q139" i="32" s="1"/>
  <c r="H126" i="32"/>
  <c r="Q126" i="32" s="1"/>
  <c r="G134" i="30"/>
  <c r="N134" i="30" s="1"/>
  <c r="N86" i="30"/>
  <c r="H134" i="32"/>
  <c r="Q134" i="32" s="1"/>
  <c r="G139" i="30"/>
  <c r="N139" i="30" s="1"/>
  <c r="N91" i="30"/>
  <c r="H145" i="32"/>
  <c r="Q145" i="32" s="1"/>
  <c r="G137" i="30"/>
  <c r="N137" i="30" s="1"/>
  <c r="N89" i="30"/>
  <c r="J145" i="32"/>
  <c r="S145" i="32" s="1"/>
  <c r="J139" i="32"/>
  <c r="S139" i="32" s="1"/>
  <c r="J138" i="32"/>
  <c r="S138" i="32" s="1"/>
  <c r="J137" i="32"/>
  <c r="S137" i="32" s="1"/>
  <c r="J144" i="32"/>
  <c r="S144" i="32" s="1"/>
  <c r="J142" i="32"/>
  <c r="S142" i="32" s="1"/>
  <c r="J143" i="32"/>
  <c r="S143" i="32" s="1"/>
  <c r="J141" i="32"/>
  <c r="S141" i="32" s="1"/>
  <c r="J140" i="32"/>
  <c r="S140" i="32" s="1"/>
  <c r="B123" i="32"/>
  <c r="C123" i="32"/>
  <c r="A124" i="32"/>
  <c r="B124" i="31"/>
  <c r="C124" i="31"/>
  <c r="A125" i="31"/>
  <c r="B124" i="30"/>
  <c r="C124" i="30"/>
  <c r="A125" i="30"/>
  <c r="G9" i="9"/>
  <c r="O26" i="37"/>
  <c r="N67" i="37"/>
  <c r="M67" i="37"/>
  <c r="O67" i="37"/>
  <c r="O66" i="37"/>
  <c r="N66" i="37"/>
  <c r="M66" i="37"/>
  <c r="S66" i="37" s="1"/>
  <c r="O70" i="37"/>
  <c r="N70" i="37"/>
  <c r="M70" i="37"/>
  <c r="O7" i="37"/>
  <c r="Q7" i="37"/>
  <c r="P7" i="37"/>
  <c r="N7" i="37"/>
  <c r="R7" i="37"/>
  <c r="N6" i="37"/>
  <c r="R6" i="37"/>
  <c r="Q6" i="37"/>
  <c r="P6" i="37"/>
  <c r="O6" i="37"/>
  <c r="N8" i="37"/>
  <c r="Q8" i="37"/>
  <c r="P8" i="37"/>
  <c r="O8" i="37"/>
  <c r="R8" i="37"/>
  <c r="Q5" i="37"/>
  <c r="P5" i="37"/>
  <c r="N5" i="37"/>
  <c r="O5" i="37"/>
  <c r="R5" i="37"/>
  <c r="F58" i="37"/>
  <c r="R26" i="37"/>
  <c r="R4" i="37"/>
  <c r="P4" i="37"/>
  <c r="N4" i="37"/>
  <c r="O4" i="37"/>
  <c r="Q4" i="37"/>
  <c r="D58" i="37"/>
  <c r="P26" i="37"/>
  <c r="Q26" i="37"/>
  <c r="E58" i="37"/>
  <c r="G57" i="37"/>
  <c r="S67" i="37" l="1"/>
  <c r="A125" i="32"/>
  <c r="B124" i="32"/>
  <c r="C124" i="32"/>
  <c r="A126" i="31"/>
  <c r="C125" i="31"/>
  <c r="B125" i="31"/>
  <c r="A126" i="30"/>
  <c r="C125" i="30"/>
  <c r="B125" i="30"/>
  <c r="G10" i="9"/>
  <c r="O22" i="37"/>
  <c r="O21" i="37"/>
  <c r="N18" i="37"/>
  <c r="C50" i="37"/>
  <c r="N36" i="37"/>
  <c r="N38" i="37"/>
  <c r="N37" i="37"/>
  <c r="F52" i="37"/>
  <c r="R20" i="37"/>
  <c r="R21" i="37"/>
  <c r="F53" i="37"/>
  <c r="Q20" i="37"/>
  <c r="E52" i="37"/>
  <c r="P36" i="37"/>
  <c r="D50" i="37"/>
  <c r="P18" i="37"/>
  <c r="P14" i="37"/>
  <c r="P38" i="37"/>
  <c r="P37" i="37"/>
  <c r="N21" i="37"/>
  <c r="C53" i="37"/>
  <c r="O19" i="37"/>
  <c r="P21" i="37"/>
  <c r="D53" i="37"/>
  <c r="R36" i="37"/>
  <c r="R18" i="37"/>
  <c r="R38" i="37"/>
  <c r="I9" i="38" s="1"/>
  <c r="K9" i="38" s="1"/>
  <c r="F50" i="37"/>
  <c r="R37" i="37"/>
  <c r="I8" i="38" s="1"/>
  <c r="K8" i="38" s="1"/>
  <c r="R14" i="37"/>
  <c r="C52" i="37"/>
  <c r="N20" i="37"/>
  <c r="R19" i="37"/>
  <c r="F51" i="37"/>
  <c r="N19" i="37"/>
  <c r="C51" i="37"/>
  <c r="E53" i="37"/>
  <c r="Q21" i="37"/>
  <c r="E51" i="37"/>
  <c r="Q19" i="37"/>
  <c r="S70" i="37"/>
  <c r="D52" i="37"/>
  <c r="P20" i="37"/>
  <c r="D51" i="37"/>
  <c r="P19" i="37"/>
  <c r="M68" i="37"/>
  <c r="O68" i="37"/>
  <c r="N68" i="37"/>
  <c r="R22" i="37"/>
  <c r="F54" i="37"/>
  <c r="P22" i="37"/>
  <c r="D54" i="37"/>
  <c r="N22" i="37"/>
  <c r="C54" i="37"/>
  <c r="G58" i="37"/>
  <c r="Q22" i="37"/>
  <c r="E54" i="37"/>
  <c r="Q36" i="37"/>
  <c r="Q18" i="37"/>
  <c r="Q38" i="37"/>
  <c r="E50" i="37"/>
  <c r="Q37" i="37"/>
  <c r="Q14" i="37"/>
  <c r="O38" i="37"/>
  <c r="O18" i="37"/>
  <c r="O14" i="37"/>
  <c r="O36" i="37"/>
  <c r="O37" i="37"/>
  <c r="O20" i="37"/>
  <c r="D61" i="37" l="1"/>
  <c r="F9" i="38"/>
  <c r="H9" i="38" s="1"/>
  <c r="C9" i="38"/>
  <c r="E9" i="38" s="1"/>
  <c r="F8" i="38"/>
  <c r="H8" i="38" s="1"/>
  <c r="C8" i="38"/>
  <c r="E8" i="38" s="1"/>
  <c r="A126" i="32"/>
  <c r="B125" i="32"/>
  <c r="C125" i="32"/>
  <c r="A127" i="31"/>
  <c r="C126" i="31"/>
  <c r="B126" i="31"/>
  <c r="A127" i="30"/>
  <c r="C126" i="30"/>
  <c r="B126" i="30"/>
  <c r="G11" i="9"/>
  <c r="N40" i="37"/>
  <c r="I7" i="38"/>
  <c r="R40" i="37"/>
  <c r="O32" i="37"/>
  <c r="O28" i="37"/>
  <c r="O31" i="37"/>
  <c r="O30" i="37"/>
  <c r="P32" i="37"/>
  <c r="P28" i="37"/>
  <c r="P31" i="37"/>
  <c r="P30" i="37"/>
  <c r="G52" i="37"/>
  <c r="C7" i="38"/>
  <c r="P40" i="37"/>
  <c r="N32" i="37"/>
  <c r="N28" i="37"/>
  <c r="N31" i="37"/>
  <c r="N30" i="37"/>
  <c r="E61" i="37"/>
  <c r="O40" i="37"/>
  <c r="G50" i="37"/>
  <c r="C61" i="37"/>
  <c r="S68" i="37"/>
  <c r="F61" i="37"/>
  <c r="G51" i="37"/>
  <c r="Q31" i="37"/>
  <c r="Q28" i="37"/>
  <c r="Q30" i="37"/>
  <c r="Q32" i="37"/>
  <c r="Q40" i="37"/>
  <c r="F7" i="38"/>
  <c r="R28" i="37"/>
  <c r="R30" i="37"/>
  <c r="R32" i="37"/>
  <c r="R31" i="37"/>
  <c r="O69" i="37"/>
  <c r="N69" i="37"/>
  <c r="M69" i="37"/>
  <c r="G54" i="37"/>
  <c r="G53" i="37"/>
  <c r="M8" i="38" l="1"/>
  <c r="M13" i="6"/>
  <c r="H14" i="17"/>
  <c r="D15" i="23"/>
  <c r="M9" i="38"/>
  <c r="D20" i="38" s="1"/>
  <c r="D14" i="23"/>
  <c r="A127" i="32"/>
  <c r="B126" i="32"/>
  <c r="C126" i="32"/>
  <c r="A128" i="31"/>
  <c r="C127" i="31"/>
  <c r="B127" i="31"/>
  <c r="A128" i="30"/>
  <c r="C127" i="30"/>
  <c r="B127" i="30"/>
  <c r="G12" i="9"/>
  <c r="P34" i="37"/>
  <c r="R34" i="37"/>
  <c r="Q34" i="37"/>
  <c r="N65" i="37"/>
  <c r="O65" i="37"/>
  <c r="M65" i="37"/>
  <c r="S65" i="37" s="1"/>
  <c r="O64" i="37"/>
  <c r="M64" i="37"/>
  <c r="N64" i="37"/>
  <c r="S69" i="37"/>
  <c r="F12" i="38"/>
  <c r="H7" i="38"/>
  <c r="O63" i="37"/>
  <c r="N63" i="37"/>
  <c r="M63" i="37"/>
  <c r="C12" i="38"/>
  <c r="E12" i="38" s="1"/>
  <c r="E7" i="38"/>
  <c r="M62" i="37"/>
  <c r="N62" i="37"/>
  <c r="O62" i="37"/>
  <c r="O61" i="37"/>
  <c r="N61" i="37"/>
  <c r="M61" i="37"/>
  <c r="G61" i="37"/>
  <c r="O34" i="37"/>
  <c r="D22" i="38"/>
  <c r="N34" i="37"/>
  <c r="K7" i="38"/>
  <c r="I12" i="38"/>
  <c r="K12" i="38" s="1"/>
  <c r="S63" i="37" l="1"/>
  <c r="I20" i="38"/>
  <c r="I22" i="38" s="1"/>
  <c r="A128" i="32"/>
  <c r="B127" i="32"/>
  <c r="C127" i="32"/>
  <c r="A129" i="31"/>
  <c r="C128" i="31"/>
  <c r="B128" i="31"/>
  <c r="A129" i="30"/>
  <c r="C128" i="30"/>
  <c r="B128" i="30"/>
  <c r="G13" i="9"/>
  <c r="M12" i="38"/>
  <c r="S64" i="37"/>
  <c r="O72" i="37"/>
  <c r="S61" i="37"/>
  <c r="M72" i="37"/>
  <c r="N72" i="37"/>
  <c r="S62" i="37"/>
  <c r="D13" i="23" l="1"/>
  <c r="N12" i="38"/>
  <c r="H59" i="17"/>
  <c r="M15" i="6"/>
  <c r="A129" i="32"/>
  <c r="B128" i="32"/>
  <c r="C128" i="32"/>
  <c r="C129" i="31"/>
  <c r="B129" i="31"/>
  <c r="A130" i="31"/>
  <c r="C129" i="30"/>
  <c r="B129" i="30"/>
  <c r="A130" i="30"/>
  <c r="S72" i="37"/>
  <c r="A130" i="32" l="1"/>
  <c r="B129" i="32"/>
  <c r="C129" i="32"/>
  <c r="A131" i="31"/>
  <c r="C130" i="31"/>
  <c r="B130" i="31"/>
  <c r="A131" i="30"/>
  <c r="C130" i="30"/>
  <c r="B130" i="30"/>
  <c r="A131" i="32" l="1"/>
  <c r="B130" i="32"/>
  <c r="C130" i="32"/>
  <c r="A132" i="31"/>
  <c r="C131" i="31"/>
  <c r="B131" i="31"/>
  <c r="A132" i="30"/>
  <c r="C131" i="30"/>
  <c r="B131" i="30"/>
  <c r="A132" i="32" l="1"/>
  <c r="B131" i="32"/>
  <c r="C131" i="32"/>
  <c r="A133" i="31"/>
  <c r="C132" i="31"/>
  <c r="B132" i="31"/>
  <c r="A133" i="30"/>
  <c r="C132" i="30"/>
  <c r="B132" i="30"/>
  <c r="A133" i="32" l="1"/>
  <c r="B132" i="32"/>
  <c r="C132" i="32"/>
  <c r="A134" i="31"/>
  <c r="C133" i="31"/>
  <c r="B133" i="31"/>
  <c r="A134" i="30"/>
  <c r="C133" i="30"/>
  <c r="B133" i="30"/>
  <c r="A134" i="32" l="1"/>
  <c r="B133" i="32"/>
  <c r="C133" i="32"/>
  <c r="A135" i="31"/>
  <c r="C134" i="31"/>
  <c r="B134" i="31"/>
  <c r="A135" i="30"/>
  <c r="C134" i="30"/>
  <c r="B134" i="30"/>
  <c r="A135" i="32" l="1"/>
  <c r="B134" i="32"/>
  <c r="C134" i="32"/>
  <c r="B135" i="31"/>
  <c r="A136" i="31"/>
  <c r="C135" i="31"/>
  <c r="B135" i="30"/>
  <c r="A136" i="30"/>
  <c r="C135" i="30"/>
  <c r="A136" i="32" l="1"/>
  <c r="B135" i="32"/>
  <c r="C135" i="32"/>
  <c r="A137" i="31"/>
  <c r="C136" i="31"/>
  <c r="B136" i="31"/>
  <c r="A137" i="30"/>
  <c r="C136" i="30"/>
  <c r="B136" i="30"/>
  <c r="A137" i="32" l="1"/>
  <c r="B136" i="32"/>
  <c r="C136" i="32"/>
  <c r="A138" i="31"/>
  <c r="C137" i="31"/>
  <c r="B137" i="31"/>
  <c r="A138" i="30"/>
  <c r="C137" i="30"/>
  <c r="B137" i="30"/>
  <c r="A138" i="32" l="1"/>
  <c r="B137" i="32"/>
  <c r="C137" i="32"/>
  <c r="A139" i="31"/>
  <c r="C138" i="31"/>
  <c r="B138" i="31"/>
  <c r="A139" i="30"/>
  <c r="C138" i="30"/>
  <c r="B138" i="30"/>
  <c r="A139" i="32" l="1"/>
  <c r="B138" i="32"/>
  <c r="C138" i="32"/>
  <c r="A140" i="31"/>
  <c r="C139" i="31"/>
  <c r="B139" i="31"/>
  <c r="A140" i="30"/>
  <c r="C139" i="30"/>
  <c r="B139" i="30"/>
  <c r="A140" i="32" l="1"/>
  <c r="B139" i="32"/>
  <c r="C139" i="32"/>
  <c r="B140" i="31"/>
  <c r="A141" i="31"/>
  <c r="C140" i="31"/>
  <c r="B140" i="30"/>
  <c r="A141" i="30"/>
  <c r="C140" i="30"/>
  <c r="A141" i="32" l="1"/>
  <c r="B140" i="32"/>
  <c r="C140" i="32"/>
  <c r="A142" i="31"/>
  <c r="C141" i="31"/>
  <c r="B141" i="31"/>
  <c r="A142" i="30"/>
  <c r="C141" i="30"/>
  <c r="B141" i="30"/>
  <c r="A142" i="32" l="1"/>
  <c r="B141" i="32"/>
  <c r="C141" i="32"/>
  <c r="A143" i="31"/>
  <c r="C142" i="31"/>
  <c r="B142" i="31"/>
  <c r="A143" i="30"/>
  <c r="C142" i="30"/>
  <c r="B142" i="30"/>
  <c r="A143" i="32" l="1"/>
  <c r="B142" i="32"/>
  <c r="C142" i="32"/>
  <c r="A144" i="31"/>
  <c r="C143" i="31"/>
  <c r="B143" i="31"/>
  <c r="A144" i="30"/>
  <c r="C143" i="30"/>
  <c r="B143" i="30"/>
  <c r="A144" i="32" l="1"/>
  <c r="B143" i="32"/>
  <c r="C143" i="32"/>
  <c r="A145" i="31"/>
  <c r="C144" i="31"/>
  <c r="B144" i="31"/>
  <c r="A145" i="30"/>
  <c r="C144" i="30"/>
  <c r="B144" i="30"/>
  <c r="A145" i="32" l="1"/>
  <c r="B144" i="32"/>
  <c r="C144" i="32"/>
  <c r="C145" i="31"/>
  <c r="B145" i="31"/>
  <c r="C145" i="30"/>
  <c r="B145" i="30"/>
  <c r="C145" i="32" l="1"/>
  <c r="B145" i="32"/>
  <c r="U6" i="5" l="1"/>
  <c r="U7" i="5"/>
  <c r="U10" i="5"/>
  <c r="U11" i="5"/>
  <c r="U12" i="5"/>
  <c r="U5" i="5"/>
  <c r="E138" i="5" l="1"/>
  <c r="F134" i="5"/>
  <c r="F138" i="5"/>
  <c r="C134" i="5"/>
  <c r="C135" i="5"/>
  <c r="C139" i="5"/>
  <c r="D135" i="5"/>
  <c r="D139" i="5"/>
  <c r="E135" i="5"/>
  <c r="E139" i="5"/>
  <c r="F135" i="5"/>
  <c r="F139" i="5"/>
  <c r="C136" i="5"/>
  <c r="C140" i="5"/>
  <c r="E137" i="5"/>
  <c r="D136" i="5"/>
  <c r="D140" i="5"/>
  <c r="E136" i="5"/>
  <c r="E140" i="5"/>
  <c r="F136" i="5"/>
  <c r="F140" i="5"/>
  <c r="F137" i="5"/>
  <c r="C137" i="5"/>
  <c r="D137" i="5"/>
  <c r="C138" i="5"/>
  <c r="D134" i="5"/>
  <c r="D138" i="5"/>
  <c r="E134" i="5"/>
  <c r="E145" i="5"/>
  <c r="F145" i="5"/>
  <c r="C142" i="5"/>
  <c r="E141" i="5"/>
  <c r="E142" i="5"/>
  <c r="F141" i="5"/>
  <c r="F142" i="5"/>
  <c r="C141" i="5"/>
  <c r="C143" i="5"/>
  <c r="E143" i="5"/>
  <c r="F143" i="5"/>
  <c r="E144" i="5"/>
  <c r="F144" i="5"/>
  <c r="C144" i="5"/>
  <c r="C145" i="5"/>
  <c r="G126" i="5"/>
  <c r="G138" i="5" s="1"/>
  <c r="H122" i="5"/>
  <c r="H134" i="5" s="1"/>
  <c r="H126" i="5"/>
  <c r="H138" i="5" s="1"/>
  <c r="G122" i="5"/>
  <c r="G134" i="5" s="1"/>
  <c r="G127" i="5"/>
  <c r="G139" i="5" s="1"/>
  <c r="H127" i="5"/>
  <c r="H139" i="5" s="1"/>
  <c r="G128" i="5"/>
  <c r="G140" i="5" s="1"/>
  <c r="H128" i="5"/>
  <c r="H140" i="5" s="1"/>
  <c r="G129" i="5"/>
  <c r="G141" i="5" s="1"/>
  <c r="H124" i="5"/>
  <c r="H136" i="5" s="1"/>
  <c r="H129" i="5"/>
  <c r="H141" i="5" s="1"/>
  <c r="G130" i="5"/>
  <c r="G142" i="5" s="1"/>
  <c r="G124" i="5"/>
  <c r="G136" i="5" s="1"/>
  <c r="H130" i="5"/>
  <c r="H142" i="5" s="1"/>
  <c r="G123" i="5"/>
  <c r="G135" i="5" s="1"/>
  <c r="G131" i="5"/>
  <c r="G143" i="5" s="1"/>
  <c r="G132" i="5"/>
  <c r="G144" i="5" s="1"/>
  <c r="H123" i="5"/>
  <c r="H135" i="5" s="1"/>
  <c r="H131" i="5"/>
  <c r="H143" i="5" s="1"/>
  <c r="H132" i="5"/>
  <c r="H144" i="5" s="1"/>
  <c r="G125" i="5"/>
  <c r="G137" i="5" s="1"/>
  <c r="G133" i="5"/>
  <c r="G145" i="5" s="1"/>
  <c r="H125" i="5"/>
  <c r="H137" i="5" s="1"/>
  <c r="H133" i="5"/>
  <c r="H145" i="5" s="1"/>
  <c r="K138" i="44" l="1"/>
  <c r="S138" i="44" s="1"/>
  <c r="I138" i="31"/>
  <c r="Q138" i="31" s="1"/>
  <c r="D141" i="5"/>
  <c r="K129" i="44"/>
  <c r="S129" i="44" s="1"/>
  <c r="I129" i="31"/>
  <c r="Q129" i="31" s="1"/>
  <c r="I134" i="31"/>
  <c r="Q134" i="31" s="1"/>
  <c r="K134" i="44"/>
  <c r="S134" i="44" s="1"/>
  <c r="K139" i="44"/>
  <c r="S139" i="44" s="1"/>
  <c r="I139" i="31"/>
  <c r="Q139" i="31" s="1"/>
  <c r="D145" i="5"/>
  <c r="K133" i="44"/>
  <c r="S133" i="44" s="1"/>
  <c r="I133" i="31"/>
  <c r="Q133" i="31" s="1"/>
  <c r="I137" i="31"/>
  <c r="Q137" i="31" s="1"/>
  <c r="K137" i="44"/>
  <c r="S137" i="44" s="1"/>
  <c r="I136" i="31"/>
  <c r="Q136" i="31" s="1"/>
  <c r="K136" i="44"/>
  <c r="S136" i="44" s="1"/>
  <c r="D144" i="5"/>
  <c r="K132" i="44"/>
  <c r="S132" i="44" s="1"/>
  <c r="I132" i="31"/>
  <c r="Q132" i="31" s="1"/>
  <c r="D143" i="5"/>
  <c r="K131" i="44"/>
  <c r="S131" i="44" s="1"/>
  <c r="I131" i="31"/>
  <c r="Q131" i="31" s="1"/>
  <c r="I135" i="31"/>
  <c r="Q135" i="31" s="1"/>
  <c r="K135" i="44"/>
  <c r="S135" i="44" s="1"/>
  <c r="D142" i="5"/>
  <c r="I130" i="31"/>
  <c r="Q130" i="31" s="1"/>
  <c r="K130" i="44"/>
  <c r="S130" i="44" s="1"/>
  <c r="K140" i="44"/>
  <c r="S140" i="44" s="1"/>
  <c r="I140" i="31"/>
  <c r="Q140" i="31" s="1"/>
  <c r="B78" i="6"/>
  <c r="B83" i="6" s="1"/>
  <c r="B87" i="6" s="1"/>
  <c r="B90" i="6" s="1"/>
  <c r="B77" i="6"/>
  <c r="B82" i="6" s="1"/>
  <c r="B86" i="6" s="1"/>
  <c r="B89" i="6" s="1"/>
  <c r="B76" i="6"/>
  <c r="B81" i="6" s="1"/>
  <c r="B85" i="6" s="1"/>
  <c r="B75" i="6"/>
  <c r="B74" i="6"/>
  <c r="A74" i="6"/>
  <c r="A80" i="6" s="1"/>
  <c r="A85" i="6" s="1"/>
  <c r="A89" i="6" s="1"/>
  <c r="L33" i="6"/>
  <c r="L5" i="6"/>
  <c r="J17" i="6"/>
  <c r="A74" i="25"/>
  <c r="A75" i="25"/>
  <c r="G75" i="25"/>
  <c r="N75" i="25" s="1"/>
  <c r="A76" i="25"/>
  <c r="G76" i="25"/>
  <c r="N76" i="25" s="1"/>
  <c r="A77" i="25"/>
  <c r="G77" i="25"/>
  <c r="N77" i="25" s="1"/>
  <c r="A78" i="25"/>
  <c r="G78" i="25"/>
  <c r="N78" i="25" s="1"/>
  <c r="A79" i="25"/>
  <c r="G79" i="25"/>
  <c r="N79" i="25" s="1"/>
  <c r="A80" i="25"/>
  <c r="G80" i="25"/>
  <c r="N80" i="25" s="1"/>
  <c r="A81" i="25"/>
  <c r="G81" i="25"/>
  <c r="N81" i="25" s="1"/>
  <c r="A82" i="25"/>
  <c r="G82" i="25"/>
  <c r="N82" i="25" s="1"/>
  <c r="A83" i="25"/>
  <c r="G83" i="25"/>
  <c r="N83" i="25" s="1"/>
  <c r="A84" i="25"/>
  <c r="G84" i="25"/>
  <c r="N84" i="25" s="1"/>
  <c r="A85" i="25"/>
  <c r="G85" i="25"/>
  <c r="N85" i="25" s="1"/>
  <c r="A86" i="25"/>
  <c r="G86" i="25"/>
  <c r="N86" i="25" s="1"/>
  <c r="A87" i="25"/>
  <c r="G87" i="25"/>
  <c r="N87" i="25" s="1"/>
  <c r="A88" i="25"/>
  <c r="G88" i="25"/>
  <c r="N88" i="25" s="1"/>
  <c r="A89" i="25"/>
  <c r="G89" i="25"/>
  <c r="N89" i="25" s="1"/>
  <c r="A90" i="25"/>
  <c r="G90" i="25"/>
  <c r="N90" i="25" s="1"/>
  <c r="A91" i="25"/>
  <c r="G91" i="25"/>
  <c r="N91" i="25" s="1"/>
  <c r="A92" i="25"/>
  <c r="G92" i="25"/>
  <c r="N92" i="25" s="1"/>
  <c r="A93" i="25"/>
  <c r="G93" i="25"/>
  <c r="N93" i="25" s="1"/>
  <c r="A94" i="25"/>
  <c r="G94" i="25"/>
  <c r="N94" i="25" s="1"/>
  <c r="A95" i="25"/>
  <c r="G95" i="25"/>
  <c r="N95" i="25" s="1"/>
  <c r="A96" i="25"/>
  <c r="G96" i="25"/>
  <c r="N96" i="25" s="1"/>
  <c r="A97" i="25"/>
  <c r="G97" i="25"/>
  <c r="N97" i="25" s="1"/>
  <c r="A98" i="25"/>
  <c r="G98" i="25"/>
  <c r="N98" i="25" s="1"/>
  <c r="A99" i="25"/>
  <c r="G99" i="25"/>
  <c r="N99" i="25" s="1"/>
  <c r="A100" i="25"/>
  <c r="G100" i="25"/>
  <c r="N100" i="25" s="1"/>
  <c r="A101" i="25"/>
  <c r="G101" i="25"/>
  <c r="N101" i="25" s="1"/>
  <c r="A102" i="25"/>
  <c r="G102" i="25"/>
  <c r="N102" i="25" s="1"/>
  <c r="A103" i="25"/>
  <c r="G103" i="25"/>
  <c r="N103" i="25" s="1"/>
  <c r="A104" i="25"/>
  <c r="G104" i="25"/>
  <c r="N104" i="25" s="1"/>
  <c r="A105" i="25"/>
  <c r="G105" i="25"/>
  <c r="N105" i="25" s="1"/>
  <c r="A106" i="25"/>
  <c r="G106" i="25"/>
  <c r="N106" i="25" s="1"/>
  <c r="A107" i="25"/>
  <c r="G107" i="25"/>
  <c r="N107" i="25" s="1"/>
  <c r="A108" i="25"/>
  <c r="G108" i="25"/>
  <c r="N108" i="25" s="1"/>
  <c r="A109" i="25"/>
  <c r="G109" i="25"/>
  <c r="N109" i="25" s="1"/>
  <c r="A110" i="25"/>
  <c r="G110" i="25"/>
  <c r="N110" i="25" s="1"/>
  <c r="A111" i="25"/>
  <c r="G111" i="25"/>
  <c r="N111" i="25" s="1"/>
  <c r="A112" i="25"/>
  <c r="G112" i="25"/>
  <c r="N112" i="25" s="1"/>
  <c r="A113" i="25"/>
  <c r="G113" i="25"/>
  <c r="N113" i="25" s="1"/>
  <c r="A114" i="25"/>
  <c r="G114" i="25"/>
  <c r="N114" i="25" s="1"/>
  <c r="A115" i="25"/>
  <c r="G115" i="25"/>
  <c r="N115" i="25" s="1"/>
  <c r="A116" i="25"/>
  <c r="G116" i="25"/>
  <c r="N116" i="25" s="1"/>
  <c r="A117" i="25"/>
  <c r="G117" i="25"/>
  <c r="N117" i="25" s="1"/>
  <c r="A118" i="25"/>
  <c r="G118" i="25"/>
  <c r="N118" i="25" s="1"/>
  <c r="A119" i="25"/>
  <c r="G119" i="25"/>
  <c r="N119" i="25" s="1"/>
  <c r="A120" i="25"/>
  <c r="G120" i="25"/>
  <c r="N120" i="25" s="1"/>
  <c r="A121" i="25"/>
  <c r="G121" i="25"/>
  <c r="N121" i="25" s="1"/>
  <c r="BO74" i="1"/>
  <c r="BN74" i="1"/>
  <c r="BN86" i="1" s="1"/>
  <c r="BN98" i="1" s="1"/>
  <c r="BN110" i="1" s="1"/>
  <c r="AX74" i="1"/>
  <c r="AX86" i="1" s="1"/>
  <c r="AX98" i="1" s="1"/>
  <c r="AX110" i="1" s="1"/>
  <c r="AY74" i="1"/>
  <c r="AY86" i="1" s="1"/>
  <c r="AY98" i="1" s="1"/>
  <c r="AY110" i="1" s="1"/>
  <c r="AZ74" i="1"/>
  <c r="AZ86" i="1" s="1"/>
  <c r="AZ98" i="1" s="1"/>
  <c r="AZ110" i="1" s="1"/>
  <c r="BA74" i="1"/>
  <c r="BA86" i="1" s="1"/>
  <c r="BA98" i="1" s="1"/>
  <c r="BA110" i="1" s="1"/>
  <c r="BB74" i="1"/>
  <c r="BB86" i="1" s="1"/>
  <c r="BB98" i="1" s="1"/>
  <c r="BB110" i="1" s="1"/>
  <c r="BC74" i="1"/>
  <c r="BC86" i="1" s="1"/>
  <c r="BC98" i="1" s="1"/>
  <c r="BC110" i="1" s="1"/>
  <c r="BD74" i="1"/>
  <c r="BD86" i="1" s="1"/>
  <c r="BD98" i="1" s="1"/>
  <c r="BD110" i="1" s="1"/>
  <c r="BE74" i="1"/>
  <c r="BE86" i="1" s="1"/>
  <c r="BE98" i="1" s="1"/>
  <c r="BE110" i="1" s="1"/>
  <c r="BF74" i="1"/>
  <c r="BF86" i="1" s="1"/>
  <c r="BF98" i="1" s="1"/>
  <c r="BF110" i="1" s="1"/>
  <c r="BG74" i="1"/>
  <c r="BG86" i="1" s="1"/>
  <c r="BG98" i="1" s="1"/>
  <c r="BG110" i="1" s="1"/>
  <c r="BH74" i="1"/>
  <c r="BH86" i="1" s="1"/>
  <c r="BH98" i="1" s="1"/>
  <c r="BH110" i="1" s="1"/>
  <c r="BI74" i="1"/>
  <c r="BI86" i="1" s="1"/>
  <c r="BI98" i="1" s="1"/>
  <c r="BI110" i="1" s="1"/>
  <c r="BJ74" i="1"/>
  <c r="BJ86" i="1" s="1"/>
  <c r="BJ98" i="1" s="1"/>
  <c r="BJ110" i="1" s="1"/>
  <c r="BK74" i="1"/>
  <c r="BK86" i="1" s="1"/>
  <c r="BK98" i="1" s="1"/>
  <c r="BK110" i="1" s="1"/>
  <c r="BL74" i="1"/>
  <c r="BL86" i="1" s="1"/>
  <c r="BL98" i="1" s="1"/>
  <c r="BL110" i="1" s="1"/>
  <c r="BM74" i="1"/>
  <c r="BM86" i="1" s="1"/>
  <c r="BM98" i="1" s="1"/>
  <c r="BM110" i="1" s="1"/>
  <c r="AW74" i="1"/>
  <c r="AW86" i="1" s="1"/>
  <c r="AW98" i="1" s="1"/>
  <c r="AW110" i="1" s="1"/>
  <c r="Y74" i="1"/>
  <c r="BU74" i="1" s="1"/>
  <c r="Z74" i="1"/>
  <c r="AA74" i="1"/>
  <c r="BW74" i="1" s="1"/>
  <c r="AB74" i="1"/>
  <c r="AC74" i="1"/>
  <c r="BY74" i="1" s="1"/>
  <c r="AD74" i="1"/>
  <c r="AE74" i="1"/>
  <c r="CA74" i="1" s="1"/>
  <c r="AF74" i="1"/>
  <c r="CB74" i="1" s="1"/>
  <c r="AG74" i="1"/>
  <c r="AH74" i="1"/>
  <c r="CD74" i="1" s="1"/>
  <c r="AI74" i="1"/>
  <c r="AJ74" i="1"/>
  <c r="CF74" i="1" s="1"/>
  <c r="AK74" i="1"/>
  <c r="AL74" i="1"/>
  <c r="CH74" i="1" s="1"/>
  <c r="AM74" i="1"/>
  <c r="Y75" i="1"/>
  <c r="BU75" i="1" s="1"/>
  <c r="Z75" i="1"/>
  <c r="AA75" i="1"/>
  <c r="BW75" i="1" s="1"/>
  <c r="AB75" i="1"/>
  <c r="AC75" i="1"/>
  <c r="BY75" i="1" s="1"/>
  <c r="AD75" i="1"/>
  <c r="AE75" i="1"/>
  <c r="CA75" i="1" s="1"/>
  <c r="AF75" i="1"/>
  <c r="CB75" i="1" s="1"/>
  <c r="AG75" i="1"/>
  <c r="AH75" i="1"/>
  <c r="CD75" i="1" s="1"/>
  <c r="AI75" i="1"/>
  <c r="AJ75" i="1"/>
  <c r="CF75" i="1" s="1"/>
  <c r="AK75" i="1"/>
  <c r="AL75" i="1"/>
  <c r="CH75" i="1" s="1"/>
  <c r="AM75" i="1"/>
  <c r="Y76" i="1"/>
  <c r="BU76" i="1" s="1"/>
  <c r="Z76" i="1"/>
  <c r="AA76" i="1"/>
  <c r="BW76" i="1" s="1"/>
  <c r="AB76" i="1"/>
  <c r="AC76" i="1"/>
  <c r="BY76" i="1" s="1"/>
  <c r="AD76" i="1"/>
  <c r="AE76" i="1"/>
  <c r="CA76" i="1" s="1"/>
  <c r="AF76" i="1"/>
  <c r="CB76" i="1" s="1"/>
  <c r="AG76" i="1"/>
  <c r="AH76" i="1"/>
  <c r="CD76" i="1" s="1"/>
  <c r="AI76" i="1"/>
  <c r="AJ76" i="1"/>
  <c r="CF76" i="1" s="1"/>
  <c r="AK76" i="1"/>
  <c r="AL76" i="1"/>
  <c r="CH76" i="1" s="1"/>
  <c r="AM76" i="1"/>
  <c r="Y77" i="1"/>
  <c r="BU77" i="1" s="1"/>
  <c r="Z77" i="1"/>
  <c r="AA77" i="1"/>
  <c r="BW77" i="1" s="1"/>
  <c r="AB77" i="1"/>
  <c r="AC77" i="1"/>
  <c r="BY77" i="1" s="1"/>
  <c r="AD77" i="1"/>
  <c r="AE77" i="1"/>
  <c r="CA77" i="1" s="1"/>
  <c r="AF77" i="1"/>
  <c r="CB77" i="1" s="1"/>
  <c r="AG77" i="1"/>
  <c r="AH77" i="1"/>
  <c r="CD77" i="1" s="1"/>
  <c r="AI77" i="1"/>
  <c r="AJ77" i="1"/>
  <c r="CF77" i="1" s="1"/>
  <c r="AK77" i="1"/>
  <c r="AL77" i="1"/>
  <c r="CH77" i="1" s="1"/>
  <c r="AM77" i="1"/>
  <c r="Y78" i="1"/>
  <c r="BU78" i="1" s="1"/>
  <c r="Z78" i="1"/>
  <c r="AA78" i="1"/>
  <c r="BW78" i="1" s="1"/>
  <c r="AB78" i="1"/>
  <c r="AC78" i="1"/>
  <c r="BY78" i="1" s="1"/>
  <c r="AD78" i="1"/>
  <c r="AE78" i="1"/>
  <c r="CA78" i="1" s="1"/>
  <c r="AF78" i="1"/>
  <c r="CB78" i="1" s="1"/>
  <c r="AG78" i="1"/>
  <c r="AH78" i="1"/>
  <c r="CD78" i="1" s="1"/>
  <c r="AI78" i="1"/>
  <c r="AJ78" i="1"/>
  <c r="CF78" i="1" s="1"/>
  <c r="AK78" i="1"/>
  <c r="AL78" i="1"/>
  <c r="CH78" i="1" s="1"/>
  <c r="AM78" i="1"/>
  <c r="Y79" i="1"/>
  <c r="BU79" i="1" s="1"/>
  <c r="Z79" i="1"/>
  <c r="AA79" i="1"/>
  <c r="BW79" i="1" s="1"/>
  <c r="AB79" i="1"/>
  <c r="AC79" i="1"/>
  <c r="BY79" i="1" s="1"/>
  <c r="AD79" i="1"/>
  <c r="AE79" i="1"/>
  <c r="CA79" i="1" s="1"/>
  <c r="AF79" i="1"/>
  <c r="CB79" i="1" s="1"/>
  <c r="AG79" i="1"/>
  <c r="AH79" i="1"/>
  <c r="CD79" i="1" s="1"/>
  <c r="AI79" i="1"/>
  <c r="AJ79" i="1"/>
  <c r="CF79" i="1" s="1"/>
  <c r="AK79" i="1"/>
  <c r="AL79" i="1"/>
  <c r="CH79" i="1" s="1"/>
  <c r="AM79" i="1"/>
  <c r="Y80" i="1"/>
  <c r="BU80" i="1" s="1"/>
  <c r="Z80" i="1"/>
  <c r="AA80" i="1"/>
  <c r="BW80" i="1" s="1"/>
  <c r="AB80" i="1"/>
  <c r="AC80" i="1"/>
  <c r="BY80" i="1" s="1"/>
  <c r="AD80" i="1"/>
  <c r="AE80" i="1"/>
  <c r="CA80" i="1" s="1"/>
  <c r="AF80" i="1"/>
  <c r="CB80" i="1" s="1"/>
  <c r="AG80" i="1"/>
  <c r="AH80" i="1"/>
  <c r="CD80" i="1" s="1"/>
  <c r="AI80" i="1"/>
  <c r="AJ80" i="1"/>
  <c r="CF80" i="1" s="1"/>
  <c r="AK80" i="1"/>
  <c r="AL80" i="1"/>
  <c r="CH80" i="1" s="1"/>
  <c r="AM80" i="1"/>
  <c r="Y81" i="1"/>
  <c r="BU81" i="1" s="1"/>
  <c r="Z81" i="1"/>
  <c r="AA81" i="1"/>
  <c r="BW81" i="1" s="1"/>
  <c r="AB81" i="1"/>
  <c r="AC81" i="1"/>
  <c r="BY81" i="1" s="1"/>
  <c r="AD81" i="1"/>
  <c r="AE81" i="1"/>
  <c r="CA81" i="1" s="1"/>
  <c r="AF81" i="1"/>
  <c r="CB81" i="1" s="1"/>
  <c r="AG81" i="1"/>
  <c r="AH81" i="1"/>
  <c r="CD81" i="1" s="1"/>
  <c r="AI81" i="1"/>
  <c r="AJ81" i="1"/>
  <c r="CF81" i="1" s="1"/>
  <c r="AK81" i="1"/>
  <c r="AL81" i="1"/>
  <c r="CH81" i="1" s="1"/>
  <c r="AM81" i="1"/>
  <c r="Y82" i="1"/>
  <c r="BU82" i="1" s="1"/>
  <c r="Z82" i="1"/>
  <c r="AA82" i="1"/>
  <c r="BW82" i="1" s="1"/>
  <c r="AB82" i="1"/>
  <c r="AC82" i="1"/>
  <c r="BY82" i="1" s="1"/>
  <c r="AD82" i="1"/>
  <c r="AE82" i="1"/>
  <c r="CA82" i="1" s="1"/>
  <c r="AF82" i="1"/>
  <c r="CB82" i="1" s="1"/>
  <c r="AG82" i="1"/>
  <c r="AH82" i="1"/>
  <c r="CD82" i="1" s="1"/>
  <c r="AI82" i="1"/>
  <c r="AJ82" i="1"/>
  <c r="CF82" i="1" s="1"/>
  <c r="AK82" i="1"/>
  <c r="AL82" i="1"/>
  <c r="CH82" i="1" s="1"/>
  <c r="AM82" i="1"/>
  <c r="Y83" i="1"/>
  <c r="BU83" i="1" s="1"/>
  <c r="Z83" i="1"/>
  <c r="AA83" i="1"/>
  <c r="BW83" i="1" s="1"/>
  <c r="AB83" i="1"/>
  <c r="AC83" i="1"/>
  <c r="BY83" i="1" s="1"/>
  <c r="AD83" i="1"/>
  <c r="AE83" i="1"/>
  <c r="CA83" i="1" s="1"/>
  <c r="AF83" i="1"/>
  <c r="CB83" i="1" s="1"/>
  <c r="AG83" i="1"/>
  <c r="AH83" i="1"/>
  <c r="CD83" i="1" s="1"/>
  <c r="AI83" i="1"/>
  <c r="AJ83" i="1"/>
  <c r="CF83" i="1" s="1"/>
  <c r="AK83" i="1"/>
  <c r="AL83" i="1"/>
  <c r="CH83" i="1" s="1"/>
  <c r="AM83" i="1"/>
  <c r="Y84" i="1"/>
  <c r="BU84" i="1" s="1"/>
  <c r="Z84" i="1"/>
  <c r="AA84" i="1"/>
  <c r="BW84" i="1" s="1"/>
  <c r="AB84" i="1"/>
  <c r="AC84" i="1"/>
  <c r="BY84" i="1" s="1"/>
  <c r="AD84" i="1"/>
  <c r="AE84" i="1"/>
  <c r="CA84" i="1" s="1"/>
  <c r="AF84" i="1"/>
  <c r="CB84" i="1" s="1"/>
  <c r="AG84" i="1"/>
  <c r="AH84" i="1"/>
  <c r="CD84" i="1" s="1"/>
  <c r="AI84" i="1"/>
  <c r="AJ84" i="1"/>
  <c r="CF84" i="1" s="1"/>
  <c r="AK84" i="1"/>
  <c r="AL84" i="1"/>
  <c r="CH84" i="1" s="1"/>
  <c r="AM84" i="1"/>
  <c r="Y85" i="1"/>
  <c r="BU85" i="1" s="1"/>
  <c r="Z85" i="1"/>
  <c r="AA85" i="1"/>
  <c r="BW85" i="1" s="1"/>
  <c r="AB85" i="1"/>
  <c r="AC85" i="1"/>
  <c r="BY85" i="1" s="1"/>
  <c r="AD85" i="1"/>
  <c r="AE85" i="1"/>
  <c r="CA85" i="1" s="1"/>
  <c r="AF85" i="1"/>
  <c r="CB85" i="1" s="1"/>
  <c r="AG85" i="1"/>
  <c r="AH85" i="1"/>
  <c r="CD85" i="1" s="1"/>
  <c r="AI85" i="1"/>
  <c r="AJ85" i="1"/>
  <c r="CF85" i="1" s="1"/>
  <c r="AK85" i="1"/>
  <c r="AL85" i="1"/>
  <c r="CH85" i="1" s="1"/>
  <c r="AM85" i="1"/>
  <c r="Y86" i="1"/>
  <c r="BU86" i="1" s="1"/>
  <c r="Z86" i="1"/>
  <c r="AA86" i="1"/>
  <c r="BW86" i="1" s="1"/>
  <c r="AB86" i="1"/>
  <c r="AC86" i="1"/>
  <c r="BY86" i="1" s="1"/>
  <c r="AD86" i="1"/>
  <c r="AE86" i="1"/>
  <c r="CA86" i="1" s="1"/>
  <c r="AF86" i="1"/>
  <c r="CB86" i="1" s="1"/>
  <c r="AG86" i="1"/>
  <c r="AH86" i="1"/>
  <c r="CD86" i="1" s="1"/>
  <c r="AI86" i="1"/>
  <c r="AJ86" i="1"/>
  <c r="CF86" i="1" s="1"/>
  <c r="AK86" i="1"/>
  <c r="AL86" i="1"/>
  <c r="CH86" i="1" s="1"/>
  <c r="AM86" i="1"/>
  <c r="Y87" i="1"/>
  <c r="BU87" i="1" s="1"/>
  <c r="Z87" i="1"/>
  <c r="AA87" i="1"/>
  <c r="BW87" i="1" s="1"/>
  <c r="AB87" i="1"/>
  <c r="AC87" i="1"/>
  <c r="BY87" i="1" s="1"/>
  <c r="AD87" i="1"/>
  <c r="AE87" i="1"/>
  <c r="CA87" i="1" s="1"/>
  <c r="AF87" i="1"/>
  <c r="CB87" i="1" s="1"/>
  <c r="AG87" i="1"/>
  <c r="AH87" i="1"/>
  <c r="CD87" i="1" s="1"/>
  <c r="AI87" i="1"/>
  <c r="AJ87" i="1"/>
  <c r="CF87" i="1" s="1"/>
  <c r="AK87" i="1"/>
  <c r="AL87" i="1"/>
  <c r="CH87" i="1" s="1"/>
  <c r="AM87" i="1"/>
  <c r="Y88" i="1"/>
  <c r="BU88" i="1" s="1"/>
  <c r="Z88" i="1"/>
  <c r="AA88" i="1"/>
  <c r="BW88" i="1" s="1"/>
  <c r="AB88" i="1"/>
  <c r="AC88" i="1"/>
  <c r="BY88" i="1" s="1"/>
  <c r="AD88" i="1"/>
  <c r="AE88" i="1"/>
  <c r="CA88" i="1" s="1"/>
  <c r="AF88" i="1"/>
  <c r="CB88" i="1" s="1"/>
  <c r="AG88" i="1"/>
  <c r="AH88" i="1"/>
  <c r="CD88" i="1" s="1"/>
  <c r="AI88" i="1"/>
  <c r="AJ88" i="1"/>
  <c r="CF88" i="1" s="1"/>
  <c r="AK88" i="1"/>
  <c r="AL88" i="1"/>
  <c r="CH88" i="1" s="1"/>
  <c r="AM88" i="1"/>
  <c r="Y89" i="1"/>
  <c r="BU89" i="1" s="1"/>
  <c r="Z89" i="1"/>
  <c r="AA89" i="1"/>
  <c r="BW89" i="1" s="1"/>
  <c r="AB89" i="1"/>
  <c r="AC89" i="1"/>
  <c r="BY89" i="1" s="1"/>
  <c r="AD89" i="1"/>
  <c r="AE89" i="1"/>
  <c r="CA89" i="1" s="1"/>
  <c r="AF89" i="1"/>
  <c r="CB89" i="1" s="1"/>
  <c r="AG89" i="1"/>
  <c r="AH89" i="1"/>
  <c r="CD89" i="1" s="1"/>
  <c r="AI89" i="1"/>
  <c r="AJ89" i="1"/>
  <c r="CF89" i="1" s="1"/>
  <c r="AK89" i="1"/>
  <c r="AL89" i="1"/>
  <c r="CH89" i="1" s="1"/>
  <c r="AM89" i="1"/>
  <c r="Y90" i="1"/>
  <c r="BU90" i="1" s="1"/>
  <c r="Z90" i="1"/>
  <c r="AA90" i="1"/>
  <c r="BW90" i="1" s="1"/>
  <c r="AB90" i="1"/>
  <c r="AC90" i="1"/>
  <c r="BY90" i="1" s="1"/>
  <c r="AD90" i="1"/>
  <c r="AE90" i="1"/>
  <c r="CA90" i="1" s="1"/>
  <c r="AF90" i="1"/>
  <c r="CB90" i="1" s="1"/>
  <c r="AG90" i="1"/>
  <c r="AH90" i="1"/>
  <c r="CD90" i="1" s="1"/>
  <c r="AI90" i="1"/>
  <c r="AJ90" i="1"/>
  <c r="CF90" i="1" s="1"/>
  <c r="AK90" i="1"/>
  <c r="AL90" i="1"/>
  <c r="CH90" i="1" s="1"/>
  <c r="AM90" i="1"/>
  <c r="Y91" i="1"/>
  <c r="BU91" i="1" s="1"/>
  <c r="Z91" i="1"/>
  <c r="AA91" i="1"/>
  <c r="BW91" i="1" s="1"/>
  <c r="AB91" i="1"/>
  <c r="AC91" i="1"/>
  <c r="BY91" i="1" s="1"/>
  <c r="AD91" i="1"/>
  <c r="AE91" i="1"/>
  <c r="CA91" i="1" s="1"/>
  <c r="AF91" i="1"/>
  <c r="CB91" i="1" s="1"/>
  <c r="AG91" i="1"/>
  <c r="AH91" i="1"/>
  <c r="CD91" i="1" s="1"/>
  <c r="AI91" i="1"/>
  <c r="AJ91" i="1"/>
  <c r="CF91" i="1" s="1"/>
  <c r="AK91" i="1"/>
  <c r="AL91" i="1"/>
  <c r="CH91" i="1" s="1"/>
  <c r="AM91" i="1"/>
  <c r="Y92" i="1"/>
  <c r="BU92" i="1" s="1"/>
  <c r="Z92" i="1"/>
  <c r="AA92" i="1"/>
  <c r="BW92" i="1" s="1"/>
  <c r="AB92" i="1"/>
  <c r="AC92" i="1"/>
  <c r="BY92" i="1" s="1"/>
  <c r="AD92" i="1"/>
  <c r="AE92" i="1"/>
  <c r="CA92" i="1" s="1"/>
  <c r="AF92" i="1"/>
  <c r="CB92" i="1" s="1"/>
  <c r="AG92" i="1"/>
  <c r="AH92" i="1"/>
  <c r="CD92" i="1" s="1"/>
  <c r="AI92" i="1"/>
  <c r="AJ92" i="1"/>
  <c r="CF92" i="1" s="1"/>
  <c r="AK92" i="1"/>
  <c r="AL92" i="1"/>
  <c r="CH92" i="1" s="1"/>
  <c r="AM92" i="1"/>
  <c r="Y93" i="1"/>
  <c r="BU93" i="1" s="1"/>
  <c r="Z93" i="1"/>
  <c r="AA93" i="1"/>
  <c r="BW93" i="1" s="1"/>
  <c r="AB93" i="1"/>
  <c r="AC93" i="1"/>
  <c r="BY93" i="1" s="1"/>
  <c r="AD93" i="1"/>
  <c r="AE93" i="1"/>
  <c r="CA93" i="1" s="1"/>
  <c r="AF93" i="1"/>
  <c r="CB93" i="1" s="1"/>
  <c r="AG93" i="1"/>
  <c r="AH93" i="1"/>
  <c r="CD93" i="1" s="1"/>
  <c r="AI93" i="1"/>
  <c r="AJ93" i="1"/>
  <c r="CF93" i="1" s="1"/>
  <c r="AK93" i="1"/>
  <c r="AL93" i="1"/>
  <c r="CH93" i="1" s="1"/>
  <c r="AM93" i="1"/>
  <c r="Y94" i="1"/>
  <c r="BU94" i="1" s="1"/>
  <c r="Z94" i="1"/>
  <c r="AA94" i="1"/>
  <c r="BW94" i="1" s="1"/>
  <c r="AB94" i="1"/>
  <c r="AC94" i="1"/>
  <c r="BY94" i="1" s="1"/>
  <c r="AD94" i="1"/>
  <c r="AE94" i="1"/>
  <c r="CA94" i="1" s="1"/>
  <c r="AF94" i="1"/>
  <c r="CB94" i="1" s="1"/>
  <c r="AG94" i="1"/>
  <c r="AH94" i="1"/>
  <c r="CD94" i="1" s="1"/>
  <c r="AI94" i="1"/>
  <c r="AJ94" i="1"/>
  <c r="CF94" i="1" s="1"/>
  <c r="AK94" i="1"/>
  <c r="AL94" i="1"/>
  <c r="CH94" i="1" s="1"/>
  <c r="AM94" i="1"/>
  <c r="Y95" i="1"/>
  <c r="BU95" i="1" s="1"/>
  <c r="Z95" i="1"/>
  <c r="AA95" i="1"/>
  <c r="BW95" i="1" s="1"/>
  <c r="AB95" i="1"/>
  <c r="AC95" i="1"/>
  <c r="BY95" i="1" s="1"/>
  <c r="AD95" i="1"/>
  <c r="AE95" i="1"/>
  <c r="CA95" i="1" s="1"/>
  <c r="AF95" i="1"/>
  <c r="CB95" i="1" s="1"/>
  <c r="AG95" i="1"/>
  <c r="AH95" i="1"/>
  <c r="CD95" i="1" s="1"/>
  <c r="AI95" i="1"/>
  <c r="AJ95" i="1"/>
  <c r="CF95" i="1" s="1"/>
  <c r="AK95" i="1"/>
  <c r="AL95" i="1"/>
  <c r="CH95" i="1" s="1"/>
  <c r="AM95" i="1"/>
  <c r="Y96" i="1"/>
  <c r="BU96" i="1" s="1"/>
  <c r="Z96" i="1"/>
  <c r="AA96" i="1"/>
  <c r="BW96" i="1" s="1"/>
  <c r="AB96" i="1"/>
  <c r="AC96" i="1"/>
  <c r="BY96" i="1" s="1"/>
  <c r="AD96" i="1"/>
  <c r="AE96" i="1"/>
  <c r="CA96" i="1" s="1"/>
  <c r="AF96" i="1"/>
  <c r="CB96" i="1" s="1"/>
  <c r="AG96" i="1"/>
  <c r="AH96" i="1"/>
  <c r="CD96" i="1" s="1"/>
  <c r="AI96" i="1"/>
  <c r="AJ96" i="1"/>
  <c r="CF96" i="1" s="1"/>
  <c r="AK96" i="1"/>
  <c r="AL96" i="1"/>
  <c r="CH96" i="1" s="1"/>
  <c r="AM96" i="1"/>
  <c r="Y97" i="1"/>
  <c r="BU97" i="1" s="1"/>
  <c r="Z97" i="1"/>
  <c r="AA97" i="1"/>
  <c r="BW97" i="1" s="1"/>
  <c r="AB97" i="1"/>
  <c r="AC97" i="1"/>
  <c r="BY97" i="1" s="1"/>
  <c r="AD97" i="1"/>
  <c r="AE97" i="1"/>
  <c r="CA97" i="1" s="1"/>
  <c r="AF97" i="1"/>
  <c r="CB97" i="1" s="1"/>
  <c r="AG97" i="1"/>
  <c r="AH97" i="1"/>
  <c r="CD97" i="1" s="1"/>
  <c r="AI97" i="1"/>
  <c r="AJ97" i="1"/>
  <c r="CF97" i="1" s="1"/>
  <c r="AK97" i="1"/>
  <c r="AL97" i="1"/>
  <c r="CH97" i="1" s="1"/>
  <c r="AM97" i="1"/>
  <c r="Y98" i="1"/>
  <c r="BU98" i="1" s="1"/>
  <c r="Z98" i="1"/>
  <c r="AA98" i="1"/>
  <c r="BW98" i="1" s="1"/>
  <c r="AB98" i="1"/>
  <c r="AC98" i="1"/>
  <c r="BY98" i="1" s="1"/>
  <c r="AD98" i="1"/>
  <c r="AE98" i="1"/>
  <c r="CA98" i="1" s="1"/>
  <c r="AF98" i="1"/>
  <c r="CB98" i="1" s="1"/>
  <c r="AG98" i="1"/>
  <c r="AH98" i="1"/>
  <c r="CD98" i="1" s="1"/>
  <c r="AI98" i="1"/>
  <c r="AJ98" i="1"/>
  <c r="CF98" i="1" s="1"/>
  <c r="AK98" i="1"/>
  <c r="AL98" i="1"/>
  <c r="CH98" i="1" s="1"/>
  <c r="AM98" i="1"/>
  <c r="Y99" i="1"/>
  <c r="BU99" i="1" s="1"/>
  <c r="Z99" i="1"/>
  <c r="AA99" i="1"/>
  <c r="BW99" i="1" s="1"/>
  <c r="AB99" i="1"/>
  <c r="AC99" i="1"/>
  <c r="BY99" i="1" s="1"/>
  <c r="AD99" i="1"/>
  <c r="AE99" i="1"/>
  <c r="CA99" i="1" s="1"/>
  <c r="AF99" i="1"/>
  <c r="CB99" i="1" s="1"/>
  <c r="AG99" i="1"/>
  <c r="AH99" i="1"/>
  <c r="CD99" i="1" s="1"/>
  <c r="AI99" i="1"/>
  <c r="AJ99" i="1"/>
  <c r="CF99" i="1" s="1"/>
  <c r="AK99" i="1"/>
  <c r="AL99" i="1"/>
  <c r="CH99" i="1" s="1"/>
  <c r="AM99" i="1"/>
  <c r="Y100" i="1"/>
  <c r="BU100" i="1" s="1"/>
  <c r="Z100" i="1"/>
  <c r="AA100" i="1"/>
  <c r="BW100" i="1" s="1"/>
  <c r="AB100" i="1"/>
  <c r="AC100" i="1"/>
  <c r="BY100" i="1" s="1"/>
  <c r="AD100" i="1"/>
  <c r="AE100" i="1"/>
  <c r="CA100" i="1" s="1"/>
  <c r="AF100" i="1"/>
  <c r="CB100" i="1" s="1"/>
  <c r="AG100" i="1"/>
  <c r="AH100" i="1"/>
  <c r="CD100" i="1" s="1"/>
  <c r="AI100" i="1"/>
  <c r="AJ100" i="1"/>
  <c r="CF100" i="1" s="1"/>
  <c r="AK100" i="1"/>
  <c r="AL100" i="1"/>
  <c r="CH100" i="1" s="1"/>
  <c r="AM100" i="1"/>
  <c r="Y101" i="1"/>
  <c r="BU101" i="1" s="1"/>
  <c r="Z101" i="1"/>
  <c r="AA101" i="1"/>
  <c r="BW101" i="1" s="1"/>
  <c r="AB101" i="1"/>
  <c r="AC101" i="1"/>
  <c r="BY101" i="1" s="1"/>
  <c r="AD101" i="1"/>
  <c r="AE101" i="1"/>
  <c r="CA101" i="1" s="1"/>
  <c r="AF101" i="1"/>
  <c r="CB101" i="1" s="1"/>
  <c r="AG101" i="1"/>
  <c r="AH101" i="1"/>
  <c r="CD101" i="1" s="1"/>
  <c r="AI101" i="1"/>
  <c r="AJ101" i="1"/>
  <c r="CF101" i="1" s="1"/>
  <c r="AK101" i="1"/>
  <c r="AL101" i="1"/>
  <c r="CH101" i="1" s="1"/>
  <c r="AM101" i="1"/>
  <c r="Y102" i="1"/>
  <c r="BU102" i="1" s="1"/>
  <c r="Z102" i="1"/>
  <c r="AA102" i="1"/>
  <c r="BW102" i="1" s="1"/>
  <c r="AB102" i="1"/>
  <c r="AC102" i="1"/>
  <c r="BY102" i="1" s="1"/>
  <c r="AD102" i="1"/>
  <c r="AE102" i="1"/>
  <c r="CA102" i="1" s="1"/>
  <c r="AF102" i="1"/>
  <c r="CB102" i="1" s="1"/>
  <c r="AG102" i="1"/>
  <c r="AH102" i="1"/>
  <c r="CD102" i="1" s="1"/>
  <c r="AI102" i="1"/>
  <c r="AJ102" i="1"/>
  <c r="CF102" i="1" s="1"/>
  <c r="AK102" i="1"/>
  <c r="AL102" i="1"/>
  <c r="CH102" i="1" s="1"/>
  <c r="AM102" i="1"/>
  <c r="Y103" i="1"/>
  <c r="BU103" i="1" s="1"/>
  <c r="Z103" i="1"/>
  <c r="AA103" i="1"/>
  <c r="BW103" i="1" s="1"/>
  <c r="AB103" i="1"/>
  <c r="AC103" i="1"/>
  <c r="BY103" i="1" s="1"/>
  <c r="AD103" i="1"/>
  <c r="AE103" i="1"/>
  <c r="CA103" i="1" s="1"/>
  <c r="AF103" i="1"/>
  <c r="CB103" i="1" s="1"/>
  <c r="AG103" i="1"/>
  <c r="AH103" i="1"/>
  <c r="CD103" i="1" s="1"/>
  <c r="AI103" i="1"/>
  <c r="AJ103" i="1"/>
  <c r="CF103" i="1" s="1"/>
  <c r="AK103" i="1"/>
  <c r="AL103" i="1"/>
  <c r="CH103" i="1" s="1"/>
  <c r="AM103" i="1"/>
  <c r="Y104" i="1"/>
  <c r="BU104" i="1" s="1"/>
  <c r="Z104" i="1"/>
  <c r="AA104" i="1"/>
  <c r="BW104" i="1" s="1"/>
  <c r="AB104" i="1"/>
  <c r="AC104" i="1"/>
  <c r="BY104" i="1" s="1"/>
  <c r="AD104" i="1"/>
  <c r="AE104" i="1"/>
  <c r="CA104" i="1" s="1"/>
  <c r="AF104" i="1"/>
  <c r="CB104" i="1" s="1"/>
  <c r="AG104" i="1"/>
  <c r="AH104" i="1"/>
  <c r="CD104" i="1" s="1"/>
  <c r="AI104" i="1"/>
  <c r="AJ104" i="1"/>
  <c r="CF104" i="1" s="1"/>
  <c r="AK104" i="1"/>
  <c r="AL104" i="1"/>
  <c r="CH104" i="1" s="1"/>
  <c r="AM104" i="1"/>
  <c r="Y105" i="1"/>
  <c r="BU105" i="1" s="1"/>
  <c r="Z105" i="1"/>
  <c r="AA105" i="1"/>
  <c r="BW105" i="1" s="1"/>
  <c r="AB105" i="1"/>
  <c r="AC105" i="1"/>
  <c r="BY105" i="1" s="1"/>
  <c r="AD105" i="1"/>
  <c r="AE105" i="1"/>
  <c r="CA105" i="1" s="1"/>
  <c r="AF105" i="1"/>
  <c r="CB105" i="1" s="1"/>
  <c r="AG105" i="1"/>
  <c r="AH105" i="1"/>
  <c r="CD105" i="1" s="1"/>
  <c r="AI105" i="1"/>
  <c r="AJ105" i="1"/>
  <c r="CF105" i="1" s="1"/>
  <c r="AK105" i="1"/>
  <c r="AL105" i="1"/>
  <c r="CH105" i="1" s="1"/>
  <c r="AM105" i="1"/>
  <c r="Y106" i="1"/>
  <c r="BU106" i="1" s="1"/>
  <c r="Z106" i="1"/>
  <c r="AA106" i="1"/>
  <c r="BW106" i="1" s="1"/>
  <c r="AB106" i="1"/>
  <c r="AC106" i="1"/>
  <c r="BY106" i="1" s="1"/>
  <c r="AD106" i="1"/>
  <c r="AE106" i="1"/>
  <c r="CA106" i="1" s="1"/>
  <c r="AF106" i="1"/>
  <c r="CB106" i="1" s="1"/>
  <c r="AG106" i="1"/>
  <c r="AH106" i="1"/>
  <c r="CD106" i="1" s="1"/>
  <c r="AI106" i="1"/>
  <c r="AJ106" i="1"/>
  <c r="CF106" i="1" s="1"/>
  <c r="AK106" i="1"/>
  <c r="AL106" i="1"/>
  <c r="CH106" i="1" s="1"/>
  <c r="AM106" i="1"/>
  <c r="Y107" i="1"/>
  <c r="BU107" i="1" s="1"/>
  <c r="Z107" i="1"/>
  <c r="AA107" i="1"/>
  <c r="BW107" i="1" s="1"/>
  <c r="AB107" i="1"/>
  <c r="AC107" i="1"/>
  <c r="BY107" i="1" s="1"/>
  <c r="AD107" i="1"/>
  <c r="AE107" i="1"/>
  <c r="CA107" i="1" s="1"/>
  <c r="AF107" i="1"/>
  <c r="CB107" i="1" s="1"/>
  <c r="AG107" i="1"/>
  <c r="AH107" i="1"/>
  <c r="CD107" i="1" s="1"/>
  <c r="AI107" i="1"/>
  <c r="AJ107" i="1"/>
  <c r="CF107" i="1" s="1"/>
  <c r="AK107" i="1"/>
  <c r="AL107" i="1"/>
  <c r="CH107" i="1" s="1"/>
  <c r="AM107" i="1"/>
  <c r="Y108" i="1"/>
  <c r="BU108" i="1" s="1"/>
  <c r="Z108" i="1"/>
  <c r="AA108" i="1"/>
  <c r="BW108" i="1" s="1"/>
  <c r="AB108" i="1"/>
  <c r="AC108" i="1"/>
  <c r="BY108" i="1" s="1"/>
  <c r="AD108" i="1"/>
  <c r="AE108" i="1"/>
  <c r="CA108" i="1" s="1"/>
  <c r="AF108" i="1"/>
  <c r="CB108" i="1" s="1"/>
  <c r="AG108" i="1"/>
  <c r="AH108" i="1"/>
  <c r="CD108" i="1" s="1"/>
  <c r="AI108" i="1"/>
  <c r="AJ108" i="1"/>
  <c r="CF108" i="1" s="1"/>
  <c r="AK108" i="1"/>
  <c r="AL108" i="1"/>
  <c r="CH108" i="1" s="1"/>
  <c r="AM108" i="1"/>
  <c r="Y109" i="1"/>
  <c r="BU109" i="1" s="1"/>
  <c r="Z109" i="1"/>
  <c r="AA109" i="1"/>
  <c r="BW109" i="1" s="1"/>
  <c r="AB109" i="1"/>
  <c r="AC109" i="1"/>
  <c r="BY109" i="1" s="1"/>
  <c r="AD109" i="1"/>
  <c r="AE109" i="1"/>
  <c r="CA109" i="1" s="1"/>
  <c r="AF109" i="1"/>
  <c r="CB109" i="1" s="1"/>
  <c r="AG109" i="1"/>
  <c r="AH109" i="1"/>
  <c r="CD109" i="1" s="1"/>
  <c r="AI109" i="1"/>
  <c r="AJ109" i="1"/>
  <c r="CF109" i="1" s="1"/>
  <c r="AK109" i="1"/>
  <c r="AL109" i="1"/>
  <c r="CH109" i="1" s="1"/>
  <c r="AM109" i="1"/>
  <c r="Y110" i="1"/>
  <c r="BU110" i="1" s="1"/>
  <c r="Z110" i="1"/>
  <c r="AA110" i="1"/>
  <c r="BW110" i="1" s="1"/>
  <c r="AB110" i="1"/>
  <c r="AC110" i="1"/>
  <c r="BY110" i="1" s="1"/>
  <c r="AD110" i="1"/>
  <c r="AE110" i="1"/>
  <c r="CA110" i="1" s="1"/>
  <c r="AF110" i="1"/>
  <c r="CB110" i="1" s="1"/>
  <c r="AG110" i="1"/>
  <c r="AH110" i="1"/>
  <c r="CD110" i="1" s="1"/>
  <c r="AI110" i="1"/>
  <c r="AJ110" i="1"/>
  <c r="CF110" i="1" s="1"/>
  <c r="AK110" i="1"/>
  <c r="AL110" i="1"/>
  <c r="CH110" i="1" s="1"/>
  <c r="AM110" i="1"/>
  <c r="Y111" i="1"/>
  <c r="BU111" i="1" s="1"/>
  <c r="Z111" i="1"/>
  <c r="AA111" i="1"/>
  <c r="BW111" i="1" s="1"/>
  <c r="AB111" i="1"/>
  <c r="AC111" i="1"/>
  <c r="BY111" i="1" s="1"/>
  <c r="AD111" i="1"/>
  <c r="AE111" i="1"/>
  <c r="CA111" i="1" s="1"/>
  <c r="AF111" i="1"/>
  <c r="CB111" i="1" s="1"/>
  <c r="AG111" i="1"/>
  <c r="AH111" i="1"/>
  <c r="CD111" i="1" s="1"/>
  <c r="AI111" i="1"/>
  <c r="AJ111" i="1"/>
  <c r="CF111" i="1" s="1"/>
  <c r="AK111" i="1"/>
  <c r="AL111" i="1"/>
  <c r="CH111" i="1" s="1"/>
  <c r="AM111" i="1"/>
  <c r="Y112" i="1"/>
  <c r="BU112" i="1" s="1"/>
  <c r="Z112" i="1"/>
  <c r="AA112" i="1"/>
  <c r="BW112" i="1" s="1"/>
  <c r="AB112" i="1"/>
  <c r="AC112" i="1"/>
  <c r="BY112" i="1" s="1"/>
  <c r="AD112" i="1"/>
  <c r="AE112" i="1"/>
  <c r="CA112" i="1" s="1"/>
  <c r="AF112" i="1"/>
  <c r="CB112" i="1" s="1"/>
  <c r="AG112" i="1"/>
  <c r="AH112" i="1"/>
  <c r="CD112" i="1" s="1"/>
  <c r="AI112" i="1"/>
  <c r="AJ112" i="1"/>
  <c r="CF112" i="1" s="1"/>
  <c r="AK112" i="1"/>
  <c r="AL112" i="1"/>
  <c r="CH112" i="1" s="1"/>
  <c r="AM112" i="1"/>
  <c r="Y113" i="1"/>
  <c r="BU113" i="1" s="1"/>
  <c r="Z113" i="1"/>
  <c r="AA113" i="1"/>
  <c r="BW113" i="1" s="1"/>
  <c r="AB113" i="1"/>
  <c r="AC113" i="1"/>
  <c r="BY113" i="1" s="1"/>
  <c r="AD113" i="1"/>
  <c r="AE113" i="1"/>
  <c r="CA113" i="1" s="1"/>
  <c r="AF113" i="1"/>
  <c r="CB113" i="1" s="1"/>
  <c r="AG113" i="1"/>
  <c r="AH113" i="1"/>
  <c r="CD113" i="1" s="1"/>
  <c r="AI113" i="1"/>
  <c r="AJ113" i="1"/>
  <c r="CF113" i="1" s="1"/>
  <c r="AK113" i="1"/>
  <c r="AL113" i="1"/>
  <c r="CH113" i="1" s="1"/>
  <c r="AM113" i="1"/>
  <c r="Y114" i="1"/>
  <c r="BU114" i="1" s="1"/>
  <c r="Z114" i="1"/>
  <c r="AA114" i="1"/>
  <c r="BW114" i="1" s="1"/>
  <c r="AB114" i="1"/>
  <c r="AC114" i="1"/>
  <c r="BY114" i="1" s="1"/>
  <c r="AD114" i="1"/>
  <c r="AE114" i="1"/>
  <c r="CA114" i="1" s="1"/>
  <c r="AF114" i="1"/>
  <c r="CB114" i="1" s="1"/>
  <c r="AG114" i="1"/>
  <c r="AH114" i="1"/>
  <c r="CD114" i="1" s="1"/>
  <c r="AI114" i="1"/>
  <c r="AJ114" i="1"/>
  <c r="CF114" i="1" s="1"/>
  <c r="AK114" i="1"/>
  <c r="AL114" i="1"/>
  <c r="CH114" i="1" s="1"/>
  <c r="AM114" i="1"/>
  <c r="Y115" i="1"/>
  <c r="BU115" i="1" s="1"/>
  <c r="Z115" i="1"/>
  <c r="AA115" i="1"/>
  <c r="BW115" i="1" s="1"/>
  <c r="AB115" i="1"/>
  <c r="AC115" i="1"/>
  <c r="BY115" i="1" s="1"/>
  <c r="AD115" i="1"/>
  <c r="AE115" i="1"/>
  <c r="CA115" i="1" s="1"/>
  <c r="AF115" i="1"/>
  <c r="CB115" i="1" s="1"/>
  <c r="AG115" i="1"/>
  <c r="AH115" i="1"/>
  <c r="CD115" i="1" s="1"/>
  <c r="AI115" i="1"/>
  <c r="AJ115" i="1"/>
  <c r="CF115" i="1" s="1"/>
  <c r="AK115" i="1"/>
  <c r="AL115" i="1"/>
  <c r="CH115" i="1" s="1"/>
  <c r="AM115" i="1"/>
  <c r="Y116" i="1"/>
  <c r="BU116" i="1" s="1"/>
  <c r="Z116" i="1"/>
  <c r="AA116" i="1"/>
  <c r="BW116" i="1" s="1"/>
  <c r="AB116" i="1"/>
  <c r="AC116" i="1"/>
  <c r="BY116" i="1" s="1"/>
  <c r="AD116" i="1"/>
  <c r="AE116" i="1"/>
  <c r="CA116" i="1" s="1"/>
  <c r="AF116" i="1"/>
  <c r="CB116" i="1" s="1"/>
  <c r="AG116" i="1"/>
  <c r="AH116" i="1"/>
  <c r="CD116" i="1" s="1"/>
  <c r="AI116" i="1"/>
  <c r="AJ116" i="1"/>
  <c r="CF116" i="1" s="1"/>
  <c r="AK116" i="1"/>
  <c r="AL116" i="1"/>
  <c r="CH116" i="1" s="1"/>
  <c r="AM116" i="1"/>
  <c r="Y117" i="1"/>
  <c r="BU117" i="1" s="1"/>
  <c r="Z117" i="1"/>
  <c r="AA117" i="1"/>
  <c r="BW117" i="1" s="1"/>
  <c r="AB117" i="1"/>
  <c r="AC117" i="1"/>
  <c r="BY117" i="1" s="1"/>
  <c r="AD117" i="1"/>
  <c r="AE117" i="1"/>
  <c r="CA117" i="1" s="1"/>
  <c r="AF117" i="1"/>
  <c r="CB117" i="1" s="1"/>
  <c r="AG117" i="1"/>
  <c r="AH117" i="1"/>
  <c r="CD117" i="1" s="1"/>
  <c r="AI117" i="1"/>
  <c r="AJ117" i="1"/>
  <c r="CF117" i="1" s="1"/>
  <c r="AK117" i="1"/>
  <c r="AL117" i="1"/>
  <c r="CH117" i="1" s="1"/>
  <c r="AM117" i="1"/>
  <c r="Y118" i="1"/>
  <c r="BU118" i="1" s="1"/>
  <c r="Z118" i="1"/>
  <c r="AA118" i="1"/>
  <c r="BW118" i="1" s="1"/>
  <c r="AB118" i="1"/>
  <c r="AC118" i="1"/>
  <c r="BY118" i="1" s="1"/>
  <c r="AD118" i="1"/>
  <c r="AE118" i="1"/>
  <c r="CA118" i="1" s="1"/>
  <c r="AF118" i="1"/>
  <c r="CB118" i="1" s="1"/>
  <c r="AG118" i="1"/>
  <c r="AH118" i="1"/>
  <c r="CD118" i="1" s="1"/>
  <c r="AI118" i="1"/>
  <c r="AJ118" i="1"/>
  <c r="CF118" i="1" s="1"/>
  <c r="AK118" i="1"/>
  <c r="AL118" i="1"/>
  <c r="CH118" i="1" s="1"/>
  <c r="AM118" i="1"/>
  <c r="Y119" i="1"/>
  <c r="BU119" i="1" s="1"/>
  <c r="Z119" i="1"/>
  <c r="AA119" i="1"/>
  <c r="BW119" i="1" s="1"/>
  <c r="AB119" i="1"/>
  <c r="AC119" i="1"/>
  <c r="BY119" i="1" s="1"/>
  <c r="AD119" i="1"/>
  <c r="AE119" i="1"/>
  <c r="CA119" i="1" s="1"/>
  <c r="AF119" i="1"/>
  <c r="CB119" i="1" s="1"/>
  <c r="AG119" i="1"/>
  <c r="AH119" i="1"/>
  <c r="CD119" i="1" s="1"/>
  <c r="AI119" i="1"/>
  <c r="AJ119" i="1"/>
  <c r="CF119" i="1" s="1"/>
  <c r="AK119" i="1"/>
  <c r="AL119" i="1"/>
  <c r="CH119" i="1" s="1"/>
  <c r="AM119" i="1"/>
  <c r="Y120" i="1"/>
  <c r="Z120" i="1"/>
  <c r="AA120" i="1"/>
  <c r="AB120" i="1"/>
  <c r="AC120" i="1"/>
  <c r="AD120" i="1"/>
  <c r="AE120" i="1"/>
  <c r="AF120" i="1"/>
  <c r="AG120" i="1"/>
  <c r="AH120" i="1"/>
  <c r="AI120" i="1"/>
  <c r="AJ120" i="1"/>
  <c r="AK120" i="1"/>
  <c r="AL120" i="1"/>
  <c r="AM120" i="1"/>
  <c r="Y121" i="1"/>
  <c r="Z121" i="1"/>
  <c r="AA121" i="1"/>
  <c r="AB121" i="1"/>
  <c r="AC121" i="1"/>
  <c r="AD121" i="1"/>
  <c r="AE121" i="1"/>
  <c r="AF121" i="1"/>
  <c r="AG121" i="1"/>
  <c r="AH121" i="1"/>
  <c r="AI121" i="1"/>
  <c r="AJ121" i="1"/>
  <c r="AK121" i="1"/>
  <c r="AL121" i="1"/>
  <c r="AM121"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10" i="1"/>
  <c r="CJ111" i="1"/>
  <c r="CJ112" i="1"/>
  <c r="CJ113" i="1"/>
  <c r="CJ114" i="1"/>
  <c r="CJ115" i="1"/>
  <c r="CJ116" i="1"/>
  <c r="CJ117" i="1"/>
  <c r="CJ118" i="1"/>
  <c r="CJ119" i="1"/>
  <c r="K142" i="44" l="1"/>
  <c r="S142" i="44" s="1"/>
  <c r="I142" i="31"/>
  <c r="Q142" i="31" s="1"/>
  <c r="K143" i="44"/>
  <c r="S143" i="44" s="1"/>
  <c r="I143" i="31"/>
  <c r="Q143" i="31" s="1"/>
  <c r="K145" i="44"/>
  <c r="S145" i="44" s="1"/>
  <c r="I145" i="31"/>
  <c r="Q145" i="31" s="1"/>
  <c r="K141" i="44"/>
  <c r="S141" i="44" s="1"/>
  <c r="I141" i="31"/>
  <c r="Q141" i="31" s="1"/>
  <c r="I144" i="31"/>
  <c r="Q144" i="31" s="1"/>
  <c r="K144" i="44"/>
  <c r="S144" i="44" s="1"/>
  <c r="CC95" i="1"/>
  <c r="E95" i="25"/>
  <c r="L95" i="25" s="1"/>
  <c r="BX107" i="1"/>
  <c r="F107" i="25"/>
  <c r="M107" i="25" s="1"/>
  <c r="F107" i="27"/>
  <c r="N107" i="27" s="1"/>
  <c r="BZ78" i="1"/>
  <c r="F78" i="29"/>
  <c r="O78" i="29" s="1"/>
  <c r="BX94" i="1"/>
  <c r="F94" i="25"/>
  <c r="M94" i="25" s="1"/>
  <c r="F94" i="27"/>
  <c r="N94" i="27" s="1"/>
  <c r="CE102" i="1"/>
  <c r="E102" i="29"/>
  <c r="N102" i="29" s="1"/>
  <c r="E102" i="27"/>
  <c r="M102" i="27" s="1"/>
  <c r="CC84" i="1"/>
  <c r="E84" i="25"/>
  <c r="L84" i="25" s="1"/>
  <c r="BX96" i="1"/>
  <c r="F96" i="27"/>
  <c r="N96" i="27" s="1"/>
  <c r="F96" i="25"/>
  <c r="M96" i="25" s="1"/>
  <c r="CC85" i="1"/>
  <c r="E85" i="25"/>
  <c r="L85" i="25" s="1"/>
  <c r="BZ82" i="1"/>
  <c r="F82" i="29"/>
  <c r="O82" i="29" s="1"/>
  <c r="BX80" i="1"/>
  <c r="F80" i="27"/>
  <c r="N80" i="27" s="1"/>
  <c r="F80" i="25"/>
  <c r="M80" i="25" s="1"/>
  <c r="E120" i="29"/>
  <c r="N120" i="29" s="1"/>
  <c r="E120" i="27"/>
  <c r="M120" i="27" s="1"/>
  <c r="CC118" i="1"/>
  <c r="E118" i="25"/>
  <c r="L118" i="25" s="1"/>
  <c r="BZ115" i="1"/>
  <c r="F115" i="29"/>
  <c r="O115" i="29" s="1"/>
  <c r="BX113" i="1"/>
  <c r="F113" i="27"/>
  <c r="N113" i="27" s="1"/>
  <c r="F113" i="25"/>
  <c r="M113" i="25" s="1"/>
  <c r="CE104" i="1"/>
  <c r="E104" i="29"/>
  <c r="N104" i="29" s="1"/>
  <c r="E104" i="27"/>
  <c r="M104" i="27" s="1"/>
  <c r="CC102" i="1"/>
  <c r="E102" i="25"/>
  <c r="L102" i="25" s="1"/>
  <c r="BZ99" i="1"/>
  <c r="F99" i="29"/>
  <c r="O99" i="29" s="1"/>
  <c r="BX97" i="1"/>
  <c r="F97" i="27"/>
  <c r="N97" i="27" s="1"/>
  <c r="F97" i="25"/>
  <c r="M97" i="25" s="1"/>
  <c r="CE88" i="1"/>
  <c r="E88" i="29"/>
  <c r="N88" i="29" s="1"/>
  <c r="E88" i="27"/>
  <c r="M88" i="27" s="1"/>
  <c r="CC86" i="1"/>
  <c r="E86" i="25"/>
  <c r="L86" i="25" s="1"/>
  <c r="BZ83" i="1"/>
  <c r="F83" i="29"/>
  <c r="O83" i="29" s="1"/>
  <c r="BX81" i="1"/>
  <c r="F81" i="27"/>
  <c r="N81" i="27" s="1"/>
  <c r="F81" i="25"/>
  <c r="M81" i="25" s="1"/>
  <c r="CE113" i="1"/>
  <c r="E113" i="27"/>
  <c r="M113" i="27" s="1"/>
  <c r="E113" i="29"/>
  <c r="N113" i="29" s="1"/>
  <c r="BZ108" i="1"/>
  <c r="F108" i="29"/>
  <c r="O108" i="29" s="1"/>
  <c r="CC112" i="1"/>
  <c r="E112" i="25"/>
  <c r="L112" i="25" s="1"/>
  <c r="CC80" i="1"/>
  <c r="E80" i="25"/>
  <c r="L80" i="25" s="1"/>
  <c r="Q80" i="25" s="1"/>
  <c r="BZ77" i="1"/>
  <c r="F77" i="29"/>
  <c r="O77" i="29" s="1"/>
  <c r="CE116" i="1"/>
  <c r="E116" i="29"/>
  <c r="N116" i="29" s="1"/>
  <c r="E116" i="27"/>
  <c r="M116" i="27" s="1"/>
  <c r="BZ111" i="1"/>
  <c r="F111" i="29"/>
  <c r="O111" i="29" s="1"/>
  <c r="BZ95" i="1"/>
  <c r="F95" i="29"/>
  <c r="O95" i="29" s="1"/>
  <c r="CC115" i="1"/>
  <c r="E115" i="25"/>
  <c r="L115" i="25" s="1"/>
  <c r="BZ96" i="1"/>
  <c r="F96" i="29"/>
  <c r="O96" i="29" s="1"/>
  <c r="BZ114" i="1"/>
  <c r="F114" i="29"/>
  <c r="O114" i="29" s="1"/>
  <c r="G74" i="25"/>
  <c r="N74" i="25" s="1"/>
  <c r="G74" i="31"/>
  <c r="G74" i="30"/>
  <c r="H74" i="29"/>
  <c r="Q74" i="29" s="1"/>
  <c r="H74" i="32"/>
  <c r="Q74" i="32" s="1"/>
  <c r="G74" i="27"/>
  <c r="O74" i="27" s="1"/>
  <c r="E121" i="29"/>
  <c r="N121" i="29" s="1"/>
  <c r="E121" i="27"/>
  <c r="M121" i="27" s="1"/>
  <c r="BZ116" i="1"/>
  <c r="F116" i="29"/>
  <c r="O116" i="29" s="1"/>
  <c r="CE105" i="1"/>
  <c r="E105" i="29"/>
  <c r="N105" i="29" s="1"/>
  <c r="E105" i="27"/>
  <c r="M105" i="27" s="1"/>
  <c r="CC103" i="1"/>
  <c r="E103" i="25"/>
  <c r="L103" i="25" s="1"/>
  <c r="BZ100" i="1"/>
  <c r="F100" i="29"/>
  <c r="O100" i="29" s="1"/>
  <c r="BX98" i="1"/>
  <c r="F98" i="27"/>
  <c r="N98" i="27" s="1"/>
  <c r="F98" i="25"/>
  <c r="M98" i="25" s="1"/>
  <c r="CE89" i="1"/>
  <c r="E89" i="29"/>
  <c r="N89" i="29" s="1"/>
  <c r="E89" i="27"/>
  <c r="M89" i="27" s="1"/>
  <c r="CC87" i="1"/>
  <c r="E87" i="25"/>
  <c r="L87" i="25" s="1"/>
  <c r="BZ84" i="1"/>
  <c r="F84" i="29"/>
  <c r="O84" i="29" s="1"/>
  <c r="BX82" i="1"/>
  <c r="F82" i="27"/>
  <c r="N82" i="27" s="1"/>
  <c r="F82" i="25"/>
  <c r="M82" i="25" s="1"/>
  <c r="F121" i="27"/>
  <c r="N121" i="27" s="1"/>
  <c r="F121" i="25"/>
  <c r="M121" i="25" s="1"/>
  <c r="CC110" i="1"/>
  <c r="E110" i="25"/>
  <c r="L110" i="25" s="1"/>
  <c r="BZ107" i="1"/>
  <c r="F107" i="29"/>
  <c r="O107" i="29" s="1"/>
  <c r="BX105" i="1"/>
  <c r="F105" i="27"/>
  <c r="N105" i="27" s="1"/>
  <c r="F105" i="25"/>
  <c r="M105" i="25" s="1"/>
  <c r="BZ91" i="1"/>
  <c r="F91" i="29"/>
  <c r="O91" i="29" s="1"/>
  <c r="BZ109" i="1"/>
  <c r="F109" i="29"/>
  <c r="O109" i="29" s="1"/>
  <c r="BZ93" i="1"/>
  <c r="F93" i="29"/>
  <c r="O93" i="29" s="1"/>
  <c r="BZ110" i="1"/>
  <c r="F110" i="29"/>
  <c r="O110" i="29" s="1"/>
  <c r="BX92" i="1"/>
  <c r="F92" i="25"/>
  <c r="M92" i="25" s="1"/>
  <c r="F92" i="27"/>
  <c r="N92" i="27" s="1"/>
  <c r="BX76" i="1"/>
  <c r="F76" i="25"/>
  <c r="M76" i="25" s="1"/>
  <c r="F76" i="27"/>
  <c r="N76" i="27" s="1"/>
  <c r="BX109" i="1"/>
  <c r="F109" i="27"/>
  <c r="N109" i="27" s="1"/>
  <c r="F109" i="25"/>
  <c r="M109" i="25" s="1"/>
  <c r="CC98" i="1"/>
  <c r="E98" i="25"/>
  <c r="L98" i="25" s="1"/>
  <c r="CE84" i="1"/>
  <c r="E84" i="27"/>
  <c r="M84" i="27" s="1"/>
  <c r="E84" i="29"/>
  <c r="N84" i="29" s="1"/>
  <c r="CE118" i="1"/>
  <c r="E118" i="29"/>
  <c r="N118" i="29" s="1"/>
  <c r="E118" i="27"/>
  <c r="M118" i="27" s="1"/>
  <c r="CE103" i="1"/>
  <c r="E103" i="29"/>
  <c r="N103" i="29" s="1"/>
  <c r="E103" i="27"/>
  <c r="M103" i="27" s="1"/>
  <c r="CE87" i="1"/>
  <c r="E87" i="29"/>
  <c r="N87" i="29" s="1"/>
  <c r="E87" i="27"/>
  <c r="M87" i="27" s="1"/>
  <c r="E120" i="25"/>
  <c r="L120" i="25" s="1"/>
  <c r="BZ117" i="1"/>
  <c r="F117" i="29"/>
  <c r="O117" i="29" s="1"/>
  <c r="BX115" i="1"/>
  <c r="F115" i="27"/>
  <c r="N115" i="27" s="1"/>
  <c r="F115" i="25"/>
  <c r="M115" i="25" s="1"/>
  <c r="CE106" i="1"/>
  <c r="E106" i="29"/>
  <c r="N106" i="29" s="1"/>
  <c r="E106" i="27"/>
  <c r="M106" i="27" s="1"/>
  <c r="CC104" i="1"/>
  <c r="E104" i="25"/>
  <c r="L104" i="25" s="1"/>
  <c r="BZ101" i="1"/>
  <c r="F101" i="29"/>
  <c r="O101" i="29" s="1"/>
  <c r="BX99" i="1"/>
  <c r="F99" i="25"/>
  <c r="M99" i="25" s="1"/>
  <c r="F99" i="27"/>
  <c r="N99" i="27" s="1"/>
  <c r="CE90" i="1"/>
  <c r="E90" i="29"/>
  <c r="N90" i="29" s="1"/>
  <c r="E90" i="27"/>
  <c r="M90" i="27" s="1"/>
  <c r="CC88" i="1"/>
  <c r="E88" i="25"/>
  <c r="L88" i="25" s="1"/>
  <c r="BZ85" i="1"/>
  <c r="F85" i="29"/>
  <c r="O85" i="29" s="1"/>
  <c r="BX83" i="1"/>
  <c r="F83" i="27"/>
  <c r="N83" i="27" s="1"/>
  <c r="F83" i="25"/>
  <c r="M83" i="25" s="1"/>
  <c r="CE74" i="1"/>
  <c r="E74" i="29"/>
  <c r="N74" i="29" s="1"/>
  <c r="E74" i="27"/>
  <c r="M74" i="27" s="1"/>
  <c r="BX106" i="1"/>
  <c r="F106" i="27"/>
  <c r="N106" i="27" s="1"/>
  <c r="F106" i="25"/>
  <c r="M106" i="25" s="1"/>
  <c r="CE98" i="1"/>
  <c r="E98" i="29"/>
  <c r="N98" i="29" s="1"/>
  <c r="E98" i="27"/>
  <c r="M98" i="27" s="1"/>
  <c r="BX93" i="1"/>
  <c r="F93" i="25"/>
  <c r="M93" i="25" s="1"/>
  <c r="F93" i="27"/>
  <c r="N93" i="27" s="1"/>
  <c r="CC82" i="1"/>
  <c r="E82" i="25"/>
  <c r="L82" i="25" s="1"/>
  <c r="Q82" i="25" s="1"/>
  <c r="BZ79" i="1"/>
  <c r="F79" i="29"/>
  <c r="O79" i="29" s="1"/>
  <c r="BX77" i="1"/>
  <c r="F77" i="25"/>
  <c r="M77" i="25" s="1"/>
  <c r="F77" i="27"/>
  <c r="N77" i="27" s="1"/>
  <c r="CE117" i="1"/>
  <c r="E117" i="29"/>
  <c r="N117" i="29" s="1"/>
  <c r="E117" i="27"/>
  <c r="M117" i="27" s="1"/>
  <c r="CC99" i="1"/>
  <c r="E99" i="25"/>
  <c r="L99" i="25" s="1"/>
  <c r="BZ81" i="1"/>
  <c r="F81" i="29"/>
  <c r="O81" i="29" s="1"/>
  <c r="BX112" i="1"/>
  <c r="F112" i="27"/>
  <c r="N112" i="27" s="1"/>
  <c r="F112" i="25"/>
  <c r="M112" i="25" s="1"/>
  <c r="E121" i="25"/>
  <c r="L121" i="25" s="1"/>
  <c r="BZ118" i="1"/>
  <c r="F118" i="29"/>
  <c r="O118" i="29" s="1"/>
  <c r="BX116" i="1"/>
  <c r="F116" i="27"/>
  <c r="N116" i="27" s="1"/>
  <c r="F116" i="25"/>
  <c r="M116" i="25" s="1"/>
  <c r="CE107" i="1"/>
  <c r="E107" i="29"/>
  <c r="N107" i="29" s="1"/>
  <c r="E107" i="27"/>
  <c r="M107" i="27" s="1"/>
  <c r="CC105" i="1"/>
  <c r="E105" i="25"/>
  <c r="L105" i="25" s="1"/>
  <c r="BZ102" i="1"/>
  <c r="F102" i="29"/>
  <c r="O102" i="29" s="1"/>
  <c r="BX100" i="1"/>
  <c r="F100" i="27"/>
  <c r="N100" i="27" s="1"/>
  <c r="F100" i="25"/>
  <c r="M100" i="25" s="1"/>
  <c r="CE91" i="1"/>
  <c r="E91" i="27"/>
  <c r="M91" i="27" s="1"/>
  <c r="E91" i="29"/>
  <c r="N91" i="29" s="1"/>
  <c r="CC89" i="1"/>
  <c r="E89" i="25"/>
  <c r="L89" i="25" s="1"/>
  <c r="BZ86" i="1"/>
  <c r="F86" i="29"/>
  <c r="O86" i="29" s="1"/>
  <c r="BX84" i="1"/>
  <c r="F84" i="27"/>
  <c r="N84" i="27" s="1"/>
  <c r="F84" i="25"/>
  <c r="M84" i="25" s="1"/>
  <c r="CE75" i="1"/>
  <c r="E75" i="29"/>
  <c r="N75" i="29" s="1"/>
  <c r="E75" i="27"/>
  <c r="M75" i="27" s="1"/>
  <c r="CE96" i="1"/>
  <c r="E96" i="29"/>
  <c r="N96" i="29" s="1"/>
  <c r="E96" i="27"/>
  <c r="M96" i="27" s="1"/>
  <c r="BX89" i="1"/>
  <c r="F89" i="27"/>
  <c r="N89" i="27" s="1"/>
  <c r="F89" i="25"/>
  <c r="M89" i="25" s="1"/>
  <c r="CE80" i="1"/>
  <c r="E80" i="27"/>
  <c r="M80" i="27" s="1"/>
  <c r="E80" i="29"/>
  <c r="N80" i="29" s="1"/>
  <c r="BZ75" i="1"/>
  <c r="F75" i="29"/>
  <c r="O75" i="29" s="1"/>
  <c r="CC111" i="1"/>
  <c r="E111" i="25"/>
  <c r="L111" i="25" s="1"/>
  <c r="CE97" i="1"/>
  <c r="E97" i="29"/>
  <c r="N97" i="29" s="1"/>
  <c r="E97" i="27"/>
  <c r="M97" i="27" s="1"/>
  <c r="BZ92" i="1"/>
  <c r="F92" i="29"/>
  <c r="O92" i="29" s="1"/>
  <c r="BX90" i="1"/>
  <c r="F90" i="27"/>
  <c r="N90" i="27" s="1"/>
  <c r="F90" i="25"/>
  <c r="M90" i="25" s="1"/>
  <c r="BX74" i="1"/>
  <c r="F74" i="27"/>
  <c r="N74" i="27" s="1"/>
  <c r="F74" i="25"/>
  <c r="M74" i="25" s="1"/>
  <c r="CE115" i="1"/>
  <c r="E115" i="27"/>
  <c r="M115" i="27" s="1"/>
  <c r="E115" i="29"/>
  <c r="N115" i="29" s="1"/>
  <c r="BX108" i="1"/>
  <c r="F108" i="25"/>
  <c r="M108" i="25" s="1"/>
  <c r="F108" i="27"/>
  <c r="N108" i="27" s="1"/>
  <c r="CC97" i="1"/>
  <c r="E97" i="25"/>
  <c r="L97" i="25" s="1"/>
  <c r="BZ94" i="1"/>
  <c r="F94" i="29"/>
  <c r="O94" i="29" s="1"/>
  <c r="CE85" i="1"/>
  <c r="E85" i="29"/>
  <c r="N85" i="29" s="1"/>
  <c r="E85" i="27"/>
  <c r="M85" i="27" s="1"/>
  <c r="BX78" i="1"/>
  <c r="F78" i="25"/>
  <c r="M78" i="25" s="1"/>
  <c r="F78" i="27"/>
  <c r="N78" i="27" s="1"/>
  <c r="BZ113" i="1"/>
  <c r="F113" i="29"/>
  <c r="O113" i="29" s="1"/>
  <c r="CE119" i="1"/>
  <c r="E119" i="29"/>
  <c r="N119" i="29" s="1"/>
  <c r="E119" i="27"/>
  <c r="M119" i="27" s="1"/>
  <c r="CC101" i="1"/>
  <c r="E101" i="25"/>
  <c r="L101" i="25" s="1"/>
  <c r="CC119" i="1"/>
  <c r="E119" i="25"/>
  <c r="L119" i="25" s="1"/>
  <c r="BX114" i="1"/>
  <c r="F114" i="27"/>
  <c r="N114" i="27" s="1"/>
  <c r="F114" i="25"/>
  <c r="M114" i="25" s="1"/>
  <c r="BZ119" i="1"/>
  <c r="F119" i="29"/>
  <c r="O119" i="29" s="1"/>
  <c r="BX117" i="1"/>
  <c r="F117" i="25"/>
  <c r="M117" i="25" s="1"/>
  <c r="F117" i="27"/>
  <c r="N117" i="27" s="1"/>
  <c r="CE108" i="1"/>
  <c r="E108" i="29"/>
  <c r="N108" i="29" s="1"/>
  <c r="E108" i="27"/>
  <c r="M108" i="27" s="1"/>
  <c r="CC106" i="1"/>
  <c r="E106" i="25"/>
  <c r="L106" i="25" s="1"/>
  <c r="BZ103" i="1"/>
  <c r="F103" i="29"/>
  <c r="O103" i="29" s="1"/>
  <c r="BX101" i="1"/>
  <c r="F101" i="25"/>
  <c r="M101" i="25" s="1"/>
  <c r="F101" i="27"/>
  <c r="N101" i="27" s="1"/>
  <c r="CE92" i="1"/>
  <c r="E92" i="29"/>
  <c r="N92" i="29" s="1"/>
  <c r="E92" i="27"/>
  <c r="M92" i="27" s="1"/>
  <c r="CC90" i="1"/>
  <c r="E90" i="25"/>
  <c r="L90" i="25" s="1"/>
  <c r="BZ87" i="1"/>
  <c r="F87" i="29"/>
  <c r="O87" i="29" s="1"/>
  <c r="BX85" i="1"/>
  <c r="F85" i="25"/>
  <c r="M85" i="25" s="1"/>
  <c r="F85" i="27"/>
  <c r="N85" i="27" s="1"/>
  <c r="CE76" i="1"/>
  <c r="E76" i="29"/>
  <c r="N76" i="29" s="1"/>
  <c r="E76" i="27"/>
  <c r="M76" i="27" s="1"/>
  <c r="CC74" i="1"/>
  <c r="E74" i="25"/>
  <c r="L74" i="25" s="1"/>
  <c r="CE81" i="1"/>
  <c r="E81" i="29"/>
  <c r="N81" i="29" s="1"/>
  <c r="E81" i="27"/>
  <c r="M81" i="27" s="1"/>
  <c r="CC79" i="1"/>
  <c r="E79" i="25"/>
  <c r="L79" i="25" s="1"/>
  <c r="BZ76" i="1"/>
  <c r="F76" i="29"/>
  <c r="O76" i="29" s="1"/>
  <c r="CC113" i="1"/>
  <c r="E113" i="25"/>
  <c r="L113" i="25" s="1"/>
  <c r="Q113" i="25" s="1"/>
  <c r="CC81" i="1"/>
  <c r="E81" i="25"/>
  <c r="L81" i="25" s="1"/>
  <c r="CC114" i="1"/>
  <c r="E114" i="25"/>
  <c r="L114" i="25" s="1"/>
  <c r="BX110" i="1"/>
  <c r="F110" i="25"/>
  <c r="M110" i="25" s="1"/>
  <c r="F110" i="27"/>
  <c r="N110" i="27" s="1"/>
  <c r="CE101" i="1"/>
  <c r="E101" i="29"/>
  <c r="N101" i="29" s="1"/>
  <c r="E101" i="27"/>
  <c r="M101" i="27" s="1"/>
  <c r="CC117" i="1"/>
  <c r="E117" i="25"/>
  <c r="L117" i="25" s="1"/>
  <c r="BX118" i="1"/>
  <c r="F118" i="25"/>
  <c r="M118" i="25" s="1"/>
  <c r="F118" i="27"/>
  <c r="N118" i="27" s="1"/>
  <c r="CE109" i="1"/>
  <c r="E109" i="29"/>
  <c r="N109" i="29" s="1"/>
  <c r="E109" i="27"/>
  <c r="M109" i="27" s="1"/>
  <c r="CC107" i="1"/>
  <c r="E107" i="25"/>
  <c r="L107" i="25" s="1"/>
  <c r="BZ104" i="1"/>
  <c r="F104" i="29"/>
  <c r="O104" i="29" s="1"/>
  <c r="BX102" i="1"/>
  <c r="F102" i="25"/>
  <c r="M102" i="25" s="1"/>
  <c r="F102" i="27"/>
  <c r="N102" i="27" s="1"/>
  <c r="CE93" i="1"/>
  <c r="E93" i="29"/>
  <c r="N93" i="29" s="1"/>
  <c r="E93" i="27"/>
  <c r="M93" i="27" s="1"/>
  <c r="CC91" i="1"/>
  <c r="E91" i="25"/>
  <c r="L91" i="25" s="1"/>
  <c r="Q91" i="25" s="1"/>
  <c r="BZ88" i="1"/>
  <c r="F88" i="29"/>
  <c r="O88" i="29" s="1"/>
  <c r="BX86" i="1"/>
  <c r="F86" i="25"/>
  <c r="M86" i="25" s="1"/>
  <c r="F86" i="27"/>
  <c r="N86" i="27" s="1"/>
  <c r="CE77" i="1"/>
  <c r="E77" i="29"/>
  <c r="N77" i="29" s="1"/>
  <c r="E77" i="27"/>
  <c r="M77" i="27" s="1"/>
  <c r="CC75" i="1"/>
  <c r="E75" i="25"/>
  <c r="L75" i="25" s="1"/>
  <c r="CC94" i="1"/>
  <c r="E94" i="25"/>
  <c r="L94" i="25" s="1"/>
  <c r="CC78" i="1"/>
  <c r="E78" i="25"/>
  <c r="L78" i="25" s="1"/>
  <c r="Q78" i="25" s="1"/>
  <c r="CC96" i="1"/>
  <c r="E96" i="25"/>
  <c r="L96" i="25" s="1"/>
  <c r="CE82" i="1"/>
  <c r="E82" i="29"/>
  <c r="N82" i="29" s="1"/>
  <c r="E82" i="27"/>
  <c r="M82" i="27" s="1"/>
  <c r="CE99" i="1"/>
  <c r="E99" i="29"/>
  <c r="N99" i="29" s="1"/>
  <c r="E99" i="27"/>
  <c r="M99" i="27" s="1"/>
  <c r="CE100" i="1"/>
  <c r="E100" i="29"/>
  <c r="N100" i="29" s="1"/>
  <c r="E100" i="27"/>
  <c r="M100" i="27" s="1"/>
  <c r="S100" i="27" s="1"/>
  <c r="BZ112" i="1"/>
  <c r="F112" i="29"/>
  <c r="O112" i="29" s="1"/>
  <c r="CC83" i="1"/>
  <c r="E83" i="25"/>
  <c r="L83" i="25" s="1"/>
  <c r="Q83" i="25" s="1"/>
  <c r="BZ80" i="1"/>
  <c r="F80" i="29"/>
  <c r="O80" i="29" s="1"/>
  <c r="CC116" i="1"/>
  <c r="E116" i="25"/>
  <c r="L116" i="25" s="1"/>
  <c r="BX95" i="1"/>
  <c r="F95" i="27"/>
  <c r="N95" i="27" s="1"/>
  <c r="F95" i="25"/>
  <c r="M95" i="25" s="1"/>
  <c r="F120" i="29"/>
  <c r="O120" i="29" s="1"/>
  <c r="F121" i="29"/>
  <c r="O121" i="29" s="1"/>
  <c r="BX119" i="1"/>
  <c r="F119" i="27"/>
  <c r="N119" i="27" s="1"/>
  <c r="F119" i="25"/>
  <c r="M119" i="25" s="1"/>
  <c r="CE110" i="1"/>
  <c r="E110" i="29"/>
  <c r="N110" i="29" s="1"/>
  <c r="E110" i="27"/>
  <c r="M110" i="27" s="1"/>
  <c r="CC108" i="1"/>
  <c r="E108" i="25"/>
  <c r="L108" i="25" s="1"/>
  <c r="BZ105" i="1"/>
  <c r="F105" i="29"/>
  <c r="O105" i="29" s="1"/>
  <c r="BX103" i="1"/>
  <c r="F103" i="27"/>
  <c r="N103" i="27" s="1"/>
  <c r="F103" i="25"/>
  <c r="M103" i="25" s="1"/>
  <c r="CE94" i="1"/>
  <c r="E94" i="29"/>
  <c r="N94" i="29" s="1"/>
  <c r="E94" i="27"/>
  <c r="M94" i="27" s="1"/>
  <c r="S94" i="27" s="1"/>
  <c r="CC92" i="1"/>
  <c r="E92" i="25"/>
  <c r="L92" i="25" s="1"/>
  <c r="BZ89" i="1"/>
  <c r="F89" i="29"/>
  <c r="O89" i="29" s="1"/>
  <c r="BX87" i="1"/>
  <c r="F87" i="27"/>
  <c r="N87" i="27" s="1"/>
  <c r="F87" i="25"/>
  <c r="M87" i="25" s="1"/>
  <c r="CE78" i="1"/>
  <c r="E78" i="29"/>
  <c r="N78" i="29" s="1"/>
  <c r="E78" i="27"/>
  <c r="M78" i="27" s="1"/>
  <c r="CC76" i="1"/>
  <c r="E76" i="25"/>
  <c r="L76" i="25" s="1"/>
  <c r="Q76" i="25" s="1"/>
  <c r="CE112" i="1"/>
  <c r="E112" i="27"/>
  <c r="M112" i="27" s="1"/>
  <c r="E112" i="29"/>
  <c r="N112" i="29" s="1"/>
  <c r="CE114" i="1"/>
  <c r="E114" i="27"/>
  <c r="M114" i="27" s="1"/>
  <c r="E114" i="29"/>
  <c r="N114" i="29" s="1"/>
  <c r="BX91" i="1"/>
  <c r="F91" i="25"/>
  <c r="M91" i="25" s="1"/>
  <c r="F91" i="27"/>
  <c r="N91" i="27" s="1"/>
  <c r="BX75" i="1"/>
  <c r="F75" i="25"/>
  <c r="M75" i="25" s="1"/>
  <c r="F75" i="27"/>
  <c r="N75" i="27" s="1"/>
  <c r="CE83" i="1"/>
  <c r="E83" i="29"/>
  <c r="N83" i="29" s="1"/>
  <c r="E83" i="27"/>
  <c r="M83" i="27" s="1"/>
  <c r="S83" i="27" s="1"/>
  <c r="BX111" i="1"/>
  <c r="F111" i="27"/>
  <c r="N111" i="27" s="1"/>
  <c r="F111" i="25"/>
  <c r="M111" i="25" s="1"/>
  <c r="CC100" i="1"/>
  <c r="E100" i="25"/>
  <c r="L100" i="25" s="1"/>
  <c r="BZ97" i="1"/>
  <c r="F97" i="29"/>
  <c r="O97" i="29" s="1"/>
  <c r="CE86" i="1"/>
  <c r="E86" i="29"/>
  <c r="N86" i="29" s="1"/>
  <c r="E86" i="27"/>
  <c r="M86" i="27" s="1"/>
  <c r="BX79" i="1"/>
  <c r="F79" i="27"/>
  <c r="N79" i="27" s="1"/>
  <c r="F79" i="25"/>
  <c r="M79" i="25" s="1"/>
  <c r="BZ98" i="1"/>
  <c r="F98" i="29"/>
  <c r="O98" i="29" s="1"/>
  <c r="F120" i="27"/>
  <c r="N120" i="27" s="1"/>
  <c r="F120" i="25"/>
  <c r="M120" i="25" s="1"/>
  <c r="CE111" i="1"/>
  <c r="E111" i="29"/>
  <c r="N111" i="29" s="1"/>
  <c r="E111" i="27"/>
  <c r="M111" i="27" s="1"/>
  <c r="S111" i="27" s="1"/>
  <c r="CC109" i="1"/>
  <c r="E109" i="25"/>
  <c r="L109" i="25" s="1"/>
  <c r="BZ106" i="1"/>
  <c r="F106" i="29"/>
  <c r="O106" i="29" s="1"/>
  <c r="BX104" i="1"/>
  <c r="F104" i="27"/>
  <c r="N104" i="27" s="1"/>
  <c r="F104" i="25"/>
  <c r="M104" i="25" s="1"/>
  <c r="CE95" i="1"/>
  <c r="E95" i="29"/>
  <c r="N95" i="29" s="1"/>
  <c r="E95" i="27"/>
  <c r="M95" i="27" s="1"/>
  <c r="CC93" i="1"/>
  <c r="E93" i="25"/>
  <c r="L93" i="25" s="1"/>
  <c r="BZ90" i="1"/>
  <c r="F90" i="29"/>
  <c r="O90" i="29" s="1"/>
  <c r="BX88" i="1"/>
  <c r="F88" i="27"/>
  <c r="N88" i="27" s="1"/>
  <c r="F88" i="25"/>
  <c r="M88" i="25" s="1"/>
  <c r="CE79" i="1"/>
  <c r="E79" i="29"/>
  <c r="N79" i="29" s="1"/>
  <c r="E79" i="27"/>
  <c r="M79" i="27" s="1"/>
  <c r="CC77" i="1"/>
  <c r="E77" i="25"/>
  <c r="L77" i="25" s="1"/>
  <c r="BZ74" i="1"/>
  <c r="F74" i="29"/>
  <c r="O74" i="29" s="1"/>
  <c r="BV113" i="1"/>
  <c r="CG108" i="1"/>
  <c r="BV97" i="1"/>
  <c r="CG92" i="1"/>
  <c r="BV81" i="1"/>
  <c r="CG76" i="1"/>
  <c r="BV114" i="1"/>
  <c r="CG109" i="1"/>
  <c r="BV98" i="1"/>
  <c r="CG93" i="1"/>
  <c r="BV82" i="1"/>
  <c r="CG77" i="1"/>
  <c r="BV115" i="1"/>
  <c r="CG110" i="1"/>
  <c r="BV99" i="1"/>
  <c r="CG94" i="1"/>
  <c r="BV83" i="1"/>
  <c r="CG78" i="1"/>
  <c r="BV116" i="1"/>
  <c r="CG111" i="1"/>
  <c r="BV100" i="1"/>
  <c r="CG95" i="1"/>
  <c r="BV84" i="1"/>
  <c r="CG79" i="1"/>
  <c r="BV117" i="1"/>
  <c r="CG112" i="1"/>
  <c r="BV101" i="1"/>
  <c r="CG96" i="1"/>
  <c r="BV85" i="1"/>
  <c r="CG80" i="1"/>
  <c r="BV118" i="1"/>
  <c r="CG113" i="1"/>
  <c r="BV102" i="1"/>
  <c r="CG97" i="1"/>
  <c r="BV86" i="1"/>
  <c r="CG81" i="1"/>
  <c r="BV119" i="1"/>
  <c r="CG114" i="1"/>
  <c r="BV103" i="1"/>
  <c r="CG98" i="1"/>
  <c r="BV87" i="1"/>
  <c r="CG82" i="1"/>
  <c r="CG115" i="1"/>
  <c r="BV104" i="1"/>
  <c r="CG99" i="1"/>
  <c r="BV88" i="1"/>
  <c r="CG83" i="1"/>
  <c r="CG116" i="1"/>
  <c r="BV105" i="1"/>
  <c r="CG100" i="1"/>
  <c r="BV89" i="1"/>
  <c r="CG84" i="1"/>
  <c r="CG117" i="1"/>
  <c r="BV106" i="1"/>
  <c r="CG101" i="1"/>
  <c r="BV90" i="1"/>
  <c r="CG85" i="1"/>
  <c r="BV74" i="1"/>
  <c r="CG118" i="1"/>
  <c r="BV107" i="1"/>
  <c r="CG102" i="1"/>
  <c r="BV91" i="1"/>
  <c r="CG86" i="1"/>
  <c r="BV75" i="1"/>
  <c r="CG119" i="1"/>
  <c r="BV108" i="1"/>
  <c r="CG103" i="1"/>
  <c r="BV92" i="1"/>
  <c r="CG87" i="1"/>
  <c r="BV76" i="1"/>
  <c r="BV109" i="1"/>
  <c r="CG104" i="1"/>
  <c r="BV93" i="1"/>
  <c r="CG88" i="1"/>
  <c r="BV77" i="1"/>
  <c r="BV110" i="1"/>
  <c r="CG105" i="1"/>
  <c r="BV94" i="1"/>
  <c r="CG89" i="1"/>
  <c r="BV78" i="1"/>
  <c r="BV111" i="1"/>
  <c r="CG106" i="1"/>
  <c r="BV95" i="1"/>
  <c r="CG90" i="1"/>
  <c r="BV79" i="1"/>
  <c r="CG74" i="1"/>
  <c r="BV112" i="1"/>
  <c r="CG107" i="1"/>
  <c r="BV96" i="1"/>
  <c r="CG91" i="1"/>
  <c r="BV80" i="1"/>
  <c r="CG75" i="1"/>
  <c r="L6" i="6"/>
  <c r="L34" i="6"/>
  <c r="B80" i="6"/>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C74" i="1"/>
  <c r="B74" i="1"/>
  <c r="AV3" i="1"/>
  <c r="Y3" i="1"/>
  <c r="BU3" i="1" s="1"/>
  <c r="Z3" i="1"/>
  <c r="BV3" i="1" s="1"/>
  <c r="AA3" i="1"/>
  <c r="BW3" i="1" s="1"/>
  <c r="AB3" i="1"/>
  <c r="AC3" i="1"/>
  <c r="BY3" i="1" s="1"/>
  <c r="AD3" i="1"/>
  <c r="AE3" i="1"/>
  <c r="CA3" i="1" s="1"/>
  <c r="AF3" i="1"/>
  <c r="CB3" i="1" s="1"/>
  <c r="AG3" i="1"/>
  <c r="AH3" i="1"/>
  <c r="CD3" i="1" s="1"/>
  <c r="AI3" i="1"/>
  <c r="AJ3" i="1"/>
  <c r="CF3" i="1" s="1"/>
  <c r="AK3" i="1"/>
  <c r="CG3" i="1" s="1"/>
  <c r="AL3" i="1"/>
  <c r="CH3" i="1" s="1"/>
  <c r="AM3" i="1"/>
  <c r="Y4" i="1"/>
  <c r="BU4" i="1" s="1"/>
  <c r="Z4" i="1"/>
  <c r="BV4" i="1" s="1"/>
  <c r="AA4" i="1"/>
  <c r="BW4" i="1" s="1"/>
  <c r="AB4" i="1"/>
  <c r="AC4" i="1"/>
  <c r="BY4" i="1" s="1"/>
  <c r="AD4" i="1"/>
  <c r="AE4" i="1"/>
  <c r="CA4" i="1" s="1"/>
  <c r="AF4" i="1"/>
  <c r="CB4" i="1" s="1"/>
  <c r="AG4" i="1"/>
  <c r="AH4" i="1"/>
  <c r="CD4" i="1" s="1"/>
  <c r="AI4" i="1"/>
  <c r="AJ4" i="1"/>
  <c r="CF4" i="1" s="1"/>
  <c r="AK4" i="1"/>
  <c r="CG4" i="1" s="1"/>
  <c r="AL4" i="1"/>
  <c r="CH4" i="1" s="1"/>
  <c r="AM4" i="1"/>
  <c r="Y5" i="1"/>
  <c r="BU5" i="1" s="1"/>
  <c r="Z5" i="1"/>
  <c r="BV5" i="1" s="1"/>
  <c r="AA5" i="1"/>
  <c r="BW5" i="1" s="1"/>
  <c r="AB5" i="1"/>
  <c r="AC5" i="1"/>
  <c r="BY5" i="1" s="1"/>
  <c r="AD5" i="1"/>
  <c r="AE5" i="1"/>
  <c r="CA5" i="1" s="1"/>
  <c r="AF5" i="1"/>
  <c r="CB5" i="1" s="1"/>
  <c r="AG5" i="1"/>
  <c r="AH5" i="1"/>
  <c r="CD5" i="1" s="1"/>
  <c r="AI5" i="1"/>
  <c r="AJ5" i="1"/>
  <c r="CF5" i="1" s="1"/>
  <c r="AK5" i="1"/>
  <c r="CG5" i="1" s="1"/>
  <c r="AL5" i="1"/>
  <c r="CH5" i="1" s="1"/>
  <c r="AM5" i="1"/>
  <c r="Y6" i="1"/>
  <c r="BU6" i="1" s="1"/>
  <c r="Z6" i="1"/>
  <c r="BV6" i="1" s="1"/>
  <c r="AA6" i="1"/>
  <c r="BW6" i="1" s="1"/>
  <c r="AB6" i="1"/>
  <c r="AC6" i="1"/>
  <c r="BY6" i="1" s="1"/>
  <c r="AD6" i="1"/>
  <c r="AE6" i="1"/>
  <c r="CA6" i="1" s="1"/>
  <c r="AF6" i="1"/>
  <c r="CB6" i="1" s="1"/>
  <c r="AG6" i="1"/>
  <c r="AH6" i="1"/>
  <c r="CD6" i="1" s="1"/>
  <c r="AI6" i="1"/>
  <c r="AJ6" i="1"/>
  <c r="CF6" i="1" s="1"/>
  <c r="AK6" i="1"/>
  <c r="CG6" i="1" s="1"/>
  <c r="AL6" i="1"/>
  <c r="CH6" i="1" s="1"/>
  <c r="AM6" i="1"/>
  <c r="Y7" i="1"/>
  <c r="BU7" i="1" s="1"/>
  <c r="Z7" i="1"/>
  <c r="BV7" i="1" s="1"/>
  <c r="AA7" i="1"/>
  <c r="BW7" i="1" s="1"/>
  <c r="AB7" i="1"/>
  <c r="AC7" i="1"/>
  <c r="BY7" i="1" s="1"/>
  <c r="AD7" i="1"/>
  <c r="AE7" i="1"/>
  <c r="CA7" i="1" s="1"/>
  <c r="AF7" i="1"/>
  <c r="CB7" i="1" s="1"/>
  <c r="AG7" i="1"/>
  <c r="AH7" i="1"/>
  <c r="CD7" i="1" s="1"/>
  <c r="AI7" i="1"/>
  <c r="AJ7" i="1"/>
  <c r="CF7" i="1" s="1"/>
  <c r="AK7" i="1"/>
  <c r="CG7" i="1" s="1"/>
  <c r="AL7" i="1"/>
  <c r="CH7" i="1" s="1"/>
  <c r="AM7" i="1"/>
  <c r="Y8" i="1"/>
  <c r="BU8" i="1" s="1"/>
  <c r="Z8" i="1"/>
  <c r="BV8" i="1" s="1"/>
  <c r="AA8" i="1"/>
  <c r="BW8" i="1" s="1"/>
  <c r="AB8" i="1"/>
  <c r="AC8" i="1"/>
  <c r="BY8" i="1" s="1"/>
  <c r="AD8" i="1"/>
  <c r="AE8" i="1"/>
  <c r="CA8" i="1" s="1"/>
  <c r="AF8" i="1"/>
  <c r="CB8" i="1" s="1"/>
  <c r="AG8" i="1"/>
  <c r="AH8" i="1"/>
  <c r="CD8" i="1" s="1"/>
  <c r="AI8" i="1"/>
  <c r="AJ8" i="1"/>
  <c r="CF8" i="1" s="1"/>
  <c r="AK8" i="1"/>
  <c r="CG8" i="1" s="1"/>
  <c r="AL8" i="1"/>
  <c r="CH8" i="1" s="1"/>
  <c r="AM8" i="1"/>
  <c r="Y9" i="1"/>
  <c r="BU9" i="1" s="1"/>
  <c r="Z9" i="1"/>
  <c r="BV9" i="1" s="1"/>
  <c r="AA9" i="1"/>
  <c r="BW9" i="1" s="1"/>
  <c r="AB9" i="1"/>
  <c r="AC9" i="1"/>
  <c r="BY9" i="1" s="1"/>
  <c r="AD9" i="1"/>
  <c r="AE9" i="1"/>
  <c r="CA9" i="1" s="1"/>
  <c r="AF9" i="1"/>
  <c r="CB9" i="1" s="1"/>
  <c r="AG9" i="1"/>
  <c r="AH9" i="1"/>
  <c r="CD9" i="1" s="1"/>
  <c r="AI9" i="1"/>
  <c r="AJ9" i="1"/>
  <c r="CF9" i="1" s="1"/>
  <c r="AK9" i="1"/>
  <c r="CG9" i="1" s="1"/>
  <c r="AL9" i="1"/>
  <c r="CH9" i="1" s="1"/>
  <c r="AM9" i="1"/>
  <c r="Y10" i="1"/>
  <c r="BU10" i="1" s="1"/>
  <c r="Z10" i="1"/>
  <c r="BV10" i="1" s="1"/>
  <c r="AA10" i="1"/>
  <c r="BW10" i="1" s="1"/>
  <c r="AB10" i="1"/>
  <c r="AC10" i="1"/>
  <c r="BY10" i="1" s="1"/>
  <c r="AD10" i="1"/>
  <c r="AE10" i="1"/>
  <c r="CA10" i="1" s="1"/>
  <c r="AF10" i="1"/>
  <c r="CB10" i="1" s="1"/>
  <c r="AG10" i="1"/>
  <c r="AH10" i="1"/>
  <c r="CD10" i="1" s="1"/>
  <c r="AI10" i="1"/>
  <c r="AJ10" i="1"/>
  <c r="CF10" i="1" s="1"/>
  <c r="AK10" i="1"/>
  <c r="CG10" i="1" s="1"/>
  <c r="AL10" i="1"/>
  <c r="CH10" i="1" s="1"/>
  <c r="AM10" i="1"/>
  <c r="Y11" i="1"/>
  <c r="BU11" i="1" s="1"/>
  <c r="Z11" i="1"/>
  <c r="BV11" i="1" s="1"/>
  <c r="AA11" i="1"/>
  <c r="BW11" i="1" s="1"/>
  <c r="AB11" i="1"/>
  <c r="AC11" i="1"/>
  <c r="BY11" i="1" s="1"/>
  <c r="AD11" i="1"/>
  <c r="AE11" i="1"/>
  <c r="CA11" i="1" s="1"/>
  <c r="AF11" i="1"/>
  <c r="CB11" i="1" s="1"/>
  <c r="AG11" i="1"/>
  <c r="AH11" i="1"/>
  <c r="CD11" i="1" s="1"/>
  <c r="AI11" i="1"/>
  <c r="AJ11" i="1"/>
  <c r="CF11" i="1" s="1"/>
  <c r="AK11" i="1"/>
  <c r="CG11" i="1" s="1"/>
  <c r="AL11" i="1"/>
  <c r="CH11" i="1" s="1"/>
  <c r="AM11" i="1"/>
  <c r="Y12" i="1"/>
  <c r="BU12" i="1" s="1"/>
  <c r="Z12" i="1"/>
  <c r="BV12" i="1" s="1"/>
  <c r="AA12" i="1"/>
  <c r="BW12" i="1" s="1"/>
  <c r="AB12" i="1"/>
  <c r="AC12" i="1"/>
  <c r="BY12" i="1" s="1"/>
  <c r="AD12" i="1"/>
  <c r="AE12" i="1"/>
  <c r="CA12" i="1" s="1"/>
  <c r="AF12" i="1"/>
  <c r="CB12" i="1" s="1"/>
  <c r="AG12" i="1"/>
  <c r="AH12" i="1"/>
  <c r="CD12" i="1" s="1"/>
  <c r="AI12" i="1"/>
  <c r="AJ12" i="1"/>
  <c r="CF12" i="1" s="1"/>
  <c r="AK12" i="1"/>
  <c r="CG12" i="1" s="1"/>
  <c r="AL12" i="1"/>
  <c r="CH12" i="1" s="1"/>
  <c r="AM12" i="1"/>
  <c r="Y13" i="1"/>
  <c r="BU13" i="1" s="1"/>
  <c r="Z13" i="1"/>
  <c r="BV13" i="1" s="1"/>
  <c r="AA13" i="1"/>
  <c r="BW13" i="1" s="1"/>
  <c r="AB13" i="1"/>
  <c r="AC13" i="1"/>
  <c r="BY13" i="1" s="1"/>
  <c r="AD13" i="1"/>
  <c r="AE13" i="1"/>
  <c r="CA13" i="1" s="1"/>
  <c r="AF13" i="1"/>
  <c r="CB13" i="1" s="1"/>
  <c r="AG13" i="1"/>
  <c r="AH13" i="1"/>
  <c r="CD13" i="1" s="1"/>
  <c r="AI13" i="1"/>
  <c r="AJ13" i="1"/>
  <c r="CF13" i="1" s="1"/>
  <c r="AK13" i="1"/>
  <c r="CG13" i="1" s="1"/>
  <c r="AL13" i="1"/>
  <c r="CH13" i="1" s="1"/>
  <c r="AM13" i="1"/>
  <c r="Y14" i="1"/>
  <c r="BU14" i="1" s="1"/>
  <c r="Z14" i="1"/>
  <c r="BV14" i="1" s="1"/>
  <c r="AA14" i="1"/>
  <c r="BW14" i="1" s="1"/>
  <c r="AB14" i="1"/>
  <c r="AC14" i="1"/>
  <c r="BY14" i="1" s="1"/>
  <c r="AD14" i="1"/>
  <c r="AE14" i="1"/>
  <c r="CA14" i="1" s="1"/>
  <c r="AF14" i="1"/>
  <c r="CB14" i="1" s="1"/>
  <c r="AG14" i="1"/>
  <c r="AH14" i="1"/>
  <c r="CD14" i="1" s="1"/>
  <c r="AI14" i="1"/>
  <c r="AJ14" i="1"/>
  <c r="CF14" i="1" s="1"/>
  <c r="AK14" i="1"/>
  <c r="CG14" i="1" s="1"/>
  <c r="AL14" i="1"/>
  <c r="CH14" i="1" s="1"/>
  <c r="AM14" i="1"/>
  <c r="Y15" i="1"/>
  <c r="BU15" i="1" s="1"/>
  <c r="Z15" i="1"/>
  <c r="BV15" i="1" s="1"/>
  <c r="AA15" i="1"/>
  <c r="BW15" i="1" s="1"/>
  <c r="AB15" i="1"/>
  <c r="AC15" i="1"/>
  <c r="BY15" i="1" s="1"/>
  <c r="AD15" i="1"/>
  <c r="AE15" i="1"/>
  <c r="CA15" i="1" s="1"/>
  <c r="AF15" i="1"/>
  <c r="CB15" i="1" s="1"/>
  <c r="AG15" i="1"/>
  <c r="AH15" i="1"/>
  <c r="CD15" i="1" s="1"/>
  <c r="AI15" i="1"/>
  <c r="AJ15" i="1"/>
  <c r="CF15" i="1" s="1"/>
  <c r="AK15" i="1"/>
  <c r="CG15" i="1" s="1"/>
  <c r="AL15" i="1"/>
  <c r="CH15" i="1" s="1"/>
  <c r="AM15" i="1"/>
  <c r="Y16" i="1"/>
  <c r="BU16" i="1" s="1"/>
  <c r="Z16" i="1"/>
  <c r="BV16" i="1" s="1"/>
  <c r="AA16" i="1"/>
  <c r="BW16" i="1" s="1"/>
  <c r="AB16" i="1"/>
  <c r="AC16" i="1"/>
  <c r="BY16" i="1" s="1"/>
  <c r="AD16" i="1"/>
  <c r="AE16" i="1"/>
  <c r="CA16" i="1" s="1"/>
  <c r="AF16" i="1"/>
  <c r="CB16" i="1" s="1"/>
  <c r="AG16" i="1"/>
  <c r="AH16" i="1"/>
  <c r="CD16" i="1" s="1"/>
  <c r="AI16" i="1"/>
  <c r="AJ16" i="1"/>
  <c r="CF16" i="1" s="1"/>
  <c r="AK16" i="1"/>
  <c r="CG16" i="1" s="1"/>
  <c r="AL16" i="1"/>
  <c r="CH16" i="1" s="1"/>
  <c r="AM16" i="1"/>
  <c r="Y17" i="1"/>
  <c r="BU17" i="1" s="1"/>
  <c r="Z17" i="1"/>
  <c r="BV17" i="1" s="1"/>
  <c r="AA17" i="1"/>
  <c r="BW17" i="1" s="1"/>
  <c r="AB17" i="1"/>
  <c r="AC17" i="1"/>
  <c r="BY17" i="1" s="1"/>
  <c r="AD17" i="1"/>
  <c r="AE17" i="1"/>
  <c r="CA17" i="1" s="1"/>
  <c r="AF17" i="1"/>
  <c r="CB17" i="1" s="1"/>
  <c r="AG17" i="1"/>
  <c r="AH17" i="1"/>
  <c r="CD17" i="1" s="1"/>
  <c r="AI17" i="1"/>
  <c r="AJ17" i="1"/>
  <c r="CF17" i="1" s="1"/>
  <c r="AK17" i="1"/>
  <c r="CG17" i="1" s="1"/>
  <c r="AL17" i="1"/>
  <c r="CH17" i="1" s="1"/>
  <c r="AM17" i="1"/>
  <c r="Y18" i="1"/>
  <c r="BU18" i="1" s="1"/>
  <c r="Z18" i="1"/>
  <c r="BV18" i="1" s="1"/>
  <c r="AA18" i="1"/>
  <c r="BW18" i="1" s="1"/>
  <c r="AB18" i="1"/>
  <c r="AC18" i="1"/>
  <c r="BY18" i="1" s="1"/>
  <c r="AD18" i="1"/>
  <c r="AE18" i="1"/>
  <c r="CA18" i="1" s="1"/>
  <c r="AF18" i="1"/>
  <c r="CB18" i="1" s="1"/>
  <c r="AG18" i="1"/>
  <c r="AH18" i="1"/>
  <c r="CD18" i="1" s="1"/>
  <c r="AI18" i="1"/>
  <c r="AJ18" i="1"/>
  <c r="CF18" i="1" s="1"/>
  <c r="AK18" i="1"/>
  <c r="CG18" i="1" s="1"/>
  <c r="AL18" i="1"/>
  <c r="CH18" i="1" s="1"/>
  <c r="AM18" i="1"/>
  <c r="Y19" i="1"/>
  <c r="BU19" i="1" s="1"/>
  <c r="Z19" i="1"/>
  <c r="BV19" i="1" s="1"/>
  <c r="AA19" i="1"/>
  <c r="BW19" i="1" s="1"/>
  <c r="AB19" i="1"/>
  <c r="AC19" i="1"/>
  <c r="BY19" i="1" s="1"/>
  <c r="AD19" i="1"/>
  <c r="AE19" i="1"/>
  <c r="CA19" i="1" s="1"/>
  <c r="AF19" i="1"/>
  <c r="CB19" i="1" s="1"/>
  <c r="AG19" i="1"/>
  <c r="AH19" i="1"/>
  <c r="CD19" i="1" s="1"/>
  <c r="AI19" i="1"/>
  <c r="AJ19" i="1"/>
  <c r="CF19" i="1" s="1"/>
  <c r="AK19" i="1"/>
  <c r="CG19" i="1" s="1"/>
  <c r="AL19" i="1"/>
  <c r="CH19" i="1" s="1"/>
  <c r="AM19" i="1"/>
  <c r="Y20" i="1"/>
  <c r="BU20" i="1" s="1"/>
  <c r="Z20" i="1"/>
  <c r="BV20" i="1" s="1"/>
  <c r="AA20" i="1"/>
  <c r="BW20" i="1" s="1"/>
  <c r="AB20" i="1"/>
  <c r="AC20" i="1"/>
  <c r="BY20" i="1" s="1"/>
  <c r="AD20" i="1"/>
  <c r="AE20" i="1"/>
  <c r="CA20" i="1" s="1"/>
  <c r="AF20" i="1"/>
  <c r="CB20" i="1" s="1"/>
  <c r="AG20" i="1"/>
  <c r="AH20" i="1"/>
  <c r="CD20" i="1" s="1"/>
  <c r="AI20" i="1"/>
  <c r="AJ20" i="1"/>
  <c r="CF20" i="1" s="1"/>
  <c r="AK20" i="1"/>
  <c r="CG20" i="1" s="1"/>
  <c r="AL20" i="1"/>
  <c r="CH20" i="1" s="1"/>
  <c r="AM20" i="1"/>
  <c r="Y21" i="1"/>
  <c r="BU21" i="1" s="1"/>
  <c r="Z21" i="1"/>
  <c r="BV21" i="1" s="1"/>
  <c r="AA21" i="1"/>
  <c r="BW21" i="1" s="1"/>
  <c r="AB21" i="1"/>
  <c r="AC21" i="1"/>
  <c r="BY21" i="1" s="1"/>
  <c r="AD21" i="1"/>
  <c r="AE21" i="1"/>
  <c r="CA21" i="1" s="1"/>
  <c r="AF21" i="1"/>
  <c r="CB21" i="1" s="1"/>
  <c r="AG21" i="1"/>
  <c r="AH21" i="1"/>
  <c r="CD21" i="1" s="1"/>
  <c r="AI21" i="1"/>
  <c r="AJ21" i="1"/>
  <c r="CF21" i="1" s="1"/>
  <c r="AK21" i="1"/>
  <c r="CG21" i="1" s="1"/>
  <c r="AL21" i="1"/>
  <c r="CH21" i="1" s="1"/>
  <c r="AM21" i="1"/>
  <c r="Y22" i="1"/>
  <c r="BU22" i="1" s="1"/>
  <c r="Z22" i="1"/>
  <c r="BV22" i="1" s="1"/>
  <c r="AA22" i="1"/>
  <c r="BW22" i="1" s="1"/>
  <c r="AB22" i="1"/>
  <c r="AC22" i="1"/>
  <c r="BY22" i="1" s="1"/>
  <c r="AD22" i="1"/>
  <c r="AE22" i="1"/>
  <c r="CA22" i="1" s="1"/>
  <c r="AF22" i="1"/>
  <c r="CB22" i="1" s="1"/>
  <c r="AG22" i="1"/>
  <c r="AH22" i="1"/>
  <c r="CD22" i="1" s="1"/>
  <c r="AI22" i="1"/>
  <c r="AJ22" i="1"/>
  <c r="CF22" i="1" s="1"/>
  <c r="AK22" i="1"/>
  <c r="CG22" i="1" s="1"/>
  <c r="AL22" i="1"/>
  <c r="CH22" i="1" s="1"/>
  <c r="AM22" i="1"/>
  <c r="Y23" i="1"/>
  <c r="BU23" i="1" s="1"/>
  <c r="Z23" i="1"/>
  <c r="BV23" i="1" s="1"/>
  <c r="AA23" i="1"/>
  <c r="BW23" i="1" s="1"/>
  <c r="AB23" i="1"/>
  <c r="AC23" i="1"/>
  <c r="BY23" i="1" s="1"/>
  <c r="AD23" i="1"/>
  <c r="AE23" i="1"/>
  <c r="CA23" i="1" s="1"/>
  <c r="AF23" i="1"/>
  <c r="CB23" i="1" s="1"/>
  <c r="AG23" i="1"/>
  <c r="AH23" i="1"/>
  <c r="CD23" i="1" s="1"/>
  <c r="AI23" i="1"/>
  <c r="AJ23" i="1"/>
  <c r="CF23" i="1" s="1"/>
  <c r="AK23" i="1"/>
  <c r="CG23" i="1" s="1"/>
  <c r="AL23" i="1"/>
  <c r="CH23" i="1" s="1"/>
  <c r="AM23" i="1"/>
  <c r="Y24" i="1"/>
  <c r="BU24" i="1" s="1"/>
  <c r="Z24" i="1"/>
  <c r="BV24" i="1" s="1"/>
  <c r="AA24" i="1"/>
  <c r="BW24" i="1" s="1"/>
  <c r="AB24" i="1"/>
  <c r="AC24" i="1"/>
  <c r="BY24" i="1" s="1"/>
  <c r="AD24" i="1"/>
  <c r="AE24" i="1"/>
  <c r="CA24" i="1" s="1"/>
  <c r="AF24" i="1"/>
  <c r="CB24" i="1" s="1"/>
  <c r="AG24" i="1"/>
  <c r="AH24" i="1"/>
  <c r="CD24" i="1" s="1"/>
  <c r="AI24" i="1"/>
  <c r="AJ24" i="1"/>
  <c r="CF24" i="1" s="1"/>
  <c r="AK24" i="1"/>
  <c r="CG24" i="1" s="1"/>
  <c r="AL24" i="1"/>
  <c r="CH24" i="1" s="1"/>
  <c r="AM24" i="1"/>
  <c r="Y25" i="1"/>
  <c r="BU25" i="1" s="1"/>
  <c r="Z25" i="1"/>
  <c r="BV25" i="1" s="1"/>
  <c r="AA25" i="1"/>
  <c r="BW25" i="1" s="1"/>
  <c r="AB25" i="1"/>
  <c r="AC25" i="1"/>
  <c r="BY25" i="1" s="1"/>
  <c r="AD25" i="1"/>
  <c r="AE25" i="1"/>
  <c r="CA25" i="1" s="1"/>
  <c r="AF25" i="1"/>
  <c r="CB25" i="1" s="1"/>
  <c r="AG25" i="1"/>
  <c r="AH25" i="1"/>
  <c r="CD25" i="1" s="1"/>
  <c r="AI25" i="1"/>
  <c r="AJ25" i="1"/>
  <c r="CF25" i="1" s="1"/>
  <c r="AK25" i="1"/>
  <c r="CG25" i="1" s="1"/>
  <c r="AL25" i="1"/>
  <c r="CH25" i="1" s="1"/>
  <c r="AM25" i="1"/>
  <c r="Y26" i="1"/>
  <c r="BU26" i="1" s="1"/>
  <c r="Z26" i="1"/>
  <c r="BV26" i="1" s="1"/>
  <c r="AA26" i="1"/>
  <c r="BW26" i="1" s="1"/>
  <c r="AB26" i="1"/>
  <c r="AC26" i="1"/>
  <c r="BY26" i="1" s="1"/>
  <c r="AD26" i="1"/>
  <c r="AE26" i="1"/>
  <c r="CA26" i="1" s="1"/>
  <c r="AF26" i="1"/>
  <c r="CB26" i="1" s="1"/>
  <c r="AG26" i="1"/>
  <c r="AH26" i="1"/>
  <c r="CD26" i="1" s="1"/>
  <c r="AI26" i="1"/>
  <c r="AJ26" i="1"/>
  <c r="CF26" i="1" s="1"/>
  <c r="AK26" i="1"/>
  <c r="CG26" i="1" s="1"/>
  <c r="AL26" i="1"/>
  <c r="CH26" i="1" s="1"/>
  <c r="AM26" i="1"/>
  <c r="Y27" i="1"/>
  <c r="BU27" i="1" s="1"/>
  <c r="Z27" i="1"/>
  <c r="BV27" i="1" s="1"/>
  <c r="AA27" i="1"/>
  <c r="BW27" i="1" s="1"/>
  <c r="AB27" i="1"/>
  <c r="AC27" i="1"/>
  <c r="BY27" i="1" s="1"/>
  <c r="AD27" i="1"/>
  <c r="AE27" i="1"/>
  <c r="CA27" i="1" s="1"/>
  <c r="AF27" i="1"/>
  <c r="CB27" i="1" s="1"/>
  <c r="AG27" i="1"/>
  <c r="AH27" i="1"/>
  <c r="CD27" i="1" s="1"/>
  <c r="AI27" i="1"/>
  <c r="AJ27" i="1"/>
  <c r="CF27" i="1" s="1"/>
  <c r="AK27" i="1"/>
  <c r="CG27" i="1" s="1"/>
  <c r="AL27" i="1"/>
  <c r="CH27" i="1" s="1"/>
  <c r="AM27" i="1"/>
  <c r="Y28" i="1"/>
  <c r="BU28" i="1" s="1"/>
  <c r="Z28" i="1"/>
  <c r="BV28" i="1" s="1"/>
  <c r="AA28" i="1"/>
  <c r="BW28" i="1" s="1"/>
  <c r="AB28" i="1"/>
  <c r="AC28" i="1"/>
  <c r="BY28" i="1" s="1"/>
  <c r="AD28" i="1"/>
  <c r="AE28" i="1"/>
  <c r="CA28" i="1" s="1"/>
  <c r="AF28" i="1"/>
  <c r="CB28" i="1" s="1"/>
  <c r="AG28" i="1"/>
  <c r="AH28" i="1"/>
  <c r="CD28" i="1" s="1"/>
  <c r="AI28" i="1"/>
  <c r="AJ28" i="1"/>
  <c r="CF28" i="1" s="1"/>
  <c r="AK28" i="1"/>
  <c r="CG28" i="1" s="1"/>
  <c r="AL28" i="1"/>
  <c r="CH28" i="1" s="1"/>
  <c r="AM28" i="1"/>
  <c r="Y29" i="1"/>
  <c r="BU29" i="1" s="1"/>
  <c r="Z29" i="1"/>
  <c r="BV29" i="1" s="1"/>
  <c r="AA29" i="1"/>
  <c r="BW29" i="1" s="1"/>
  <c r="AB29" i="1"/>
  <c r="AC29" i="1"/>
  <c r="BY29" i="1" s="1"/>
  <c r="AD29" i="1"/>
  <c r="AE29" i="1"/>
  <c r="CA29" i="1" s="1"/>
  <c r="AF29" i="1"/>
  <c r="CB29" i="1" s="1"/>
  <c r="AG29" i="1"/>
  <c r="AH29" i="1"/>
  <c r="CD29" i="1" s="1"/>
  <c r="AI29" i="1"/>
  <c r="AJ29" i="1"/>
  <c r="CF29" i="1" s="1"/>
  <c r="AK29" i="1"/>
  <c r="CG29" i="1" s="1"/>
  <c r="AL29" i="1"/>
  <c r="CH29" i="1" s="1"/>
  <c r="AM29" i="1"/>
  <c r="Y30" i="1"/>
  <c r="BU30" i="1" s="1"/>
  <c r="Z30" i="1"/>
  <c r="BV30" i="1" s="1"/>
  <c r="AA30" i="1"/>
  <c r="BW30" i="1" s="1"/>
  <c r="AB30" i="1"/>
  <c r="AC30" i="1"/>
  <c r="BY30" i="1" s="1"/>
  <c r="AD30" i="1"/>
  <c r="AE30" i="1"/>
  <c r="CA30" i="1" s="1"/>
  <c r="AF30" i="1"/>
  <c r="CB30" i="1" s="1"/>
  <c r="AG30" i="1"/>
  <c r="AH30" i="1"/>
  <c r="CD30" i="1" s="1"/>
  <c r="AI30" i="1"/>
  <c r="AJ30" i="1"/>
  <c r="CF30" i="1" s="1"/>
  <c r="AK30" i="1"/>
  <c r="CG30" i="1" s="1"/>
  <c r="AL30" i="1"/>
  <c r="CH30" i="1" s="1"/>
  <c r="AM30" i="1"/>
  <c r="Y31" i="1"/>
  <c r="BU31" i="1" s="1"/>
  <c r="Z31" i="1"/>
  <c r="BV31" i="1" s="1"/>
  <c r="AA31" i="1"/>
  <c r="BW31" i="1" s="1"/>
  <c r="AB31" i="1"/>
  <c r="AC31" i="1"/>
  <c r="BY31" i="1" s="1"/>
  <c r="AD31" i="1"/>
  <c r="AE31" i="1"/>
  <c r="CA31" i="1" s="1"/>
  <c r="AF31" i="1"/>
  <c r="CB31" i="1" s="1"/>
  <c r="AG31" i="1"/>
  <c r="AH31" i="1"/>
  <c r="CD31" i="1" s="1"/>
  <c r="AI31" i="1"/>
  <c r="AJ31" i="1"/>
  <c r="CF31" i="1" s="1"/>
  <c r="AK31" i="1"/>
  <c r="CG31" i="1" s="1"/>
  <c r="AL31" i="1"/>
  <c r="CH31" i="1" s="1"/>
  <c r="AM31" i="1"/>
  <c r="Y32" i="1"/>
  <c r="BU32" i="1" s="1"/>
  <c r="Z32" i="1"/>
  <c r="BV32" i="1" s="1"/>
  <c r="AA32" i="1"/>
  <c r="BW32" i="1" s="1"/>
  <c r="AB32" i="1"/>
  <c r="AC32" i="1"/>
  <c r="BY32" i="1" s="1"/>
  <c r="AD32" i="1"/>
  <c r="AE32" i="1"/>
  <c r="CA32" i="1" s="1"/>
  <c r="AF32" i="1"/>
  <c r="CB32" i="1" s="1"/>
  <c r="AG32" i="1"/>
  <c r="AH32" i="1"/>
  <c r="CD32" i="1" s="1"/>
  <c r="AI32" i="1"/>
  <c r="AJ32" i="1"/>
  <c r="CF32" i="1" s="1"/>
  <c r="AK32" i="1"/>
  <c r="CG32" i="1" s="1"/>
  <c r="AL32" i="1"/>
  <c r="CH32" i="1" s="1"/>
  <c r="AM32" i="1"/>
  <c r="Y33" i="1"/>
  <c r="BU33" i="1" s="1"/>
  <c r="Z33" i="1"/>
  <c r="BV33" i="1" s="1"/>
  <c r="AA33" i="1"/>
  <c r="BW33" i="1" s="1"/>
  <c r="AB33" i="1"/>
  <c r="AC33" i="1"/>
  <c r="BY33" i="1" s="1"/>
  <c r="AD33" i="1"/>
  <c r="AE33" i="1"/>
  <c r="CA33" i="1" s="1"/>
  <c r="AF33" i="1"/>
  <c r="CB33" i="1" s="1"/>
  <c r="AG33" i="1"/>
  <c r="AH33" i="1"/>
  <c r="CD33" i="1" s="1"/>
  <c r="AI33" i="1"/>
  <c r="AJ33" i="1"/>
  <c r="CF33" i="1" s="1"/>
  <c r="AK33" i="1"/>
  <c r="CG33" i="1" s="1"/>
  <c r="AL33" i="1"/>
  <c r="CH33" i="1" s="1"/>
  <c r="AM33" i="1"/>
  <c r="Y34" i="1"/>
  <c r="BU34" i="1" s="1"/>
  <c r="Z34" i="1"/>
  <c r="BV34" i="1" s="1"/>
  <c r="AA34" i="1"/>
  <c r="BW34" i="1" s="1"/>
  <c r="AB34" i="1"/>
  <c r="AC34" i="1"/>
  <c r="BY34" i="1" s="1"/>
  <c r="AD34" i="1"/>
  <c r="AE34" i="1"/>
  <c r="CA34" i="1" s="1"/>
  <c r="AF34" i="1"/>
  <c r="CB34" i="1" s="1"/>
  <c r="AG34" i="1"/>
  <c r="AH34" i="1"/>
  <c r="CD34" i="1" s="1"/>
  <c r="AI34" i="1"/>
  <c r="AJ34" i="1"/>
  <c r="CF34" i="1" s="1"/>
  <c r="AK34" i="1"/>
  <c r="CG34" i="1" s="1"/>
  <c r="AL34" i="1"/>
  <c r="CH34" i="1" s="1"/>
  <c r="AM34" i="1"/>
  <c r="Y35" i="1"/>
  <c r="BU35" i="1" s="1"/>
  <c r="Z35" i="1"/>
  <c r="BV35" i="1" s="1"/>
  <c r="AA35" i="1"/>
  <c r="BW35" i="1" s="1"/>
  <c r="AB35" i="1"/>
  <c r="AC35" i="1"/>
  <c r="BY35" i="1" s="1"/>
  <c r="AD35" i="1"/>
  <c r="AE35" i="1"/>
  <c r="CA35" i="1" s="1"/>
  <c r="AF35" i="1"/>
  <c r="CB35" i="1" s="1"/>
  <c r="AG35" i="1"/>
  <c r="AH35" i="1"/>
  <c r="CD35" i="1" s="1"/>
  <c r="AI35" i="1"/>
  <c r="AJ35" i="1"/>
  <c r="CF35" i="1" s="1"/>
  <c r="AK35" i="1"/>
  <c r="CG35" i="1" s="1"/>
  <c r="AL35" i="1"/>
  <c r="CH35" i="1" s="1"/>
  <c r="AM35" i="1"/>
  <c r="Y36" i="1"/>
  <c r="BU36" i="1" s="1"/>
  <c r="Z36" i="1"/>
  <c r="BV36" i="1" s="1"/>
  <c r="AA36" i="1"/>
  <c r="BW36" i="1" s="1"/>
  <c r="AB36" i="1"/>
  <c r="AC36" i="1"/>
  <c r="BY36" i="1" s="1"/>
  <c r="AD36" i="1"/>
  <c r="AE36" i="1"/>
  <c r="CA36" i="1" s="1"/>
  <c r="AF36" i="1"/>
  <c r="CB36" i="1" s="1"/>
  <c r="AG36" i="1"/>
  <c r="AH36" i="1"/>
  <c r="CD36" i="1" s="1"/>
  <c r="AI36" i="1"/>
  <c r="AJ36" i="1"/>
  <c r="CF36" i="1" s="1"/>
  <c r="AK36" i="1"/>
  <c r="CG36" i="1" s="1"/>
  <c r="AL36" i="1"/>
  <c r="CH36" i="1" s="1"/>
  <c r="AM36" i="1"/>
  <c r="Y37" i="1"/>
  <c r="BU37" i="1" s="1"/>
  <c r="Z37" i="1"/>
  <c r="BV37" i="1" s="1"/>
  <c r="AA37" i="1"/>
  <c r="BW37" i="1" s="1"/>
  <c r="AB37" i="1"/>
  <c r="AC37" i="1"/>
  <c r="BY37" i="1" s="1"/>
  <c r="AD37" i="1"/>
  <c r="AE37" i="1"/>
  <c r="CA37" i="1" s="1"/>
  <c r="AF37" i="1"/>
  <c r="CB37" i="1" s="1"/>
  <c r="AG37" i="1"/>
  <c r="AH37" i="1"/>
  <c r="CD37" i="1" s="1"/>
  <c r="AI37" i="1"/>
  <c r="AJ37" i="1"/>
  <c r="CF37" i="1" s="1"/>
  <c r="AK37" i="1"/>
  <c r="CG37" i="1" s="1"/>
  <c r="AL37" i="1"/>
  <c r="CH37" i="1" s="1"/>
  <c r="AM37" i="1"/>
  <c r="Y38" i="1"/>
  <c r="BU38" i="1" s="1"/>
  <c r="Z38" i="1"/>
  <c r="BV38" i="1" s="1"/>
  <c r="AA38" i="1"/>
  <c r="BW38" i="1" s="1"/>
  <c r="AB38" i="1"/>
  <c r="AC38" i="1"/>
  <c r="BY38" i="1" s="1"/>
  <c r="AD38" i="1"/>
  <c r="AE38" i="1"/>
  <c r="CA38" i="1" s="1"/>
  <c r="AF38" i="1"/>
  <c r="CB38" i="1" s="1"/>
  <c r="AG38" i="1"/>
  <c r="AH38" i="1"/>
  <c r="CD38" i="1" s="1"/>
  <c r="AI38" i="1"/>
  <c r="AJ38" i="1"/>
  <c r="CF38" i="1" s="1"/>
  <c r="AK38" i="1"/>
  <c r="CG38" i="1" s="1"/>
  <c r="AL38" i="1"/>
  <c r="CH38" i="1" s="1"/>
  <c r="AM38" i="1"/>
  <c r="Y39" i="1"/>
  <c r="BU39" i="1" s="1"/>
  <c r="Z39" i="1"/>
  <c r="BV39" i="1" s="1"/>
  <c r="AA39" i="1"/>
  <c r="BW39" i="1" s="1"/>
  <c r="AB39" i="1"/>
  <c r="AC39" i="1"/>
  <c r="BY39" i="1" s="1"/>
  <c r="AD39" i="1"/>
  <c r="AE39" i="1"/>
  <c r="CA39" i="1" s="1"/>
  <c r="AF39" i="1"/>
  <c r="CB39" i="1" s="1"/>
  <c r="AG39" i="1"/>
  <c r="AH39" i="1"/>
  <c r="CD39" i="1" s="1"/>
  <c r="AI39" i="1"/>
  <c r="AJ39" i="1"/>
  <c r="CF39" i="1" s="1"/>
  <c r="AK39" i="1"/>
  <c r="CG39" i="1" s="1"/>
  <c r="AL39" i="1"/>
  <c r="CH39" i="1" s="1"/>
  <c r="AM39" i="1"/>
  <c r="Y40" i="1"/>
  <c r="BU40" i="1" s="1"/>
  <c r="Z40" i="1"/>
  <c r="BV40" i="1" s="1"/>
  <c r="AA40" i="1"/>
  <c r="BW40" i="1" s="1"/>
  <c r="AB40" i="1"/>
  <c r="AC40" i="1"/>
  <c r="BY40" i="1" s="1"/>
  <c r="AD40" i="1"/>
  <c r="AE40" i="1"/>
  <c r="CA40" i="1" s="1"/>
  <c r="AF40" i="1"/>
  <c r="CB40" i="1" s="1"/>
  <c r="AG40" i="1"/>
  <c r="AH40" i="1"/>
  <c r="CD40" i="1" s="1"/>
  <c r="AI40" i="1"/>
  <c r="AJ40" i="1"/>
  <c r="CF40" i="1" s="1"/>
  <c r="AK40" i="1"/>
  <c r="CG40" i="1" s="1"/>
  <c r="AL40" i="1"/>
  <c r="CH40" i="1" s="1"/>
  <c r="AM40" i="1"/>
  <c r="Y41" i="1"/>
  <c r="BU41" i="1" s="1"/>
  <c r="Z41" i="1"/>
  <c r="BV41" i="1" s="1"/>
  <c r="AA41" i="1"/>
  <c r="BW41" i="1" s="1"/>
  <c r="AB41" i="1"/>
  <c r="AC41" i="1"/>
  <c r="BY41" i="1" s="1"/>
  <c r="AD41" i="1"/>
  <c r="AE41" i="1"/>
  <c r="CA41" i="1" s="1"/>
  <c r="AF41" i="1"/>
  <c r="CB41" i="1" s="1"/>
  <c r="AG41" i="1"/>
  <c r="AH41" i="1"/>
  <c r="CD41" i="1" s="1"/>
  <c r="AI41" i="1"/>
  <c r="AJ41" i="1"/>
  <c r="CF41" i="1" s="1"/>
  <c r="AK41" i="1"/>
  <c r="CG41" i="1" s="1"/>
  <c r="AL41" i="1"/>
  <c r="CH41" i="1" s="1"/>
  <c r="AM41" i="1"/>
  <c r="Y42" i="1"/>
  <c r="BU42" i="1" s="1"/>
  <c r="Z42" i="1"/>
  <c r="BV42" i="1" s="1"/>
  <c r="AA42" i="1"/>
  <c r="BW42" i="1" s="1"/>
  <c r="AB42" i="1"/>
  <c r="AC42" i="1"/>
  <c r="BY42" i="1" s="1"/>
  <c r="AD42" i="1"/>
  <c r="AE42" i="1"/>
  <c r="CA42" i="1" s="1"/>
  <c r="AF42" i="1"/>
  <c r="CB42" i="1" s="1"/>
  <c r="AG42" i="1"/>
  <c r="AH42" i="1"/>
  <c r="CD42" i="1" s="1"/>
  <c r="AI42" i="1"/>
  <c r="AJ42" i="1"/>
  <c r="CF42" i="1" s="1"/>
  <c r="AK42" i="1"/>
  <c r="CG42" i="1" s="1"/>
  <c r="AL42" i="1"/>
  <c r="CH42" i="1" s="1"/>
  <c r="AM42" i="1"/>
  <c r="Y43" i="1"/>
  <c r="BU43" i="1" s="1"/>
  <c r="Z43" i="1"/>
  <c r="BV43" i="1" s="1"/>
  <c r="AA43" i="1"/>
  <c r="BW43" i="1" s="1"/>
  <c r="AB43" i="1"/>
  <c r="AC43" i="1"/>
  <c r="BY43" i="1" s="1"/>
  <c r="AD43" i="1"/>
  <c r="AE43" i="1"/>
  <c r="CA43" i="1" s="1"/>
  <c r="AF43" i="1"/>
  <c r="CB43" i="1" s="1"/>
  <c r="AG43" i="1"/>
  <c r="AH43" i="1"/>
  <c r="CD43" i="1" s="1"/>
  <c r="AI43" i="1"/>
  <c r="AJ43" i="1"/>
  <c r="CF43" i="1" s="1"/>
  <c r="AK43" i="1"/>
  <c r="CG43" i="1" s="1"/>
  <c r="AL43" i="1"/>
  <c r="CH43" i="1" s="1"/>
  <c r="AM43" i="1"/>
  <c r="Y44" i="1"/>
  <c r="BU44" i="1" s="1"/>
  <c r="Z44" i="1"/>
  <c r="BV44" i="1" s="1"/>
  <c r="AA44" i="1"/>
  <c r="BW44" i="1" s="1"/>
  <c r="AB44" i="1"/>
  <c r="AC44" i="1"/>
  <c r="BY44" i="1" s="1"/>
  <c r="AD44" i="1"/>
  <c r="AE44" i="1"/>
  <c r="CA44" i="1" s="1"/>
  <c r="AF44" i="1"/>
  <c r="CB44" i="1" s="1"/>
  <c r="AG44" i="1"/>
  <c r="AH44" i="1"/>
  <c r="CD44" i="1" s="1"/>
  <c r="AI44" i="1"/>
  <c r="AJ44" i="1"/>
  <c r="CF44" i="1" s="1"/>
  <c r="AK44" i="1"/>
  <c r="CG44" i="1" s="1"/>
  <c r="AL44" i="1"/>
  <c r="CH44" i="1" s="1"/>
  <c r="AM44" i="1"/>
  <c r="Y45" i="1"/>
  <c r="BU45" i="1" s="1"/>
  <c r="Z45" i="1"/>
  <c r="BV45" i="1" s="1"/>
  <c r="AA45" i="1"/>
  <c r="BW45" i="1" s="1"/>
  <c r="AB45" i="1"/>
  <c r="AC45" i="1"/>
  <c r="BY45" i="1" s="1"/>
  <c r="AD45" i="1"/>
  <c r="AE45" i="1"/>
  <c r="CA45" i="1" s="1"/>
  <c r="AF45" i="1"/>
  <c r="CB45" i="1" s="1"/>
  <c r="AG45" i="1"/>
  <c r="AH45" i="1"/>
  <c r="CD45" i="1" s="1"/>
  <c r="AI45" i="1"/>
  <c r="AJ45" i="1"/>
  <c r="CF45" i="1" s="1"/>
  <c r="AK45" i="1"/>
  <c r="CG45" i="1" s="1"/>
  <c r="AL45" i="1"/>
  <c r="CH45" i="1" s="1"/>
  <c r="AM45" i="1"/>
  <c r="Y46" i="1"/>
  <c r="BU46" i="1" s="1"/>
  <c r="Z46" i="1"/>
  <c r="BV46" i="1" s="1"/>
  <c r="AA46" i="1"/>
  <c r="BW46" i="1" s="1"/>
  <c r="AB46" i="1"/>
  <c r="AC46" i="1"/>
  <c r="BY46" i="1" s="1"/>
  <c r="AD46" i="1"/>
  <c r="AE46" i="1"/>
  <c r="CA46" i="1" s="1"/>
  <c r="AF46" i="1"/>
  <c r="CB46" i="1" s="1"/>
  <c r="AG46" i="1"/>
  <c r="AH46" i="1"/>
  <c r="CD46" i="1" s="1"/>
  <c r="AI46" i="1"/>
  <c r="AJ46" i="1"/>
  <c r="CF46" i="1" s="1"/>
  <c r="AK46" i="1"/>
  <c r="CG46" i="1" s="1"/>
  <c r="AL46" i="1"/>
  <c r="CH46" i="1" s="1"/>
  <c r="AM46" i="1"/>
  <c r="Y47" i="1"/>
  <c r="BU47" i="1" s="1"/>
  <c r="Z47" i="1"/>
  <c r="BV47" i="1" s="1"/>
  <c r="AA47" i="1"/>
  <c r="BW47" i="1" s="1"/>
  <c r="AB47" i="1"/>
  <c r="AC47" i="1"/>
  <c r="BY47" i="1" s="1"/>
  <c r="AD47" i="1"/>
  <c r="AE47" i="1"/>
  <c r="CA47" i="1" s="1"/>
  <c r="AF47" i="1"/>
  <c r="CB47" i="1" s="1"/>
  <c r="AG47" i="1"/>
  <c r="AH47" i="1"/>
  <c r="CD47" i="1" s="1"/>
  <c r="AI47" i="1"/>
  <c r="AJ47" i="1"/>
  <c r="CF47" i="1" s="1"/>
  <c r="AK47" i="1"/>
  <c r="CG47" i="1" s="1"/>
  <c r="AL47" i="1"/>
  <c r="CH47" i="1" s="1"/>
  <c r="AM47" i="1"/>
  <c r="Y48" i="1"/>
  <c r="BU48" i="1" s="1"/>
  <c r="Z48" i="1"/>
  <c r="BV48" i="1" s="1"/>
  <c r="AA48" i="1"/>
  <c r="BW48" i="1" s="1"/>
  <c r="AB48" i="1"/>
  <c r="AC48" i="1"/>
  <c r="BY48" i="1" s="1"/>
  <c r="AD48" i="1"/>
  <c r="AE48" i="1"/>
  <c r="CA48" i="1" s="1"/>
  <c r="AF48" i="1"/>
  <c r="CB48" i="1" s="1"/>
  <c r="AG48" i="1"/>
  <c r="AH48" i="1"/>
  <c r="CD48" i="1" s="1"/>
  <c r="AI48" i="1"/>
  <c r="AJ48" i="1"/>
  <c r="CF48" i="1" s="1"/>
  <c r="AK48" i="1"/>
  <c r="CG48" i="1" s="1"/>
  <c r="AL48" i="1"/>
  <c r="CH48" i="1" s="1"/>
  <c r="AM48" i="1"/>
  <c r="Y49" i="1"/>
  <c r="BU49" i="1" s="1"/>
  <c r="Z49" i="1"/>
  <c r="BV49" i="1" s="1"/>
  <c r="AA49" i="1"/>
  <c r="BW49" i="1" s="1"/>
  <c r="AB49" i="1"/>
  <c r="AC49" i="1"/>
  <c r="BY49" i="1" s="1"/>
  <c r="AD49" i="1"/>
  <c r="AE49" i="1"/>
  <c r="CA49" i="1" s="1"/>
  <c r="AF49" i="1"/>
  <c r="CB49" i="1" s="1"/>
  <c r="AG49" i="1"/>
  <c r="AH49" i="1"/>
  <c r="CD49" i="1" s="1"/>
  <c r="AI49" i="1"/>
  <c r="AJ49" i="1"/>
  <c r="CF49" i="1" s="1"/>
  <c r="AK49" i="1"/>
  <c r="CG49" i="1" s="1"/>
  <c r="AL49" i="1"/>
  <c r="CH49" i="1" s="1"/>
  <c r="AM49" i="1"/>
  <c r="Y50" i="1"/>
  <c r="BU50" i="1" s="1"/>
  <c r="Z50" i="1"/>
  <c r="BV50" i="1" s="1"/>
  <c r="AA50" i="1"/>
  <c r="BW50" i="1" s="1"/>
  <c r="AB50" i="1"/>
  <c r="AC50" i="1"/>
  <c r="BY50" i="1" s="1"/>
  <c r="AD50" i="1"/>
  <c r="AE50" i="1"/>
  <c r="CA50" i="1" s="1"/>
  <c r="AF50" i="1"/>
  <c r="CB50" i="1" s="1"/>
  <c r="AG50" i="1"/>
  <c r="AH50" i="1"/>
  <c r="CD50" i="1" s="1"/>
  <c r="AI50" i="1"/>
  <c r="AJ50" i="1"/>
  <c r="CF50" i="1" s="1"/>
  <c r="AK50" i="1"/>
  <c r="CG50" i="1" s="1"/>
  <c r="AL50" i="1"/>
  <c r="CH50" i="1" s="1"/>
  <c r="AM50" i="1"/>
  <c r="Y51" i="1"/>
  <c r="BU51" i="1" s="1"/>
  <c r="Z51" i="1"/>
  <c r="BV51" i="1" s="1"/>
  <c r="AA51" i="1"/>
  <c r="BW51" i="1" s="1"/>
  <c r="AB51" i="1"/>
  <c r="AC51" i="1"/>
  <c r="BY51" i="1" s="1"/>
  <c r="AD51" i="1"/>
  <c r="AE51" i="1"/>
  <c r="CA51" i="1" s="1"/>
  <c r="AF51" i="1"/>
  <c r="CB51" i="1" s="1"/>
  <c r="AG51" i="1"/>
  <c r="AH51" i="1"/>
  <c r="CD51" i="1" s="1"/>
  <c r="AI51" i="1"/>
  <c r="AJ51" i="1"/>
  <c r="CF51" i="1" s="1"/>
  <c r="AK51" i="1"/>
  <c r="CG51" i="1" s="1"/>
  <c r="AL51" i="1"/>
  <c r="CH51" i="1" s="1"/>
  <c r="AM51" i="1"/>
  <c r="Y52" i="1"/>
  <c r="BU52" i="1" s="1"/>
  <c r="Z52" i="1"/>
  <c r="BV52" i="1" s="1"/>
  <c r="AA52" i="1"/>
  <c r="BW52" i="1" s="1"/>
  <c r="AB52" i="1"/>
  <c r="AC52" i="1"/>
  <c r="BY52" i="1" s="1"/>
  <c r="AD52" i="1"/>
  <c r="AE52" i="1"/>
  <c r="CA52" i="1" s="1"/>
  <c r="AF52" i="1"/>
  <c r="CB52" i="1" s="1"/>
  <c r="AG52" i="1"/>
  <c r="AH52" i="1"/>
  <c r="CD52" i="1" s="1"/>
  <c r="AI52" i="1"/>
  <c r="AJ52" i="1"/>
  <c r="CF52" i="1" s="1"/>
  <c r="AK52" i="1"/>
  <c r="CG52" i="1" s="1"/>
  <c r="AL52" i="1"/>
  <c r="CH52" i="1" s="1"/>
  <c r="AM52" i="1"/>
  <c r="Y53" i="1"/>
  <c r="BU53" i="1" s="1"/>
  <c r="Z53" i="1"/>
  <c r="BV53" i="1" s="1"/>
  <c r="AA53" i="1"/>
  <c r="BW53" i="1" s="1"/>
  <c r="AB53" i="1"/>
  <c r="AC53" i="1"/>
  <c r="BY53" i="1" s="1"/>
  <c r="AD53" i="1"/>
  <c r="AE53" i="1"/>
  <c r="CA53" i="1" s="1"/>
  <c r="AF53" i="1"/>
  <c r="CB53" i="1" s="1"/>
  <c r="AG53" i="1"/>
  <c r="AH53" i="1"/>
  <c r="CD53" i="1" s="1"/>
  <c r="AI53" i="1"/>
  <c r="AJ53" i="1"/>
  <c r="CF53" i="1" s="1"/>
  <c r="AK53" i="1"/>
  <c r="CG53" i="1" s="1"/>
  <c r="AL53" i="1"/>
  <c r="CH53" i="1" s="1"/>
  <c r="AM53" i="1"/>
  <c r="Y54" i="1"/>
  <c r="BU54" i="1" s="1"/>
  <c r="Z54" i="1"/>
  <c r="BV54" i="1" s="1"/>
  <c r="AA54" i="1"/>
  <c r="BW54" i="1" s="1"/>
  <c r="AB54" i="1"/>
  <c r="AC54" i="1"/>
  <c r="BY54" i="1" s="1"/>
  <c r="AD54" i="1"/>
  <c r="AE54" i="1"/>
  <c r="CA54" i="1" s="1"/>
  <c r="AF54" i="1"/>
  <c r="CB54" i="1" s="1"/>
  <c r="AG54" i="1"/>
  <c r="AH54" i="1"/>
  <c r="CD54" i="1" s="1"/>
  <c r="AI54" i="1"/>
  <c r="AJ54" i="1"/>
  <c r="CF54" i="1" s="1"/>
  <c r="AK54" i="1"/>
  <c r="CG54" i="1" s="1"/>
  <c r="AL54" i="1"/>
  <c r="CH54" i="1" s="1"/>
  <c r="AM54" i="1"/>
  <c r="Y55" i="1"/>
  <c r="BU55" i="1" s="1"/>
  <c r="Z55" i="1"/>
  <c r="BV55" i="1" s="1"/>
  <c r="AA55" i="1"/>
  <c r="BW55" i="1" s="1"/>
  <c r="AB55" i="1"/>
  <c r="AC55" i="1"/>
  <c r="BY55" i="1" s="1"/>
  <c r="AD55" i="1"/>
  <c r="AE55" i="1"/>
  <c r="CA55" i="1" s="1"/>
  <c r="AF55" i="1"/>
  <c r="CB55" i="1" s="1"/>
  <c r="AG55" i="1"/>
  <c r="AH55" i="1"/>
  <c r="CD55" i="1" s="1"/>
  <c r="AI55" i="1"/>
  <c r="AJ55" i="1"/>
  <c r="CF55" i="1" s="1"/>
  <c r="AK55" i="1"/>
  <c r="CG55" i="1" s="1"/>
  <c r="AL55" i="1"/>
  <c r="CH55" i="1" s="1"/>
  <c r="AM55" i="1"/>
  <c r="Y56" i="1"/>
  <c r="BU56" i="1" s="1"/>
  <c r="Z56" i="1"/>
  <c r="BV56" i="1" s="1"/>
  <c r="AA56" i="1"/>
  <c r="BW56" i="1" s="1"/>
  <c r="AB56" i="1"/>
  <c r="AC56" i="1"/>
  <c r="BY56" i="1" s="1"/>
  <c r="AD56" i="1"/>
  <c r="AE56" i="1"/>
  <c r="CA56" i="1" s="1"/>
  <c r="AF56" i="1"/>
  <c r="CB56" i="1" s="1"/>
  <c r="AG56" i="1"/>
  <c r="AH56" i="1"/>
  <c r="CD56" i="1" s="1"/>
  <c r="AI56" i="1"/>
  <c r="AJ56" i="1"/>
  <c r="CF56" i="1" s="1"/>
  <c r="AK56" i="1"/>
  <c r="CG56" i="1" s="1"/>
  <c r="AL56" i="1"/>
  <c r="CH56" i="1" s="1"/>
  <c r="AM56" i="1"/>
  <c r="Y57" i="1"/>
  <c r="BU57" i="1" s="1"/>
  <c r="Z57" i="1"/>
  <c r="BV57" i="1" s="1"/>
  <c r="AA57" i="1"/>
  <c r="BW57" i="1" s="1"/>
  <c r="AB57" i="1"/>
  <c r="AC57" i="1"/>
  <c r="BY57" i="1" s="1"/>
  <c r="AD57" i="1"/>
  <c r="AE57" i="1"/>
  <c r="CA57" i="1" s="1"/>
  <c r="AF57" i="1"/>
  <c r="CB57" i="1" s="1"/>
  <c r="AG57" i="1"/>
  <c r="AH57" i="1"/>
  <c r="CD57" i="1" s="1"/>
  <c r="AI57" i="1"/>
  <c r="AJ57" i="1"/>
  <c r="CF57" i="1" s="1"/>
  <c r="AK57" i="1"/>
  <c r="CG57" i="1" s="1"/>
  <c r="AL57" i="1"/>
  <c r="CH57" i="1" s="1"/>
  <c r="AM57" i="1"/>
  <c r="Y58" i="1"/>
  <c r="BU58" i="1" s="1"/>
  <c r="Z58" i="1"/>
  <c r="BV58" i="1" s="1"/>
  <c r="AA58" i="1"/>
  <c r="BW58" i="1" s="1"/>
  <c r="AB58" i="1"/>
  <c r="AC58" i="1"/>
  <c r="BY58" i="1" s="1"/>
  <c r="AD58" i="1"/>
  <c r="AE58" i="1"/>
  <c r="CA58" i="1" s="1"/>
  <c r="AF58" i="1"/>
  <c r="CB58" i="1" s="1"/>
  <c r="AG58" i="1"/>
  <c r="AH58" i="1"/>
  <c r="CD58" i="1" s="1"/>
  <c r="AI58" i="1"/>
  <c r="AJ58" i="1"/>
  <c r="CF58" i="1" s="1"/>
  <c r="AK58" i="1"/>
  <c r="CG58" i="1" s="1"/>
  <c r="AL58" i="1"/>
  <c r="CH58" i="1" s="1"/>
  <c r="AM58" i="1"/>
  <c r="Y59" i="1"/>
  <c r="BU59" i="1" s="1"/>
  <c r="Z59" i="1"/>
  <c r="BV59" i="1" s="1"/>
  <c r="AA59" i="1"/>
  <c r="BW59" i="1" s="1"/>
  <c r="AB59" i="1"/>
  <c r="AC59" i="1"/>
  <c r="BY59" i="1" s="1"/>
  <c r="AD59" i="1"/>
  <c r="AE59" i="1"/>
  <c r="CA59" i="1" s="1"/>
  <c r="AF59" i="1"/>
  <c r="CB59" i="1" s="1"/>
  <c r="AG59" i="1"/>
  <c r="AH59" i="1"/>
  <c r="CD59" i="1" s="1"/>
  <c r="AI59" i="1"/>
  <c r="AJ59" i="1"/>
  <c r="CF59" i="1" s="1"/>
  <c r="AK59" i="1"/>
  <c r="CG59" i="1" s="1"/>
  <c r="AL59" i="1"/>
  <c r="CH59" i="1" s="1"/>
  <c r="AM59" i="1"/>
  <c r="Y60" i="1"/>
  <c r="BU60" i="1" s="1"/>
  <c r="Z60" i="1"/>
  <c r="BV60" i="1" s="1"/>
  <c r="AA60" i="1"/>
  <c r="BW60" i="1" s="1"/>
  <c r="AB60" i="1"/>
  <c r="AC60" i="1"/>
  <c r="BY60" i="1" s="1"/>
  <c r="AD60" i="1"/>
  <c r="AE60" i="1"/>
  <c r="CA60" i="1" s="1"/>
  <c r="AF60" i="1"/>
  <c r="CB60" i="1" s="1"/>
  <c r="AG60" i="1"/>
  <c r="AH60" i="1"/>
  <c r="CD60" i="1" s="1"/>
  <c r="AI60" i="1"/>
  <c r="AJ60" i="1"/>
  <c r="CF60" i="1" s="1"/>
  <c r="AK60" i="1"/>
  <c r="CG60" i="1" s="1"/>
  <c r="AL60" i="1"/>
  <c r="CH60" i="1" s="1"/>
  <c r="AM60" i="1"/>
  <c r="Y61" i="1"/>
  <c r="BU61" i="1" s="1"/>
  <c r="Z61" i="1"/>
  <c r="BV61" i="1" s="1"/>
  <c r="AA61" i="1"/>
  <c r="BW61" i="1" s="1"/>
  <c r="AB61" i="1"/>
  <c r="AC61" i="1"/>
  <c r="BY61" i="1" s="1"/>
  <c r="AD61" i="1"/>
  <c r="AE61" i="1"/>
  <c r="CA61" i="1" s="1"/>
  <c r="AF61" i="1"/>
  <c r="CB61" i="1" s="1"/>
  <c r="AG61" i="1"/>
  <c r="AH61" i="1"/>
  <c r="CD61" i="1" s="1"/>
  <c r="AI61" i="1"/>
  <c r="AJ61" i="1"/>
  <c r="CF61" i="1" s="1"/>
  <c r="AK61" i="1"/>
  <c r="CG61" i="1" s="1"/>
  <c r="AL61" i="1"/>
  <c r="CH61" i="1" s="1"/>
  <c r="AM61" i="1"/>
  <c r="Y62" i="1"/>
  <c r="BU62" i="1" s="1"/>
  <c r="Z62" i="1"/>
  <c r="BV62" i="1" s="1"/>
  <c r="AA62" i="1"/>
  <c r="BW62" i="1" s="1"/>
  <c r="AB62" i="1"/>
  <c r="AC62" i="1"/>
  <c r="BY62" i="1" s="1"/>
  <c r="AD62" i="1"/>
  <c r="AE62" i="1"/>
  <c r="CA62" i="1" s="1"/>
  <c r="AF62" i="1"/>
  <c r="CB62" i="1" s="1"/>
  <c r="AG62" i="1"/>
  <c r="AH62" i="1"/>
  <c r="CD62" i="1" s="1"/>
  <c r="AI62" i="1"/>
  <c r="AJ62" i="1"/>
  <c r="CF62" i="1" s="1"/>
  <c r="AK62" i="1"/>
  <c r="CG62" i="1" s="1"/>
  <c r="AL62" i="1"/>
  <c r="CH62" i="1" s="1"/>
  <c r="AM62" i="1"/>
  <c r="Y63" i="1"/>
  <c r="BU63" i="1" s="1"/>
  <c r="Z63" i="1"/>
  <c r="BV63" i="1" s="1"/>
  <c r="AA63" i="1"/>
  <c r="BW63" i="1" s="1"/>
  <c r="AB63" i="1"/>
  <c r="AC63" i="1"/>
  <c r="BY63" i="1" s="1"/>
  <c r="AD63" i="1"/>
  <c r="AE63" i="1"/>
  <c r="CA63" i="1" s="1"/>
  <c r="AF63" i="1"/>
  <c r="CB63" i="1" s="1"/>
  <c r="AG63" i="1"/>
  <c r="AH63" i="1"/>
  <c r="CD63" i="1" s="1"/>
  <c r="AI63" i="1"/>
  <c r="AJ63" i="1"/>
  <c r="CF63" i="1" s="1"/>
  <c r="AK63" i="1"/>
  <c r="CG63" i="1" s="1"/>
  <c r="AL63" i="1"/>
  <c r="CH63" i="1" s="1"/>
  <c r="AM63" i="1"/>
  <c r="Y64" i="1"/>
  <c r="BU64" i="1" s="1"/>
  <c r="Z64" i="1"/>
  <c r="BV64" i="1" s="1"/>
  <c r="AA64" i="1"/>
  <c r="BW64" i="1" s="1"/>
  <c r="AB64" i="1"/>
  <c r="AC64" i="1"/>
  <c r="BY64" i="1" s="1"/>
  <c r="AD64" i="1"/>
  <c r="AE64" i="1"/>
  <c r="CA64" i="1" s="1"/>
  <c r="AF64" i="1"/>
  <c r="CB64" i="1" s="1"/>
  <c r="AG64" i="1"/>
  <c r="AH64" i="1"/>
  <c r="CD64" i="1" s="1"/>
  <c r="AI64" i="1"/>
  <c r="AJ64" i="1"/>
  <c r="CF64" i="1" s="1"/>
  <c r="AK64" i="1"/>
  <c r="CG64" i="1" s="1"/>
  <c r="AL64" i="1"/>
  <c r="CH64" i="1" s="1"/>
  <c r="AM64" i="1"/>
  <c r="Y65" i="1"/>
  <c r="BU65" i="1" s="1"/>
  <c r="Z65" i="1"/>
  <c r="BV65" i="1" s="1"/>
  <c r="AA65" i="1"/>
  <c r="BW65" i="1" s="1"/>
  <c r="AB65" i="1"/>
  <c r="AC65" i="1"/>
  <c r="BY65" i="1" s="1"/>
  <c r="AD65" i="1"/>
  <c r="AE65" i="1"/>
  <c r="CA65" i="1" s="1"/>
  <c r="AF65" i="1"/>
  <c r="CB65" i="1" s="1"/>
  <c r="AG65" i="1"/>
  <c r="AH65" i="1"/>
  <c r="CD65" i="1" s="1"/>
  <c r="AI65" i="1"/>
  <c r="AJ65" i="1"/>
  <c r="CF65" i="1" s="1"/>
  <c r="AK65" i="1"/>
  <c r="CG65" i="1" s="1"/>
  <c r="AL65" i="1"/>
  <c r="CH65" i="1" s="1"/>
  <c r="AM65" i="1"/>
  <c r="Y66" i="1"/>
  <c r="BU66" i="1" s="1"/>
  <c r="Z66" i="1"/>
  <c r="BV66" i="1" s="1"/>
  <c r="AA66" i="1"/>
  <c r="BW66" i="1" s="1"/>
  <c r="AB66" i="1"/>
  <c r="AC66" i="1"/>
  <c r="BY66" i="1" s="1"/>
  <c r="AD66" i="1"/>
  <c r="AE66" i="1"/>
  <c r="CA66" i="1" s="1"/>
  <c r="AF66" i="1"/>
  <c r="CB66" i="1" s="1"/>
  <c r="AG66" i="1"/>
  <c r="AH66" i="1"/>
  <c r="CD66" i="1" s="1"/>
  <c r="AI66" i="1"/>
  <c r="AJ66" i="1"/>
  <c r="CF66" i="1" s="1"/>
  <c r="AK66" i="1"/>
  <c r="CG66" i="1" s="1"/>
  <c r="AL66" i="1"/>
  <c r="CH66" i="1" s="1"/>
  <c r="AM66" i="1"/>
  <c r="Y67" i="1"/>
  <c r="BU67" i="1" s="1"/>
  <c r="Z67" i="1"/>
  <c r="BV67" i="1" s="1"/>
  <c r="AA67" i="1"/>
  <c r="BW67" i="1" s="1"/>
  <c r="AB67" i="1"/>
  <c r="AC67" i="1"/>
  <c r="BY67" i="1" s="1"/>
  <c r="AD67" i="1"/>
  <c r="AE67" i="1"/>
  <c r="CA67" i="1" s="1"/>
  <c r="AF67" i="1"/>
  <c r="CB67" i="1" s="1"/>
  <c r="AG67" i="1"/>
  <c r="AH67" i="1"/>
  <c r="CD67" i="1" s="1"/>
  <c r="AI67" i="1"/>
  <c r="AJ67" i="1"/>
  <c r="CF67" i="1" s="1"/>
  <c r="AK67" i="1"/>
  <c r="CG67" i="1" s="1"/>
  <c r="AL67" i="1"/>
  <c r="CH67" i="1" s="1"/>
  <c r="AM67" i="1"/>
  <c r="Y68" i="1"/>
  <c r="BU68" i="1" s="1"/>
  <c r="Z68" i="1"/>
  <c r="BV68" i="1" s="1"/>
  <c r="AA68" i="1"/>
  <c r="BW68" i="1" s="1"/>
  <c r="AB68" i="1"/>
  <c r="AC68" i="1"/>
  <c r="BY68" i="1" s="1"/>
  <c r="AD68" i="1"/>
  <c r="AE68" i="1"/>
  <c r="CA68" i="1" s="1"/>
  <c r="AF68" i="1"/>
  <c r="CB68" i="1" s="1"/>
  <c r="AG68" i="1"/>
  <c r="AH68" i="1"/>
  <c r="CD68" i="1" s="1"/>
  <c r="AI68" i="1"/>
  <c r="AJ68" i="1"/>
  <c r="CF68" i="1" s="1"/>
  <c r="AK68" i="1"/>
  <c r="CG68" i="1" s="1"/>
  <c r="AL68" i="1"/>
  <c r="CH68" i="1" s="1"/>
  <c r="AM68" i="1"/>
  <c r="Y69" i="1"/>
  <c r="BU69" i="1" s="1"/>
  <c r="Z69" i="1"/>
  <c r="BV69" i="1" s="1"/>
  <c r="AA69" i="1"/>
  <c r="BW69" i="1" s="1"/>
  <c r="AB69" i="1"/>
  <c r="AC69" i="1"/>
  <c r="BY69" i="1" s="1"/>
  <c r="AD69" i="1"/>
  <c r="AE69" i="1"/>
  <c r="CA69" i="1" s="1"/>
  <c r="AF69" i="1"/>
  <c r="CB69" i="1" s="1"/>
  <c r="AG69" i="1"/>
  <c r="AH69" i="1"/>
  <c r="CD69" i="1" s="1"/>
  <c r="AI69" i="1"/>
  <c r="AJ69" i="1"/>
  <c r="CF69" i="1" s="1"/>
  <c r="AK69" i="1"/>
  <c r="CG69" i="1" s="1"/>
  <c r="AL69" i="1"/>
  <c r="CH69" i="1" s="1"/>
  <c r="AM69" i="1"/>
  <c r="Y70" i="1"/>
  <c r="BU70" i="1" s="1"/>
  <c r="Z70" i="1"/>
  <c r="BV70" i="1" s="1"/>
  <c r="AA70" i="1"/>
  <c r="BW70" i="1" s="1"/>
  <c r="AB70" i="1"/>
  <c r="AC70" i="1"/>
  <c r="BY70" i="1" s="1"/>
  <c r="AD70" i="1"/>
  <c r="AE70" i="1"/>
  <c r="CA70" i="1" s="1"/>
  <c r="AF70" i="1"/>
  <c r="CB70" i="1" s="1"/>
  <c r="AG70" i="1"/>
  <c r="AH70" i="1"/>
  <c r="CD70" i="1" s="1"/>
  <c r="AI70" i="1"/>
  <c r="AJ70" i="1"/>
  <c r="CF70" i="1" s="1"/>
  <c r="AK70" i="1"/>
  <c r="CG70" i="1" s="1"/>
  <c r="AL70" i="1"/>
  <c r="CH70" i="1" s="1"/>
  <c r="AM70" i="1"/>
  <c r="Y71" i="1"/>
  <c r="BU71" i="1" s="1"/>
  <c r="Z71" i="1"/>
  <c r="BV71" i="1" s="1"/>
  <c r="AA71" i="1"/>
  <c r="BW71" i="1" s="1"/>
  <c r="AB71" i="1"/>
  <c r="AC71" i="1"/>
  <c r="BY71" i="1" s="1"/>
  <c r="AD71" i="1"/>
  <c r="AE71" i="1"/>
  <c r="CA71" i="1" s="1"/>
  <c r="AF71" i="1"/>
  <c r="CB71" i="1" s="1"/>
  <c r="AG71" i="1"/>
  <c r="AH71" i="1"/>
  <c r="CD71" i="1" s="1"/>
  <c r="AI71" i="1"/>
  <c r="AJ71" i="1"/>
  <c r="CF71" i="1" s="1"/>
  <c r="AK71" i="1"/>
  <c r="CG71" i="1" s="1"/>
  <c r="AL71" i="1"/>
  <c r="CH71" i="1" s="1"/>
  <c r="AM71" i="1"/>
  <c r="Y72" i="1"/>
  <c r="BU72" i="1" s="1"/>
  <c r="Z72" i="1"/>
  <c r="BV72" i="1" s="1"/>
  <c r="AA72" i="1"/>
  <c r="BW72" i="1" s="1"/>
  <c r="AB72" i="1"/>
  <c r="AC72" i="1"/>
  <c r="BY72" i="1" s="1"/>
  <c r="AD72" i="1"/>
  <c r="AE72" i="1"/>
  <c r="CA72" i="1" s="1"/>
  <c r="AF72" i="1"/>
  <c r="CB72" i="1" s="1"/>
  <c r="AG72" i="1"/>
  <c r="AH72" i="1"/>
  <c r="CD72" i="1" s="1"/>
  <c r="AI72" i="1"/>
  <c r="AJ72" i="1"/>
  <c r="CF72" i="1" s="1"/>
  <c r="AK72" i="1"/>
  <c r="CG72" i="1" s="1"/>
  <c r="AL72" i="1"/>
  <c r="CH72" i="1" s="1"/>
  <c r="AM72" i="1"/>
  <c r="Y73" i="1"/>
  <c r="BU73" i="1" s="1"/>
  <c r="Z73" i="1"/>
  <c r="BV73" i="1" s="1"/>
  <c r="AA73" i="1"/>
  <c r="BW73" i="1" s="1"/>
  <c r="AB73" i="1"/>
  <c r="AC73" i="1"/>
  <c r="BY73" i="1" s="1"/>
  <c r="AD73" i="1"/>
  <c r="AE73" i="1"/>
  <c r="CA73" i="1" s="1"/>
  <c r="AF73" i="1"/>
  <c r="CB73" i="1" s="1"/>
  <c r="AG73" i="1"/>
  <c r="AH73" i="1"/>
  <c r="CD73" i="1" s="1"/>
  <c r="AI73" i="1"/>
  <c r="AJ73" i="1"/>
  <c r="CF73" i="1" s="1"/>
  <c r="AK73" i="1"/>
  <c r="CG73" i="1" s="1"/>
  <c r="AL73" i="1"/>
  <c r="CH73" i="1" s="1"/>
  <c r="AM73" i="1"/>
  <c r="AF2" i="1"/>
  <c r="CB2" i="1" s="1"/>
  <c r="AG2" i="1"/>
  <c r="AH2" i="1"/>
  <c r="CD2" i="1" s="1"/>
  <c r="AI2" i="1"/>
  <c r="AJ2" i="1"/>
  <c r="CF2" i="1" s="1"/>
  <c r="AK2" i="1"/>
  <c r="CG2" i="1" s="1"/>
  <c r="AL2" i="1"/>
  <c r="CH2" i="1" s="1"/>
  <c r="AM2" i="1"/>
  <c r="Z2" i="1"/>
  <c r="BV2" i="1" s="1"/>
  <c r="AA2" i="1"/>
  <c r="BW2" i="1" s="1"/>
  <c r="AB2" i="1"/>
  <c r="AC2" i="1"/>
  <c r="BY2" i="1" s="1"/>
  <c r="AD2" i="1"/>
  <c r="AE2" i="1"/>
  <c r="CA2" i="1" s="1"/>
  <c r="Y2" i="1"/>
  <c r="BU2" i="1" s="1"/>
  <c r="AM35" i="4"/>
  <c r="AL35" i="4"/>
  <c r="BB35" i="4"/>
  <c r="BA35" i="4"/>
  <c r="BQ35" i="4"/>
  <c r="BP35" i="4"/>
  <c r="CF35" i="4"/>
  <c r="CE35" i="4"/>
  <c r="CU35" i="4"/>
  <c r="CT35" i="4"/>
  <c r="DJ35" i="4"/>
  <c r="DI35" i="4"/>
  <c r="DG20" i="4"/>
  <c r="DH20" i="4"/>
  <c r="DI20" i="4"/>
  <c r="DJ20" i="4"/>
  <c r="DK20" i="4"/>
  <c r="DL20" i="4"/>
  <c r="DM20" i="4"/>
  <c r="DN20" i="4"/>
  <c r="DO20" i="4"/>
  <c r="DP20" i="4"/>
  <c r="DQ20" i="4"/>
  <c r="DR20" i="4"/>
  <c r="DG21" i="4"/>
  <c r="DH21" i="4"/>
  <c r="DI21" i="4"/>
  <c r="DJ21" i="4"/>
  <c r="DK21" i="4"/>
  <c r="DL21" i="4"/>
  <c r="DM21" i="4"/>
  <c r="DN21" i="4"/>
  <c r="DO21" i="4"/>
  <c r="DP21" i="4"/>
  <c r="DQ21" i="4"/>
  <c r="DR21" i="4"/>
  <c r="DG22" i="4"/>
  <c r="DH22" i="4"/>
  <c r="DI22" i="4"/>
  <c r="DJ22" i="4"/>
  <c r="DK22" i="4"/>
  <c r="DL22" i="4"/>
  <c r="DM22" i="4"/>
  <c r="DN22" i="4"/>
  <c r="DO22" i="4"/>
  <c r="DP22" i="4"/>
  <c r="DQ22" i="4"/>
  <c r="DR22" i="4"/>
  <c r="DG23" i="4"/>
  <c r="DH23" i="4"/>
  <c r="DI23" i="4"/>
  <c r="DJ23" i="4"/>
  <c r="DK23" i="4"/>
  <c r="DL23" i="4"/>
  <c r="DM23" i="4"/>
  <c r="DN23" i="4"/>
  <c r="DO23" i="4"/>
  <c r="DP23" i="4"/>
  <c r="DQ23" i="4"/>
  <c r="DR23" i="4"/>
  <c r="DG24" i="4"/>
  <c r="DH24" i="4"/>
  <c r="DI24" i="4"/>
  <c r="DJ24" i="4"/>
  <c r="DK24" i="4"/>
  <c r="DL24" i="4"/>
  <c r="DM24" i="4"/>
  <c r="DN24" i="4"/>
  <c r="DO24" i="4"/>
  <c r="DP24" i="4"/>
  <c r="DQ24" i="4"/>
  <c r="DR24" i="4"/>
  <c r="DG25" i="4"/>
  <c r="DH25" i="4"/>
  <c r="DI25" i="4"/>
  <c r="DJ25" i="4"/>
  <c r="DK25" i="4"/>
  <c r="DL25" i="4"/>
  <c r="DM25" i="4"/>
  <c r="DN25" i="4"/>
  <c r="DO25" i="4"/>
  <c r="DP25" i="4"/>
  <c r="DQ25" i="4"/>
  <c r="DR25" i="4"/>
  <c r="DG26" i="4"/>
  <c r="DH26" i="4"/>
  <c r="DI26" i="4"/>
  <c r="DJ26" i="4"/>
  <c r="DK26" i="4"/>
  <c r="DL26" i="4"/>
  <c r="DM26" i="4"/>
  <c r="DN26" i="4"/>
  <c r="DO26" i="4"/>
  <c r="DP26" i="4"/>
  <c r="DQ26" i="4"/>
  <c r="DR26" i="4"/>
  <c r="DG27" i="4"/>
  <c r="DH27" i="4"/>
  <c r="DI27" i="4"/>
  <c r="DJ27" i="4"/>
  <c r="DK27" i="4"/>
  <c r="DL27" i="4"/>
  <c r="DM27" i="4"/>
  <c r="DN27" i="4"/>
  <c r="DO27" i="4"/>
  <c r="DP27" i="4"/>
  <c r="DQ27" i="4"/>
  <c r="DR27" i="4"/>
  <c r="DG28" i="4"/>
  <c r="DH28" i="4"/>
  <c r="DI28" i="4"/>
  <c r="DJ28" i="4"/>
  <c r="DK28" i="4"/>
  <c r="DL28" i="4"/>
  <c r="DM28" i="4"/>
  <c r="DN28" i="4"/>
  <c r="DO28" i="4"/>
  <c r="DP28" i="4"/>
  <c r="DQ28" i="4"/>
  <c r="DR28" i="4"/>
  <c r="DH19" i="4"/>
  <c r="DI19" i="4"/>
  <c r="DJ19" i="4"/>
  <c r="DK19" i="4"/>
  <c r="DL19" i="4"/>
  <c r="DM19" i="4"/>
  <c r="DN19" i="4"/>
  <c r="DO19" i="4"/>
  <c r="DP19" i="4"/>
  <c r="DQ19" i="4"/>
  <c r="DR19" i="4"/>
  <c r="DG19" i="4"/>
  <c r="DF18" i="4"/>
  <c r="DH5" i="4"/>
  <c r="DI5" i="4"/>
  <c r="DJ5" i="4"/>
  <c r="DK5" i="4"/>
  <c r="DL5" i="4"/>
  <c r="DM5" i="4"/>
  <c r="DN5" i="4"/>
  <c r="DO5" i="4"/>
  <c r="DP5" i="4"/>
  <c r="DQ5" i="4"/>
  <c r="DR5" i="4"/>
  <c r="DH6" i="4"/>
  <c r="DI6" i="4"/>
  <c r="DJ6" i="4"/>
  <c r="DK6" i="4"/>
  <c r="DL6" i="4"/>
  <c r="DM6" i="4"/>
  <c r="DN6" i="4"/>
  <c r="DO6" i="4"/>
  <c r="DP6" i="4"/>
  <c r="DQ6" i="4"/>
  <c r="DR6" i="4"/>
  <c r="DH7" i="4"/>
  <c r="DI7" i="4"/>
  <c r="DJ7" i="4"/>
  <c r="DK7" i="4"/>
  <c r="DL7" i="4"/>
  <c r="DM7" i="4"/>
  <c r="DN7" i="4"/>
  <c r="DO7" i="4"/>
  <c r="DP7" i="4"/>
  <c r="DQ7" i="4"/>
  <c r="DR7" i="4"/>
  <c r="DH8" i="4"/>
  <c r="DI8" i="4"/>
  <c r="DJ8" i="4"/>
  <c r="DK8" i="4"/>
  <c r="DL8" i="4"/>
  <c r="DM8" i="4"/>
  <c r="DN8" i="4"/>
  <c r="DO8" i="4"/>
  <c r="DP8" i="4"/>
  <c r="DQ8" i="4"/>
  <c r="DR8" i="4"/>
  <c r="DH9" i="4"/>
  <c r="DI9" i="4"/>
  <c r="DJ9" i="4"/>
  <c r="DK9" i="4"/>
  <c r="DL9" i="4"/>
  <c r="DM9" i="4"/>
  <c r="DN9" i="4"/>
  <c r="DO9" i="4"/>
  <c r="DP9" i="4"/>
  <c r="DQ9" i="4"/>
  <c r="DR9" i="4"/>
  <c r="DH10" i="4"/>
  <c r="DI10" i="4"/>
  <c r="DJ10" i="4"/>
  <c r="DK10" i="4"/>
  <c r="DL10" i="4"/>
  <c r="DM10" i="4"/>
  <c r="DN10" i="4"/>
  <c r="DO10" i="4"/>
  <c r="DP10" i="4"/>
  <c r="DQ10" i="4"/>
  <c r="DR10" i="4"/>
  <c r="DH11" i="4"/>
  <c r="DI11" i="4"/>
  <c r="DJ11" i="4"/>
  <c r="DK11" i="4"/>
  <c r="DL11" i="4"/>
  <c r="DM11" i="4"/>
  <c r="DN11" i="4"/>
  <c r="DO11" i="4"/>
  <c r="DP11" i="4"/>
  <c r="DQ11" i="4"/>
  <c r="DR11" i="4"/>
  <c r="DH12" i="4"/>
  <c r="DI12" i="4"/>
  <c r="DJ12" i="4"/>
  <c r="DK12" i="4"/>
  <c r="DL12" i="4"/>
  <c r="DM12" i="4"/>
  <c r="DN12" i="4"/>
  <c r="DO12" i="4"/>
  <c r="DP12" i="4"/>
  <c r="DQ12" i="4"/>
  <c r="DR12" i="4"/>
  <c r="DH13" i="4"/>
  <c r="DI13" i="4"/>
  <c r="DJ13" i="4"/>
  <c r="DK13" i="4"/>
  <c r="DL13" i="4"/>
  <c r="DM13" i="4"/>
  <c r="DN13" i="4"/>
  <c r="DO13" i="4"/>
  <c r="DP13" i="4"/>
  <c r="DQ13" i="4"/>
  <c r="DR13" i="4"/>
  <c r="DH14" i="4"/>
  <c r="DI14" i="4"/>
  <c r="DJ14" i="4"/>
  <c r="DK14" i="4"/>
  <c r="DL14" i="4"/>
  <c r="DM14" i="4"/>
  <c r="DN14" i="4"/>
  <c r="DO14" i="4"/>
  <c r="DP14" i="4"/>
  <c r="DQ14" i="4"/>
  <c r="DR14" i="4"/>
  <c r="DG6" i="4"/>
  <c r="DG7" i="4"/>
  <c r="DG8" i="4"/>
  <c r="DG9" i="4"/>
  <c r="DG10" i="4"/>
  <c r="DG11" i="4"/>
  <c r="DG12" i="4"/>
  <c r="DG13" i="4"/>
  <c r="DG14" i="4"/>
  <c r="DG5" i="4"/>
  <c r="DF4" i="4"/>
  <c r="CR20" i="4"/>
  <c r="CS20" i="4"/>
  <c r="CT20" i="4"/>
  <c r="CU20" i="4"/>
  <c r="CV20" i="4"/>
  <c r="CW20" i="4"/>
  <c r="CX20" i="4"/>
  <c r="CY20" i="4"/>
  <c r="CZ20" i="4"/>
  <c r="DA20" i="4"/>
  <c r="DB20" i="4"/>
  <c r="DC20" i="4"/>
  <c r="CR21" i="4"/>
  <c r="CS21" i="4"/>
  <c r="CT21" i="4"/>
  <c r="CU21" i="4"/>
  <c r="CV21" i="4"/>
  <c r="CW21" i="4"/>
  <c r="CX21" i="4"/>
  <c r="CY21" i="4"/>
  <c r="CZ21" i="4"/>
  <c r="DA21" i="4"/>
  <c r="DB21" i="4"/>
  <c r="DC21" i="4"/>
  <c r="CR22" i="4"/>
  <c r="CS22" i="4"/>
  <c r="CT22" i="4"/>
  <c r="CU22" i="4"/>
  <c r="CV22" i="4"/>
  <c r="CW22" i="4"/>
  <c r="CX22" i="4"/>
  <c r="CY22" i="4"/>
  <c r="CZ22" i="4"/>
  <c r="DA22" i="4"/>
  <c r="DB22" i="4"/>
  <c r="DC22" i="4"/>
  <c r="CR23" i="4"/>
  <c r="CS23" i="4"/>
  <c r="CT23" i="4"/>
  <c r="CU23" i="4"/>
  <c r="CV23" i="4"/>
  <c r="CW23" i="4"/>
  <c r="CX23" i="4"/>
  <c r="CY23" i="4"/>
  <c r="CZ23" i="4"/>
  <c r="DA23" i="4"/>
  <c r="DB23" i="4"/>
  <c r="DC23" i="4"/>
  <c r="CR24" i="4"/>
  <c r="CS24" i="4"/>
  <c r="CT24" i="4"/>
  <c r="CU24" i="4"/>
  <c r="CV24" i="4"/>
  <c r="CW24" i="4"/>
  <c r="CX24" i="4"/>
  <c r="CY24" i="4"/>
  <c r="CZ24" i="4"/>
  <c r="DA24" i="4"/>
  <c r="DB24" i="4"/>
  <c r="DC24" i="4"/>
  <c r="CR25" i="4"/>
  <c r="CS25" i="4"/>
  <c r="CT25" i="4"/>
  <c r="CU25" i="4"/>
  <c r="CV25" i="4"/>
  <c r="CW25" i="4"/>
  <c r="CX25" i="4"/>
  <c r="CY25" i="4"/>
  <c r="CZ25" i="4"/>
  <c r="DA25" i="4"/>
  <c r="DB25" i="4"/>
  <c r="DC25" i="4"/>
  <c r="CR26" i="4"/>
  <c r="CS26" i="4"/>
  <c r="CT26" i="4"/>
  <c r="CU26" i="4"/>
  <c r="CV26" i="4"/>
  <c r="CW26" i="4"/>
  <c r="CX26" i="4"/>
  <c r="CY26" i="4"/>
  <c r="CZ26" i="4"/>
  <c r="DA26" i="4"/>
  <c r="DB26" i="4"/>
  <c r="DC26" i="4"/>
  <c r="CR27" i="4"/>
  <c r="CS27" i="4"/>
  <c r="CT27" i="4"/>
  <c r="CU27" i="4"/>
  <c r="CV27" i="4"/>
  <c r="CW27" i="4"/>
  <c r="CX27" i="4"/>
  <c r="CY27" i="4"/>
  <c r="CZ27" i="4"/>
  <c r="DA27" i="4"/>
  <c r="DB27" i="4"/>
  <c r="DC27" i="4"/>
  <c r="CR28" i="4"/>
  <c r="CS28" i="4"/>
  <c r="CT28" i="4"/>
  <c r="CU28" i="4"/>
  <c r="CV28" i="4"/>
  <c r="CW28" i="4"/>
  <c r="CX28" i="4"/>
  <c r="CY28" i="4"/>
  <c r="CZ28" i="4"/>
  <c r="DA28" i="4"/>
  <c r="DB28" i="4"/>
  <c r="DC28" i="4"/>
  <c r="CS19" i="4"/>
  <c r="CT19" i="4"/>
  <c r="CU19" i="4"/>
  <c r="CV19" i="4"/>
  <c r="CW19" i="4"/>
  <c r="CX19" i="4"/>
  <c r="CY19" i="4"/>
  <c r="CZ19" i="4"/>
  <c r="DA19" i="4"/>
  <c r="DB19" i="4"/>
  <c r="DC19" i="4"/>
  <c r="CR19" i="4"/>
  <c r="CQ18" i="4"/>
  <c r="CR6" i="4"/>
  <c r="CS6" i="4"/>
  <c r="CT6" i="4"/>
  <c r="CU6" i="4"/>
  <c r="CV6" i="4"/>
  <c r="CW6" i="4"/>
  <c r="CX6" i="4"/>
  <c r="CY6" i="4"/>
  <c r="CZ6" i="4"/>
  <c r="DA6" i="4"/>
  <c r="DB6" i="4"/>
  <c r="DC6" i="4"/>
  <c r="CR7" i="4"/>
  <c r="CS7" i="4"/>
  <c r="CT7" i="4"/>
  <c r="CU7" i="4"/>
  <c r="CV7" i="4"/>
  <c r="CW7" i="4"/>
  <c r="CX7" i="4"/>
  <c r="CY7" i="4"/>
  <c r="CZ7" i="4"/>
  <c r="DA7" i="4"/>
  <c r="DB7" i="4"/>
  <c r="DC7" i="4"/>
  <c r="CR8" i="4"/>
  <c r="CS8" i="4"/>
  <c r="CT8" i="4"/>
  <c r="CU8" i="4"/>
  <c r="CV8" i="4"/>
  <c r="CW8" i="4"/>
  <c r="CX8" i="4"/>
  <c r="CY8" i="4"/>
  <c r="CZ8" i="4"/>
  <c r="DA8" i="4"/>
  <c r="DB8" i="4"/>
  <c r="DC8" i="4"/>
  <c r="CR9" i="4"/>
  <c r="CS9" i="4"/>
  <c r="CT9" i="4"/>
  <c r="CU9" i="4"/>
  <c r="CV9" i="4"/>
  <c r="CW9" i="4"/>
  <c r="CX9" i="4"/>
  <c r="CY9" i="4"/>
  <c r="CZ9" i="4"/>
  <c r="DA9" i="4"/>
  <c r="DB9" i="4"/>
  <c r="DC9" i="4"/>
  <c r="CR10" i="4"/>
  <c r="CS10" i="4"/>
  <c r="CT10" i="4"/>
  <c r="CU10" i="4"/>
  <c r="CV10" i="4"/>
  <c r="CW10" i="4"/>
  <c r="CX10" i="4"/>
  <c r="CY10" i="4"/>
  <c r="CZ10" i="4"/>
  <c r="DA10" i="4"/>
  <c r="DB10" i="4"/>
  <c r="DC10" i="4"/>
  <c r="CR11" i="4"/>
  <c r="CS11" i="4"/>
  <c r="CT11" i="4"/>
  <c r="CU11" i="4"/>
  <c r="CV11" i="4"/>
  <c r="CW11" i="4"/>
  <c r="CX11" i="4"/>
  <c r="CY11" i="4"/>
  <c r="CZ11" i="4"/>
  <c r="DA11" i="4"/>
  <c r="DB11" i="4"/>
  <c r="DC11" i="4"/>
  <c r="CR12" i="4"/>
  <c r="CS12" i="4"/>
  <c r="CT12" i="4"/>
  <c r="CU12" i="4"/>
  <c r="CV12" i="4"/>
  <c r="CW12" i="4"/>
  <c r="CX12" i="4"/>
  <c r="CY12" i="4"/>
  <c r="CZ12" i="4"/>
  <c r="DA12" i="4"/>
  <c r="DB12" i="4"/>
  <c r="DC12" i="4"/>
  <c r="CR13" i="4"/>
  <c r="CS13" i="4"/>
  <c r="CT13" i="4"/>
  <c r="CU13" i="4"/>
  <c r="CV13" i="4"/>
  <c r="CW13" i="4"/>
  <c r="CX13" i="4"/>
  <c r="CY13" i="4"/>
  <c r="CZ13" i="4"/>
  <c r="DA13" i="4"/>
  <c r="DB13" i="4"/>
  <c r="DC13" i="4"/>
  <c r="CR14" i="4"/>
  <c r="CS14" i="4"/>
  <c r="CT14" i="4"/>
  <c r="CU14" i="4"/>
  <c r="CV14" i="4"/>
  <c r="CW14" i="4"/>
  <c r="CX14" i="4"/>
  <c r="CY14" i="4"/>
  <c r="CZ14" i="4"/>
  <c r="DA14" i="4"/>
  <c r="DB14" i="4"/>
  <c r="DC14" i="4"/>
  <c r="CS5" i="4"/>
  <c r="CT5" i="4"/>
  <c r="CU5" i="4"/>
  <c r="CV5" i="4"/>
  <c r="CW5" i="4"/>
  <c r="CX5" i="4"/>
  <c r="CY5" i="4"/>
  <c r="CZ5" i="4"/>
  <c r="DA5" i="4"/>
  <c r="DB5" i="4"/>
  <c r="DC5" i="4"/>
  <c r="CR5" i="4"/>
  <c r="CQ4" i="4"/>
  <c r="CC20" i="4"/>
  <c r="CD20" i="4"/>
  <c r="CE20" i="4"/>
  <c r="CF20" i="4"/>
  <c r="CG20" i="4"/>
  <c r="CH20" i="4"/>
  <c r="CI20" i="4"/>
  <c r="CJ20" i="4"/>
  <c r="CK20" i="4"/>
  <c r="CL20" i="4"/>
  <c r="CM20" i="4"/>
  <c r="CN20" i="4"/>
  <c r="CC21" i="4"/>
  <c r="CD21" i="4"/>
  <c r="CE21" i="4"/>
  <c r="CF21" i="4"/>
  <c r="CG21" i="4"/>
  <c r="CH21" i="4"/>
  <c r="CI21" i="4"/>
  <c r="CJ21" i="4"/>
  <c r="CK21" i="4"/>
  <c r="CL21" i="4"/>
  <c r="CM21" i="4"/>
  <c r="CN21" i="4"/>
  <c r="CC22" i="4"/>
  <c r="CD22" i="4"/>
  <c r="CE22" i="4"/>
  <c r="CF22" i="4"/>
  <c r="CG22" i="4"/>
  <c r="CH22" i="4"/>
  <c r="CI22" i="4"/>
  <c r="CJ22" i="4"/>
  <c r="CK22" i="4"/>
  <c r="CL22" i="4"/>
  <c r="CM22" i="4"/>
  <c r="CN22" i="4"/>
  <c r="CC23" i="4"/>
  <c r="CD23" i="4"/>
  <c r="CE23" i="4"/>
  <c r="CF23" i="4"/>
  <c r="CG23" i="4"/>
  <c r="CH23" i="4"/>
  <c r="CI23" i="4"/>
  <c r="CJ23" i="4"/>
  <c r="CK23" i="4"/>
  <c r="CL23" i="4"/>
  <c r="CM23" i="4"/>
  <c r="CN23" i="4"/>
  <c r="CC24" i="4"/>
  <c r="CD24" i="4"/>
  <c r="CE24" i="4"/>
  <c r="CF24" i="4"/>
  <c r="CG24" i="4"/>
  <c r="CH24" i="4"/>
  <c r="CI24" i="4"/>
  <c r="CJ24" i="4"/>
  <c r="CK24" i="4"/>
  <c r="CL24" i="4"/>
  <c r="CM24" i="4"/>
  <c r="CN24" i="4"/>
  <c r="CC25" i="4"/>
  <c r="CD25" i="4"/>
  <c r="CE25" i="4"/>
  <c r="CF25" i="4"/>
  <c r="CG25" i="4"/>
  <c r="CH25" i="4"/>
  <c r="CI25" i="4"/>
  <c r="CJ25" i="4"/>
  <c r="CK25" i="4"/>
  <c r="CL25" i="4"/>
  <c r="CM25" i="4"/>
  <c r="CN25" i="4"/>
  <c r="CC26" i="4"/>
  <c r="CD26" i="4"/>
  <c r="CE26" i="4"/>
  <c r="CF26" i="4"/>
  <c r="CG26" i="4"/>
  <c r="CH26" i="4"/>
  <c r="CI26" i="4"/>
  <c r="CJ26" i="4"/>
  <c r="CK26" i="4"/>
  <c r="CL26" i="4"/>
  <c r="CM26" i="4"/>
  <c r="CN26" i="4"/>
  <c r="CC27" i="4"/>
  <c r="CD27" i="4"/>
  <c r="CE27" i="4"/>
  <c r="CF27" i="4"/>
  <c r="CG27" i="4"/>
  <c r="CH27" i="4"/>
  <c r="CI27" i="4"/>
  <c r="CJ27" i="4"/>
  <c r="CK27" i="4"/>
  <c r="CL27" i="4"/>
  <c r="CM27" i="4"/>
  <c r="CN27" i="4"/>
  <c r="CC28" i="4"/>
  <c r="CD28" i="4"/>
  <c r="CE28" i="4"/>
  <c r="CF28" i="4"/>
  <c r="CG28" i="4"/>
  <c r="CH28" i="4"/>
  <c r="CI28" i="4"/>
  <c r="CJ28" i="4"/>
  <c r="CK28" i="4"/>
  <c r="CL28" i="4"/>
  <c r="CM28" i="4"/>
  <c r="CN28" i="4"/>
  <c r="CD19" i="4"/>
  <c r="CE19" i="4"/>
  <c r="CF19" i="4"/>
  <c r="CG19" i="4"/>
  <c r="CH19" i="4"/>
  <c r="CI19" i="4"/>
  <c r="CJ19" i="4"/>
  <c r="CK19" i="4"/>
  <c r="CL19" i="4"/>
  <c r="CM19" i="4"/>
  <c r="CN19" i="4"/>
  <c r="CC19" i="4"/>
  <c r="CB18" i="4"/>
  <c r="CD5" i="4"/>
  <c r="CE5" i="4"/>
  <c r="CF5" i="4"/>
  <c r="CG5" i="4"/>
  <c r="CH5" i="4"/>
  <c r="CI5" i="4"/>
  <c r="CJ5" i="4"/>
  <c r="CK5" i="4"/>
  <c r="CL5" i="4"/>
  <c r="CM5" i="4"/>
  <c r="CN5" i="4"/>
  <c r="CD6" i="4"/>
  <c r="CE6" i="4"/>
  <c r="CF6" i="4"/>
  <c r="CG6" i="4"/>
  <c r="CH6" i="4"/>
  <c r="CI6" i="4"/>
  <c r="CJ6" i="4"/>
  <c r="CK6" i="4"/>
  <c r="CL6" i="4"/>
  <c r="CM6" i="4"/>
  <c r="CN6" i="4"/>
  <c r="CD7" i="4"/>
  <c r="CE7" i="4"/>
  <c r="CF7" i="4"/>
  <c r="CG7" i="4"/>
  <c r="CH7" i="4"/>
  <c r="CI7" i="4"/>
  <c r="CJ7" i="4"/>
  <c r="CK7" i="4"/>
  <c r="CL7" i="4"/>
  <c r="CM7" i="4"/>
  <c r="CN7" i="4"/>
  <c r="CD8" i="4"/>
  <c r="CE8" i="4"/>
  <c r="CF8" i="4"/>
  <c r="CG8" i="4"/>
  <c r="CH8" i="4"/>
  <c r="CI8" i="4"/>
  <c r="CJ8" i="4"/>
  <c r="CK8" i="4"/>
  <c r="CL8" i="4"/>
  <c r="CM8" i="4"/>
  <c r="CN8" i="4"/>
  <c r="CD9" i="4"/>
  <c r="CE9" i="4"/>
  <c r="CF9" i="4"/>
  <c r="CG9" i="4"/>
  <c r="CH9" i="4"/>
  <c r="CI9" i="4"/>
  <c r="CJ9" i="4"/>
  <c r="CK9" i="4"/>
  <c r="CL9" i="4"/>
  <c r="CM9" i="4"/>
  <c r="CN9" i="4"/>
  <c r="CD10" i="4"/>
  <c r="CE10" i="4"/>
  <c r="CF10" i="4"/>
  <c r="CG10" i="4"/>
  <c r="CH10" i="4"/>
  <c r="CI10" i="4"/>
  <c r="CJ10" i="4"/>
  <c r="CK10" i="4"/>
  <c r="CL10" i="4"/>
  <c r="CM10" i="4"/>
  <c r="CN10" i="4"/>
  <c r="CD11" i="4"/>
  <c r="CE11" i="4"/>
  <c r="CF11" i="4"/>
  <c r="CG11" i="4"/>
  <c r="CH11" i="4"/>
  <c r="CI11" i="4"/>
  <c r="CJ11" i="4"/>
  <c r="CK11" i="4"/>
  <c r="CL11" i="4"/>
  <c r="CM11" i="4"/>
  <c r="CN11" i="4"/>
  <c r="CD12" i="4"/>
  <c r="CE12" i="4"/>
  <c r="CF12" i="4"/>
  <c r="CG12" i="4"/>
  <c r="CH12" i="4"/>
  <c r="CI12" i="4"/>
  <c r="CJ12" i="4"/>
  <c r="CK12" i="4"/>
  <c r="CL12" i="4"/>
  <c r="CM12" i="4"/>
  <c r="CN12" i="4"/>
  <c r="CD13" i="4"/>
  <c r="CE13" i="4"/>
  <c r="CF13" i="4"/>
  <c r="CG13" i="4"/>
  <c r="CH13" i="4"/>
  <c r="CI13" i="4"/>
  <c r="CJ13" i="4"/>
  <c r="CK13" i="4"/>
  <c r="CL13" i="4"/>
  <c r="CM13" i="4"/>
  <c r="CN13" i="4"/>
  <c r="CD14" i="4"/>
  <c r="CE14" i="4"/>
  <c r="CF14" i="4"/>
  <c r="CG14" i="4"/>
  <c r="CH14" i="4"/>
  <c r="CI14" i="4"/>
  <c r="CJ14" i="4"/>
  <c r="CK14" i="4"/>
  <c r="CL14" i="4"/>
  <c r="CM14" i="4"/>
  <c r="CN14" i="4"/>
  <c r="CC6" i="4"/>
  <c r="CC7" i="4"/>
  <c r="CC8" i="4"/>
  <c r="CC9" i="4"/>
  <c r="CC10" i="4"/>
  <c r="CC11" i="4"/>
  <c r="CC12" i="4"/>
  <c r="CC13" i="4"/>
  <c r="CC14" i="4"/>
  <c r="CC5" i="4"/>
  <c r="CB4" i="4"/>
  <c r="BO19" i="4"/>
  <c r="BP19" i="4"/>
  <c r="BQ19" i="4"/>
  <c r="BR19" i="4"/>
  <c r="BS19" i="4"/>
  <c r="BT19" i="4"/>
  <c r="BU19" i="4"/>
  <c r="BV19" i="4"/>
  <c r="BW19" i="4"/>
  <c r="BX19" i="4"/>
  <c r="BY19" i="4"/>
  <c r="BO20" i="4"/>
  <c r="BP20" i="4"/>
  <c r="BQ20" i="4"/>
  <c r="BR20" i="4"/>
  <c r="BS20" i="4"/>
  <c r="BT20" i="4"/>
  <c r="BU20" i="4"/>
  <c r="BV20" i="4"/>
  <c r="BW20" i="4"/>
  <c r="BX20" i="4"/>
  <c r="BY20" i="4"/>
  <c r="BO21" i="4"/>
  <c r="BP21" i="4"/>
  <c r="BQ21" i="4"/>
  <c r="BR21" i="4"/>
  <c r="BS21" i="4"/>
  <c r="BT21" i="4"/>
  <c r="BU21" i="4"/>
  <c r="BV21" i="4"/>
  <c r="BW21" i="4"/>
  <c r="BX21" i="4"/>
  <c r="BY21" i="4"/>
  <c r="BO22" i="4"/>
  <c r="BP22" i="4"/>
  <c r="BQ22" i="4"/>
  <c r="BR22" i="4"/>
  <c r="BS22" i="4"/>
  <c r="BT22" i="4"/>
  <c r="BU22" i="4"/>
  <c r="BV22" i="4"/>
  <c r="BW22" i="4"/>
  <c r="BX22" i="4"/>
  <c r="BY22" i="4"/>
  <c r="BO23" i="4"/>
  <c r="BP23" i="4"/>
  <c r="BQ23" i="4"/>
  <c r="BR23" i="4"/>
  <c r="BS23" i="4"/>
  <c r="BT23" i="4"/>
  <c r="BU23" i="4"/>
  <c r="BV23" i="4"/>
  <c r="BW23" i="4"/>
  <c r="BX23" i="4"/>
  <c r="BY23" i="4"/>
  <c r="BO24" i="4"/>
  <c r="BP24" i="4"/>
  <c r="BQ24" i="4"/>
  <c r="BR24" i="4"/>
  <c r="BS24" i="4"/>
  <c r="BT24" i="4"/>
  <c r="BU24" i="4"/>
  <c r="BV24" i="4"/>
  <c r="BW24" i="4"/>
  <c r="BX24" i="4"/>
  <c r="BY24" i="4"/>
  <c r="BO25" i="4"/>
  <c r="BP25" i="4"/>
  <c r="BQ25" i="4"/>
  <c r="BR25" i="4"/>
  <c r="BS25" i="4"/>
  <c r="BT25" i="4"/>
  <c r="BU25" i="4"/>
  <c r="BV25" i="4"/>
  <c r="BW25" i="4"/>
  <c r="BX25" i="4"/>
  <c r="BY25" i="4"/>
  <c r="BO26" i="4"/>
  <c r="BP26" i="4"/>
  <c r="BQ26" i="4"/>
  <c r="BR26" i="4"/>
  <c r="BS26" i="4"/>
  <c r="BT26" i="4"/>
  <c r="BU26" i="4"/>
  <c r="BV26" i="4"/>
  <c r="BW26" i="4"/>
  <c r="BX26" i="4"/>
  <c r="BY26" i="4"/>
  <c r="BO27" i="4"/>
  <c r="BP27" i="4"/>
  <c r="BQ27" i="4"/>
  <c r="BR27" i="4"/>
  <c r="BS27" i="4"/>
  <c r="BT27" i="4"/>
  <c r="BU27" i="4"/>
  <c r="BV27" i="4"/>
  <c r="BW27" i="4"/>
  <c r="BX27" i="4"/>
  <c r="BY27" i="4"/>
  <c r="BO28" i="4"/>
  <c r="BP28" i="4"/>
  <c r="BQ28" i="4"/>
  <c r="BR28" i="4"/>
  <c r="BS28" i="4"/>
  <c r="BT28" i="4"/>
  <c r="BU28" i="4"/>
  <c r="BV28" i="4"/>
  <c r="BW28" i="4"/>
  <c r="BX28" i="4"/>
  <c r="BY28" i="4"/>
  <c r="BN20" i="4"/>
  <c r="BN21" i="4"/>
  <c r="BN22" i="4"/>
  <c r="BN23" i="4"/>
  <c r="BN24" i="4"/>
  <c r="BN25" i="4"/>
  <c r="BN26" i="4"/>
  <c r="BN27" i="4"/>
  <c r="BN28" i="4"/>
  <c r="BN19" i="4"/>
  <c r="BN30" i="4" s="1"/>
  <c r="BM18" i="4"/>
  <c r="BO5" i="4"/>
  <c r="BP5" i="4"/>
  <c r="BQ5" i="4"/>
  <c r="BR5" i="4"/>
  <c r="BS5" i="4"/>
  <c r="BT5" i="4"/>
  <c r="BU5" i="4"/>
  <c r="BV5" i="4"/>
  <c r="BW5" i="4"/>
  <c r="BX5" i="4"/>
  <c r="BY5" i="4"/>
  <c r="BO6" i="4"/>
  <c r="BP6" i="4"/>
  <c r="BQ6" i="4"/>
  <c r="BR6" i="4"/>
  <c r="BS6" i="4"/>
  <c r="BT6" i="4"/>
  <c r="BU6" i="4"/>
  <c r="BV6" i="4"/>
  <c r="BW6" i="4"/>
  <c r="BX6" i="4"/>
  <c r="BY6" i="4"/>
  <c r="BO7" i="4"/>
  <c r="BP7" i="4"/>
  <c r="BQ7" i="4"/>
  <c r="BR7" i="4"/>
  <c r="BS7" i="4"/>
  <c r="BT7" i="4"/>
  <c r="BU7" i="4"/>
  <c r="BV7" i="4"/>
  <c r="BW7" i="4"/>
  <c r="BX7" i="4"/>
  <c r="BY7" i="4"/>
  <c r="BO8" i="4"/>
  <c r="BP8" i="4"/>
  <c r="BQ8" i="4"/>
  <c r="BR8" i="4"/>
  <c r="BS8" i="4"/>
  <c r="BT8" i="4"/>
  <c r="BU8" i="4"/>
  <c r="BV8" i="4"/>
  <c r="BW8" i="4"/>
  <c r="BX8" i="4"/>
  <c r="BY8" i="4"/>
  <c r="BO9" i="4"/>
  <c r="BP9" i="4"/>
  <c r="BQ9" i="4"/>
  <c r="BR9" i="4"/>
  <c r="BS9" i="4"/>
  <c r="BT9" i="4"/>
  <c r="BU9" i="4"/>
  <c r="BV9" i="4"/>
  <c r="BW9" i="4"/>
  <c r="BX9" i="4"/>
  <c r="BY9" i="4"/>
  <c r="BO10" i="4"/>
  <c r="BP10" i="4"/>
  <c r="BQ10" i="4"/>
  <c r="BR10" i="4"/>
  <c r="BS10" i="4"/>
  <c r="BT10" i="4"/>
  <c r="BU10" i="4"/>
  <c r="BV10" i="4"/>
  <c r="BW10" i="4"/>
  <c r="BX10" i="4"/>
  <c r="BY10" i="4"/>
  <c r="BO11" i="4"/>
  <c r="BP11" i="4"/>
  <c r="BQ11" i="4"/>
  <c r="BR11" i="4"/>
  <c r="BS11" i="4"/>
  <c r="BT11" i="4"/>
  <c r="BU11" i="4"/>
  <c r="BV11" i="4"/>
  <c r="BW11" i="4"/>
  <c r="BX11" i="4"/>
  <c r="BY11" i="4"/>
  <c r="BO12" i="4"/>
  <c r="BP12" i="4"/>
  <c r="BQ12" i="4"/>
  <c r="BR12" i="4"/>
  <c r="BS12" i="4"/>
  <c r="BT12" i="4"/>
  <c r="BU12" i="4"/>
  <c r="BV12" i="4"/>
  <c r="BW12" i="4"/>
  <c r="BX12" i="4"/>
  <c r="BY12" i="4"/>
  <c r="BO13" i="4"/>
  <c r="BP13" i="4"/>
  <c r="BQ13" i="4"/>
  <c r="BR13" i="4"/>
  <c r="BS13" i="4"/>
  <c r="BT13" i="4"/>
  <c r="BU13" i="4"/>
  <c r="BV13" i="4"/>
  <c r="BW13" i="4"/>
  <c r="BX13" i="4"/>
  <c r="BY13" i="4"/>
  <c r="BO14" i="4"/>
  <c r="BP14" i="4"/>
  <c r="BQ14" i="4"/>
  <c r="BR14" i="4"/>
  <c r="BS14" i="4"/>
  <c r="BT14" i="4"/>
  <c r="BU14" i="4"/>
  <c r="BV14" i="4"/>
  <c r="BW14" i="4"/>
  <c r="BX14" i="4"/>
  <c r="BY14" i="4"/>
  <c r="BN6" i="4"/>
  <c r="BN7" i="4"/>
  <c r="BN8" i="4"/>
  <c r="BN9" i="4"/>
  <c r="BN10" i="4"/>
  <c r="BN11" i="4"/>
  <c r="BN12" i="4"/>
  <c r="BN13" i="4"/>
  <c r="BN14" i="4"/>
  <c r="BN5" i="4"/>
  <c r="BM4" i="4"/>
  <c r="DF21" i="4"/>
  <c r="DF22" i="4" s="1"/>
  <c r="DF23" i="4" s="1"/>
  <c r="DF24" i="4" s="1"/>
  <c r="DF25" i="4" s="1"/>
  <c r="DF26" i="4" s="1"/>
  <c r="DF27" i="4" s="1"/>
  <c r="DF28" i="4" s="1"/>
  <c r="DF20" i="4"/>
  <c r="DF6" i="4"/>
  <c r="DF7" i="4" s="1"/>
  <c r="DF8" i="4" s="1"/>
  <c r="DF9" i="4" s="1"/>
  <c r="DF10" i="4" s="1"/>
  <c r="DF11" i="4" s="1"/>
  <c r="DF12" i="4" s="1"/>
  <c r="DF13" i="4" s="1"/>
  <c r="DF14" i="4" s="1"/>
  <c r="DH3" i="4"/>
  <c r="CQ26" i="4"/>
  <c r="CQ27" i="4" s="1"/>
  <c r="CQ28" i="4" s="1"/>
  <c r="CQ25" i="4"/>
  <c r="CQ21" i="4"/>
  <c r="CQ22" i="4" s="1"/>
  <c r="CQ23" i="4" s="1"/>
  <c r="CQ24" i="4" s="1"/>
  <c r="CQ20" i="4"/>
  <c r="CQ6" i="4"/>
  <c r="CQ7" i="4" s="1"/>
  <c r="CQ8" i="4" s="1"/>
  <c r="CQ9" i="4" s="1"/>
  <c r="CQ10" i="4" s="1"/>
  <c r="CQ11" i="4" s="1"/>
  <c r="CQ12" i="4" s="1"/>
  <c r="CQ13" i="4" s="1"/>
  <c r="CQ14" i="4" s="1"/>
  <c r="CS3" i="4"/>
  <c r="CB24" i="4"/>
  <c r="CB25" i="4" s="1"/>
  <c r="CB26" i="4" s="1"/>
  <c r="CB27" i="4" s="1"/>
  <c r="CB28" i="4" s="1"/>
  <c r="CB23" i="4"/>
  <c r="CB22" i="4"/>
  <c r="CB21" i="4"/>
  <c r="CB20" i="4"/>
  <c r="CB6" i="4"/>
  <c r="CB7" i="4" s="1"/>
  <c r="CB8" i="4" s="1"/>
  <c r="CB9" i="4" s="1"/>
  <c r="CB10" i="4" s="1"/>
  <c r="CB11" i="4" s="1"/>
  <c r="CB12" i="4" s="1"/>
  <c r="CB13" i="4" s="1"/>
  <c r="CB14" i="4" s="1"/>
  <c r="CD3" i="4"/>
  <c r="BM24" i="4"/>
  <c r="BM25" i="4" s="1"/>
  <c r="BM26" i="4" s="1"/>
  <c r="BM27" i="4" s="1"/>
  <c r="BM28" i="4" s="1"/>
  <c r="BM23" i="4"/>
  <c r="BM22" i="4"/>
  <c r="BM21" i="4"/>
  <c r="BM20" i="4"/>
  <c r="BM6" i="4"/>
  <c r="BM7" i="4" s="1"/>
  <c r="BM8" i="4" s="1"/>
  <c r="BM9" i="4" s="1"/>
  <c r="BM10" i="4" s="1"/>
  <c r="BM11" i="4" s="1"/>
  <c r="BM12" i="4" s="1"/>
  <c r="BM13" i="4" s="1"/>
  <c r="BM14" i="4" s="1"/>
  <c r="BO3" i="4"/>
  <c r="AY20" i="4"/>
  <c r="AY21" i="4"/>
  <c r="AY25" i="4"/>
  <c r="AY26" i="4"/>
  <c r="AY27" i="4"/>
  <c r="AY28" i="4"/>
  <c r="AY19" i="4"/>
  <c r="AX18" i="4"/>
  <c r="AY6" i="4"/>
  <c r="AY7" i="4"/>
  <c r="AY8" i="4"/>
  <c r="AY9" i="4"/>
  <c r="AY10" i="4"/>
  <c r="AY11" i="4"/>
  <c r="AY12" i="4"/>
  <c r="AY5" i="4"/>
  <c r="AX4" i="4"/>
  <c r="AX20" i="4"/>
  <c r="AX21" i="4" s="1"/>
  <c r="AX22" i="4" s="1"/>
  <c r="AX23" i="4" s="1"/>
  <c r="AX24" i="4" s="1"/>
  <c r="AX25" i="4" s="1"/>
  <c r="AX26" i="4" s="1"/>
  <c r="AX27" i="4" s="1"/>
  <c r="AX28" i="4" s="1"/>
  <c r="AX6" i="4"/>
  <c r="AX7" i="4" s="1"/>
  <c r="AX8" i="4" s="1"/>
  <c r="AX9" i="4" s="1"/>
  <c r="AX10" i="4" s="1"/>
  <c r="AX11" i="4" s="1"/>
  <c r="AX12" i="4" s="1"/>
  <c r="AX13" i="4" s="1"/>
  <c r="AX14" i="4" s="1"/>
  <c r="AZ3" i="4"/>
  <c r="AZ27" i="4" s="1"/>
  <c r="AK19" i="4"/>
  <c r="AK20" i="4"/>
  <c r="AK22" i="4"/>
  <c r="AK23" i="4"/>
  <c r="AK25" i="4"/>
  <c r="AK26" i="4"/>
  <c r="AK28" i="4"/>
  <c r="AJ20" i="4"/>
  <c r="AJ21" i="4"/>
  <c r="AJ22" i="4"/>
  <c r="AJ23" i="4"/>
  <c r="AJ24" i="4"/>
  <c r="AJ25" i="4"/>
  <c r="AJ26" i="4"/>
  <c r="AJ27" i="4"/>
  <c r="AJ28" i="4"/>
  <c r="AJ19" i="4"/>
  <c r="AI18" i="4"/>
  <c r="AK6" i="4"/>
  <c r="AK7" i="4"/>
  <c r="AK10" i="4"/>
  <c r="AK11" i="4"/>
  <c r="AK13" i="4"/>
  <c r="AK14" i="4"/>
  <c r="AJ10" i="4"/>
  <c r="AJ11" i="4"/>
  <c r="AJ12" i="4"/>
  <c r="AJ13" i="4"/>
  <c r="AJ14" i="4"/>
  <c r="AI4" i="4"/>
  <c r="AJ5" i="4"/>
  <c r="AI6" i="4"/>
  <c r="AI7" i="4" s="1"/>
  <c r="AI8" i="4" s="1"/>
  <c r="AI9" i="4" s="1"/>
  <c r="AI10" i="4" s="1"/>
  <c r="AI11" i="4" s="1"/>
  <c r="AI12" i="4" s="1"/>
  <c r="AI13" i="4" s="1"/>
  <c r="AI14" i="4" s="1"/>
  <c r="T18" i="4"/>
  <c r="X35" i="4" s="1"/>
  <c r="T4" i="4"/>
  <c r="W35" i="4" s="1"/>
  <c r="AI20" i="4"/>
  <c r="AI21" i="4" s="1"/>
  <c r="AI22" i="4" s="1"/>
  <c r="AI23" i="4" s="1"/>
  <c r="AI24" i="4" s="1"/>
  <c r="AI25" i="4" s="1"/>
  <c r="AI26" i="4" s="1"/>
  <c r="AI27" i="4" s="1"/>
  <c r="AI28" i="4" s="1"/>
  <c r="AK3" i="4"/>
  <c r="AK5" i="4" s="1"/>
  <c r="U21" i="4"/>
  <c r="U22" i="4"/>
  <c r="V22" i="4"/>
  <c r="U25" i="4"/>
  <c r="V26" i="4"/>
  <c r="U19" i="4"/>
  <c r="T20" i="4"/>
  <c r="T21" i="4" s="1"/>
  <c r="T22" i="4" s="1"/>
  <c r="T23" i="4" s="1"/>
  <c r="T24" i="4" s="1"/>
  <c r="T25" i="4" s="1"/>
  <c r="T26" i="4" s="1"/>
  <c r="T27" i="4" s="1"/>
  <c r="T28" i="4" s="1"/>
  <c r="U28" i="4" s="1"/>
  <c r="U6" i="4"/>
  <c r="U5" i="4"/>
  <c r="W3" i="4"/>
  <c r="W22" i="4" s="1"/>
  <c r="X3" i="4"/>
  <c r="X22" i="4" s="1"/>
  <c r="V3" i="4"/>
  <c r="V5" i="4" s="1"/>
  <c r="T6" i="4"/>
  <c r="T7" i="4" s="1"/>
  <c r="T8" i="4" s="1"/>
  <c r="T9" i="4" s="1"/>
  <c r="T10" i="4" s="1"/>
  <c r="T11" i="4" s="1"/>
  <c r="T12" i="4" s="1"/>
  <c r="T13" i="4" s="1"/>
  <c r="T14" i="4" s="1"/>
  <c r="S109" i="27" l="1"/>
  <c r="Q105" i="25"/>
  <c r="Q90" i="25"/>
  <c r="Q89" i="25"/>
  <c r="C119" i="43"/>
  <c r="C119" i="44"/>
  <c r="C119" i="45"/>
  <c r="B118" i="43"/>
  <c r="B118" i="45"/>
  <c r="B118" i="44"/>
  <c r="B117" i="44"/>
  <c r="B117" i="43"/>
  <c r="B117" i="45"/>
  <c r="O13" i="18"/>
  <c r="S13" i="18"/>
  <c r="W13" i="18"/>
  <c r="C13" i="18"/>
  <c r="K13" i="18"/>
  <c r="O14" i="18"/>
  <c r="G13" i="18"/>
  <c r="W14" i="18"/>
  <c r="S14" i="18"/>
  <c r="G14" i="18"/>
  <c r="C14" i="18"/>
  <c r="K14" i="18"/>
  <c r="C117" i="45"/>
  <c r="Y48" i="17"/>
  <c r="C117" i="44"/>
  <c r="C117" i="43"/>
  <c r="N49" i="17"/>
  <c r="N48" i="17"/>
  <c r="C48" i="17"/>
  <c r="N50" i="17"/>
  <c r="C49" i="17"/>
  <c r="Y49" i="17"/>
  <c r="Y50" i="17"/>
  <c r="C50" i="17"/>
  <c r="N51" i="17"/>
  <c r="Y51" i="17"/>
  <c r="C51" i="17"/>
  <c r="N52" i="17"/>
  <c r="N53" i="17"/>
  <c r="Y52" i="17"/>
  <c r="C52" i="17"/>
  <c r="Y53" i="17"/>
  <c r="N54" i="17"/>
  <c r="C53" i="17"/>
  <c r="N55" i="17"/>
  <c r="C54" i="17"/>
  <c r="Y54" i="17"/>
  <c r="C55" i="17"/>
  <c r="N56" i="17"/>
  <c r="Y55" i="17"/>
  <c r="Y56" i="17"/>
  <c r="C56" i="17"/>
  <c r="N57" i="17"/>
  <c r="C57" i="17"/>
  <c r="Y57" i="17"/>
  <c r="B121" i="44"/>
  <c r="B121" i="43"/>
  <c r="B121" i="45"/>
  <c r="C121" i="43"/>
  <c r="C121" i="45"/>
  <c r="C121" i="44"/>
  <c r="B120" i="44"/>
  <c r="B120" i="43"/>
  <c r="B120" i="45"/>
  <c r="C120" i="44"/>
  <c r="C120" i="43"/>
  <c r="C120" i="45"/>
  <c r="C118" i="43"/>
  <c r="C118" i="45"/>
  <c r="C118" i="44"/>
  <c r="B119" i="45"/>
  <c r="B119" i="43"/>
  <c r="B119" i="44"/>
  <c r="S102" i="27"/>
  <c r="Q106" i="25"/>
  <c r="Q99" i="25"/>
  <c r="S74" i="27"/>
  <c r="S88" i="27"/>
  <c r="S92" i="27"/>
  <c r="S96" i="27"/>
  <c r="S105" i="27"/>
  <c r="S84" i="27"/>
  <c r="S77" i="27"/>
  <c r="S120" i="27"/>
  <c r="S76" i="27"/>
  <c r="S97" i="27"/>
  <c r="S75" i="27"/>
  <c r="S113" i="27"/>
  <c r="S99" i="27"/>
  <c r="S98" i="27"/>
  <c r="S90" i="27"/>
  <c r="Q121" i="25"/>
  <c r="Q81" i="25"/>
  <c r="Q96" i="25"/>
  <c r="Q84" i="25"/>
  <c r="Q103" i="25"/>
  <c r="Q118" i="25"/>
  <c r="Q77" i="25"/>
  <c r="Q75" i="25"/>
  <c r="Q92" i="25"/>
  <c r="Q119" i="25"/>
  <c r="Q109" i="25"/>
  <c r="Q97" i="25"/>
  <c r="Q98" i="25"/>
  <c r="Q107" i="25"/>
  <c r="Q114" i="25"/>
  <c r="DG30" i="4"/>
  <c r="S104" i="27"/>
  <c r="S80" i="27"/>
  <c r="Q87" i="25"/>
  <c r="Q116" i="25"/>
  <c r="Q117" i="25"/>
  <c r="S112" i="27"/>
  <c r="S82" i="27"/>
  <c r="S108" i="27"/>
  <c r="S107" i="27"/>
  <c r="S119" i="27"/>
  <c r="S95" i="27"/>
  <c r="S78" i="27"/>
  <c r="S117" i="27"/>
  <c r="S121" i="27"/>
  <c r="S115" i="27"/>
  <c r="S87" i="27"/>
  <c r="S89" i="27"/>
  <c r="S110" i="27"/>
  <c r="S93" i="27"/>
  <c r="S103" i="27"/>
  <c r="S116" i="27"/>
  <c r="S86" i="27"/>
  <c r="S114" i="27"/>
  <c r="S79" i="27"/>
  <c r="S101" i="27"/>
  <c r="S81" i="27"/>
  <c r="S85" i="27"/>
  <c r="S91" i="27"/>
  <c r="S106" i="27"/>
  <c r="S118" i="27"/>
  <c r="Q74" i="25"/>
  <c r="Q112" i="25"/>
  <c r="Q111" i="25"/>
  <c r="Q108" i="25"/>
  <c r="Q88" i="25"/>
  <c r="Q115" i="25"/>
  <c r="Q79" i="25"/>
  <c r="Q85" i="25"/>
  <c r="Q100" i="25"/>
  <c r="Q93" i="25"/>
  <c r="Q102" i="25"/>
  <c r="Q104" i="25"/>
  <c r="Q110" i="25"/>
  <c r="Q120" i="25"/>
  <c r="Q94" i="25"/>
  <c r="Q86" i="25"/>
  <c r="Q95" i="25"/>
  <c r="Q101" i="25"/>
  <c r="CE72" i="1"/>
  <c r="E72" i="29"/>
  <c r="N72" i="29" s="1"/>
  <c r="E72" i="27"/>
  <c r="M72" i="27" s="1"/>
  <c r="CC6" i="1"/>
  <c r="E6" i="25"/>
  <c r="L6" i="25" s="1"/>
  <c r="C118" i="25"/>
  <c r="C118" i="30"/>
  <c r="C118" i="31"/>
  <c r="C118" i="32"/>
  <c r="C118" i="29"/>
  <c r="C118" i="27"/>
  <c r="C78" i="25"/>
  <c r="C78" i="32"/>
  <c r="C78" i="31"/>
  <c r="C78" i="30"/>
  <c r="C78" i="27"/>
  <c r="C78" i="29"/>
  <c r="BX66" i="1"/>
  <c r="F66" i="27"/>
  <c r="N66" i="27" s="1"/>
  <c r="F66" i="25"/>
  <c r="M66" i="25" s="1"/>
  <c r="BZ52" i="1"/>
  <c r="F52" i="29"/>
  <c r="O52" i="29" s="1"/>
  <c r="CC39" i="1"/>
  <c r="E39" i="25"/>
  <c r="L39" i="25" s="1"/>
  <c r="BZ20" i="1"/>
  <c r="F20" i="29"/>
  <c r="O20" i="29" s="1"/>
  <c r="BX18" i="1"/>
  <c r="F18" i="27"/>
  <c r="N18" i="27" s="1"/>
  <c r="F18" i="25"/>
  <c r="M18" i="25" s="1"/>
  <c r="BX33" i="1"/>
  <c r="F33" i="27"/>
  <c r="N33" i="27" s="1"/>
  <c r="F33" i="25"/>
  <c r="M33" i="25" s="1"/>
  <c r="CC22" i="1"/>
  <c r="E22" i="25"/>
  <c r="L22" i="25" s="1"/>
  <c r="BZ19" i="1"/>
  <c r="F19" i="29"/>
  <c r="O19" i="29" s="1"/>
  <c r="BZ3" i="1"/>
  <c r="F3" i="29"/>
  <c r="O3" i="29" s="1"/>
  <c r="C86" i="25"/>
  <c r="C86" i="30"/>
  <c r="C86" i="31"/>
  <c r="C86" i="32"/>
  <c r="C86" i="29"/>
  <c r="C86" i="27"/>
  <c r="BZ68" i="1"/>
  <c r="F68" i="29"/>
  <c r="O68" i="29" s="1"/>
  <c r="CC70" i="1"/>
  <c r="E70" i="25"/>
  <c r="L70" i="25" s="1"/>
  <c r="CC38" i="1"/>
  <c r="E38" i="25"/>
  <c r="L38" i="25" s="1"/>
  <c r="BX17" i="1"/>
  <c r="F17" i="27"/>
  <c r="N17" i="27" s="1"/>
  <c r="F17" i="25"/>
  <c r="M17" i="25" s="1"/>
  <c r="CE8" i="1"/>
  <c r="E8" i="29"/>
  <c r="N8" i="29" s="1"/>
  <c r="E8" i="27"/>
  <c r="M8" i="27" s="1"/>
  <c r="CE73" i="1"/>
  <c r="E73" i="29"/>
  <c r="N73" i="29" s="1"/>
  <c r="E73" i="27"/>
  <c r="M73" i="27" s="1"/>
  <c r="BZ36" i="1"/>
  <c r="F36" i="29"/>
  <c r="O36" i="29" s="1"/>
  <c r="BZ2" i="1"/>
  <c r="F2" i="29"/>
  <c r="O2" i="29" s="1"/>
  <c r="BZ51" i="1"/>
  <c r="F51" i="29"/>
  <c r="O51" i="29" s="1"/>
  <c r="C110" i="25"/>
  <c r="C110" i="30"/>
  <c r="C110" i="31"/>
  <c r="C110" i="32"/>
  <c r="C110" i="29"/>
  <c r="C110" i="27"/>
  <c r="CC55" i="1"/>
  <c r="E55" i="25"/>
  <c r="L55" i="25" s="1"/>
  <c r="BX65" i="1"/>
  <c r="F65" i="27"/>
  <c r="N65" i="27" s="1"/>
  <c r="F65" i="25"/>
  <c r="M65" i="25" s="1"/>
  <c r="CE40" i="1"/>
  <c r="E40" i="29"/>
  <c r="N40" i="29" s="1"/>
  <c r="E40" i="27"/>
  <c r="M40" i="27" s="1"/>
  <c r="C94" i="25"/>
  <c r="C94" i="31"/>
  <c r="C94" i="32"/>
  <c r="C94" i="30"/>
  <c r="C94" i="27"/>
  <c r="C94" i="29"/>
  <c r="CE9" i="1"/>
  <c r="E9" i="29"/>
  <c r="N9" i="29" s="1"/>
  <c r="E9" i="27"/>
  <c r="M9" i="27" s="1"/>
  <c r="BX49" i="1"/>
  <c r="F49" i="27"/>
  <c r="N49" i="27" s="1"/>
  <c r="F49" i="25"/>
  <c r="M49" i="25" s="1"/>
  <c r="BX34" i="1"/>
  <c r="F34" i="27"/>
  <c r="N34" i="27" s="1"/>
  <c r="F34" i="25"/>
  <c r="M34" i="25" s="1"/>
  <c r="B109" i="25"/>
  <c r="B109" i="31"/>
  <c r="B109" i="32"/>
  <c r="B109" i="30"/>
  <c r="B109" i="29"/>
  <c r="B109" i="27"/>
  <c r="BZ67" i="1"/>
  <c r="F67" i="29"/>
  <c r="O67" i="29" s="1"/>
  <c r="CE56" i="1"/>
  <c r="E56" i="29"/>
  <c r="N56" i="29" s="1"/>
  <c r="E56" i="27"/>
  <c r="M56" i="27" s="1"/>
  <c r="C102" i="25"/>
  <c r="C102" i="30"/>
  <c r="C102" i="31"/>
  <c r="C102" i="32"/>
  <c r="C102" i="27"/>
  <c r="C102" i="29"/>
  <c r="CC71" i="1"/>
  <c r="E71" i="25"/>
  <c r="L71" i="25" s="1"/>
  <c r="B101" i="25"/>
  <c r="B101" i="30"/>
  <c r="B101" i="31"/>
  <c r="B101" i="32"/>
  <c r="B101" i="27"/>
  <c r="B101" i="29"/>
  <c r="CC56" i="1"/>
  <c r="E56" i="25"/>
  <c r="L56" i="25" s="1"/>
  <c r="CE26" i="1"/>
  <c r="E26" i="27"/>
  <c r="M26" i="27" s="1"/>
  <c r="E26" i="29"/>
  <c r="N26" i="29" s="1"/>
  <c r="C109" i="25"/>
  <c r="C109" i="30"/>
  <c r="C109" i="31"/>
  <c r="C109" i="32"/>
  <c r="C109" i="29"/>
  <c r="C109" i="27"/>
  <c r="BX52" i="1"/>
  <c r="F52" i="27"/>
  <c r="N52" i="27" s="1"/>
  <c r="F52" i="25"/>
  <c r="M52" i="25" s="1"/>
  <c r="CE11" i="1"/>
  <c r="E11" i="29"/>
  <c r="N11" i="29" s="1"/>
  <c r="E11" i="27"/>
  <c r="M11" i="27" s="1"/>
  <c r="B84" i="25"/>
  <c r="B84" i="29"/>
  <c r="B84" i="30"/>
  <c r="B84" i="32"/>
  <c r="B84" i="31"/>
  <c r="B84" i="27"/>
  <c r="BX53" i="1"/>
  <c r="F53" i="25"/>
  <c r="M53" i="25" s="1"/>
  <c r="F53" i="27"/>
  <c r="N53" i="27" s="1"/>
  <c r="C100" i="25"/>
  <c r="C100" i="29"/>
  <c r="C100" i="31"/>
  <c r="C100" i="30"/>
  <c r="C100" i="32"/>
  <c r="C100" i="27"/>
  <c r="CC59" i="1"/>
  <c r="E59" i="25"/>
  <c r="L59" i="25" s="1"/>
  <c r="BX38" i="1"/>
  <c r="F38" i="27"/>
  <c r="N38" i="27" s="1"/>
  <c r="F38" i="25"/>
  <c r="M38" i="25" s="1"/>
  <c r="CC27" i="1"/>
  <c r="E27" i="25"/>
  <c r="L27" i="25" s="1"/>
  <c r="B115" i="25"/>
  <c r="B115" i="31"/>
  <c r="B115" i="29"/>
  <c r="B115" i="30"/>
  <c r="B115" i="32"/>
  <c r="B115" i="27"/>
  <c r="BX71" i="1"/>
  <c r="F71" i="27"/>
  <c r="N71" i="27" s="1"/>
  <c r="F71" i="25"/>
  <c r="M71" i="25" s="1"/>
  <c r="CE30" i="1"/>
  <c r="E30" i="27"/>
  <c r="M30" i="27" s="1"/>
  <c r="E30" i="29"/>
  <c r="N30" i="29" s="1"/>
  <c r="BZ25" i="1"/>
  <c r="F25" i="29"/>
  <c r="O25" i="29" s="1"/>
  <c r="BX23" i="1"/>
  <c r="F23" i="27"/>
  <c r="N23" i="27" s="1"/>
  <c r="F23" i="25"/>
  <c r="M23" i="25" s="1"/>
  <c r="CE14" i="1"/>
  <c r="E14" i="29"/>
  <c r="N14" i="29" s="1"/>
  <c r="E14" i="27"/>
  <c r="M14" i="27" s="1"/>
  <c r="C107" i="25"/>
  <c r="C107" i="30"/>
  <c r="C107" i="31"/>
  <c r="C107" i="32"/>
  <c r="C107" i="29"/>
  <c r="C107" i="27"/>
  <c r="CC61" i="1"/>
  <c r="E61" i="25"/>
  <c r="L61" i="25" s="1"/>
  <c r="CE31" i="1"/>
  <c r="E31" i="27"/>
  <c r="M31" i="27" s="1"/>
  <c r="E31" i="29"/>
  <c r="N31" i="29" s="1"/>
  <c r="BX73" i="1"/>
  <c r="F73" i="27"/>
  <c r="N73" i="27" s="1"/>
  <c r="F73" i="25"/>
  <c r="M73" i="25" s="1"/>
  <c r="CE64" i="1"/>
  <c r="E64" i="27"/>
  <c r="M64" i="27" s="1"/>
  <c r="E64" i="29"/>
  <c r="N64" i="29" s="1"/>
  <c r="CC62" i="1"/>
  <c r="E62" i="25"/>
  <c r="L62" i="25" s="1"/>
  <c r="BZ59" i="1"/>
  <c r="F59" i="29"/>
  <c r="O59" i="29" s="1"/>
  <c r="BX57" i="1"/>
  <c r="F57" i="25"/>
  <c r="M57" i="25" s="1"/>
  <c r="F57" i="27"/>
  <c r="N57" i="27" s="1"/>
  <c r="CE48" i="1"/>
  <c r="E48" i="27"/>
  <c r="M48" i="27" s="1"/>
  <c r="E48" i="29"/>
  <c r="N48" i="29" s="1"/>
  <c r="CC46" i="1"/>
  <c r="E46" i="25"/>
  <c r="L46" i="25" s="1"/>
  <c r="BZ43" i="1"/>
  <c r="F43" i="29"/>
  <c r="O43" i="29" s="1"/>
  <c r="BX41" i="1"/>
  <c r="F41" i="25"/>
  <c r="M41" i="25" s="1"/>
  <c r="F41" i="27"/>
  <c r="N41" i="27" s="1"/>
  <c r="CE32" i="1"/>
  <c r="E32" i="29"/>
  <c r="N32" i="29" s="1"/>
  <c r="E32" i="27"/>
  <c r="M32" i="27" s="1"/>
  <c r="CC30" i="1"/>
  <c r="E30" i="25"/>
  <c r="L30" i="25" s="1"/>
  <c r="BZ27" i="1"/>
  <c r="F27" i="29"/>
  <c r="O27" i="29" s="1"/>
  <c r="BX25" i="1"/>
  <c r="F25" i="25"/>
  <c r="M25" i="25" s="1"/>
  <c r="F25" i="27"/>
  <c r="N25" i="27" s="1"/>
  <c r="CE16" i="1"/>
  <c r="E16" i="29"/>
  <c r="N16" i="29" s="1"/>
  <c r="E16" i="27"/>
  <c r="M16" i="27" s="1"/>
  <c r="CC14" i="1"/>
  <c r="E14" i="25"/>
  <c r="L14" i="25" s="1"/>
  <c r="BZ11" i="1"/>
  <c r="F11" i="29"/>
  <c r="O11" i="29" s="1"/>
  <c r="BX9" i="1"/>
  <c r="F9" i="25"/>
  <c r="M9" i="25" s="1"/>
  <c r="F9" i="27"/>
  <c r="N9" i="27" s="1"/>
  <c r="B74" i="25"/>
  <c r="B74" i="31"/>
  <c r="B74" i="30"/>
  <c r="B74" i="29"/>
  <c r="B74" i="32"/>
  <c r="B74" i="27"/>
  <c r="C114" i="25"/>
  <c r="C114" i="32"/>
  <c r="C114" i="29"/>
  <c r="C114" i="30"/>
  <c r="C114" i="27"/>
  <c r="C114" i="31"/>
  <c r="C106" i="25"/>
  <c r="C106" i="30"/>
  <c r="C106" i="31"/>
  <c r="C106" i="29"/>
  <c r="C106" i="32"/>
  <c r="C106" i="27"/>
  <c r="C98" i="25"/>
  <c r="C98" i="32"/>
  <c r="C98" i="30"/>
  <c r="C98" i="31"/>
  <c r="C98" i="29"/>
  <c r="C98" i="27"/>
  <c r="C90" i="25"/>
  <c r="C90" i="30"/>
  <c r="C90" i="31"/>
  <c r="C90" i="29"/>
  <c r="C90" i="32"/>
  <c r="C90" i="27"/>
  <c r="C82" i="25"/>
  <c r="C82" i="30"/>
  <c r="C82" i="31"/>
  <c r="C82" i="32"/>
  <c r="C82" i="29"/>
  <c r="C82" i="27"/>
  <c r="BX3" i="1"/>
  <c r="F3" i="27"/>
  <c r="N3" i="27" s="1"/>
  <c r="F3" i="25"/>
  <c r="M3" i="25" s="1"/>
  <c r="BZ54" i="1"/>
  <c r="F54" i="29"/>
  <c r="O54" i="29" s="1"/>
  <c r="CE27" i="1"/>
  <c r="E27" i="27"/>
  <c r="M27" i="27" s="1"/>
  <c r="E27" i="29"/>
  <c r="N27" i="29" s="1"/>
  <c r="B92" i="25"/>
  <c r="B92" i="30"/>
  <c r="B92" i="32"/>
  <c r="B92" i="29"/>
  <c r="B92" i="31"/>
  <c r="B92" i="27"/>
  <c r="C108" i="25"/>
  <c r="C108" i="32"/>
  <c r="C108" i="30"/>
  <c r="C108" i="31"/>
  <c r="C108" i="29"/>
  <c r="C108" i="27"/>
  <c r="BZ40" i="1"/>
  <c r="F40" i="29"/>
  <c r="O40" i="29" s="1"/>
  <c r="CE13" i="1"/>
  <c r="E13" i="29"/>
  <c r="N13" i="29" s="1"/>
  <c r="E13" i="27"/>
  <c r="M13" i="27" s="1"/>
  <c r="B83" i="25"/>
  <c r="B83" i="30"/>
  <c r="B83" i="29"/>
  <c r="B83" i="32"/>
  <c r="B83" i="31"/>
  <c r="B83" i="27"/>
  <c r="BZ73" i="1"/>
  <c r="F73" i="29"/>
  <c r="O73" i="29" s="1"/>
  <c r="BZ9" i="1"/>
  <c r="F9" i="29"/>
  <c r="O9" i="29" s="1"/>
  <c r="AV4" i="1"/>
  <c r="G3" i="32"/>
  <c r="P3" i="32" s="1"/>
  <c r="G3" i="29"/>
  <c r="P3" i="29" s="1"/>
  <c r="C83" i="25"/>
  <c r="C83" i="30"/>
  <c r="C83" i="29"/>
  <c r="C83" i="32"/>
  <c r="C83" i="31"/>
  <c r="C83" i="27"/>
  <c r="CE2" i="1"/>
  <c r="E2" i="29"/>
  <c r="N2" i="29" s="1"/>
  <c r="E2" i="27"/>
  <c r="M2" i="27" s="1"/>
  <c r="CE65" i="1"/>
  <c r="E65" i="27"/>
  <c r="M65" i="27" s="1"/>
  <c r="S65" i="27" s="1"/>
  <c r="E65" i="29"/>
  <c r="N65" i="29" s="1"/>
  <c r="CC63" i="1"/>
  <c r="E63" i="25"/>
  <c r="L63" i="25" s="1"/>
  <c r="BZ60" i="1"/>
  <c r="F60" i="29"/>
  <c r="O60" i="29" s="1"/>
  <c r="BX58" i="1"/>
  <c r="F58" i="27"/>
  <c r="N58" i="27" s="1"/>
  <c r="F58" i="25"/>
  <c r="M58" i="25" s="1"/>
  <c r="CE49" i="1"/>
  <c r="E49" i="29"/>
  <c r="N49" i="29" s="1"/>
  <c r="E49" i="27"/>
  <c r="M49" i="27" s="1"/>
  <c r="CC47" i="1"/>
  <c r="E47" i="25"/>
  <c r="L47" i="25" s="1"/>
  <c r="BZ44" i="1"/>
  <c r="F44" i="29"/>
  <c r="O44" i="29" s="1"/>
  <c r="BX42" i="1"/>
  <c r="F42" i="27"/>
  <c r="N42" i="27" s="1"/>
  <c r="F42" i="25"/>
  <c r="M42" i="25" s="1"/>
  <c r="CE33" i="1"/>
  <c r="E33" i="29"/>
  <c r="N33" i="29" s="1"/>
  <c r="E33" i="27"/>
  <c r="M33" i="27" s="1"/>
  <c r="CC31" i="1"/>
  <c r="E31" i="25"/>
  <c r="L31" i="25" s="1"/>
  <c r="BZ28" i="1"/>
  <c r="F28" i="29"/>
  <c r="O28" i="29" s="1"/>
  <c r="BX26" i="1"/>
  <c r="F26" i="25"/>
  <c r="M26" i="25" s="1"/>
  <c r="F26" i="27"/>
  <c r="N26" i="27" s="1"/>
  <c r="CE17" i="1"/>
  <c r="E17" i="29"/>
  <c r="N17" i="29" s="1"/>
  <c r="E17" i="27"/>
  <c r="M17" i="27" s="1"/>
  <c r="CC15" i="1"/>
  <c r="E15" i="25"/>
  <c r="L15" i="25" s="1"/>
  <c r="BZ12" i="1"/>
  <c r="F12" i="29"/>
  <c r="O12" i="29" s="1"/>
  <c r="BX10" i="1"/>
  <c r="F10" i="25"/>
  <c r="M10" i="25" s="1"/>
  <c r="F10" i="27"/>
  <c r="N10" i="27" s="1"/>
  <c r="B121" i="25"/>
  <c r="B121" i="32"/>
  <c r="B121" i="31"/>
  <c r="B121" i="30"/>
  <c r="B121" i="29"/>
  <c r="B121" i="27"/>
  <c r="B113" i="25"/>
  <c r="B113" i="30"/>
  <c r="B113" i="31"/>
  <c r="B113" i="32"/>
  <c r="B113" i="29"/>
  <c r="B113" i="27"/>
  <c r="B105" i="25"/>
  <c r="B105" i="30"/>
  <c r="B105" i="32"/>
  <c r="B105" i="29"/>
  <c r="B105" i="27"/>
  <c r="B105" i="31"/>
  <c r="B97" i="25"/>
  <c r="B97" i="30"/>
  <c r="B97" i="31"/>
  <c r="B97" i="32"/>
  <c r="B97" i="29"/>
  <c r="B97" i="27"/>
  <c r="B89" i="25"/>
  <c r="B89" i="30"/>
  <c r="B89" i="31"/>
  <c r="B89" i="32"/>
  <c r="B89" i="29"/>
  <c r="B89" i="27"/>
  <c r="B81" i="25"/>
  <c r="B81" i="30"/>
  <c r="B81" i="31"/>
  <c r="B81" i="32"/>
  <c r="B81" i="29"/>
  <c r="B81" i="27"/>
  <c r="CE58" i="1"/>
  <c r="E58" i="29"/>
  <c r="N58" i="29" s="1"/>
  <c r="E58" i="27"/>
  <c r="M58" i="27" s="1"/>
  <c r="BZ53" i="1"/>
  <c r="F53" i="29"/>
  <c r="O53" i="29" s="1"/>
  <c r="BZ21" i="1"/>
  <c r="F21" i="29"/>
  <c r="O21" i="29" s="1"/>
  <c r="BX19" i="1"/>
  <c r="F19" i="27"/>
  <c r="N19" i="27" s="1"/>
  <c r="F19" i="25"/>
  <c r="M19" i="25" s="1"/>
  <c r="CC8" i="1"/>
  <c r="E8" i="25"/>
  <c r="L8" i="25" s="1"/>
  <c r="BZ5" i="1"/>
  <c r="F5" i="29"/>
  <c r="O5" i="29" s="1"/>
  <c r="C101" i="25"/>
  <c r="C101" i="30"/>
  <c r="C101" i="31"/>
  <c r="C101" i="32"/>
  <c r="C101" i="29"/>
  <c r="C101" i="27"/>
  <c r="BZ70" i="1"/>
  <c r="F70" i="29"/>
  <c r="O70" i="29" s="1"/>
  <c r="CE59" i="1"/>
  <c r="E59" i="29"/>
  <c r="N59" i="29" s="1"/>
  <c r="E59" i="27"/>
  <c r="M59" i="27" s="1"/>
  <c r="CC25" i="1"/>
  <c r="E25" i="25"/>
  <c r="L25" i="25" s="1"/>
  <c r="B116" i="25"/>
  <c r="B116" i="30"/>
  <c r="B116" i="31"/>
  <c r="B116" i="32"/>
  <c r="B116" i="29"/>
  <c r="B116" i="27"/>
  <c r="B76" i="25"/>
  <c r="B76" i="30"/>
  <c r="B76" i="32"/>
  <c r="B76" i="31"/>
  <c r="B76" i="29"/>
  <c r="B76" i="27"/>
  <c r="BX69" i="1"/>
  <c r="F69" i="25"/>
  <c r="M69" i="25" s="1"/>
  <c r="F69" i="27"/>
  <c r="N69" i="27" s="1"/>
  <c r="CE60" i="1"/>
  <c r="E60" i="27"/>
  <c r="M60" i="27" s="1"/>
  <c r="E60" i="29"/>
  <c r="N60" i="29" s="1"/>
  <c r="CC42" i="1"/>
  <c r="E42" i="25"/>
  <c r="L42" i="25" s="1"/>
  <c r="BX54" i="1"/>
  <c r="F54" i="27"/>
  <c r="N54" i="27" s="1"/>
  <c r="F54" i="25"/>
  <c r="M54" i="25" s="1"/>
  <c r="CE45" i="1"/>
  <c r="E45" i="29"/>
  <c r="N45" i="29" s="1"/>
  <c r="E45" i="27"/>
  <c r="M45" i="27" s="1"/>
  <c r="B107" i="25"/>
  <c r="B107" i="30"/>
  <c r="B107" i="31"/>
  <c r="B107" i="29"/>
  <c r="B107" i="32"/>
  <c r="B107" i="27"/>
  <c r="CC60" i="1"/>
  <c r="E60" i="25"/>
  <c r="L60" i="25" s="1"/>
  <c r="CC44" i="1"/>
  <c r="E44" i="25"/>
  <c r="L44" i="25" s="1"/>
  <c r="CC28" i="1"/>
  <c r="E28" i="25"/>
  <c r="L28" i="25" s="1"/>
  <c r="CC45" i="1"/>
  <c r="E45" i="25"/>
  <c r="L45" i="25" s="1"/>
  <c r="CE66" i="1"/>
  <c r="E66" i="29"/>
  <c r="N66" i="29" s="1"/>
  <c r="E66" i="27"/>
  <c r="M66" i="27" s="1"/>
  <c r="CC64" i="1"/>
  <c r="E64" i="25"/>
  <c r="L64" i="25" s="1"/>
  <c r="BZ61" i="1"/>
  <c r="F61" i="29"/>
  <c r="O61" i="29" s="1"/>
  <c r="BX59" i="1"/>
  <c r="F59" i="25"/>
  <c r="M59" i="25" s="1"/>
  <c r="F59" i="27"/>
  <c r="N59" i="27" s="1"/>
  <c r="CE50" i="1"/>
  <c r="E50" i="29"/>
  <c r="N50" i="29" s="1"/>
  <c r="E50" i="27"/>
  <c r="M50" i="27" s="1"/>
  <c r="CC48" i="1"/>
  <c r="E48" i="25"/>
  <c r="L48" i="25" s="1"/>
  <c r="BZ45" i="1"/>
  <c r="F45" i="29"/>
  <c r="O45" i="29" s="1"/>
  <c r="BX43" i="1"/>
  <c r="F43" i="27"/>
  <c r="N43" i="27" s="1"/>
  <c r="F43" i="25"/>
  <c r="M43" i="25" s="1"/>
  <c r="CE34" i="1"/>
  <c r="E34" i="29"/>
  <c r="N34" i="29" s="1"/>
  <c r="E34" i="27"/>
  <c r="M34" i="27" s="1"/>
  <c r="CC32" i="1"/>
  <c r="E32" i="25"/>
  <c r="L32" i="25" s="1"/>
  <c r="BZ29" i="1"/>
  <c r="F29" i="29"/>
  <c r="O29" i="29" s="1"/>
  <c r="BX27" i="1"/>
  <c r="F27" i="25"/>
  <c r="M27" i="25" s="1"/>
  <c r="F27" i="27"/>
  <c r="N27" i="27" s="1"/>
  <c r="CE18" i="1"/>
  <c r="E18" i="29"/>
  <c r="N18" i="29" s="1"/>
  <c r="E18" i="27"/>
  <c r="M18" i="27" s="1"/>
  <c r="CC16" i="1"/>
  <c r="E16" i="25"/>
  <c r="L16" i="25" s="1"/>
  <c r="BZ13" i="1"/>
  <c r="F13" i="29"/>
  <c r="O13" i="29" s="1"/>
  <c r="BX11" i="1"/>
  <c r="F11" i="25"/>
  <c r="M11" i="25" s="1"/>
  <c r="F11" i="27"/>
  <c r="N11" i="27" s="1"/>
  <c r="C121" i="25"/>
  <c r="C121" i="32"/>
  <c r="C121" i="30"/>
  <c r="C121" i="31"/>
  <c r="C121" i="27"/>
  <c r="C121" i="29"/>
  <c r="C113" i="25"/>
  <c r="C113" i="30"/>
  <c r="C113" i="32"/>
  <c r="C113" i="31"/>
  <c r="C113" i="29"/>
  <c r="C113" i="27"/>
  <c r="C105" i="25"/>
  <c r="C105" i="31"/>
  <c r="C105" i="29"/>
  <c r="C105" i="30"/>
  <c r="C105" i="32"/>
  <c r="C105" i="27"/>
  <c r="C97" i="25"/>
  <c r="C97" i="30"/>
  <c r="C97" i="32"/>
  <c r="C97" i="31"/>
  <c r="C97" i="29"/>
  <c r="C97" i="27"/>
  <c r="C89" i="25"/>
  <c r="C89" i="30"/>
  <c r="C89" i="31"/>
  <c r="C89" i="29"/>
  <c r="C89" i="32"/>
  <c r="C89" i="27"/>
  <c r="C81" i="25"/>
  <c r="C81" i="30"/>
  <c r="C81" i="31"/>
  <c r="C81" i="32"/>
  <c r="C81" i="29"/>
  <c r="C81" i="27"/>
  <c r="BX35" i="1"/>
  <c r="F35" i="25"/>
  <c r="M35" i="25" s="1"/>
  <c r="F35" i="27"/>
  <c r="N35" i="27" s="1"/>
  <c r="BX68" i="1"/>
  <c r="F68" i="27"/>
  <c r="N68" i="27" s="1"/>
  <c r="F68" i="25"/>
  <c r="M68" i="25" s="1"/>
  <c r="BZ39" i="1"/>
  <c r="F39" i="29"/>
  <c r="O39" i="29" s="1"/>
  <c r="CE28" i="1"/>
  <c r="E28" i="29"/>
  <c r="N28" i="29" s="1"/>
  <c r="E28" i="27"/>
  <c r="M28" i="27" s="1"/>
  <c r="CE12" i="1"/>
  <c r="E12" i="29"/>
  <c r="N12" i="29" s="1"/>
  <c r="E12" i="27"/>
  <c r="M12" i="27" s="1"/>
  <c r="BX5" i="1"/>
  <c r="F5" i="25"/>
  <c r="M5" i="25" s="1"/>
  <c r="F5" i="27"/>
  <c r="N5" i="27" s="1"/>
  <c r="C84" i="25"/>
  <c r="C84" i="29"/>
  <c r="C84" i="31"/>
  <c r="C84" i="30"/>
  <c r="C84" i="32"/>
  <c r="C84" i="27"/>
  <c r="BZ56" i="1"/>
  <c r="F56" i="29"/>
  <c r="O56" i="29" s="1"/>
  <c r="BX22" i="1"/>
  <c r="F22" i="27"/>
  <c r="N22" i="27" s="1"/>
  <c r="F22" i="25"/>
  <c r="M22" i="25" s="1"/>
  <c r="CC11" i="1"/>
  <c r="E11" i="25"/>
  <c r="L11" i="25" s="1"/>
  <c r="B91" i="25"/>
  <c r="B91" i="30"/>
  <c r="B91" i="31"/>
  <c r="B91" i="29"/>
  <c r="B91" i="32"/>
  <c r="B91" i="27"/>
  <c r="BZ57" i="1"/>
  <c r="F57" i="29"/>
  <c r="O57" i="29" s="1"/>
  <c r="BZ41" i="1"/>
  <c r="F41" i="29"/>
  <c r="O41" i="29" s="1"/>
  <c r="C91" i="25"/>
  <c r="C91" i="30"/>
  <c r="C91" i="31"/>
  <c r="C91" i="32"/>
  <c r="C91" i="29"/>
  <c r="C91" i="27"/>
  <c r="BZ26" i="1"/>
  <c r="F26" i="29"/>
  <c r="O26" i="29" s="1"/>
  <c r="B114" i="25"/>
  <c r="B114" i="32"/>
  <c r="B114" i="30"/>
  <c r="B114" i="31"/>
  <c r="B114" i="29"/>
  <c r="B114" i="27"/>
  <c r="CC2" i="1"/>
  <c r="E2" i="25"/>
  <c r="L2" i="25" s="1"/>
  <c r="CE67" i="1"/>
  <c r="E67" i="29"/>
  <c r="N67" i="29" s="1"/>
  <c r="E67" i="27"/>
  <c r="M67" i="27" s="1"/>
  <c r="CC65" i="1"/>
  <c r="E65" i="25"/>
  <c r="L65" i="25" s="1"/>
  <c r="BZ62" i="1"/>
  <c r="F62" i="29"/>
  <c r="O62" i="29" s="1"/>
  <c r="BX60" i="1"/>
  <c r="F60" i="25"/>
  <c r="M60" i="25" s="1"/>
  <c r="F60" i="27"/>
  <c r="N60" i="27" s="1"/>
  <c r="CE51" i="1"/>
  <c r="E51" i="29"/>
  <c r="N51" i="29" s="1"/>
  <c r="E51" i="27"/>
  <c r="M51" i="27" s="1"/>
  <c r="CC49" i="1"/>
  <c r="E49" i="25"/>
  <c r="L49" i="25" s="1"/>
  <c r="BZ46" i="1"/>
  <c r="F46" i="29"/>
  <c r="O46" i="29" s="1"/>
  <c r="BX44" i="1"/>
  <c r="F44" i="25"/>
  <c r="M44" i="25" s="1"/>
  <c r="F44" i="27"/>
  <c r="N44" i="27" s="1"/>
  <c r="CE35" i="1"/>
  <c r="E35" i="29"/>
  <c r="N35" i="29" s="1"/>
  <c r="E35" i="27"/>
  <c r="M35" i="27" s="1"/>
  <c r="CC33" i="1"/>
  <c r="E33" i="25"/>
  <c r="L33" i="25" s="1"/>
  <c r="BZ30" i="1"/>
  <c r="F30" i="29"/>
  <c r="O30" i="29" s="1"/>
  <c r="BX28" i="1"/>
  <c r="F28" i="27"/>
  <c r="N28" i="27" s="1"/>
  <c r="F28" i="25"/>
  <c r="M28" i="25" s="1"/>
  <c r="CE19" i="1"/>
  <c r="E19" i="29"/>
  <c r="N19" i="29" s="1"/>
  <c r="E19" i="27"/>
  <c r="M19" i="27" s="1"/>
  <c r="CC17" i="1"/>
  <c r="E17" i="25"/>
  <c r="L17" i="25" s="1"/>
  <c r="BZ14" i="1"/>
  <c r="F14" i="29"/>
  <c r="O14" i="29" s="1"/>
  <c r="BX12" i="1"/>
  <c r="F12" i="25"/>
  <c r="M12" i="25" s="1"/>
  <c r="F12" i="27"/>
  <c r="N12" i="27" s="1"/>
  <c r="CE3" i="1"/>
  <c r="E3" i="29"/>
  <c r="N3" i="29" s="1"/>
  <c r="E3" i="27"/>
  <c r="M3" i="27" s="1"/>
  <c r="B120" i="25"/>
  <c r="B120" i="32"/>
  <c r="B120" i="29"/>
  <c r="B120" i="30"/>
  <c r="B120" i="27"/>
  <c r="B120" i="31"/>
  <c r="B112" i="25"/>
  <c r="B112" i="30"/>
  <c r="B112" i="31"/>
  <c r="B112" i="32"/>
  <c r="B112" i="29"/>
  <c r="B112" i="27"/>
  <c r="B104" i="25"/>
  <c r="B104" i="30"/>
  <c r="B104" i="31"/>
  <c r="B104" i="32"/>
  <c r="B104" i="27"/>
  <c r="B104" i="29"/>
  <c r="B96" i="25"/>
  <c r="B96" i="30"/>
  <c r="B96" i="31"/>
  <c r="B96" i="29"/>
  <c r="B96" i="32"/>
  <c r="B96" i="27"/>
  <c r="B88" i="25"/>
  <c r="B88" i="30"/>
  <c r="B88" i="31"/>
  <c r="B88" i="32"/>
  <c r="B88" i="27"/>
  <c r="B88" i="29"/>
  <c r="B80" i="25"/>
  <c r="B80" i="30"/>
  <c r="B80" i="31"/>
  <c r="B80" i="32"/>
  <c r="B80" i="29"/>
  <c r="B80" i="27"/>
  <c r="CE10" i="1"/>
  <c r="E10" i="29"/>
  <c r="N10" i="29" s="1"/>
  <c r="E10" i="27"/>
  <c r="M10" i="27" s="1"/>
  <c r="C77" i="25"/>
  <c r="C77" i="32"/>
  <c r="C77" i="31"/>
  <c r="C77" i="30"/>
  <c r="C77" i="29"/>
  <c r="C77" i="27"/>
  <c r="CC57" i="1"/>
  <c r="E57" i="25"/>
  <c r="L57" i="25" s="1"/>
  <c r="BZ22" i="1"/>
  <c r="F22" i="29"/>
  <c r="O22" i="29" s="1"/>
  <c r="BX4" i="1"/>
  <c r="F4" i="27"/>
  <c r="N4" i="27" s="1"/>
  <c r="F4" i="25"/>
  <c r="M4" i="25" s="1"/>
  <c r="BZ55" i="1"/>
  <c r="F55" i="29"/>
  <c r="O55" i="29" s="1"/>
  <c r="CE44" i="1"/>
  <c r="E44" i="29"/>
  <c r="N44" i="29" s="1"/>
  <c r="E44" i="27"/>
  <c r="M44" i="27" s="1"/>
  <c r="S44" i="27" s="1"/>
  <c r="BX37" i="1"/>
  <c r="F37" i="25"/>
  <c r="M37" i="25" s="1"/>
  <c r="F37" i="27"/>
  <c r="N37" i="27" s="1"/>
  <c r="CC26" i="1"/>
  <c r="E26" i="25"/>
  <c r="L26" i="25" s="1"/>
  <c r="BX21" i="1"/>
  <c r="F21" i="25"/>
  <c r="M21" i="25" s="1"/>
  <c r="F21" i="27"/>
  <c r="N21" i="27" s="1"/>
  <c r="CC43" i="1"/>
  <c r="E43" i="25"/>
  <c r="L43" i="25" s="1"/>
  <c r="BZ24" i="1"/>
  <c r="F24" i="29"/>
  <c r="O24" i="29" s="1"/>
  <c r="B99" i="25"/>
  <c r="B99" i="30"/>
  <c r="B99" i="29"/>
  <c r="B99" i="31"/>
  <c r="B99" i="27"/>
  <c r="B99" i="32"/>
  <c r="BX7" i="1"/>
  <c r="F7" i="27"/>
  <c r="N7" i="27" s="1"/>
  <c r="F7" i="25"/>
  <c r="M7" i="25" s="1"/>
  <c r="CE47" i="1"/>
  <c r="E47" i="27"/>
  <c r="M47" i="27" s="1"/>
  <c r="E47" i="29"/>
  <c r="N47" i="29" s="1"/>
  <c r="CC29" i="1"/>
  <c r="E29" i="25"/>
  <c r="L29" i="25" s="1"/>
  <c r="BX8" i="1"/>
  <c r="F8" i="27"/>
  <c r="N8" i="27" s="1"/>
  <c r="F8" i="25"/>
  <c r="M8" i="25" s="1"/>
  <c r="B82" i="25"/>
  <c r="B82" i="30"/>
  <c r="B82" i="31"/>
  <c r="B82" i="32"/>
  <c r="B82" i="29"/>
  <c r="B82" i="27"/>
  <c r="CE68" i="1"/>
  <c r="E68" i="29"/>
  <c r="N68" i="29" s="1"/>
  <c r="E68" i="27"/>
  <c r="M68" i="27" s="1"/>
  <c r="CC66" i="1"/>
  <c r="E66" i="25"/>
  <c r="L66" i="25" s="1"/>
  <c r="BZ63" i="1"/>
  <c r="F63" i="29"/>
  <c r="O63" i="29" s="1"/>
  <c r="BX61" i="1"/>
  <c r="F61" i="25"/>
  <c r="M61" i="25" s="1"/>
  <c r="F61" i="27"/>
  <c r="N61" i="27" s="1"/>
  <c r="CE52" i="1"/>
  <c r="E52" i="29"/>
  <c r="N52" i="29" s="1"/>
  <c r="E52" i="27"/>
  <c r="M52" i="27" s="1"/>
  <c r="CC50" i="1"/>
  <c r="E50" i="25"/>
  <c r="L50" i="25" s="1"/>
  <c r="BZ47" i="1"/>
  <c r="F47" i="29"/>
  <c r="O47" i="29" s="1"/>
  <c r="BX45" i="1"/>
  <c r="F45" i="27"/>
  <c r="N45" i="27" s="1"/>
  <c r="F45" i="25"/>
  <c r="M45" i="25" s="1"/>
  <c r="CE36" i="1"/>
  <c r="E36" i="29"/>
  <c r="N36" i="29" s="1"/>
  <c r="E36" i="27"/>
  <c r="M36" i="27" s="1"/>
  <c r="CC34" i="1"/>
  <c r="E34" i="25"/>
  <c r="L34" i="25" s="1"/>
  <c r="BZ31" i="1"/>
  <c r="F31" i="29"/>
  <c r="O31" i="29" s="1"/>
  <c r="BX29" i="1"/>
  <c r="F29" i="27"/>
  <c r="N29" i="27" s="1"/>
  <c r="F29" i="25"/>
  <c r="M29" i="25" s="1"/>
  <c r="CE20" i="1"/>
  <c r="E20" i="27"/>
  <c r="M20" i="27" s="1"/>
  <c r="E20" i="29"/>
  <c r="N20" i="29" s="1"/>
  <c r="CC18" i="1"/>
  <c r="E18" i="25"/>
  <c r="L18" i="25" s="1"/>
  <c r="BZ15" i="1"/>
  <c r="F15" i="29"/>
  <c r="O15" i="29" s="1"/>
  <c r="BX13" i="1"/>
  <c r="F13" i="25"/>
  <c r="M13" i="25" s="1"/>
  <c r="F13" i="27"/>
  <c r="N13" i="27" s="1"/>
  <c r="CE4" i="1"/>
  <c r="E4" i="29"/>
  <c r="N4" i="29" s="1"/>
  <c r="E4" i="27"/>
  <c r="M4" i="27" s="1"/>
  <c r="C120" i="25"/>
  <c r="C120" i="30"/>
  <c r="C120" i="27"/>
  <c r="C120" i="29"/>
  <c r="C120" i="32"/>
  <c r="C120" i="31"/>
  <c r="C112" i="25"/>
  <c r="C112" i="30"/>
  <c r="C112" i="31"/>
  <c r="C112" i="32"/>
  <c r="C112" i="29"/>
  <c r="C112" i="27"/>
  <c r="C104" i="25"/>
  <c r="C104" i="30"/>
  <c r="C104" i="32"/>
  <c r="C104" i="29"/>
  <c r="C104" i="27"/>
  <c r="C104" i="31"/>
  <c r="C96" i="25"/>
  <c r="C96" i="30"/>
  <c r="C96" i="31"/>
  <c r="C96" i="29"/>
  <c r="C96" i="32"/>
  <c r="C96" i="27"/>
  <c r="C88" i="25"/>
  <c r="C88" i="30"/>
  <c r="C88" i="31"/>
  <c r="C88" i="32"/>
  <c r="C88" i="29"/>
  <c r="C88" i="27"/>
  <c r="C80" i="25"/>
  <c r="C80" i="30"/>
  <c r="C80" i="31"/>
  <c r="C80" i="32"/>
  <c r="C80" i="29"/>
  <c r="C80" i="27"/>
  <c r="H122" i="32"/>
  <c r="Q122" i="32" s="1"/>
  <c r="CC54" i="1"/>
  <c r="E54" i="25"/>
  <c r="L54" i="25" s="1"/>
  <c r="BZ35" i="1"/>
  <c r="F35" i="29"/>
  <c r="O35" i="29" s="1"/>
  <c r="CE24" i="1"/>
  <c r="E24" i="27"/>
  <c r="M24" i="27" s="1"/>
  <c r="E24" i="29"/>
  <c r="N24" i="29" s="1"/>
  <c r="CE57" i="1"/>
  <c r="E57" i="29"/>
  <c r="N57" i="29" s="1"/>
  <c r="E57" i="27"/>
  <c r="M57" i="27" s="1"/>
  <c r="BX50" i="1"/>
  <c r="F50" i="27"/>
  <c r="N50" i="27" s="1"/>
  <c r="F50" i="25"/>
  <c r="M50" i="25" s="1"/>
  <c r="CE41" i="1"/>
  <c r="E41" i="29"/>
  <c r="N41" i="29" s="1"/>
  <c r="E41" i="27"/>
  <c r="M41" i="27" s="1"/>
  <c r="S41" i="27" s="1"/>
  <c r="CE25" i="1"/>
  <c r="E25" i="27"/>
  <c r="M25" i="27" s="1"/>
  <c r="E25" i="29"/>
  <c r="N25" i="29" s="1"/>
  <c r="CC23" i="1"/>
  <c r="E23" i="25"/>
  <c r="L23" i="25" s="1"/>
  <c r="CC7" i="1"/>
  <c r="E7" i="25"/>
  <c r="L7" i="25" s="1"/>
  <c r="BZ4" i="1"/>
  <c r="F4" i="29"/>
  <c r="O4" i="29" s="1"/>
  <c r="B117" i="25"/>
  <c r="B117" i="30"/>
  <c r="B117" i="31"/>
  <c r="B117" i="32"/>
  <c r="B117" i="29"/>
  <c r="B117" i="27"/>
  <c r="B93" i="25"/>
  <c r="B93" i="32"/>
  <c r="B93" i="29"/>
  <c r="B93" i="27"/>
  <c r="B93" i="30"/>
  <c r="B93" i="31"/>
  <c r="B85" i="25"/>
  <c r="B85" i="30"/>
  <c r="B85" i="31"/>
  <c r="B85" i="32"/>
  <c r="B85" i="29"/>
  <c r="B85" i="27"/>
  <c r="B77" i="25"/>
  <c r="B77" i="32"/>
  <c r="B77" i="31"/>
  <c r="B77" i="30"/>
  <c r="B77" i="29"/>
  <c r="B77" i="27"/>
  <c r="CC72" i="1"/>
  <c r="E72" i="25"/>
  <c r="L72" i="25" s="1"/>
  <c r="BZ37" i="1"/>
  <c r="F37" i="29"/>
  <c r="O37" i="29" s="1"/>
  <c r="C117" i="25"/>
  <c r="C117" i="30"/>
  <c r="C117" i="31"/>
  <c r="C117" i="29"/>
  <c r="C117" i="32"/>
  <c r="C117" i="27"/>
  <c r="CE43" i="1"/>
  <c r="E43" i="29"/>
  <c r="N43" i="29" s="1"/>
  <c r="E43" i="27"/>
  <c r="M43" i="27" s="1"/>
  <c r="BX36" i="1"/>
  <c r="F36" i="27"/>
  <c r="N36" i="27" s="1"/>
  <c r="F36" i="25"/>
  <c r="M36" i="25" s="1"/>
  <c r="BX20" i="1"/>
  <c r="F20" i="27"/>
  <c r="N20" i="27" s="1"/>
  <c r="F20" i="25"/>
  <c r="M20" i="25" s="1"/>
  <c r="CC9" i="1"/>
  <c r="E9" i="25"/>
  <c r="L9" i="25" s="1"/>
  <c r="BZ6" i="1"/>
  <c r="F6" i="29"/>
  <c r="O6" i="29" s="1"/>
  <c r="B108" i="25"/>
  <c r="B108" i="30"/>
  <c r="B108" i="32"/>
  <c r="B108" i="31"/>
  <c r="B108" i="29"/>
  <c r="B108" i="27"/>
  <c r="BZ71" i="1"/>
  <c r="F71" i="29"/>
  <c r="O71" i="29" s="1"/>
  <c r="BZ23" i="1"/>
  <c r="F23" i="29"/>
  <c r="O23" i="29" s="1"/>
  <c r="CC10" i="1"/>
  <c r="E10" i="25"/>
  <c r="L10" i="25" s="1"/>
  <c r="C92" i="25"/>
  <c r="C92" i="32"/>
  <c r="C92" i="30"/>
  <c r="C92" i="29"/>
  <c r="C92" i="27"/>
  <c r="C92" i="31"/>
  <c r="CE61" i="1"/>
  <c r="E61" i="29"/>
  <c r="N61" i="29" s="1"/>
  <c r="E61" i="27"/>
  <c r="M61" i="27" s="1"/>
  <c r="BX6" i="1"/>
  <c r="F6" i="27"/>
  <c r="N6" i="27" s="1"/>
  <c r="F6" i="25"/>
  <c r="M6" i="25" s="1"/>
  <c r="CE46" i="1"/>
  <c r="E46" i="29"/>
  <c r="N46" i="29" s="1"/>
  <c r="E46" i="27"/>
  <c r="M46" i="27" s="1"/>
  <c r="C99" i="25"/>
  <c r="C99" i="30"/>
  <c r="C99" i="31"/>
  <c r="C99" i="32"/>
  <c r="C99" i="27"/>
  <c r="C99" i="29"/>
  <c r="C75" i="25"/>
  <c r="C75" i="30"/>
  <c r="C75" i="31"/>
  <c r="C75" i="29"/>
  <c r="C75" i="32"/>
  <c r="C75" i="27"/>
  <c r="BX40" i="1"/>
  <c r="F40" i="27"/>
  <c r="N40" i="27" s="1"/>
  <c r="F40" i="25"/>
  <c r="M40" i="25" s="1"/>
  <c r="B98" i="25"/>
  <c r="B98" i="32"/>
  <c r="B98" i="31"/>
  <c r="B98" i="29"/>
  <c r="B98" i="30"/>
  <c r="B98" i="27"/>
  <c r="CE69" i="1"/>
  <c r="E69" i="29"/>
  <c r="N69" i="29" s="1"/>
  <c r="E69" i="27"/>
  <c r="M69" i="27" s="1"/>
  <c r="CC67" i="1"/>
  <c r="E67" i="25"/>
  <c r="L67" i="25" s="1"/>
  <c r="BZ64" i="1"/>
  <c r="F64" i="29"/>
  <c r="O64" i="29" s="1"/>
  <c r="BX62" i="1"/>
  <c r="F62" i="25"/>
  <c r="M62" i="25" s="1"/>
  <c r="F62" i="27"/>
  <c r="N62" i="27" s="1"/>
  <c r="CE53" i="1"/>
  <c r="E53" i="29"/>
  <c r="N53" i="29" s="1"/>
  <c r="E53" i="27"/>
  <c r="M53" i="27" s="1"/>
  <c r="CC51" i="1"/>
  <c r="E51" i="25"/>
  <c r="L51" i="25" s="1"/>
  <c r="BZ48" i="1"/>
  <c r="F48" i="29"/>
  <c r="O48" i="29" s="1"/>
  <c r="BX46" i="1"/>
  <c r="F46" i="27"/>
  <c r="N46" i="27" s="1"/>
  <c r="F46" i="25"/>
  <c r="M46" i="25" s="1"/>
  <c r="CE37" i="1"/>
  <c r="E37" i="29"/>
  <c r="N37" i="29" s="1"/>
  <c r="E37" i="27"/>
  <c r="M37" i="27" s="1"/>
  <c r="CC35" i="1"/>
  <c r="E35" i="25"/>
  <c r="L35" i="25" s="1"/>
  <c r="BZ32" i="1"/>
  <c r="F32" i="29"/>
  <c r="O32" i="29" s="1"/>
  <c r="BX30" i="1"/>
  <c r="F30" i="27"/>
  <c r="N30" i="27" s="1"/>
  <c r="F30" i="25"/>
  <c r="M30" i="25" s="1"/>
  <c r="CE21" i="1"/>
  <c r="E21" i="29"/>
  <c r="N21" i="29" s="1"/>
  <c r="E21" i="27"/>
  <c r="M21" i="27" s="1"/>
  <c r="S21" i="27" s="1"/>
  <c r="CC19" i="1"/>
  <c r="E19" i="25"/>
  <c r="L19" i="25" s="1"/>
  <c r="BZ16" i="1"/>
  <c r="F16" i="29"/>
  <c r="O16" i="29" s="1"/>
  <c r="BX14" i="1"/>
  <c r="F14" i="27"/>
  <c r="N14" i="27" s="1"/>
  <c r="F14" i="25"/>
  <c r="M14" i="25" s="1"/>
  <c r="CE5" i="1"/>
  <c r="E5" i="29"/>
  <c r="N5" i="29" s="1"/>
  <c r="E5" i="27"/>
  <c r="M5" i="27" s="1"/>
  <c r="S5" i="27" s="1"/>
  <c r="CC3" i="1"/>
  <c r="E3" i="25"/>
  <c r="L3" i="25" s="1"/>
  <c r="B119" i="25"/>
  <c r="B119" i="32"/>
  <c r="B119" i="30"/>
  <c r="B119" i="31"/>
  <c r="B119" i="29"/>
  <c r="B119" i="27"/>
  <c r="B111" i="25"/>
  <c r="B111" i="30"/>
  <c r="B111" i="31"/>
  <c r="B111" i="29"/>
  <c r="B111" i="32"/>
  <c r="B111" i="27"/>
  <c r="B103" i="25"/>
  <c r="B103" i="30"/>
  <c r="B103" i="31"/>
  <c r="B103" i="32"/>
  <c r="B103" i="29"/>
  <c r="B103" i="27"/>
  <c r="B95" i="25"/>
  <c r="B95" i="30"/>
  <c r="B95" i="31"/>
  <c r="B95" i="32"/>
  <c r="B95" i="29"/>
  <c r="B95" i="27"/>
  <c r="B87" i="25"/>
  <c r="B87" i="32"/>
  <c r="B87" i="31"/>
  <c r="B87" i="29"/>
  <c r="B87" i="30"/>
  <c r="B87" i="27"/>
  <c r="B79" i="25"/>
  <c r="B79" i="31"/>
  <c r="B79" i="32"/>
  <c r="B79" i="27"/>
  <c r="B79" i="30"/>
  <c r="B79" i="29"/>
  <c r="BX2" i="1"/>
  <c r="F2" i="27"/>
  <c r="N2" i="27" s="1"/>
  <c r="F2" i="25"/>
  <c r="M2" i="25" s="1"/>
  <c r="BZ69" i="1"/>
  <c r="F69" i="29"/>
  <c r="O69" i="29" s="1"/>
  <c r="BX51" i="1"/>
  <c r="F51" i="27"/>
  <c r="N51" i="27" s="1"/>
  <c r="F51" i="25"/>
  <c r="M51" i="25" s="1"/>
  <c r="CE42" i="1"/>
  <c r="E42" i="29"/>
  <c r="N42" i="29" s="1"/>
  <c r="E42" i="27"/>
  <c r="M42" i="27" s="1"/>
  <c r="CC40" i="1"/>
  <c r="E40" i="25"/>
  <c r="L40" i="25" s="1"/>
  <c r="C85" i="25"/>
  <c r="C85" i="30"/>
  <c r="C85" i="31"/>
  <c r="C85" i="32"/>
  <c r="C85" i="29"/>
  <c r="C85" i="27"/>
  <c r="BZ38" i="1"/>
  <c r="F38" i="29"/>
  <c r="O38" i="29" s="1"/>
  <c r="BZ7" i="1"/>
  <c r="F7" i="29"/>
  <c r="O7" i="29" s="1"/>
  <c r="BX70" i="1"/>
  <c r="F70" i="25"/>
  <c r="M70" i="25" s="1"/>
  <c r="F70" i="27"/>
  <c r="N70" i="27" s="1"/>
  <c r="CE29" i="1"/>
  <c r="E29" i="29"/>
  <c r="N29" i="29" s="1"/>
  <c r="E29" i="27"/>
  <c r="M29" i="27" s="1"/>
  <c r="BX56" i="1"/>
  <c r="F56" i="27"/>
  <c r="N56" i="27" s="1"/>
  <c r="F56" i="25"/>
  <c r="M56" i="25" s="1"/>
  <c r="BZ42" i="1"/>
  <c r="F42" i="29"/>
  <c r="O42" i="29" s="1"/>
  <c r="CE15" i="1"/>
  <c r="E15" i="29"/>
  <c r="N15" i="29" s="1"/>
  <c r="E15" i="27"/>
  <c r="M15" i="27" s="1"/>
  <c r="B106" i="25"/>
  <c r="B106" i="31"/>
  <c r="B106" i="29"/>
  <c r="B106" i="30"/>
  <c r="B106" i="32"/>
  <c r="B106" i="27"/>
  <c r="CE70" i="1"/>
  <c r="E70" i="29"/>
  <c r="N70" i="29" s="1"/>
  <c r="E70" i="27"/>
  <c r="M70" i="27" s="1"/>
  <c r="S70" i="27" s="1"/>
  <c r="CC68" i="1"/>
  <c r="E68" i="25"/>
  <c r="L68" i="25" s="1"/>
  <c r="BZ65" i="1"/>
  <c r="F65" i="29"/>
  <c r="O65" i="29" s="1"/>
  <c r="BX63" i="1"/>
  <c r="F63" i="27"/>
  <c r="N63" i="27" s="1"/>
  <c r="F63" i="25"/>
  <c r="M63" i="25" s="1"/>
  <c r="CE54" i="1"/>
  <c r="E54" i="29"/>
  <c r="N54" i="29" s="1"/>
  <c r="E54" i="27"/>
  <c r="M54" i="27" s="1"/>
  <c r="CC52" i="1"/>
  <c r="E52" i="25"/>
  <c r="L52" i="25" s="1"/>
  <c r="BZ49" i="1"/>
  <c r="F49" i="29"/>
  <c r="O49" i="29" s="1"/>
  <c r="BX47" i="1"/>
  <c r="F47" i="27"/>
  <c r="N47" i="27" s="1"/>
  <c r="F47" i="25"/>
  <c r="M47" i="25" s="1"/>
  <c r="CE38" i="1"/>
  <c r="E38" i="29"/>
  <c r="N38" i="29" s="1"/>
  <c r="E38" i="27"/>
  <c r="M38" i="27" s="1"/>
  <c r="CC36" i="1"/>
  <c r="E36" i="25"/>
  <c r="L36" i="25" s="1"/>
  <c r="BZ33" i="1"/>
  <c r="F33" i="29"/>
  <c r="O33" i="29" s="1"/>
  <c r="BX31" i="1"/>
  <c r="F31" i="27"/>
  <c r="N31" i="27" s="1"/>
  <c r="F31" i="25"/>
  <c r="M31" i="25" s="1"/>
  <c r="CE22" i="1"/>
  <c r="E22" i="29"/>
  <c r="N22" i="29" s="1"/>
  <c r="E22" i="27"/>
  <c r="M22" i="27" s="1"/>
  <c r="CC20" i="1"/>
  <c r="E20" i="25"/>
  <c r="L20" i="25" s="1"/>
  <c r="BZ17" i="1"/>
  <c r="F17" i="29"/>
  <c r="O17" i="29" s="1"/>
  <c r="BX15" i="1"/>
  <c r="F15" i="27"/>
  <c r="N15" i="27" s="1"/>
  <c r="F15" i="25"/>
  <c r="M15" i="25" s="1"/>
  <c r="CE6" i="1"/>
  <c r="E6" i="29"/>
  <c r="N6" i="29" s="1"/>
  <c r="E6" i="27"/>
  <c r="M6" i="27" s="1"/>
  <c r="S6" i="27" s="1"/>
  <c r="CC4" i="1"/>
  <c r="E4" i="25"/>
  <c r="L4" i="25" s="1"/>
  <c r="C119" i="25"/>
  <c r="C119" i="32"/>
  <c r="C119" i="30"/>
  <c r="C119" i="31"/>
  <c r="C119" i="29"/>
  <c r="C119" i="27"/>
  <c r="C111" i="25"/>
  <c r="C111" i="31"/>
  <c r="C111" i="30"/>
  <c r="C111" i="29"/>
  <c r="C111" i="32"/>
  <c r="C111" i="27"/>
  <c r="C103" i="25"/>
  <c r="C103" i="30"/>
  <c r="C103" i="31"/>
  <c r="C103" i="32"/>
  <c r="C103" i="29"/>
  <c r="C103" i="27"/>
  <c r="C95" i="25"/>
  <c r="C95" i="31"/>
  <c r="C95" i="30"/>
  <c r="C95" i="32"/>
  <c r="C95" i="29"/>
  <c r="C95" i="27"/>
  <c r="C87" i="25"/>
  <c r="C87" i="32"/>
  <c r="C87" i="31"/>
  <c r="C87" i="30"/>
  <c r="C87" i="29"/>
  <c r="C87" i="27"/>
  <c r="C79" i="25"/>
  <c r="C79" i="31"/>
  <c r="C79" i="30"/>
  <c r="C79" i="32"/>
  <c r="C79" i="27"/>
  <c r="C79" i="29"/>
  <c r="N74" i="30"/>
  <c r="G122" i="30"/>
  <c r="N122" i="30" s="1"/>
  <c r="BX67" i="1"/>
  <c r="F67" i="25"/>
  <c r="M67" i="25" s="1"/>
  <c r="F67" i="27"/>
  <c r="N67" i="27" s="1"/>
  <c r="CC24" i="1"/>
  <c r="E24" i="25"/>
  <c r="L24" i="25" s="1"/>
  <c r="C93" i="25"/>
  <c r="C93" i="32"/>
  <c r="C93" i="29"/>
  <c r="C93" i="27"/>
  <c r="C93" i="30"/>
  <c r="C93" i="31"/>
  <c r="CC73" i="1"/>
  <c r="E73" i="25"/>
  <c r="L73" i="25" s="1"/>
  <c r="CC41" i="1"/>
  <c r="E41" i="25"/>
  <c r="L41" i="25" s="1"/>
  <c r="B100" i="25"/>
  <c r="B100" i="29"/>
  <c r="B100" i="30"/>
  <c r="B100" i="31"/>
  <c r="B100" i="32"/>
  <c r="B100" i="27"/>
  <c r="CC58" i="1"/>
  <c r="E58" i="25"/>
  <c r="L58" i="25" s="1"/>
  <c r="C116" i="25"/>
  <c r="C116" i="30"/>
  <c r="C116" i="31"/>
  <c r="C116" i="32"/>
  <c r="C116" i="29"/>
  <c r="C116" i="27"/>
  <c r="C76" i="25"/>
  <c r="C76" i="32"/>
  <c r="C76" i="30"/>
  <c r="C76" i="29"/>
  <c r="C76" i="31"/>
  <c r="C76" i="27"/>
  <c r="BZ72" i="1"/>
  <c r="F72" i="29"/>
  <c r="O72" i="29" s="1"/>
  <c r="BZ8" i="1"/>
  <c r="F8" i="29"/>
  <c r="O8" i="29" s="1"/>
  <c r="B75" i="25"/>
  <c r="B75" i="30"/>
  <c r="B75" i="31"/>
  <c r="B75" i="29"/>
  <c r="B75" i="32"/>
  <c r="B75" i="27"/>
  <c r="CE62" i="1"/>
  <c r="E62" i="29"/>
  <c r="N62" i="29" s="1"/>
  <c r="E62" i="27"/>
  <c r="M62" i="27" s="1"/>
  <c r="S62" i="27" s="1"/>
  <c r="BX55" i="1"/>
  <c r="F55" i="27"/>
  <c r="N55" i="27" s="1"/>
  <c r="F55" i="25"/>
  <c r="M55" i="25" s="1"/>
  <c r="BX39" i="1"/>
  <c r="F39" i="27"/>
  <c r="N39" i="27" s="1"/>
  <c r="F39" i="25"/>
  <c r="M39" i="25" s="1"/>
  <c r="CC12" i="1"/>
  <c r="E12" i="25"/>
  <c r="L12" i="25" s="1"/>
  <c r="C115" i="25"/>
  <c r="C115" i="32"/>
  <c r="C115" i="31"/>
  <c r="C115" i="30"/>
  <c r="C115" i="27"/>
  <c r="C115" i="29"/>
  <c r="BX72" i="1"/>
  <c r="F72" i="27"/>
  <c r="N72" i="27" s="1"/>
  <c r="F72" i="25"/>
  <c r="M72" i="25" s="1"/>
  <c r="CE63" i="1"/>
  <c r="E63" i="27"/>
  <c r="M63" i="27" s="1"/>
  <c r="E63" i="29"/>
  <c r="N63" i="29" s="1"/>
  <c r="BZ58" i="1"/>
  <c r="F58" i="29"/>
  <c r="O58" i="29" s="1"/>
  <c r="BX24" i="1"/>
  <c r="F24" i="27"/>
  <c r="N24" i="27" s="1"/>
  <c r="F24" i="25"/>
  <c r="M24" i="25" s="1"/>
  <c r="CC13" i="1"/>
  <c r="E13" i="25"/>
  <c r="L13" i="25" s="1"/>
  <c r="BZ10" i="1"/>
  <c r="F10" i="29"/>
  <c r="O10" i="29" s="1"/>
  <c r="C74" i="25"/>
  <c r="C74" i="30"/>
  <c r="C74" i="31"/>
  <c r="C74" i="29"/>
  <c r="C74" i="32"/>
  <c r="C74" i="27"/>
  <c r="B90" i="25"/>
  <c r="B90" i="31"/>
  <c r="B90" i="29"/>
  <c r="B90" i="30"/>
  <c r="B90" i="32"/>
  <c r="B90" i="27"/>
  <c r="CE71" i="1"/>
  <c r="E71" i="29"/>
  <c r="N71" i="29" s="1"/>
  <c r="E71" i="27"/>
  <c r="M71" i="27" s="1"/>
  <c r="S71" i="27" s="1"/>
  <c r="CC69" i="1"/>
  <c r="E69" i="25"/>
  <c r="L69" i="25" s="1"/>
  <c r="BZ66" i="1"/>
  <c r="F66" i="29"/>
  <c r="O66" i="29" s="1"/>
  <c r="BX64" i="1"/>
  <c r="F64" i="27"/>
  <c r="N64" i="27" s="1"/>
  <c r="F64" i="25"/>
  <c r="M64" i="25" s="1"/>
  <c r="CE55" i="1"/>
  <c r="E55" i="27"/>
  <c r="M55" i="27" s="1"/>
  <c r="E55" i="29"/>
  <c r="N55" i="29" s="1"/>
  <c r="CC53" i="1"/>
  <c r="E53" i="25"/>
  <c r="L53" i="25" s="1"/>
  <c r="BZ50" i="1"/>
  <c r="F50" i="29"/>
  <c r="O50" i="29" s="1"/>
  <c r="BX48" i="1"/>
  <c r="F48" i="27"/>
  <c r="N48" i="27" s="1"/>
  <c r="F48" i="25"/>
  <c r="M48" i="25" s="1"/>
  <c r="CE39" i="1"/>
  <c r="E39" i="29"/>
  <c r="N39" i="29" s="1"/>
  <c r="E39" i="27"/>
  <c r="M39" i="27" s="1"/>
  <c r="CC37" i="1"/>
  <c r="E37" i="25"/>
  <c r="L37" i="25" s="1"/>
  <c r="BZ34" i="1"/>
  <c r="F34" i="29"/>
  <c r="O34" i="29" s="1"/>
  <c r="BX32" i="1"/>
  <c r="F32" i="27"/>
  <c r="N32" i="27" s="1"/>
  <c r="F32" i="25"/>
  <c r="M32" i="25" s="1"/>
  <c r="CE23" i="1"/>
  <c r="E23" i="27"/>
  <c r="M23" i="27" s="1"/>
  <c r="E23" i="29"/>
  <c r="N23" i="29" s="1"/>
  <c r="CC21" i="1"/>
  <c r="E21" i="25"/>
  <c r="L21" i="25" s="1"/>
  <c r="BZ18" i="1"/>
  <c r="F18" i="29"/>
  <c r="O18" i="29" s="1"/>
  <c r="BX16" i="1"/>
  <c r="F16" i="27"/>
  <c r="N16" i="27" s="1"/>
  <c r="F16" i="25"/>
  <c r="M16" i="25" s="1"/>
  <c r="CE7" i="1"/>
  <c r="E7" i="29"/>
  <c r="N7" i="29" s="1"/>
  <c r="E7" i="27"/>
  <c r="M7" i="27" s="1"/>
  <c r="CC5" i="1"/>
  <c r="E5" i="25"/>
  <c r="L5" i="25" s="1"/>
  <c r="B118" i="25"/>
  <c r="B118" i="30"/>
  <c r="B118" i="31"/>
  <c r="B118" i="29"/>
  <c r="B118" i="27"/>
  <c r="B118" i="32"/>
  <c r="B110" i="25"/>
  <c r="B110" i="30"/>
  <c r="B110" i="31"/>
  <c r="B110" i="32"/>
  <c r="B110" i="29"/>
  <c r="B110" i="27"/>
  <c r="B102" i="25"/>
  <c r="B102" i="30"/>
  <c r="B102" i="31"/>
  <c r="B102" i="32"/>
  <c r="B102" i="27"/>
  <c r="B102" i="29"/>
  <c r="B94" i="25"/>
  <c r="B94" i="32"/>
  <c r="B94" i="31"/>
  <c r="B94" i="30"/>
  <c r="B94" i="29"/>
  <c r="B94" i="27"/>
  <c r="B86" i="25"/>
  <c r="B86" i="30"/>
  <c r="B86" i="31"/>
  <c r="B86" i="32"/>
  <c r="B86" i="29"/>
  <c r="B86" i="27"/>
  <c r="B78" i="25"/>
  <c r="B78" i="32"/>
  <c r="B78" i="31"/>
  <c r="B78" i="30"/>
  <c r="B78" i="27"/>
  <c r="B78" i="29"/>
  <c r="O74" i="31"/>
  <c r="G122" i="31"/>
  <c r="O122" i="31" s="1"/>
  <c r="L7" i="6"/>
  <c r="L35" i="6"/>
  <c r="DJ36" i="4"/>
  <c r="DG16" i="4"/>
  <c r="DI3" i="4"/>
  <c r="CR16" i="4"/>
  <c r="CR30" i="4"/>
  <c r="CS30" i="4"/>
  <c r="CU37" i="4" s="1"/>
  <c r="CT3" i="4"/>
  <c r="CD16" i="4"/>
  <c r="CE37" i="4" s="1"/>
  <c r="CC16" i="4"/>
  <c r="CC30" i="4"/>
  <c r="CE3" i="4"/>
  <c r="BQ36" i="4"/>
  <c r="BO16" i="4"/>
  <c r="BP37" i="4" s="1"/>
  <c r="BN16" i="4"/>
  <c r="BP3" i="4"/>
  <c r="AZ5" i="4"/>
  <c r="AZ19" i="4"/>
  <c r="AZ28" i="4"/>
  <c r="AZ6" i="4"/>
  <c r="AZ23" i="4"/>
  <c r="AZ14" i="4"/>
  <c r="AZ26" i="4"/>
  <c r="AZ9" i="4"/>
  <c r="AZ12" i="4"/>
  <c r="AZ8" i="4"/>
  <c r="W6" i="4"/>
  <c r="W5" i="4"/>
  <c r="W26" i="4"/>
  <c r="X6" i="4"/>
  <c r="X5" i="4"/>
  <c r="Y3" i="4"/>
  <c r="Y23" i="4" s="1"/>
  <c r="X26" i="4"/>
  <c r="AZ21" i="4"/>
  <c r="AZ20" i="4"/>
  <c r="AZ11" i="4"/>
  <c r="AZ24" i="4"/>
  <c r="V19" i="4"/>
  <c r="AK12" i="4"/>
  <c r="AL9" i="4"/>
  <c r="AK21" i="4"/>
  <c r="AK30" i="4" s="1"/>
  <c r="AM37" i="4" s="1"/>
  <c r="AY14" i="4"/>
  <c r="AY16" i="4" s="1"/>
  <c r="AZ7" i="4"/>
  <c r="V14" i="4"/>
  <c r="AK9" i="4"/>
  <c r="AL6" i="4"/>
  <c r="AJ30" i="4"/>
  <c r="AM36" i="4" s="1"/>
  <c r="AY13" i="4"/>
  <c r="AJ8" i="4"/>
  <c r="AL27" i="4"/>
  <c r="BA13" i="4"/>
  <c r="AY24" i="4"/>
  <c r="AZ25" i="4"/>
  <c r="BA22" i="4"/>
  <c r="AJ9" i="4"/>
  <c r="AK8" i="4"/>
  <c r="AJ7" i="4"/>
  <c r="AK27" i="4"/>
  <c r="AL24" i="4"/>
  <c r="AZ13" i="4"/>
  <c r="BA10" i="4"/>
  <c r="AY23" i="4"/>
  <c r="AZ22" i="4"/>
  <c r="AJ6" i="4"/>
  <c r="AL12" i="4"/>
  <c r="AK24" i="4"/>
  <c r="AL21" i="4"/>
  <c r="AZ10" i="4"/>
  <c r="BA7" i="4"/>
  <c r="AY22" i="4"/>
  <c r="AY30" i="4"/>
  <c r="BB36" i="4" s="1"/>
  <c r="AZ30" i="4"/>
  <c r="BB37" i="4" s="1"/>
  <c r="BA3" i="4"/>
  <c r="AJ16" i="4"/>
  <c r="AL36" i="4" s="1"/>
  <c r="P3" i="41" s="1"/>
  <c r="AL3" i="4"/>
  <c r="X23" i="4"/>
  <c r="W23" i="4"/>
  <c r="Y19" i="4"/>
  <c r="X25" i="4"/>
  <c r="X21" i="4"/>
  <c r="Y27" i="4"/>
  <c r="U26" i="4"/>
  <c r="Y6" i="4"/>
  <c r="X27" i="4"/>
  <c r="X19" i="4"/>
  <c r="W25" i="4"/>
  <c r="W21" i="4"/>
  <c r="W19" i="4"/>
  <c r="Z26" i="4"/>
  <c r="V25" i="4"/>
  <c r="Z22" i="4"/>
  <c r="V21" i="4"/>
  <c r="Z3" i="4"/>
  <c r="Y5" i="4"/>
  <c r="Y26" i="4"/>
  <c r="Y22" i="4"/>
  <c r="W27" i="4"/>
  <c r="Z28" i="4"/>
  <c r="V27" i="4"/>
  <c r="Z24" i="4"/>
  <c r="V23" i="4"/>
  <c r="Z20" i="4"/>
  <c r="V6" i="4"/>
  <c r="Y28" i="4"/>
  <c r="U27" i="4"/>
  <c r="Y24" i="4"/>
  <c r="U23" i="4"/>
  <c r="Y20" i="4"/>
  <c r="X28" i="4"/>
  <c r="X24" i="4"/>
  <c r="X20" i="4"/>
  <c r="W28" i="4"/>
  <c r="W24" i="4"/>
  <c r="W20" i="4"/>
  <c r="V28" i="4"/>
  <c r="Z25" i="4"/>
  <c r="V24" i="4"/>
  <c r="Z21" i="4"/>
  <c r="V20" i="4"/>
  <c r="Y25" i="4"/>
  <c r="U24" i="4"/>
  <c r="Y21" i="4"/>
  <c r="U20" i="4"/>
  <c r="W10" i="4"/>
  <c r="X14" i="4"/>
  <c r="Y11" i="4"/>
  <c r="W14" i="4"/>
  <c r="Y8" i="4"/>
  <c r="U7" i="4"/>
  <c r="X12" i="4"/>
  <c r="Y9" i="4"/>
  <c r="W12" i="4"/>
  <c r="X9" i="4"/>
  <c r="V12" i="4"/>
  <c r="W9" i="4"/>
  <c r="Z13" i="4"/>
  <c r="V9" i="4"/>
  <c r="Y13" i="4"/>
  <c r="Z10" i="4"/>
  <c r="X13" i="4"/>
  <c r="Y10" i="4"/>
  <c r="Z7" i="4"/>
  <c r="W13" i="4"/>
  <c r="X10" i="4"/>
  <c r="Y7" i="4"/>
  <c r="V13" i="4"/>
  <c r="X7" i="4"/>
  <c r="Z14" i="4"/>
  <c r="V10" i="4"/>
  <c r="U14" i="4"/>
  <c r="Y14" i="4"/>
  <c r="Z11" i="4"/>
  <c r="U12" i="4"/>
  <c r="X11" i="4"/>
  <c r="U9" i="4"/>
  <c r="Z12" i="4"/>
  <c r="V8" i="4"/>
  <c r="W7" i="4"/>
  <c r="V7" i="4"/>
  <c r="U13" i="4"/>
  <c r="Z8" i="4"/>
  <c r="U11" i="4"/>
  <c r="W11" i="4"/>
  <c r="X8" i="4"/>
  <c r="U10" i="4"/>
  <c r="V11" i="4"/>
  <c r="W8" i="4"/>
  <c r="U8" i="4"/>
  <c r="Y12" i="4"/>
  <c r="Z9" i="4"/>
  <c r="H18" i="18" l="1"/>
  <c r="P14" i="18"/>
  <c r="X18" i="18"/>
  <c r="T18" i="18"/>
  <c r="D18" i="18"/>
  <c r="P18" i="18"/>
  <c r="L18" i="18"/>
  <c r="L14" i="18"/>
  <c r="D14" i="18"/>
  <c r="H14" i="18"/>
  <c r="T14" i="18"/>
  <c r="X14" i="18"/>
  <c r="S38" i="27"/>
  <c r="S4" i="27"/>
  <c r="S7" i="27"/>
  <c r="S57" i="27"/>
  <c r="S40" i="27"/>
  <c r="S12" i="27"/>
  <c r="V30" i="4"/>
  <c r="X37" i="4" s="1"/>
  <c r="S54" i="27"/>
  <c r="S23" i="27"/>
  <c r="S20" i="27"/>
  <c r="S35" i="27"/>
  <c r="S13" i="27"/>
  <c r="S68" i="27"/>
  <c r="S49" i="27"/>
  <c r="S15" i="27"/>
  <c r="S43" i="27"/>
  <c r="S60" i="27"/>
  <c r="S27" i="27"/>
  <c r="S72" i="27"/>
  <c r="S18" i="27"/>
  <c r="S61" i="27"/>
  <c r="S33" i="27"/>
  <c r="S64" i="27"/>
  <c r="S55" i="27"/>
  <c r="S67" i="27"/>
  <c r="S28" i="27"/>
  <c r="S34" i="27"/>
  <c r="S16" i="27"/>
  <c r="H58" i="17"/>
  <c r="H15" i="17"/>
  <c r="S39" i="27"/>
  <c r="S36" i="27"/>
  <c r="S45" i="27"/>
  <c r="S17" i="27"/>
  <c r="S48" i="27"/>
  <c r="S31" i="27"/>
  <c r="S63" i="27"/>
  <c r="S29" i="27"/>
  <c r="S24" i="27"/>
  <c r="S51" i="27"/>
  <c r="S2" i="27"/>
  <c r="S26" i="27"/>
  <c r="S73" i="27"/>
  <c r="S69" i="27"/>
  <c r="S22" i="27"/>
  <c r="S53" i="27"/>
  <c r="S58" i="27"/>
  <c r="S37" i="27"/>
  <c r="S42" i="27"/>
  <c r="S47" i="27"/>
  <c r="S3" i="27"/>
  <c r="S30" i="27"/>
  <c r="S56" i="27"/>
  <c r="S19" i="27"/>
  <c r="S46" i="27"/>
  <c r="S11" i="27"/>
  <c r="S9" i="27"/>
  <c r="S8" i="27"/>
  <c r="S52" i="27"/>
  <c r="S14" i="27"/>
  <c r="S59" i="27"/>
  <c r="S66" i="27"/>
  <c r="S25" i="27"/>
  <c r="S50" i="27"/>
  <c r="S32" i="27"/>
  <c r="S10" i="27"/>
  <c r="F3" i="32"/>
  <c r="O3" i="32" s="1"/>
  <c r="F3" i="45"/>
  <c r="Q3" i="45" s="1"/>
  <c r="F2" i="32"/>
  <c r="O2" i="32" s="1"/>
  <c r="F2" i="45"/>
  <c r="Q2" i="45" s="1"/>
  <c r="E3" i="30"/>
  <c r="L3" i="30" s="1"/>
  <c r="E3" i="43"/>
  <c r="N3" i="43" s="1"/>
  <c r="F2" i="44"/>
  <c r="P2" i="44" s="1"/>
  <c r="F2" i="43"/>
  <c r="O2" i="43" s="1"/>
  <c r="F3" i="43"/>
  <c r="O3" i="43" s="1"/>
  <c r="F3" i="44"/>
  <c r="P3" i="44" s="1"/>
  <c r="U3" i="29"/>
  <c r="AV5" i="1"/>
  <c r="G4" i="32"/>
  <c r="P4" i="32" s="1"/>
  <c r="G4" i="29"/>
  <c r="U2" i="29"/>
  <c r="F3" i="30"/>
  <c r="M3" i="30" s="1"/>
  <c r="F3" i="31"/>
  <c r="F2" i="30"/>
  <c r="M2" i="30" s="1"/>
  <c r="F2" i="31"/>
  <c r="N2" i="31" s="1"/>
  <c r="L8" i="6"/>
  <c r="L36" i="6"/>
  <c r="DH16" i="4"/>
  <c r="DI37" i="4" s="1"/>
  <c r="DJ3" i="4"/>
  <c r="DH30" i="4"/>
  <c r="DI36" i="4"/>
  <c r="CU36" i="4"/>
  <c r="CU3" i="4"/>
  <c r="CT36" i="4"/>
  <c r="CS16" i="4"/>
  <c r="CT37" i="4" s="1"/>
  <c r="CD30" i="4"/>
  <c r="CF37" i="4" s="1"/>
  <c r="CF3" i="4"/>
  <c r="CF36" i="4"/>
  <c r="CE36" i="4"/>
  <c r="BO30" i="4"/>
  <c r="BQ3" i="4"/>
  <c r="BP36" i="4"/>
  <c r="AL5" i="4"/>
  <c r="AL8" i="4"/>
  <c r="AL25" i="4"/>
  <c r="AL28" i="4"/>
  <c r="AL20" i="4"/>
  <c r="AL11" i="4"/>
  <c r="AL23" i="4"/>
  <c r="AL10" i="4"/>
  <c r="AL14" i="4"/>
  <c r="AL19" i="4"/>
  <c r="AL26" i="4"/>
  <c r="AL7" i="4"/>
  <c r="AL22" i="4"/>
  <c r="AL13" i="4"/>
  <c r="BA19" i="4"/>
  <c r="BA25" i="4"/>
  <c r="BA28" i="4"/>
  <c r="BA20" i="4"/>
  <c r="BA11" i="4"/>
  <c r="BA23" i="4"/>
  <c r="BA14" i="4"/>
  <c r="BA26" i="4"/>
  <c r="BA6" i="4"/>
  <c r="BA9" i="4"/>
  <c r="BA12" i="4"/>
  <c r="BA8" i="4"/>
  <c r="BA24" i="4"/>
  <c r="BA21" i="4"/>
  <c r="BA27" i="4"/>
  <c r="BA5" i="4"/>
  <c r="AZ16" i="4"/>
  <c r="BA37" i="4" s="1"/>
  <c r="BB3" i="4"/>
  <c r="BA36" i="4"/>
  <c r="AK16" i="4"/>
  <c r="AL37" i="4" s="1"/>
  <c r="P4" i="41" s="1"/>
  <c r="AM3" i="4"/>
  <c r="W30" i="4"/>
  <c r="X38" i="4" s="1"/>
  <c r="U30" i="4"/>
  <c r="X30" i="4"/>
  <c r="X39" i="4" s="1"/>
  <c r="Y30" i="4"/>
  <c r="X40" i="4" s="1"/>
  <c r="Z19" i="4"/>
  <c r="Z23" i="4"/>
  <c r="Z5" i="4"/>
  <c r="AA3" i="4"/>
  <c r="Z6" i="4"/>
  <c r="Z27" i="4"/>
  <c r="U16" i="4"/>
  <c r="Z16" i="4"/>
  <c r="W41" i="4" s="1"/>
  <c r="V16" i="4"/>
  <c r="W37" i="4" s="1"/>
  <c r="W16" i="4"/>
  <c r="W38" i="4" s="1"/>
  <c r="X16" i="4"/>
  <c r="W39" i="4" s="1"/>
  <c r="Y16" i="4"/>
  <c r="W40" i="4" s="1"/>
  <c r="P4" i="29" l="1"/>
  <c r="U4" i="29" s="1"/>
  <c r="F15" i="32"/>
  <c r="O15" i="32" s="1"/>
  <c r="E15" i="30"/>
  <c r="L15" i="30" s="1"/>
  <c r="F14" i="32"/>
  <c r="O14" i="32" s="1"/>
  <c r="E3" i="45"/>
  <c r="P3" i="45" s="1"/>
  <c r="E3" i="44"/>
  <c r="O3" i="44" s="1"/>
  <c r="E15" i="43"/>
  <c r="N15" i="43" s="1"/>
  <c r="F15" i="44"/>
  <c r="P15" i="44" s="1"/>
  <c r="F14" i="43"/>
  <c r="O14" i="43" s="1"/>
  <c r="F15" i="43"/>
  <c r="O15" i="43" s="1"/>
  <c r="E2" i="45"/>
  <c r="P2" i="45" s="1"/>
  <c r="E2" i="44"/>
  <c r="O2" i="44" s="1"/>
  <c r="F15" i="45"/>
  <c r="Q15" i="45" s="1"/>
  <c r="E2" i="30"/>
  <c r="L2" i="30" s="1"/>
  <c r="Q2" i="30" s="1"/>
  <c r="E2" i="43"/>
  <c r="N2" i="43" s="1"/>
  <c r="F14" i="44"/>
  <c r="P14" i="44" s="1"/>
  <c r="F14" i="45"/>
  <c r="Q14" i="45" s="1"/>
  <c r="Q3" i="30"/>
  <c r="AV6" i="1"/>
  <c r="G5" i="32"/>
  <c r="P5" i="32" s="1"/>
  <c r="G5" i="29"/>
  <c r="F15" i="30"/>
  <c r="M15" i="30" s="1"/>
  <c r="F14" i="30"/>
  <c r="F26" i="30" s="1"/>
  <c r="E3" i="31"/>
  <c r="E15" i="31" s="1"/>
  <c r="E3" i="32"/>
  <c r="N3" i="32" s="1"/>
  <c r="U3" i="32" s="1"/>
  <c r="E2" i="31"/>
  <c r="E14" i="31" s="1"/>
  <c r="E2" i="32"/>
  <c r="N2" i="32" s="1"/>
  <c r="U2" i="32" s="1"/>
  <c r="F15" i="31"/>
  <c r="N3" i="31"/>
  <c r="F14" i="31"/>
  <c r="L9" i="6"/>
  <c r="L37" i="6"/>
  <c r="DK3" i="4"/>
  <c r="DI30" i="4"/>
  <c r="DJ38" i="4" s="1"/>
  <c r="DI16" i="4"/>
  <c r="DJ37" i="4"/>
  <c r="CT16" i="4"/>
  <c r="CV3" i="4"/>
  <c r="CU16" i="4"/>
  <c r="CT39" i="4" s="1"/>
  <c r="CT30" i="4"/>
  <c r="CE30" i="4"/>
  <c r="CE16" i="4"/>
  <c r="CG3" i="4"/>
  <c r="BP30" i="4"/>
  <c r="BQ38" i="4" s="1"/>
  <c r="BR3" i="4"/>
  <c r="BQ37" i="4"/>
  <c r="BP16" i="4"/>
  <c r="AM9" i="4"/>
  <c r="AM6" i="4"/>
  <c r="AM12" i="4"/>
  <c r="AM24" i="4"/>
  <c r="AM21" i="4"/>
  <c r="BB7" i="4"/>
  <c r="BB14" i="4"/>
  <c r="BB13" i="4"/>
  <c r="BB10" i="4"/>
  <c r="W36" i="4"/>
  <c r="X36" i="4"/>
  <c r="AM27" i="4"/>
  <c r="AM5" i="4"/>
  <c r="AM22" i="4"/>
  <c r="AM13" i="4"/>
  <c r="AM25" i="4"/>
  <c r="AM28" i="4"/>
  <c r="AM8" i="4"/>
  <c r="AM20" i="4"/>
  <c r="AM19" i="4"/>
  <c r="AM10" i="4"/>
  <c r="AM14" i="4"/>
  <c r="AM26" i="4"/>
  <c r="AM11" i="4"/>
  <c r="AM7" i="4"/>
  <c r="AM23" i="4"/>
  <c r="BB22" i="4"/>
  <c r="BB19" i="4"/>
  <c r="BB25" i="4"/>
  <c r="BB8" i="4"/>
  <c r="BB20" i="4"/>
  <c r="BB11" i="4"/>
  <c r="BB23" i="4"/>
  <c r="BB26" i="4"/>
  <c r="BB28" i="4"/>
  <c r="BB6" i="4"/>
  <c r="BB24" i="4"/>
  <c r="BB21" i="4"/>
  <c r="BB9" i="4"/>
  <c r="BB27" i="4"/>
  <c r="BB12" i="4"/>
  <c r="BB5" i="4"/>
  <c r="BA16" i="4"/>
  <c r="BA30" i="4"/>
  <c r="BC3" i="4"/>
  <c r="AL30" i="4"/>
  <c r="AM38" i="4" s="1"/>
  <c r="AN3" i="4"/>
  <c r="AL16" i="4"/>
  <c r="AL38" i="4" s="1"/>
  <c r="P5" i="41" s="1"/>
  <c r="AA19" i="4"/>
  <c r="AA6" i="4"/>
  <c r="AA23" i="4"/>
  <c r="AA27" i="4"/>
  <c r="AA5" i="4"/>
  <c r="AB3" i="4"/>
  <c r="AA11" i="4"/>
  <c r="AA9" i="4"/>
  <c r="AA25" i="4"/>
  <c r="AA13" i="4"/>
  <c r="AA7" i="4"/>
  <c r="AA26" i="4"/>
  <c r="AA10" i="4"/>
  <c r="AA12" i="4"/>
  <c r="AA28" i="4"/>
  <c r="AA21" i="4"/>
  <c r="AA24" i="4"/>
  <c r="AA14" i="4"/>
  <c r="AA22" i="4"/>
  <c r="AA20" i="4"/>
  <c r="AA8" i="4"/>
  <c r="Z30" i="4"/>
  <c r="X41" i="4" s="1"/>
  <c r="P5" i="29" l="1"/>
  <c r="U5" i="29" s="1"/>
  <c r="E27" i="30"/>
  <c r="L27" i="30" s="1"/>
  <c r="F27" i="32"/>
  <c r="O27" i="32" s="1"/>
  <c r="F26" i="32"/>
  <c r="O26" i="32" s="1"/>
  <c r="F26" i="43"/>
  <c r="O26" i="43" s="1"/>
  <c r="E14" i="43"/>
  <c r="N14" i="43" s="1"/>
  <c r="F4" i="44"/>
  <c r="P4" i="44" s="1"/>
  <c r="F4" i="43"/>
  <c r="O4" i="43" s="1"/>
  <c r="F27" i="43"/>
  <c r="O27" i="43" s="1"/>
  <c r="E5" i="45"/>
  <c r="P5" i="45" s="1"/>
  <c r="E5" i="44"/>
  <c r="O5" i="44" s="1"/>
  <c r="F27" i="44"/>
  <c r="P27" i="44" s="1"/>
  <c r="E14" i="44"/>
  <c r="O14" i="44" s="1"/>
  <c r="F26" i="45"/>
  <c r="Q26" i="45" s="1"/>
  <c r="E27" i="43"/>
  <c r="N27" i="43" s="1"/>
  <c r="F27" i="45"/>
  <c r="Q27" i="45" s="1"/>
  <c r="E14" i="45"/>
  <c r="P14" i="45" s="1"/>
  <c r="E15" i="44"/>
  <c r="O15" i="44" s="1"/>
  <c r="E14" i="30"/>
  <c r="E26" i="30" s="1"/>
  <c r="F26" i="44"/>
  <c r="P26" i="44" s="1"/>
  <c r="E15" i="45"/>
  <c r="P15" i="45" s="1"/>
  <c r="Q15" i="30"/>
  <c r="AV7" i="1"/>
  <c r="G6" i="29"/>
  <c r="G6" i="32"/>
  <c r="P6" i="32" s="1"/>
  <c r="F27" i="30"/>
  <c r="F39" i="30" s="1"/>
  <c r="M14" i="30"/>
  <c r="M3" i="31"/>
  <c r="S3" i="31" s="1"/>
  <c r="M2" i="31"/>
  <c r="S2" i="31" s="1"/>
  <c r="E15" i="32"/>
  <c r="N15" i="32" s="1"/>
  <c r="E14" i="32"/>
  <c r="N14" i="32" s="1"/>
  <c r="E5" i="31"/>
  <c r="E17" i="31" s="1"/>
  <c r="E5" i="32"/>
  <c r="N5" i="32" s="1"/>
  <c r="F26" i="31"/>
  <c r="N14" i="31"/>
  <c r="E26" i="31"/>
  <c r="M14" i="31"/>
  <c r="E27" i="31"/>
  <c r="M15" i="31"/>
  <c r="F27" i="31"/>
  <c r="N15" i="31"/>
  <c r="F4" i="30"/>
  <c r="M4" i="30" s="1"/>
  <c r="F4" i="31"/>
  <c r="F38" i="30"/>
  <c r="M26" i="30"/>
  <c r="L10" i="6"/>
  <c r="L38" i="6"/>
  <c r="DL3" i="4"/>
  <c r="DJ30" i="4"/>
  <c r="DJ39" i="4" s="1"/>
  <c r="DJ16" i="4"/>
  <c r="DI39" i="4" s="1"/>
  <c r="DI38" i="4"/>
  <c r="CU30" i="4"/>
  <c r="CU39" i="4" s="1"/>
  <c r="CT38" i="4"/>
  <c r="CU38" i="4"/>
  <c r="CW3" i="4"/>
  <c r="CE38" i="4"/>
  <c r="CH3" i="4"/>
  <c r="CF16" i="4"/>
  <c r="CE39" i="4" s="1"/>
  <c r="CF38" i="4"/>
  <c r="CF30" i="4"/>
  <c r="CF39" i="4" s="1"/>
  <c r="BQ30" i="4"/>
  <c r="BQ39" i="4" s="1"/>
  <c r="BS3" i="4"/>
  <c r="BQ16" i="4"/>
  <c r="BP39" i="4" s="1"/>
  <c r="BP38" i="4"/>
  <c r="AN6" i="4"/>
  <c r="AN9" i="4"/>
  <c r="AN21" i="4"/>
  <c r="AN12" i="4"/>
  <c r="BC26" i="4"/>
  <c r="BC14" i="4"/>
  <c r="BC11" i="4"/>
  <c r="BC7" i="4"/>
  <c r="BC10" i="4"/>
  <c r="AN24" i="4"/>
  <c r="AN27" i="4"/>
  <c r="AN19" i="4"/>
  <c r="AN10" i="4"/>
  <c r="AN22" i="4"/>
  <c r="AN13" i="4"/>
  <c r="AN25" i="4"/>
  <c r="AN28" i="4"/>
  <c r="AN5" i="4"/>
  <c r="AN14" i="4"/>
  <c r="AN26" i="4"/>
  <c r="AN11" i="4"/>
  <c r="AN7" i="4"/>
  <c r="AN8" i="4"/>
  <c r="AN23" i="4"/>
  <c r="AN20" i="4"/>
  <c r="BC19" i="4"/>
  <c r="BC22" i="4"/>
  <c r="BC13" i="4"/>
  <c r="BC5" i="4"/>
  <c r="BC8" i="4"/>
  <c r="BC20" i="4"/>
  <c r="BC23" i="4"/>
  <c r="BC25" i="4"/>
  <c r="BC28" i="4"/>
  <c r="BC6" i="4"/>
  <c r="BC24" i="4"/>
  <c r="BC21" i="4"/>
  <c r="BC9" i="4"/>
  <c r="BC12" i="4"/>
  <c r="BC27" i="4"/>
  <c r="BD3" i="4"/>
  <c r="BB16" i="4"/>
  <c r="BA39" i="4" s="1"/>
  <c r="BA38" i="4"/>
  <c r="BB38" i="4"/>
  <c r="BB30" i="4"/>
  <c r="BB39" i="4" s="1"/>
  <c r="AM30" i="4"/>
  <c r="AM39" i="4" s="1"/>
  <c r="AM16" i="4"/>
  <c r="AL39" i="4" s="1"/>
  <c r="P6" i="41" s="1"/>
  <c r="AO3" i="4"/>
  <c r="AB23" i="4"/>
  <c r="AB19" i="4"/>
  <c r="AB6" i="4"/>
  <c r="AB27" i="4"/>
  <c r="AB5" i="4"/>
  <c r="AC3" i="4"/>
  <c r="AB21" i="4"/>
  <c r="AB10" i="4"/>
  <c r="AB26" i="4"/>
  <c r="AB14" i="4"/>
  <c r="AB20" i="4"/>
  <c r="AB9" i="4"/>
  <c r="AB22" i="4"/>
  <c r="AB8" i="4"/>
  <c r="AB11" i="4"/>
  <c r="AB28" i="4"/>
  <c r="AB13" i="4"/>
  <c r="AB7" i="4"/>
  <c r="AB12" i="4"/>
  <c r="AB24" i="4"/>
  <c r="AB25" i="4"/>
  <c r="AA16" i="4"/>
  <c r="AA30" i="4"/>
  <c r="X42" i="4" s="1"/>
  <c r="P6" i="29" l="1"/>
  <c r="U6" i="29" s="1"/>
  <c r="E39" i="30"/>
  <c r="E51" i="30" s="1"/>
  <c r="F39" i="32"/>
  <c r="O39" i="32" s="1"/>
  <c r="F38" i="32"/>
  <c r="O38" i="32" s="1"/>
  <c r="L14" i="30"/>
  <c r="Q14" i="30" s="1"/>
  <c r="S14" i="31"/>
  <c r="E26" i="44"/>
  <c r="O26" i="44" s="1"/>
  <c r="F38" i="44"/>
  <c r="P38" i="44" s="1"/>
  <c r="F38" i="45"/>
  <c r="Q38" i="45" s="1"/>
  <c r="E5" i="30"/>
  <c r="L5" i="30" s="1"/>
  <c r="E5" i="43"/>
  <c r="N5" i="43" s="1"/>
  <c r="E4" i="44"/>
  <c r="O4" i="44" s="1"/>
  <c r="E4" i="45"/>
  <c r="P4" i="45" s="1"/>
  <c r="E26" i="45"/>
  <c r="P26" i="45" s="1"/>
  <c r="F16" i="43"/>
  <c r="O16" i="43" s="1"/>
  <c r="E17" i="44"/>
  <c r="O17" i="44" s="1"/>
  <c r="F16" i="44"/>
  <c r="P16" i="44" s="1"/>
  <c r="E27" i="44"/>
  <c r="O27" i="44" s="1"/>
  <c r="E26" i="43"/>
  <c r="N26" i="43" s="1"/>
  <c r="F39" i="44"/>
  <c r="P39" i="44" s="1"/>
  <c r="E17" i="45"/>
  <c r="P17" i="45" s="1"/>
  <c r="F39" i="45"/>
  <c r="Q39" i="45" s="1"/>
  <c r="F39" i="43"/>
  <c r="O39" i="43" s="1"/>
  <c r="E39" i="43"/>
  <c r="N39" i="43" s="1"/>
  <c r="F5" i="32"/>
  <c r="O5" i="32" s="1"/>
  <c r="U5" i="32" s="1"/>
  <c r="F5" i="45"/>
  <c r="Q5" i="45" s="1"/>
  <c r="F4" i="32"/>
  <c r="O4" i="32" s="1"/>
  <c r="F4" i="45"/>
  <c r="Q4" i="45" s="1"/>
  <c r="E27" i="45"/>
  <c r="P27" i="45" s="1"/>
  <c r="E4" i="30"/>
  <c r="E16" i="30" s="1"/>
  <c r="E4" i="43"/>
  <c r="N4" i="43" s="1"/>
  <c r="F5" i="43"/>
  <c r="O5" i="43" s="1"/>
  <c r="F5" i="44"/>
  <c r="P5" i="44" s="1"/>
  <c r="F38" i="43"/>
  <c r="O38" i="43" s="1"/>
  <c r="S15" i="31"/>
  <c r="AV8" i="1"/>
  <c r="G7" i="29"/>
  <c r="G7" i="32"/>
  <c r="P7" i="32" s="1"/>
  <c r="M27" i="30"/>
  <c r="Q27" i="30" s="1"/>
  <c r="M5" i="31"/>
  <c r="E17" i="32"/>
  <c r="N17" i="32" s="1"/>
  <c r="E26" i="32"/>
  <c r="N26" i="32" s="1"/>
  <c r="E27" i="32"/>
  <c r="N27" i="32" s="1"/>
  <c r="E4" i="31"/>
  <c r="M4" i="31" s="1"/>
  <c r="E4" i="32"/>
  <c r="N4" i="32" s="1"/>
  <c r="F16" i="30"/>
  <c r="M16" i="30" s="1"/>
  <c r="F39" i="31"/>
  <c r="N27" i="31"/>
  <c r="F16" i="31"/>
  <c r="N4" i="31"/>
  <c r="E39" i="31"/>
  <c r="M27" i="31"/>
  <c r="E38" i="31"/>
  <c r="M26" i="31"/>
  <c r="F38" i="31"/>
  <c r="N26" i="31"/>
  <c r="E29" i="31"/>
  <c r="M17" i="31"/>
  <c r="F5" i="30"/>
  <c r="F17" i="30" s="1"/>
  <c r="F5" i="31"/>
  <c r="F51" i="30"/>
  <c r="M39" i="30"/>
  <c r="F50" i="30"/>
  <c r="M38" i="30"/>
  <c r="E38" i="30"/>
  <c r="L26" i="30"/>
  <c r="Q26" i="30" s="1"/>
  <c r="L11" i="6"/>
  <c r="L39" i="6"/>
  <c r="DK30" i="4"/>
  <c r="DM3" i="4"/>
  <c r="DK16" i="4"/>
  <c r="CV30" i="4"/>
  <c r="CU40" i="4" s="1"/>
  <c r="CV16" i="4"/>
  <c r="CX3" i="4"/>
  <c r="CI3" i="4"/>
  <c r="CG16" i="4"/>
  <c r="CG30" i="4"/>
  <c r="CF40" i="4" s="1"/>
  <c r="BR16" i="4"/>
  <c r="BS30" i="4"/>
  <c r="BQ41" i="4" s="1"/>
  <c r="BT3" i="4"/>
  <c r="BR30" i="4"/>
  <c r="BQ40" i="4" s="1"/>
  <c r="BD7" i="4"/>
  <c r="BD8" i="4"/>
  <c r="BD14" i="4"/>
  <c r="BD23" i="4"/>
  <c r="BD11" i="4"/>
  <c r="BD26" i="4"/>
  <c r="AO28" i="4"/>
  <c r="AO12" i="4"/>
  <c r="AO6" i="4"/>
  <c r="AO13" i="4"/>
  <c r="AO9" i="4"/>
  <c r="W42" i="4"/>
  <c r="AO21" i="4"/>
  <c r="AO24" i="4"/>
  <c r="AO7" i="4"/>
  <c r="AO19" i="4"/>
  <c r="AO10" i="4"/>
  <c r="AO22" i="4"/>
  <c r="AO25" i="4"/>
  <c r="AO27" i="4"/>
  <c r="AO14" i="4"/>
  <c r="AO26" i="4"/>
  <c r="AO11" i="4"/>
  <c r="AO8" i="4"/>
  <c r="AO23" i="4"/>
  <c r="AO5" i="4"/>
  <c r="AO20" i="4"/>
  <c r="BD10" i="4"/>
  <c r="BD27" i="4"/>
  <c r="BD5" i="4"/>
  <c r="BD16" i="4" s="1"/>
  <c r="BA41" i="4" s="1"/>
  <c r="BD19" i="4"/>
  <c r="BD20" i="4"/>
  <c r="BD22" i="4"/>
  <c r="BD13" i="4"/>
  <c r="BD25" i="4"/>
  <c r="BD28" i="4"/>
  <c r="BD6" i="4"/>
  <c r="BD21" i="4"/>
  <c r="BD9" i="4"/>
  <c r="BD12" i="4"/>
  <c r="BD24" i="4"/>
  <c r="BE3" i="4"/>
  <c r="BC16" i="4"/>
  <c r="BC30" i="4"/>
  <c r="BB40" i="4" s="1"/>
  <c r="AP3" i="4"/>
  <c r="AN16" i="4"/>
  <c r="AL40" i="4" s="1"/>
  <c r="P7" i="41" s="1"/>
  <c r="AN30" i="4"/>
  <c r="AM40" i="4" s="1"/>
  <c r="AC5" i="4"/>
  <c r="AD3" i="4"/>
  <c r="AC19" i="4"/>
  <c r="AC6" i="4"/>
  <c r="AC23" i="4"/>
  <c r="AC27" i="4"/>
  <c r="AC13" i="4"/>
  <c r="AC26" i="4"/>
  <c r="AC7" i="4"/>
  <c r="AC22" i="4"/>
  <c r="AC12" i="4"/>
  <c r="AC25" i="4"/>
  <c r="AC11" i="4"/>
  <c r="AC10" i="4"/>
  <c r="AC24" i="4"/>
  <c r="AC20" i="4"/>
  <c r="AC14" i="4"/>
  <c r="AC28" i="4"/>
  <c r="AC21" i="4"/>
  <c r="AC8" i="4"/>
  <c r="AC9" i="4"/>
  <c r="AB16" i="4"/>
  <c r="W43" i="4" s="1"/>
  <c r="AB30" i="4"/>
  <c r="P7" i="29" l="1"/>
  <c r="U7" i="29" s="1"/>
  <c r="L39" i="30"/>
  <c r="Q39" i="30" s="1"/>
  <c r="F51" i="32"/>
  <c r="O51" i="32" s="1"/>
  <c r="F17" i="32"/>
  <c r="O17" i="32" s="1"/>
  <c r="F16" i="32"/>
  <c r="O16" i="32" s="1"/>
  <c r="F50" i="32"/>
  <c r="O50" i="32" s="1"/>
  <c r="E51" i="43"/>
  <c r="N51" i="43" s="1"/>
  <c r="F50" i="43"/>
  <c r="O50" i="43" s="1"/>
  <c r="E29" i="45"/>
  <c r="P29" i="45" s="1"/>
  <c r="E38" i="45"/>
  <c r="P38" i="45" s="1"/>
  <c r="E16" i="43"/>
  <c r="N16" i="43" s="1"/>
  <c r="F28" i="43"/>
  <c r="O28" i="43" s="1"/>
  <c r="F6" i="32"/>
  <c r="O6" i="32" s="1"/>
  <c r="F6" i="45"/>
  <c r="Q6" i="45" s="1"/>
  <c r="L4" i="30"/>
  <c r="Q4" i="30" s="1"/>
  <c r="E38" i="43"/>
  <c r="N38" i="43" s="1"/>
  <c r="F50" i="45"/>
  <c r="Q50" i="45" s="1"/>
  <c r="E29" i="44"/>
  <c r="O29" i="44" s="1"/>
  <c r="E16" i="44"/>
  <c r="O16" i="44" s="1"/>
  <c r="F16" i="45"/>
  <c r="Q16" i="45" s="1"/>
  <c r="F50" i="44"/>
  <c r="P50" i="44" s="1"/>
  <c r="F17" i="44"/>
  <c r="P17" i="44" s="1"/>
  <c r="E17" i="43"/>
  <c r="N17" i="43" s="1"/>
  <c r="E39" i="45"/>
  <c r="P39" i="45" s="1"/>
  <c r="E39" i="44"/>
  <c r="O39" i="44" s="1"/>
  <c r="F51" i="43"/>
  <c r="O51" i="43" s="1"/>
  <c r="F6" i="44"/>
  <c r="P6" i="44" s="1"/>
  <c r="F6" i="43"/>
  <c r="O6" i="43" s="1"/>
  <c r="E16" i="45"/>
  <c r="P16" i="45" s="1"/>
  <c r="F51" i="44"/>
  <c r="P51" i="44" s="1"/>
  <c r="E17" i="30"/>
  <c r="E29" i="30" s="1"/>
  <c r="U4" i="32"/>
  <c r="F17" i="45"/>
  <c r="Q17" i="45" s="1"/>
  <c r="F28" i="44"/>
  <c r="P28" i="44" s="1"/>
  <c r="E38" i="44"/>
  <c r="O38" i="44" s="1"/>
  <c r="F51" i="45"/>
  <c r="Q51" i="45" s="1"/>
  <c r="F17" i="43"/>
  <c r="O17" i="43" s="1"/>
  <c r="S4" i="31"/>
  <c r="S27" i="31"/>
  <c r="S26" i="31"/>
  <c r="AV9" i="1"/>
  <c r="G8" i="32"/>
  <c r="P8" i="32" s="1"/>
  <c r="G8" i="29"/>
  <c r="F28" i="30"/>
  <c r="M28" i="30" s="1"/>
  <c r="E16" i="32"/>
  <c r="N16" i="32" s="1"/>
  <c r="E38" i="32"/>
  <c r="N38" i="32" s="1"/>
  <c r="E29" i="32"/>
  <c r="N29" i="32" s="1"/>
  <c r="E39" i="32"/>
  <c r="N39" i="32" s="1"/>
  <c r="E16" i="31"/>
  <c r="M16" i="31" s="1"/>
  <c r="E41" i="31"/>
  <c r="M29" i="31"/>
  <c r="F17" i="31"/>
  <c r="N5" i="31"/>
  <c r="S5" i="31" s="1"/>
  <c r="F50" i="31"/>
  <c r="N38" i="31"/>
  <c r="M5" i="30"/>
  <c r="Q5" i="30" s="1"/>
  <c r="E50" i="31"/>
  <c r="M38" i="31"/>
  <c r="E51" i="31"/>
  <c r="M39" i="31"/>
  <c r="F28" i="31"/>
  <c r="N16" i="31"/>
  <c r="F51" i="31"/>
  <c r="N39" i="31"/>
  <c r="F6" i="30"/>
  <c r="F18" i="30" s="1"/>
  <c r="F6" i="31"/>
  <c r="E63" i="30"/>
  <c r="L51" i="30"/>
  <c r="E28" i="30"/>
  <c r="L16" i="30"/>
  <c r="Q16" i="30" s="1"/>
  <c r="E50" i="30"/>
  <c r="L38" i="30"/>
  <c r="Q38" i="30" s="1"/>
  <c r="F62" i="30"/>
  <c r="M50" i="30"/>
  <c r="F63" i="30"/>
  <c r="M51" i="30"/>
  <c r="F29" i="30"/>
  <c r="M17" i="30"/>
  <c r="L12" i="6"/>
  <c r="L40" i="6"/>
  <c r="DL16" i="4"/>
  <c r="DI41" i="4" s="1"/>
  <c r="DI40" i="4"/>
  <c r="DN3" i="4"/>
  <c r="DJ40" i="4"/>
  <c r="DL30" i="4"/>
  <c r="DJ41" i="4" s="1"/>
  <c r="CW16" i="4"/>
  <c r="CT41" i="4" s="1"/>
  <c r="CT40" i="4"/>
  <c r="CX16" i="4"/>
  <c r="CT42" i="4" s="1"/>
  <c r="CY3" i="4"/>
  <c r="CW30" i="4"/>
  <c r="CH16" i="4"/>
  <c r="CE41" i="4" s="1"/>
  <c r="CE40" i="4"/>
  <c r="CH30" i="4"/>
  <c r="CF41" i="4" s="1"/>
  <c r="CJ3" i="4"/>
  <c r="BS16" i="4"/>
  <c r="BP41" i="4" s="1"/>
  <c r="BU3" i="4"/>
  <c r="BP40" i="4"/>
  <c r="AP6" i="4"/>
  <c r="AP28" i="4"/>
  <c r="AP25" i="4"/>
  <c r="AP9" i="4"/>
  <c r="AP13" i="4"/>
  <c r="AP10" i="4"/>
  <c r="BE26" i="4"/>
  <c r="BE23" i="4"/>
  <c r="BE11" i="4"/>
  <c r="BE8" i="4"/>
  <c r="BE20" i="4"/>
  <c r="BE14" i="4"/>
  <c r="X43" i="4"/>
  <c r="AP21" i="4"/>
  <c r="AP12" i="4"/>
  <c r="AP7" i="4"/>
  <c r="AP19" i="4"/>
  <c r="AP22" i="4"/>
  <c r="AP24" i="4"/>
  <c r="AP27" i="4"/>
  <c r="AP14" i="4"/>
  <c r="AP26" i="4"/>
  <c r="AP11" i="4"/>
  <c r="AP8" i="4"/>
  <c r="AP5" i="4"/>
  <c r="AP23" i="4"/>
  <c r="AP20" i="4"/>
  <c r="BE7" i="4"/>
  <c r="BE24" i="4"/>
  <c r="BE27" i="4"/>
  <c r="BE5" i="4"/>
  <c r="BE19" i="4"/>
  <c r="BE10" i="4"/>
  <c r="BE13" i="4"/>
  <c r="BE25" i="4"/>
  <c r="BE12" i="4"/>
  <c r="BE21" i="4"/>
  <c r="BE28" i="4"/>
  <c r="BE6" i="4"/>
  <c r="BE22" i="4"/>
  <c r="BE9" i="4"/>
  <c r="BD30" i="4"/>
  <c r="BB41" i="4" s="1"/>
  <c r="BA40" i="4"/>
  <c r="BF3" i="4"/>
  <c r="AO16" i="4"/>
  <c r="AL41" i="4" s="1"/>
  <c r="P8" i="41" s="1"/>
  <c r="AQ3" i="4"/>
  <c r="AO30" i="4"/>
  <c r="AM41" i="4" s="1"/>
  <c r="AC30" i="4"/>
  <c r="X44" i="4" s="1"/>
  <c r="AD5" i="4"/>
  <c r="AE3" i="4"/>
  <c r="AD19" i="4"/>
  <c r="AD28" i="4"/>
  <c r="AD6" i="4"/>
  <c r="AD20" i="4"/>
  <c r="AD24" i="4"/>
  <c r="AD21" i="4"/>
  <c r="AD11" i="4"/>
  <c r="AD26" i="4"/>
  <c r="AD7" i="4"/>
  <c r="AD13" i="4"/>
  <c r="AD10" i="4"/>
  <c r="AD25" i="4"/>
  <c r="AD9" i="4"/>
  <c r="AD27" i="4"/>
  <c r="AD23" i="4"/>
  <c r="AD22" i="4"/>
  <c r="AD12" i="4"/>
  <c r="AD14" i="4"/>
  <c r="AD8" i="4"/>
  <c r="AC16" i="4"/>
  <c r="P8" i="29" l="1"/>
  <c r="U8" i="29" s="1"/>
  <c r="F28" i="32"/>
  <c r="O28" i="32" s="1"/>
  <c r="F63" i="32"/>
  <c r="O63" i="32" s="1"/>
  <c r="F29" i="32"/>
  <c r="O29" i="32" s="1"/>
  <c r="F62" i="32"/>
  <c r="O62" i="32" s="1"/>
  <c r="L17" i="30"/>
  <c r="Q17" i="30" s="1"/>
  <c r="E29" i="43"/>
  <c r="N29" i="43" s="1"/>
  <c r="F29" i="44"/>
  <c r="P29" i="44" s="1"/>
  <c r="F7" i="32"/>
  <c r="O7" i="32" s="1"/>
  <c r="F7" i="45"/>
  <c r="Q7" i="45" s="1"/>
  <c r="F18" i="44"/>
  <c r="P18" i="44" s="1"/>
  <c r="E41" i="44"/>
  <c r="O41" i="44" s="1"/>
  <c r="E6" i="30"/>
  <c r="E18" i="30" s="1"/>
  <c r="E6" i="43"/>
  <c r="N6" i="43" s="1"/>
  <c r="F63" i="44"/>
  <c r="P63" i="44" s="1"/>
  <c r="E28" i="43"/>
  <c r="N28" i="43" s="1"/>
  <c r="F28" i="45"/>
  <c r="Q28" i="45" s="1"/>
  <c r="F29" i="43"/>
  <c r="O29" i="43" s="1"/>
  <c r="E28" i="44"/>
  <c r="O28" i="44" s="1"/>
  <c r="E41" i="45"/>
  <c r="P41" i="45" s="1"/>
  <c r="E6" i="44"/>
  <c r="O6" i="44" s="1"/>
  <c r="E6" i="45"/>
  <c r="P6" i="45" s="1"/>
  <c r="F63" i="45"/>
  <c r="Q63" i="45" s="1"/>
  <c r="F18" i="32"/>
  <c r="O18" i="32" s="1"/>
  <c r="F40" i="43"/>
  <c r="O40" i="43" s="1"/>
  <c r="F62" i="44"/>
  <c r="P62" i="44" s="1"/>
  <c r="E7" i="30"/>
  <c r="L7" i="30" s="1"/>
  <c r="E7" i="43"/>
  <c r="N7" i="43" s="1"/>
  <c r="F18" i="43"/>
  <c r="O18" i="43" s="1"/>
  <c r="E8" i="45"/>
  <c r="P8" i="45" s="1"/>
  <c r="E8" i="44"/>
  <c r="O8" i="44" s="1"/>
  <c r="E50" i="45"/>
  <c r="P50" i="45" s="1"/>
  <c r="F40" i="44"/>
  <c r="P40" i="44" s="1"/>
  <c r="F62" i="45"/>
  <c r="Q62" i="45" s="1"/>
  <c r="F62" i="43"/>
  <c r="O62" i="43" s="1"/>
  <c r="F7" i="44"/>
  <c r="P7" i="44" s="1"/>
  <c r="F7" i="43"/>
  <c r="O7" i="43" s="1"/>
  <c r="F18" i="45"/>
  <c r="Q18" i="45" s="1"/>
  <c r="E28" i="45"/>
  <c r="P28" i="45" s="1"/>
  <c r="E51" i="44"/>
  <c r="O51" i="44" s="1"/>
  <c r="E51" i="45"/>
  <c r="P51" i="45" s="1"/>
  <c r="E50" i="43"/>
  <c r="N50" i="43" s="1"/>
  <c r="E63" i="43"/>
  <c r="N63" i="43" s="1"/>
  <c r="F63" i="43"/>
  <c r="O63" i="43" s="1"/>
  <c r="E7" i="44"/>
  <c r="O7" i="44" s="1"/>
  <c r="E7" i="45"/>
  <c r="P7" i="45" s="1"/>
  <c r="E50" i="44"/>
  <c r="O50" i="44" s="1"/>
  <c r="F29" i="45"/>
  <c r="Q29" i="45" s="1"/>
  <c r="S38" i="31"/>
  <c r="S16" i="31"/>
  <c r="S39" i="31"/>
  <c r="Q51" i="30"/>
  <c r="AV10" i="1"/>
  <c r="G9" i="32"/>
  <c r="P9" i="32" s="1"/>
  <c r="G9" i="29"/>
  <c r="F40" i="30"/>
  <c r="F52" i="30" s="1"/>
  <c r="E28" i="31"/>
  <c r="E40" i="31" s="1"/>
  <c r="E51" i="32"/>
  <c r="N51" i="32" s="1"/>
  <c r="E41" i="32"/>
  <c r="N41" i="32" s="1"/>
  <c r="E50" i="32"/>
  <c r="N50" i="32" s="1"/>
  <c r="E28" i="32"/>
  <c r="N28" i="32" s="1"/>
  <c r="M6" i="30"/>
  <c r="E7" i="31"/>
  <c r="M7" i="31" s="1"/>
  <c r="E7" i="32"/>
  <c r="N7" i="32" s="1"/>
  <c r="E8" i="31"/>
  <c r="E20" i="31" s="1"/>
  <c r="E8" i="32"/>
  <c r="N8" i="32" s="1"/>
  <c r="E6" i="31"/>
  <c r="M6" i="31" s="1"/>
  <c r="E6" i="32"/>
  <c r="N6" i="32" s="1"/>
  <c r="U6" i="32" s="1"/>
  <c r="F63" i="31"/>
  <c r="N51" i="31"/>
  <c r="F62" i="31"/>
  <c r="N50" i="31"/>
  <c r="F40" i="31"/>
  <c r="N28" i="31"/>
  <c r="E63" i="31"/>
  <c r="M51" i="31"/>
  <c r="E62" i="31"/>
  <c r="M50" i="31"/>
  <c r="F18" i="31"/>
  <c r="N6" i="31"/>
  <c r="F29" i="31"/>
  <c r="N17" i="31"/>
  <c r="S17" i="31" s="1"/>
  <c r="E53" i="31"/>
  <c r="M41" i="31"/>
  <c r="F7" i="30"/>
  <c r="F19" i="30" s="1"/>
  <c r="F7" i="31"/>
  <c r="F75" i="30"/>
  <c r="M63" i="30"/>
  <c r="F74" i="30"/>
  <c r="M62" i="30"/>
  <c r="E40" i="30"/>
  <c r="L28" i="30"/>
  <c r="Q28" i="30" s="1"/>
  <c r="F41" i="30"/>
  <c r="M29" i="30"/>
  <c r="E62" i="30"/>
  <c r="L50" i="30"/>
  <c r="Q50" i="30" s="1"/>
  <c r="E75" i="30"/>
  <c r="L63" i="30"/>
  <c r="E41" i="30"/>
  <c r="L29" i="30"/>
  <c r="F30" i="30"/>
  <c r="M18" i="30"/>
  <c r="L13" i="6"/>
  <c r="L41" i="6"/>
  <c r="DO3" i="4"/>
  <c r="DM16" i="4"/>
  <c r="DM30" i="4"/>
  <c r="DJ42" i="4" s="1"/>
  <c r="CU41" i="4"/>
  <c r="CZ3" i="4"/>
  <c r="CX30" i="4"/>
  <c r="CU42" i="4" s="1"/>
  <c r="CI30" i="4"/>
  <c r="CF42" i="4" s="1"/>
  <c r="CI16" i="4"/>
  <c r="CJ30" i="4"/>
  <c r="CF43" i="4" s="1"/>
  <c r="CK3" i="4"/>
  <c r="BT30" i="4"/>
  <c r="BQ42" i="4" s="1"/>
  <c r="BV3" i="4"/>
  <c r="BT16" i="4"/>
  <c r="W44" i="4"/>
  <c r="AQ10" i="4"/>
  <c r="AQ7" i="4"/>
  <c r="AQ28" i="4"/>
  <c r="AQ22" i="4"/>
  <c r="AQ25" i="4"/>
  <c r="AQ13" i="4"/>
  <c r="AQ6" i="4"/>
  <c r="BF11" i="4"/>
  <c r="BF20" i="4"/>
  <c r="BF23" i="4"/>
  <c r="BF14" i="4"/>
  <c r="BF8" i="4"/>
  <c r="AQ9" i="4"/>
  <c r="AQ26" i="4"/>
  <c r="AQ19" i="4"/>
  <c r="AQ21" i="4"/>
  <c r="AQ12" i="4"/>
  <c r="AQ24" i="4"/>
  <c r="AQ20" i="4"/>
  <c r="AQ8" i="4"/>
  <c r="AQ14" i="4"/>
  <c r="AQ11" i="4"/>
  <c r="AQ27" i="4"/>
  <c r="AQ23" i="4"/>
  <c r="AQ5" i="4"/>
  <c r="BF26" i="4"/>
  <c r="BF21" i="4"/>
  <c r="BF12" i="4"/>
  <c r="BF24" i="4"/>
  <c r="BF27" i="4"/>
  <c r="BF5" i="4"/>
  <c r="BF7" i="4"/>
  <c r="BF19" i="4"/>
  <c r="BF10" i="4"/>
  <c r="BF28" i="4"/>
  <c r="BF6" i="4"/>
  <c r="BF25" i="4"/>
  <c r="BF13" i="4"/>
  <c r="BF22" i="4"/>
  <c r="BF9" i="4"/>
  <c r="BE16" i="4"/>
  <c r="BG3" i="4"/>
  <c r="BE30" i="4"/>
  <c r="BB42" i="4" s="1"/>
  <c r="AP16" i="4"/>
  <c r="AL42" i="4" s="1"/>
  <c r="P9" i="41" s="1"/>
  <c r="AP30" i="4"/>
  <c r="AM42" i="4" s="1"/>
  <c r="AR3" i="4"/>
  <c r="AD30" i="4"/>
  <c r="AE24" i="4"/>
  <c r="AE5" i="4"/>
  <c r="AF3" i="4"/>
  <c r="AE28" i="4"/>
  <c r="AE19" i="4"/>
  <c r="AE6" i="4"/>
  <c r="AE20" i="4"/>
  <c r="AE13" i="4"/>
  <c r="AE26" i="4"/>
  <c r="AE14" i="4"/>
  <c r="AE8" i="4"/>
  <c r="AE27" i="4"/>
  <c r="AE10" i="4"/>
  <c r="AE7" i="4"/>
  <c r="AE12" i="4"/>
  <c r="AE22" i="4"/>
  <c r="AE23" i="4"/>
  <c r="AE9" i="4"/>
  <c r="AE21" i="4"/>
  <c r="AE11" i="4"/>
  <c r="AE25" i="4"/>
  <c r="AD16" i="4"/>
  <c r="W45" i="4" s="1"/>
  <c r="P9" i="29" l="1"/>
  <c r="U9" i="29" s="1"/>
  <c r="F40" i="32"/>
  <c r="O40" i="32" s="1"/>
  <c r="F41" i="32"/>
  <c r="O41" i="32" s="1"/>
  <c r="F75" i="32"/>
  <c r="O75" i="32" s="1"/>
  <c r="F74" i="32"/>
  <c r="O74" i="32" s="1"/>
  <c r="E19" i="30"/>
  <c r="E31" i="30" s="1"/>
  <c r="F30" i="32"/>
  <c r="O30" i="32" s="1"/>
  <c r="F19" i="32"/>
  <c r="O19" i="32" s="1"/>
  <c r="U7" i="32"/>
  <c r="F75" i="44"/>
  <c r="P75" i="44" s="1"/>
  <c r="E75" i="43"/>
  <c r="N75" i="43" s="1"/>
  <c r="F52" i="44"/>
  <c r="P52" i="44" s="1"/>
  <c r="E63" i="44"/>
  <c r="O63" i="44" s="1"/>
  <c r="E20" i="44"/>
  <c r="O20" i="44" s="1"/>
  <c r="F41" i="45"/>
  <c r="Q41" i="45" s="1"/>
  <c r="E40" i="44"/>
  <c r="O40" i="44" s="1"/>
  <c r="F19" i="45"/>
  <c r="Q19" i="45" s="1"/>
  <c r="F74" i="43"/>
  <c r="O74" i="43" s="1"/>
  <c r="F74" i="45"/>
  <c r="Q74" i="45" s="1"/>
  <c r="E20" i="45"/>
  <c r="P20" i="45" s="1"/>
  <c r="F30" i="43"/>
  <c r="O30" i="43" s="1"/>
  <c r="F52" i="43"/>
  <c r="O52" i="43" s="1"/>
  <c r="F8" i="43"/>
  <c r="O8" i="43" s="1"/>
  <c r="F8" i="44"/>
  <c r="P8" i="44" s="1"/>
  <c r="L6" i="30"/>
  <c r="Q6" i="30" s="1"/>
  <c r="F30" i="45"/>
  <c r="Q30" i="45" s="1"/>
  <c r="E19" i="43"/>
  <c r="N19" i="43" s="1"/>
  <c r="F41" i="43"/>
  <c r="O41" i="43" s="1"/>
  <c r="F41" i="44"/>
  <c r="P41" i="44" s="1"/>
  <c r="F75" i="45"/>
  <c r="Q75" i="45" s="1"/>
  <c r="E53" i="44"/>
  <c r="O53" i="44" s="1"/>
  <c r="F30" i="44"/>
  <c r="P30" i="44" s="1"/>
  <c r="E40" i="45"/>
  <c r="P40" i="45" s="1"/>
  <c r="E19" i="45"/>
  <c r="P19" i="45" s="1"/>
  <c r="F19" i="43"/>
  <c r="O19" i="43" s="1"/>
  <c r="E18" i="44"/>
  <c r="O18" i="44" s="1"/>
  <c r="F8" i="32"/>
  <c r="O8" i="32" s="1"/>
  <c r="U8" i="32" s="1"/>
  <c r="F8" i="45"/>
  <c r="Q8" i="45" s="1"/>
  <c r="E19" i="44"/>
  <c r="O19" i="44" s="1"/>
  <c r="F19" i="44"/>
  <c r="P19" i="44" s="1"/>
  <c r="F74" i="44"/>
  <c r="P74" i="44" s="1"/>
  <c r="F40" i="45"/>
  <c r="Q40" i="45" s="1"/>
  <c r="E18" i="43"/>
  <c r="N18" i="43" s="1"/>
  <c r="E62" i="43"/>
  <c r="N62" i="43" s="1"/>
  <c r="E18" i="45"/>
  <c r="P18" i="45" s="1"/>
  <c r="E63" i="45"/>
  <c r="P63" i="45" s="1"/>
  <c r="E62" i="45"/>
  <c r="P62" i="45" s="1"/>
  <c r="E53" i="45"/>
  <c r="P53" i="45" s="1"/>
  <c r="E62" i="44"/>
  <c r="O62" i="44" s="1"/>
  <c r="F75" i="43"/>
  <c r="O75" i="43" s="1"/>
  <c r="E40" i="43"/>
  <c r="N40" i="43" s="1"/>
  <c r="E41" i="43"/>
  <c r="N41" i="43" s="1"/>
  <c r="S51" i="31"/>
  <c r="S50" i="31"/>
  <c r="S6" i="31"/>
  <c r="Q63" i="30"/>
  <c r="Q29" i="30"/>
  <c r="AV11" i="1"/>
  <c r="G10" i="32"/>
  <c r="P10" i="32" s="1"/>
  <c r="G10" i="29"/>
  <c r="M40" i="30"/>
  <c r="M28" i="31"/>
  <c r="S28" i="31" s="1"/>
  <c r="E19" i="31"/>
  <c r="M19" i="31" s="1"/>
  <c r="M8" i="31"/>
  <c r="E18" i="32"/>
  <c r="N18" i="32" s="1"/>
  <c r="E20" i="32"/>
  <c r="N20" i="32" s="1"/>
  <c r="E19" i="32"/>
  <c r="N19" i="32" s="1"/>
  <c r="E62" i="32"/>
  <c r="N62" i="32" s="1"/>
  <c r="E40" i="32"/>
  <c r="N40" i="32" s="1"/>
  <c r="E53" i="32"/>
  <c r="N53" i="32" s="1"/>
  <c r="E18" i="31"/>
  <c r="E30" i="31" s="1"/>
  <c r="E63" i="32"/>
  <c r="N63" i="32" s="1"/>
  <c r="E74" i="31"/>
  <c r="M62" i="31"/>
  <c r="F19" i="31"/>
  <c r="N7" i="31"/>
  <c r="S7" i="31" s="1"/>
  <c r="E65" i="31"/>
  <c r="M53" i="31"/>
  <c r="F52" i="31"/>
  <c r="N40" i="31"/>
  <c r="M7" i="30"/>
  <c r="Q7" i="30" s="1"/>
  <c r="E75" i="31"/>
  <c r="M63" i="31"/>
  <c r="F41" i="31"/>
  <c r="N29" i="31"/>
  <c r="S29" i="31" s="1"/>
  <c r="F74" i="31"/>
  <c r="N62" i="31"/>
  <c r="F30" i="31"/>
  <c r="N18" i="31"/>
  <c r="E32" i="31"/>
  <c r="M20" i="31"/>
  <c r="E52" i="31"/>
  <c r="M40" i="31"/>
  <c r="F75" i="31"/>
  <c r="N63" i="31"/>
  <c r="F8" i="30"/>
  <c r="F20" i="30" s="1"/>
  <c r="F8" i="31"/>
  <c r="E74" i="30"/>
  <c r="L62" i="30"/>
  <c r="Q62" i="30" s="1"/>
  <c r="F64" i="30"/>
  <c r="M52" i="30"/>
  <c r="F31" i="30"/>
  <c r="M19" i="30"/>
  <c r="F42" i="30"/>
  <c r="M30" i="30"/>
  <c r="F86" i="30"/>
  <c r="M74" i="30"/>
  <c r="F53" i="30"/>
  <c r="M41" i="30"/>
  <c r="E52" i="30"/>
  <c r="L40" i="30"/>
  <c r="E53" i="30"/>
  <c r="L41" i="30"/>
  <c r="E30" i="30"/>
  <c r="L18" i="30"/>
  <c r="Q18" i="30" s="1"/>
  <c r="F87" i="30"/>
  <c r="M75" i="30"/>
  <c r="E87" i="30"/>
  <c r="L75" i="30"/>
  <c r="L14" i="6"/>
  <c r="L42" i="6"/>
  <c r="DN30" i="4"/>
  <c r="DJ43" i="4" s="1"/>
  <c r="DI42" i="4"/>
  <c r="DN16" i="4"/>
  <c r="DI43" i="4" s="1"/>
  <c r="DP3" i="4"/>
  <c r="CY16" i="4"/>
  <c r="CY30" i="4"/>
  <c r="CU43" i="4" s="1"/>
  <c r="DA3" i="4"/>
  <c r="CJ16" i="4"/>
  <c r="CE43" i="4" s="1"/>
  <c r="CL3" i="4"/>
  <c r="CE42" i="4"/>
  <c r="BU16" i="4"/>
  <c r="BP43" i="4" s="1"/>
  <c r="BU30" i="4"/>
  <c r="BQ43" i="4" s="1"/>
  <c r="BW3" i="4"/>
  <c r="BP42" i="4"/>
  <c r="BG14" i="4"/>
  <c r="BG8" i="4"/>
  <c r="BG20" i="4"/>
  <c r="BG11" i="4"/>
  <c r="X45" i="4"/>
  <c r="AR7" i="4"/>
  <c r="AR13" i="4"/>
  <c r="AR25" i="4"/>
  <c r="AR22" i="4"/>
  <c r="AR10" i="4"/>
  <c r="AR19" i="4"/>
  <c r="AR28" i="4"/>
  <c r="AR6" i="4"/>
  <c r="AR23" i="4"/>
  <c r="AR14" i="4"/>
  <c r="AR26" i="4"/>
  <c r="AR9" i="4"/>
  <c r="AR21" i="4"/>
  <c r="AR20" i="4"/>
  <c r="AR27" i="4"/>
  <c r="AR11" i="4"/>
  <c r="AR8" i="4"/>
  <c r="AR12" i="4"/>
  <c r="AR24" i="4"/>
  <c r="AR5" i="4"/>
  <c r="BG5" i="4"/>
  <c r="BG23" i="4"/>
  <c r="BG26" i="4"/>
  <c r="BG9" i="4"/>
  <c r="BG21" i="4"/>
  <c r="BG12" i="4"/>
  <c r="BG24" i="4"/>
  <c r="BG27" i="4"/>
  <c r="BG7" i="4"/>
  <c r="BG19" i="4"/>
  <c r="BG28" i="4"/>
  <c r="BG25" i="4"/>
  <c r="BG13" i="4"/>
  <c r="BG22" i="4"/>
  <c r="BG6" i="4"/>
  <c r="BG10" i="4"/>
  <c r="BF30" i="4"/>
  <c r="BB43" i="4" s="1"/>
  <c r="BF16" i="4"/>
  <c r="BA43" i="4" s="1"/>
  <c r="BH3" i="4"/>
  <c r="BA42" i="4"/>
  <c r="AQ16" i="4"/>
  <c r="AL43" i="4" s="1"/>
  <c r="P10" i="41" s="1"/>
  <c r="AQ30" i="4"/>
  <c r="AM43" i="4" s="1"/>
  <c r="AS3" i="4"/>
  <c r="AF5" i="4"/>
  <c r="AG5" i="4" s="1"/>
  <c r="AF20" i="4"/>
  <c r="AG20" i="4" s="1"/>
  <c r="AF28" i="4"/>
  <c r="AG28" i="4" s="1"/>
  <c r="AF19" i="4"/>
  <c r="AG19" i="4" s="1"/>
  <c r="AF24" i="4"/>
  <c r="AG24" i="4" s="1"/>
  <c r="AF6" i="4"/>
  <c r="AG6" i="4" s="1"/>
  <c r="AF12" i="4"/>
  <c r="AG12" i="4" s="1"/>
  <c r="AF25" i="4"/>
  <c r="AG25" i="4" s="1"/>
  <c r="AF22" i="4"/>
  <c r="AG22" i="4" s="1"/>
  <c r="AF21" i="4"/>
  <c r="AG21" i="4" s="1"/>
  <c r="AF27" i="4"/>
  <c r="AG27" i="4" s="1"/>
  <c r="AF26" i="4"/>
  <c r="AG26" i="4" s="1"/>
  <c r="AF11" i="4"/>
  <c r="AG11" i="4" s="1"/>
  <c r="AF14" i="4"/>
  <c r="AG14" i="4" s="1"/>
  <c r="AF23" i="4"/>
  <c r="AG23" i="4" s="1"/>
  <c r="AF9" i="4"/>
  <c r="AG9" i="4" s="1"/>
  <c r="AF7" i="4"/>
  <c r="AG7" i="4" s="1"/>
  <c r="AF10" i="4"/>
  <c r="AG10" i="4" s="1"/>
  <c r="AF8" i="4"/>
  <c r="AG8" i="4" s="1"/>
  <c r="AF13" i="4"/>
  <c r="AG13" i="4" s="1"/>
  <c r="AE16" i="4"/>
  <c r="W46" i="4" s="1"/>
  <c r="AE30" i="4"/>
  <c r="X46" i="4" s="1"/>
  <c r="P10" i="29" l="1"/>
  <c r="U10" i="29" s="1"/>
  <c r="F86" i="32"/>
  <c r="O86" i="32" s="1"/>
  <c r="F52" i="32"/>
  <c r="O52" i="32" s="1"/>
  <c r="F53" i="32"/>
  <c r="O53" i="32" s="1"/>
  <c r="F87" i="32"/>
  <c r="O87" i="32" s="1"/>
  <c r="F42" i="32"/>
  <c r="O42" i="32" s="1"/>
  <c r="F31" i="32"/>
  <c r="O31" i="32" s="1"/>
  <c r="L19" i="30"/>
  <c r="Q19" i="30" s="1"/>
  <c r="E52" i="45"/>
  <c r="P52" i="45" s="1"/>
  <c r="F42" i="44"/>
  <c r="P42" i="44" s="1"/>
  <c r="F20" i="43"/>
  <c r="O20" i="43" s="1"/>
  <c r="E74" i="44"/>
  <c r="O74" i="44" s="1"/>
  <c r="E74" i="45"/>
  <c r="P74" i="45" s="1"/>
  <c r="E65" i="44"/>
  <c r="O65" i="44" s="1"/>
  <c r="F64" i="43"/>
  <c r="O64" i="43" s="1"/>
  <c r="F53" i="45"/>
  <c r="Q53" i="45" s="1"/>
  <c r="E52" i="44"/>
  <c r="O52" i="44" s="1"/>
  <c r="E65" i="45"/>
  <c r="P65" i="45" s="1"/>
  <c r="F31" i="44"/>
  <c r="P31" i="44" s="1"/>
  <c r="F20" i="44"/>
  <c r="P20" i="44" s="1"/>
  <c r="E31" i="44"/>
  <c r="O31" i="44" s="1"/>
  <c r="F31" i="45"/>
  <c r="Q31" i="45" s="1"/>
  <c r="E30" i="45"/>
  <c r="P30" i="45" s="1"/>
  <c r="E30" i="44"/>
  <c r="O30" i="44" s="1"/>
  <c r="F53" i="44"/>
  <c r="P53" i="44" s="1"/>
  <c r="E32" i="45"/>
  <c r="P32" i="45" s="1"/>
  <c r="F64" i="44"/>
  <c r="P64" i="44" s="1"/>
  <c r="F42" i="43"/>
  <c r="O42" i="43" s="1"/>
  <c r="E53" i="43"/>
  <c r="N53" i="43" s="1"/>
  <c r="E74" i="43"/>
  <c r="N74" i="43" s="1"/>
  <c r="E75" i="45"/>
  <c r="P75" i="45" s="1"/>
  <c r="F53" i="43"/>
  <c r="O53" i="43" s="1"/>
  <c r="E87" i="43"/>
  <c r="N87" i="43" s="1"/>
  <c r="E32" i="44"/>
  <c r="O32" i="44" s="1"/>
  <c r="E52" i="43"/>
  <c r="N52" i="43" s="1"/>
  <c r="F31" i="43"/>
  <c r="O31" i="43" s="1"/>
  <c r="F86" i="45"/>
  <c r="Q86" i="45" s="1"/>
  <c r="F20" i="45"/>
  <c r="Q20" i="45" s="1"/>
  <c r="F9" i="44"/>
  <c r="P9" i="44" s="1"/>
  <c r="F9" i="43"/>
  <c r="O9" i="43" s="1"/>
  <c r="E8" i="30"/>
  <c r="E20" i="30" s="1"/>
  <c r="E8" i="43"/>
  <c r="N8" i="43" s="1"/>
  <c r="E9" i="30"/>
  <c r="E21" i="30" s="1"/>
  <c r="E9" i="43"/>
  <c r="N9" i="43" s="1"/>
  <c r="F20" i="32"/>
  <c r="O20" i="32" s="1"/>
  <c r="F87" i="43"/>
  <c r="O87" i="43" s="1"/>
  <c r="E30" i="43"/>
  <c r="N30" i="43" s="1"/>
  <c r="E31" i="43"/>
  <c r="N31" i="43" s="1"/>
  <c r="F52" i="45"/>
  <c r="Q52" i="45" s="1"/>
  <c r="F86" i="44"/>
  <c r="P86" i="44" s="1"/>
  <c r="F87" i="45"/>
  <c r="Q87" i="45" s="1"/>
  <c r="E75" i="44"/>
  <c r="O75" i="44" s="1"/>
  <c r="F9" i="32"/>
  <c r="O9" i="32" s="1"/>
  <c r="F9" i="45"/>
  <c r="Q9" i="45" s="1"/>
  <c r="E31" i="45"/>
  <c r="P31" i="45" s="1"/>
  <c r="F42" i="45"/>
  <c r="Q42" i="45" s="1"/>
  <c r="F86" i="43"/>
  <c r="O86" i="43" s="1"/>
  <c r="F87" i="44"/>
  <c r="P87" i="44" s="1"/>
  <c r="S62" i="31"/>
  <c r="S63" i="31"/>
  <c r="S40" i="31"/>
  <c r="Q75" i="30"/>
  <c r="Q41" i="30"/>
  <c r="Q40" i="30"/>
  <c r="AV12" i="1"/>
  <c r="G11" i="32"/>
  <c r="P11" i="32" s="1"/>
  <c r="G11" i="29"/>
  <c r="E31" i="31"/>
  <c r="M31" i="31" s="1"/>
  <c r="E74" i="32"/>
  <c r="N74" i="32" s="1"/>
  <c r="M18" i="31"/>
  <c r="S18" i="31" s="1"/>
  <c r="E31" i="32"/>
  <c r="N31" i="32" s="1"/>
  <c r="E75" i="32"/>
  <c r="N75" i="32" s="1"/>
  <c r="E32" i="32"/>
  <c r="N32" i="32" s="1"/>
  <c r="E30" i="32"/>
  <c r="N30" i="32" s="1"/>
  <c r="E65" i="32"/>
  <c r="N65" i="32" s="1"/>
  <c r="E52" i="32"/>
  <c r="N52" i="32" s="1"/>
  <c r="M8" i="30"/>
  <c r="E42" i="31"/>
  <c r="M30" i="31"/>
  <c r="F53" i="31"/>
  <c r="N41" i="31"/>
  <c r="S41" i="31" s="1"/>
  <c r="F86" i="31"/>
  <c r="N74" i="31"/>
  <c r="F87" i="31"/>
  <c r="N75" i="31"/>
  <c r="E87" i="31"/>
  <c r="M75" i="31"/>
  <c r="F64" i="31"/>
  <c r="N52" i="31"/>
  <c r="E77" i="31"/>
  <c r="M65" i="31"/>
  <c r="F31" i="31"/>
  <c r="N19" i="31"/>
  <c r="S19" i="31" s="1"/>
  <c r="F20" i="31"/>
  <c r="N8" i="31"/>
  <c r="S8" i="31" s="1"/>
  <c r="E64" i="31"/>
  <c r="M52" i="31"/>
  <c r="E44" i="31"/>
  <c r="M32" i="31"/>
  <c r="F42" i="31"/>
  <c r="N30" i="31"/>
  <c r="E86" i="31"/>
  <c r="M74" i="31"/>
  <c r="F9" i="30"/>
  <c r="F21" i="30" s="1"/>
  <c r="F9" i="31"/>
  <c r="F98" i="30"/>
  <c r="M86" i="30"/>
  <c r="F32" i="30"/>
  <c r="M20" i="30"/>
  <c r="E64" i="30"/>
  <c r="L52" i="30"/>
  <c r="Q52" i="30" s="1"/>
  <c r="F65" i="30"/>
  <c r="M53" i="30"/>
  <c r="E99" i="30"/>
  <c r="L87" i="30"/>
  <c r="F99" i="30"/>
  <c r="M87" i="30"/>
  <c r="E42" i="30"/>
  <c r="L30" i="30"/>
  <c r="Q30" i="30" s="1"/>
  <c r="E43" i="30"/>
  <c r="L31" i="30"/>
  <c r="F54" i="30"/>
  <c r="M42" i="30"/>
  <c r="F43" i="30"/>
  <c r="M31" i="30"/>
  <c r="F76" i="30"/>
  <c r="M64" i="30"/>
  <c r="E65" i="30"/>
  <c r="L53" i="30"/>
  <c r="E86" i="30"/>
  <c r="L74" i="30"/>
  <c r="Q74" i="30" s="1"/>
  <c r="L15" i="6"/>
  <c r="L43" i="6"/>
  <c r="DO30" i="4"/>
  <c r="DJ44" i="4" s="1"/>
  <c r="DO16" i="4"/>
  <c r="DI44" i="4" s="1"/>
  <c r="DQ3" i="4"/>
  <c r="CZ30" i="4"/>
  <c r="CU44" i="4" s="1"/>
  <c r="CZ16" i="4"/>
  <c r="CT44" i="4" s="1"/>
  <c r="DB3" i="4"/>
  <c r="CT43" i="4"/>
  <c r="CK30" i="4"/>
  <c r="CF44" i="4" s="1"/>
  <c r="CK16" i="4"/>
  <c r="CM3" i="4"/>
  <c r="BV30" i="4"/>
  <c r="BQ44" i="4" s="1"/>
  <c r="BV16" i="4"/>
  <c r="BX3" i="4"/>
  <c r="AS7" i="4"/>
  <c r="AS22" i="4"/>
  <c r="AS10" i="4"/>
  <c r="AS13" i="4"/>
  <c r="BH27" i="4"/>
  <c r="BH12" i="4"/>
  <c r="BH8" i="4"/>
  <c r="BH11" i="4"/>
  <c r="AS19" i="4"/>
  <c r="AS25" i="4"/>
  <c r="AS28" i="4"/>
  <c r="AS20" i="4"/>
  <c r="AS11" i="4"/>
  <c r="AS23" i="4"/>
  <c r="AS14" i="4"/>
  <c r="AS26" i="4"/>
  <c r="AS6" i="4"/>
  <c r="AS21" i="4"/>
  <c r="AS27" i="4"/>
  <c r="AS12" i="4"/>
  <c r="AS8" i="4"/>
  <c r="AS9" i="4"/>
  <c r="AS24" i="4"/>
  <c r="AS5" i="4"/>
  <c r="BH23" i="4"/>
  <c r="BH5" i="4"/>
  <c r="BH20" i="4"/>
  <c r="BH14" i="4"/>
  <c r="BH6" i="4"/>
  <c r="BH9" i="4"/>
  <c r="BH21" i="4"/>
  <c r="BH24" i="4"/>
  <c r="BH26" i="4"/>
  <c r="BH10" i="4"/>
  <c r="BH19" i="4"/>
  <c r="BH25" i="4"/>
  <c r="BH13" i="4"/>
  <c r="BH7" i="4"/>
  <c r="BH22" i="4"/>
  <c r="BH28" i="4"/>
  <c r="BG30" i="4"/>
  <c r="BB44" i="4" s="1"/>
  <c r="BG16" i="4"/>
  <c r="BI3" i="4"/>
  <c r="AR30" i="4"/>
  <c r="AM44" i="4" s="1"/>
  <c r="AR16" i="4"/>
  <c r="AL44" i="4" s="1"/>
  <c r="P11" i="41" s="1"/>
  <c r="AT3" i="4"/>
  <c r="AF30" i="4"/>
  <c r="X47" i="4" s="1"/>
  <c r="AF16" i="4"/>
  <c r="W47" i="4" s="1"/>
  <c r="P11" i="29" l="1"/>
  <c r="U11" i="29" s="1"/>
  <c r="F98" i="32"/>
  <c r="O98" i="32" s="1"/>
  <c r="F99" i="32"/>
  <c r="O99" i="32" s="1"/>
  <c r="F64" i="32"/>
  <c r="O64" i="32" s="1"/>
  <c r="F65" i="32"/>
  <c r="O65" i="32" s="1"/>
  <c r="F43" i="32"/>
  <c r="O43" i="32" s="1"/>
  <c r="F54" i="32"/>
  <c r="O54" i="32" s="1"/>
  <c r="F32" i="32"/>
  <c r="O32" i="32" s="1"/>
  <c r="F98" i="45"/>
  <c r="Q98" i="45" s="1"/>
  <c r="F43" i="45"/>
  <c r="Q43" i="45" s="1"/>
  <c r="E43" i="45"/>
  <c r="P43" i="45" s="1"/>
  <c r="E43" i="44"/>
  <c r="O43" i="44" s="1"/>
  <c r="F21" i="45"/>
  <c r="Q21" i="45" s="1"/>
  <c r="E86" i="45"/>
  <c r="P86" i="45" s="1"/>
  <c r="E86" i="44"/>
  <c r="O86" i="44" s="1"/>
  <c r="E87" i="44"/>
  <c r="O87" i="44" s="1"/>
  <c r="L9" i="30"/>
  <c r="E43" i="43"/>
  <c r="N43" i="43" s="1"/>
  <c r="F76" i="44"/>
  <c r="P76" i="44" s="1"/>
  <c r="F10" i="44"/>
  <c r="P10" i="44" s="1"/>
  <c r="F10" i="43"/>
  <c r="O10" i="43" s="1"/>
  <c r="F21" i="32"/>
  <c r="O21" i="32" s="1"/>
  <c r="E21" i="43"/>
  <c r="N21" i="43" s="1"/>
  <c r="E44" i="44"/>
  <c r="O44" i="44" s="1"/>
  <c r="F10" i="32"/>
  <c r="O10" i="32" s="1"/>
  <c r="F10" i="45"/>
  <c r="Q10" i="45" s="1"/>
  <c r="E99" i="43"/>
  <c r="N99" i="43" s="1"/>
  <c r="F32" i="43"/>
  <c r="O32" i="43" s="1"/>
  <c r="E42" i="43"/>
  <c r="N42" i="43" s="1"/>
  <c r="E77" i="44"/>
  <c r="O77" i="44" s="1"/>
  <c r="E20" i="43"/>
  <c r="N20" i="43" s="1"/>
  <c r="F98" i="44"/>
  <c r="P98" i="44" s="1"/>
  <c r="F21" i="43"/>
  <c r="O21" i="43" s="1"/>
  <c r="F65" i="43"/>
  <c r="O65" i="43" s="1"/>
  <c r="E42" i="44"/>
  <c r="O42" i="44" s="1"/>
  <c r="F54" i="43"/>
  <c r="O54" i="43" s="1"/>
  <c r="E64" i="43"/>
  <c r="N64" i="43" s="1"/>
  <c r="E9" i="45"/>
  <c r="P9" i="45" s="1"/>
  <c r="E9" i="44"/>
  <c r="O9" i="44" s="1"/>
  <c r="F99" i="45"/>
  <c r="Q99" i="45" s="1"/>
  <c r="F21" i="44"/>
  <c r="P21" i="44" s="1"/>
  <c r="F54" i="44"/>
  <c r="P54" i="44" s="1"/>
  <c r="F99" i="43"/>
  <c r="O99" i="43" s="1"/>
  <c r="F32" i="44"/>
  <c r="P32" i="44" s="1"/>
  <c r="E44" i="45"/>
  <c r="P44" i="45" s="1"/>
  <c r="F43" i="44"/>
  <c r="P43" i="44" s="1"/>
  <c r="E77" i="45"/>
  <c r="P77" i="45" s="1"/>
  <c r="L8" i="30"/>
  <c r="Q8" i="30" s="1"/>
  <c r="E87" i="45"/>
  <c r="P87" i="45" s="1"/>
  <c r="E86" i="43"/>
  <c r="N86" i="43" s="1"/>
  <c r="F76" i="43"/>
  <c r="O76" i="43" s="1"/>
  <c r="E10" i="45"/>
  <c r="P10" i="45" s="1"/>
  <c r="E10" i="44"/>
  <c r="O10" i="44" s="1"/>
  <c r="F99" i="44"/>
  <c r="P99" i="44" s="1"/>
  <c r="F64" i="45"/>
  <c r="Q64" i="45" s="1"/>
  <c r="F32" i="45"/>
  <c r="Q32" i="45" s="1"/>
  <c r="E42" i="45"/>
  <c r="P42" i="45" s="1"/>
  <c r="E64" i="44"/>
  <c r="O64" i="44" s="1"/>
  <c r="F98" i="43"/>
  <c r="O98" i="43" s="1"/>
  <c r="F65" i="45"/>
  <c r="Q65" i="45" s="1"/>
  <c r="E65" i="43"/>
  <c r="N65" i="43" s="1"/>
  <c r="F54" i="45"/>
  <c r="Q54" i="45" s="1"/>
  <c r="F43" i="43"/>
  <c r="O43" i="43" s="1"/>
  <c r="F65" i="44"/>
  <c r="P65" i="44" s="1"/>
  <c r="E64" i="45"/>
  <c r="P64" i="45" s="1"/>
  <c r="S74" i="31"/>
  <c r="S75" i="31"/>
  <c r="S30" i="31"/>
  <c r="S52" i="31"/>
  <c r="Q31" i="30"/>
  <c r="Q53" i="30"/>
  <c r="Q87" i="30"/>
  <c r="AV13" i="1"/>
  <c r="G12" i="32"/>
  <c r="P12" i="32" s="1"/>
  <c r="G12" i="29"/>
  <c r="L44" i="6"/>
  <c r="E43" i="31"/>
  <c r="E55" i="31" s="1"/>
  <c r="E42" i="32"/>
  <c r="N42" i="32" s="1"/>
  <c r="E44" i="32"/>
  <c r="N44" i="32" s="1"/>
  <c r="E64" i="32"/>
  <c r="N64" i="32" s="1"/>
  <c r="E87" i="32"/>
  <c r="N87" i="32" s="1"/>
  <c r="E43" i="32"/>
  <c r="N43" i="32" s="1"/>
  <c r="E77" i="32"/>
  <c r="N77" i="32" s="1"/>
  <c r="E86" i="32"/>
  <c r="N86" i="32" s="1"/>
  <c r="E9" i="31"/>
  <c r="M9" i="31" s="1"/>
  <c r="E9" i="32"/>
  <c r="N9" i="32" s="1"/>
  <c r="U9" i="32" s="1"/>
  <c r="E10" i="31"/>
  <c r="M10" i="31" s="1"/>
  <c r="E10" i="32"/>
  <c r="N10" i="32" s="1"/>
  <c r="F43" i="31"/>
  <c r="N31" i="31"/>
  <c r="S31" i="31" s="1"/>
  <c r="E89" i="31"/>
  <c r="M77" i="31"/>
  <c r="E98" i="31"/>
  <c r="M86" i="31"/>
  <c r="M9" i="30"/>
  <c r="F54" i="31"/>
  <c r="N42" i="31"/>
  <c r="F21" i="31"/>
  <c r="N9" i="31"/>
  <c r="F76" i="31"/>
  <c r="N64" i="31"/>
  <c r="F99" i="31"/>
  <c r="N87" i="31"/>
  <c r="F98" i="31"/>
  <c r="N86" i="31"/>
  <c r="F65" i="31"/>
  <c r="N53" i="31"/>
  <c r="S53" i="31" s="1"/>
  <c r="E56" i="31"/>
  <c r="M44" i="31"/>
  <c r="E99" i="31"/>
  <c r="M87" i="31"/>
  <c r="E76" i="31"/>
  <c r="M64" i="31"/>
  <c r="F32" i="31"/>
  <c r="N20" i="31"/>
  <c r="S20" i="31" s="1"/>
  <c r="E54" i="31"/>
  <c r="M42" i="31"/>
  <c r="F10" i="30"/>
  <c r="F22" i="30" s="1"/>
  <c r="F10" i="31"/>
  <c r="E98" i="30"/>
  <c r="L86" i="30"/>
  <c r="Q86" i="30" s="1"/>
  <c r="E54" i="30"/>
  <c r="L42" i="30"/>
  <c r="Q42" i="30" s="1"/>
  <c r="F33" i="30"/>
  <c r="M21" i="30"/>
  <c r="E77" i="30"/>
  <c r="L65" i="30"/>
  <c r="F88" i="30"/>
  <c r="M76" i="30"/>
  <c r="E111" i="30"/>
  <c r="L99" i="30"/>
  <c r="F77" i="30"/>
  <c r="M65" i="30"/>
  <c r="F66" i="30"/>
  <c r="M54" i="30"/>
  <c r="E76" i="30"/>
  <c r="L64" i="30"/>
  <c r="Q64" i="30" s="1"/>
  <c r="F111" i="30"/>
  <c r="M99" i="30"/>
  <c r="F55" i="30"/>
  <c r="M43" i="30"/>
  <c r="E33" i="30"/>
  <c r="L21" i="30"/>
  <c r="E32" i="30"/>
  <c r="L20" i="30"/>
  <c r="Q20" i="30" s="1"/>
  <c r="F44" i="30"/>
  <c r="M32" i="30"/>
  <c r="E55" i="30"/>
  <c r="L43" i="30"/>
  <c r="F110" i="30"/>
  <c r="M98" i="30"/>
  <c r="DP30" i="4"/>
  <c r="DJ45" i="4" s="1"/>
  <c r="DP16" i="4"/>
  <c r="DI45" i="4" s="1"/>
  <c r="DR3" i="4"/>
  <c r="DA30" i="4"/>
  <c r="CU45" i="4" s="1"/>
  <c r="DC3" i="4"/>
  <c r="DA16" i="4"/>
  <c r="CT45" i="4" s="1"/>
  <c r="CL16" i="4"/>
  <c r="CE45" i="4" s="1"/>
  <c r="CL30" i="4"/>
  <c r="CF45" i="4" s="1"/>
  <c r="CE44" i="4"/>
  <c r="CN3" i="4"/>
  <c r="BW30" i="4"/>
  <c r="BQ45" i="4" s="1"/>
  <c r="BP44" i="4"/>
  <c r="BW16" i="4"/>
  <c r="BP45" i="4" s="1"/>
  <c r="BY3" i="4"/>
  <c r="AT13" i="4"/>
  <c r="AT14" i="4"/>
  <c r="AT7" i="4"/>
  <c r="AT10" i="4"/>
  <c r="BI8" i="4"/>
  <c r="BI24" i="4"/>
  <c r="BI12" i="4"/>
  <c r="BI27" i="4"/>
  <c r="BI9" i="4"/>
  <c r="AG16" i="4"/>
  <c r="AG30" i="4"/>
  <c r="AT22" i="4"/>
  <c r="AT19" i="4"/>
  <c r="AT25" i="4"/>
  <c r="AT8" i="4"/>
  <c r="AT20" i="4"/>
  <c r="AT11" i="4"/>
  <c r="AT23" i="4"/>
  <c r="AT26" i="4"/>
  <c r="AT28" i="4"/>
  <c r="AT6" i="4"/>
  <c r="AT21" i="4"/>
  <c r="AT27" i="4"/>
  <c r="AT12" i="4"/>
  <c r="AT9" i="4"/>
  <c r="AT24" i="4"/>
  <c r="AT5" i="4"/>
  <c r="BI5" i="4"/>
  <c r="BI11" i="4"/>
  <c r="BI28" i="4"/>
  <c r="BI6" i="4"/>
  <c r="BI21" i="4"/>
  <c r="BI20" i="4"/>
  <c r="BI23" i="4"/>
  <c r="BI14" i="4"/>
  <c r="BI26" i="4"/>
  <c r="BI10" i="4"/>
  <c r="BI19" i="4"/>
  <c r="BI25" i="4"/>
  <c r="BI13" i="4"/>
  <c r="BI22" i="4"/>
  <c r="BI7" i="4"/>
  <c r="BH30" i="4"/>
  <c r="BB45" i="4" s="1"/>
  <c r="BJ3" i="4"/>
  <c r="BA44" i="4"/>
  <c r="BH16" i="4"/>
  <c r="BA45" i="4" s="1"/>
  <c r="AU3" i="4"/>
  <c r="AS16" i="4"/>
  <c r="AL45" i="4" s="1"/>
  <c r="P12" i="41" s="1"/>
  <c r="AS30" i="4"/>
  <c r="AM45" i="4" s="1"/>
  <c r="P12" i="29" l="1"/>
  <c r="U12" i="29" s="1"/>
  <c r="F110" i="32"/>
  <c r="O110" i="32" s="1"/>
  <c r="F111" i="32"/>
  <c r="O111" i="32" s="1"/>
  <c r="F76" i="32"/>
  <c r="O76" i="32" s="1"/>
  <c r="F55" i="32"/>
  <c r="O55" i="32" s="1"/>
  <c r="F66" i="32"/>
  <c r="O66" i="32" s="1"/>
  <c r="F77" i="32"/>
  <c r="O77" i="32" s="1"/>
  <c r="Q9" i="30"/>
  <c r="F44" i="32"/>
  <c r="O44" i="32" s="1"/>
  <c r="E33" i="43"/>
  <c r="N33" i="43" s="1"/>
  <c r="E99" i="45"/>
  <c r="P99" i="45" s="1"/>
  <c r="E32" i="43"/>
  <c r="N32" i="43" s="1"/>
  <c r="F55" i="43"/>
  <c r="O55" i="43" s="1"/>
  <c r="E89" i="44"/>
  <c r="O89" i="44" s="1"/>
  <c r="E21" i="45"/>
  <c r="P21" i="45" s="1"/>
  <c r="E76" i="43"/>
  <c r="N76" i="43" s="1"/>
  <c r="E55" i="44"/>
  <c r="O55" i="44" s="1"/>
  <c r="E98" i="44"/>
  <c r="O98" i="44" s="1"/>
  <c r="F111" i="45"/>
  <c r="Q111" i="45" s="1"/>
  <c r="F76" i="45"/>
  <c r="Q76" i="45" s="1"/>
  <c r="F55" i="44"/>
  <c r="P55" i="44" s="1"/>
  <c r="E54" i="43"/>
  <c r="N54" i="43" s="1"/>
  <c r="F88" i="44"/>
  <c r="P88" i="44" s="1"/>
  <c r="E55" i="45"/>
  <c r="P55" i="45" s="1"/>
  <c r="F110" i="44"/>
  <c r="P110" i="44" s="1"/>
  <c r="E11" i="30"/>
  <c r="L11" i="30" s="1"/>
  <c r="E11" i="43"/>
  <c r="N11" i="43" s="1"/>
  <c r="F33" i="45"/>
  <c r="Q33" i="45" s="1"/>
  <c r="F66" i="45"/>
  <c r="Q66" i="45" s="1"/>
  <c r="E56" i="45"/>
  <c r="P56" i="45" s="1"/>
  <c r="F66" i="43"/>
  <c r="O66" i="43" s="1"/>
  <c r="F88" i="43"/>
  <c r="O88" i="43" s="1"/>
  <c r="E54" i="45"/>
  <c r="P54" i="45" s="1"/>
  <c r="F44" i="45"/>
  <c r="Q44" i="45" s="1"/>
  <c r="F111" i="44"/>
  <c r="P111" i="44" s="1"/>
  <c r="F44" i="43"/>
  <c r="O44" i="43" s="1"/>
  <c r="E55" i="43"/>
  <c r="N55" i="43" s="1"/>
  <c r="F55" i="45"/>
  <c r="Q55" i="45" s="1"/>
  <c r="F77" i="43"/>
  <c r="O77" i="43" s="1"/>
  <c r="F110" i="43"/>
  <c r="O110" i="43" s="1"/>
  <c r="E56" i="44"/>
  <c r="O56" i="44" s="1"/>
  <c r="E98" i="45"/>
  <c r="P98" i="45" s="1"/>
  <c r="F77" i="44"/>
  <c r="P77" i="44" s="1"/>
  <c r="F11" i="44"/>
  <c r="P11" i="44" s="1"/>
  <c r="F11" i="43"/>
  <c r="O11" i="43" s="1"/>
  <c r="E77" i="43"/>
  <c r="N77" i="43" s="1"/>
  <c r="E22" i="44"/>
  <c r="O22" i="44" s="1"/>
  <c r="E54" i="44"/>
  <c r="O54" i="44" s="1"/>
  <c r="E99" i="44"/>
  <c r="O99" i="44" s="1"/>
  <c r="E10" i="30"/>
  <c r="E22" i="30" s="1"/>
  <c r="E10" i="43"/>
  <c r="N10" i="43" s="1"/>
  <c r="E11" i="44"/>
  <c r="O11" i="44" s="1"/>
  <c r="E11" i="45"/>
  <c r="P11" i="45" s="1"/>
  <c r="E89" i="45"/>
  <c r="P89" i="45" s="1"/>
  <c r="F22" i="43"/>
  <c r="O22" i="43" s="1"/>
  <c r="U10" i="32"/>
  <c r="F77" i="45"/>
  <c r="Q77" i="45" s="1"/>
  <c r="E22" i="45"/>
  <c r="P22" i="45" s="1"/>
  <c r="F44" i="44"/>
  <c r="P44" i="44" s="1"/>
  <c r="E111" i="43"/>
  <c r="N111" i="43" s="1"/>
  <c r="F22" i="45"/>
  <c r="Q22" i="45" s="1"/>
  <c r="F66" i="44"/>
  <c r="P66" i="44" s="1"/>
  <c r="F11" i="32"/>
  <c r="O11" i="32" s="1"/>
  <c r="F11" i="45"/>
  <c r="Q11" i="45" s="1"/>
  <c r="F22" i="32"/>
  <c r="O22" i="32" s="1"/>
  <c r="E76" i="45"/>
  <c r="P76" i="45" s="1"/>
  <c r="F33" i="43"/>
  <c r="O33" i="43" s="1"/>
  <c r="E98" i="43"/>
  <c r="N98" i="43" s="1"/>
  <c r="E76" i="44"/>
  <c r="O76" i="44" s="1"/>
  <c r="F33" i="44"/>
  <c r="P33" i="44" s="1"/>
  <c r="F33" i="32"/>
  <c r="O33" i="32" s="1"/>
  <c r="E21" i="44"/>
  <c r="O21" i="44" s="1"/>
  <c r="F22" i="44"/>
  <c r="P22" i="44" s="1"/>
  <c r="F111" i="43"/>
  <c r="O111" i="43" s="1"/>
  <c r="F110" i="45"/>
  <c r="Q110" i="45" s="1"/>
  <c r="Q99" i="30"/>
  <c r="S86" i="31"/>
  <c r="S87" i="31"/>
  <c r="S64" i="31"/>
  <c r="Q43" i="30"/>
  <c r="S42" i="31"/>
  <c r="S9" i="31"/>
  <c r="Q21" i="30"/>
  <c r="Q65" i="30"/>
  <c r="AV14" i="1"/>
  <c r="G13" i="32"/>
  <c r="P13" i="32" s="1"/>
  <c r="G13" i="29"/>
  <c r="M43" i="31"/>
  <c r="E21" i="31"/>
  <c r="E33" i="31" s="1"/>
  <c r="E22" i="31"/>
  <c r="M22" i="31" s="1"/>
  <c r="E98" i="32"/>
  <c r="N98" i="32" s="1"/>
  <c r="E89" i="32"/>
  <c r="N89" i="32" s="1"/>
  <c r="E55" i="32"/>
  <c r="N55" i="32" s="1"/>
  <c r="E76" i="32"/>
  <c r="N76" i="32" s="1"/>
  <c r="E56" i="32"/>
  <c r="N56" i="32" s="1"/>
  <c r="E99" i="32"/>
  <c r="N99" i="32" s="1"/>
  <c r="E22" i="32"/>
  <c r="N22" i="32" s="1"/>
  <c r="E21" i="32"/>
  <c r="N21" i="32" s="1"/>
  <c r="E54" i="32"/>
  <c r="N54" i="32" s="1"/>
  <c r="M10" i="30"/>
  <c r="E11" i="31"/>
  <c r="M11" i="31" s="1"/>
  <c r="E11" i="32"/>
  <c r="N11" i="32" s="1"/>
  <c r="F44" i="31"/>
  <c r="N32" i="31"/>
  <c r="S32" i="31" s="1"/>
  <c r="F110" i="31"/>
  <c r="N98" i="31"/>
  <c r="E88" i="31"/>
  <c r="M76" i="31"/>
  <c r="F111" i="31"/>
  <c r="N99" i="31"/>
  <c r="F88" i="31"/>
  <c r="N76" i="31"/>
  <c r="F33" i="31"/>
  <c r="N21" i="31"/>
  <c r="E68" i="31"/>
  <c r="M56" i="31"/>
  <c r="F66" i="31"/>
  <c r="N54" i="31"/>
  <c r="E110" i="31"/>
  <c r="M98" i="31"/>
  <c r="E111" i="31"/>
  <c r="M99" i="31"/>
  <c r="F77" i="31"/>
  <c r="N65" i="31"/>
  <c r="S65" i="31" s="1"/>
  <c r="F22" i="31"/>
  <c r="N10" i="31"/>
  <c r="S10" i="31" s="1"/>
  <c r="E101" i="31"/>
  <c r="M89" i="31"/>
  <c r="E66" i="31"/>
  <c r="M54" i="31"/>
  <c r="E67" i="31"/>
  <c r="M55" i="31"/>
  <c r="F55" i="31"/>
  <c r="N43" i="31"/>
  <c r="F11" i="30"/>
  <c r="F23" i="30" s="1"/>
  <c r="F11" i="31"/>
  <c r="F89" i="30"/>
  <c r="M77" i="30"/>
  <c r="E67" i="30"/>
  <c r="L55" i="30"/>
  <c r="F56" i="30"/>
  <c r="M44" i="30"/>
  <c r="F67" i="30"/>
  <c r="M55" i="30"/>
  <c r="F100" i="30"/>
  <c r="M88" i="30"/>
  <c r="F45" i="30"/>
  <c r="M33" i="30"/>
  <c r="E66" i="30"/>
  <c r="L54" i="30"/>
  <c r="Q54" i="30" s="1"/>
  <c r="F78" i="30"/>
  <c r="M66" i="30"/>
  <c r="E44" i="30"/>
  <c r="L32" i="30"/>
  <c r="Q32" i="30" s="1"/>
  <c r="E123" i="30"/>
  <c r="L111" i="30"/>
  <c r="E45" i="30"/>
  <c r="L33" i="30"/>
  <c r="E89" i="30"/>
  <c r="L77" i="30"/>
  <c r="F123" i="30"/>
  <c r="M111" i="30"/>
  <c r="F34" i="30"/>
  <c r="M22" i="30"/>
  <c r="F122" i="30"/>
  <c r="M110" i="30"/>
  <c r="E88" i="30"/>
  <c r="L76" i="30"/>
  <c r="Q76" i="30" s="1"/>
  <c r="E110" i="30"/>
  <c r="L98" i="30"/>
  <c r="Q98" i="30" s="1"/>
  <c r="DS25" i="4"/>
  <c r="DS7" i="4"/>
  <c r="DS27" i="4"/>
  <c r="DS26" i="4"/>
  <c r="DS10" i="4"/>
  <c r="DS8" i="4"/>
  <c r="DS9" i="4"/>
  <c r="DS28" i="4"/>
  <c r="DS20" i="4"/>
  <c r="DS21" i="4"/>
  <c r="DS11" i="4"/>
  <c r="DS22" i="4"/>
  <c r="DS12" i="4"/>
  <c r="DS23" i="4"/>
  <c r="DS13" i="4"/>
  <c r="DS24" i="4"/>
  <c r="DS14" i="4"/>
  <c r="DS6" i="4"/>
  <c r="DQ30" i="4"/>
  <c r="DJ46" i="4" s="1"/>
  <c r="DQ16" i="4"/>
  <c r="DI46" i="4" s="1"/>
  <c r="DB16" i="4"/>
  <c r="CT46" i="4" s="1"/>
  <c r="DD25" i="4"/>
  <c r="DD26" i="4"/>
  <c r="DD7" i="4"/>
  <c r="DD8" i="4"/>
  <c r="DD27" i="4"/>
  <c r="DD28" i="4"/>
  <c r="DD20" i="4"/>
  <c r="DD10" i="4"/>
  <c r="DD21" i="4"/>
  <c r="DD11" i="4"/>
  <c r="DD22" i="4"/>
  <c r="DD13" i="4"/>
  <c r="DD12" i="4"/>
  <c r="DD23" i="4"/>
  <c r="DD6" i="4"/>
  <c r="DD14" i="4"/>
  <c r="DD9" i="4"/>
  <c r="DD24" i="4"/>
  <c r="DB30" i="4"/>
  <c r="CU46" i="4" s="1"/>
  <c r="CM30" i="4"/>
  <c r="CF46" i="4" s="1"/>
  <c r="CO25" i="4"/>
  <c r="CO26" i="4"/>
  <c r="CO28" i="4"/>
  <c r="CO7" i="4"/>
  <c r="CO8" i="4"/>
  <c r="CO27" i="4"/>
  <c r="CO9" i="4"/>
  <c r="CO10" i="4"/>
  <c r="CO21" i="4"/>
  <c r="CO12" i="4"/>
  <c r="CO23" i="4"/>
  <c r="CO13" i="4"/>
  <c r="CO24" i="4"/>
  <c r="CO14" i="4"/>
  <c r="CO6" i="4"/>
  <c r="CO20" i="4"/>
  <c r="CO22" i="4"/>
  <c r="CO11" i="4"/>
  <c r="CM16" i="4"/>
  <c r="CE46" i="4" s="1"/>
  <c r="BX30" i="4"/>
  <c r="BQ46" i="4" s="1"/>
  <c r="BX16" i="4"/>
  <c r="BP46" i="4" s="1"/>
  <c r="BZ25" i="4"/>
  <c r="BZ9" i="4"/>
  <c r="BZ28" i="4"/>
  <c r="BZ20" i="4"/>
  <c r="BZ10" i="4"/>
  <c r="BZ7" i="4"/>
  <c r="BZ26" i="4"/>
  <c r="BZ8" i="4"/>
  <c r="BZ27" i="4"/>
  <c r="BZ11" i="4"/>
  <c r="BZ22" i="4"/>
  <c r="BZ12" i="4"/>
  <c r="BZ21" i="4"/>
  <c r="BZ23" i="4"/>
  <c r="BZ13" i="4"/>
  <c r="BZ24" i="4"/>
  <c r="BZ14" i="4"/>
  <c r="BZ6" i="4"/>
  <c r="BJ12" i="4"/>
  <c r="BJ21" i="4"/>
  <c r="BK21" i="4" s="1"/>
  <c r="BJ6" i="4"/>
  <c r="BK6" i="4" s="1"/>
  <c r="BJ9" i="4"/>
  <c r="BK9" i="4" s="1"/>
  <c r="BJ24" i="4"/>
  <c r="BK24" i="4" s="1"/>
  <c r="BJ27" i="4"/>
  <c r="BK27" i="4" s="1"/>
  <c r="AU7" i="4"/>
  <c r="AV7" i="4" s="1"/>
  <c r="AU26" i="4"/>
  <c r="AV26" i="4" s="1"/>
  <c r="AU10" i="4"/>
  <c r="AU14" i="4"/>
  <c r="AU11" i="4"/>
  <c r="AV11" i="4" s="1"/>
  <c r="AU19" i="4"/>
  <c r="AU22" i="4"/>
  <c r="AV22" i="4" s="1"/>
  <c r="AU13" i="4"/>
  <c r="AV13" i="4" s="1"/>
  <c r="AU5" i="4"/>
  <c r="AU8" i="4"/>
  <c r="AV8" i="4" s="1"/>
  <c r="AU20" i="4"/>
  <c r="AV20" i="4" s="1"/>
  <c r="AU23" i="4"/>
  <c r="AV23" i="4" s="1"/>
  <c r="AU25" i="4"/>
  <c r="AU24" i="4"/>
  <c r="AV24" i="4" s="1"/>
  <c r="AU6" i="4"/>
  <c r="AV6" i="4" s="1"/>
  <c r="AU21" i="4"/>
  <c r="AV21" i="4" s="1"/>
  <c r="AU27" i="4"/>
  <c r="AV27" i="4" s="1"/>
  <c r="AU12" i="4"/>
  <c r="AV12" i="4" s="1"/>
  <c r="AU28" i="4"/>
  <c r="AU9" i="4"/>
  <c r="AV9" i="4" s="1"/>
  <c r="BJ5" i="4"/>
  <c r="BJ8" i="4"/>
  <c r="BK8" i="4" s="1"/>
  <c r="BJ25" i="4"/>
  <c r="BK25" i="4" s="1"/>
  <c r="BJ28" i="4"/>
  <c r="BK28" i="4" s="1"/>
  <c r="BJ20" i="4"/>
  <c r="BK20" i="4" s="1"/>
  <c r="BJ11" i="4"/>
  <c r="BK11" i="4" s="1"/>
  <c r="BJ23" i="4"/>
  <c r="BK23" i="4" s="1"/>
  <c r="BJ14" i="4"/>
  <c r="BK14" i="4" s="1"/>
  <c r="BJ22" i="4"/>
  <c r="BJ10" i="4"/>
  <c r="BK10" i="4" s="1"/>
  <c r="BJ19" i="4"/>
  <c r="BJ26" i="4"/>
  <c r="BK26" i="4" s="1"/>
  <c r="BJ7" i="4"/>
  <c r="BK7" i="4" s="1"/>
  <c r="BJ13" i="4"/>
  <c r="BK13" i="4" s="1"/>
  <c r="BK12" i="4"/>
  <c r="BK22" i="4"/>
  <c r="BI30" i="4"/>
  <c r="BB46" i="4" s="1"/>
  <c r="BI16" i="4"/>
  <c r="BA46" i="4" s="1"/>
  <c r="AV25" i="4"/>
  <c r="AV10" i="4"/>
  <c r="AV28" i="4"/>
  <c r="AV14" i="4"/>
  <c r="AT16" i="4"/>
  <c r="AL46" i="4" s="1"/>
  <c r="P13" i="41" s="1"/>
  <c r="AT30" i="4"/>
  <c r="AM46" i="4" s="1"/>
  <c r="P13" i="29" l="1"/>
  <c r="U13" i="29" s="1"/>
  <c r="F122" i="32"/>
  <c r="O122" i="32" s="1"/>
  <c r="F67" i="32"/>
  <c r="O67" i="32" s="1"/>
  <c r="F123" i="32"/>
  <c r="O123" i="32" s="1"/>
  <c r="F88" i="32"/>
  <c r="O88" i="32" s="1"/>
  <c r="F89" i="32"/>
  <c r="O89" i="32" s="1"/>
  <c r="F78" i="32"/>
  <c r="O78" i="32" s="1"/>
  <c r="F56" i="32"/>
  <c r="O56" i="32" s="1"/>
  <c r="E23" i="30"/>
  <c r="E35" i="30" s="1"/>
  <c r="L10" i="30"/>
  <c r="Q10" i="30" s="1"/>
  <c r="F23" i="32"/>
  <c r="O23" i="32" s="1"/>
  <c r="F45" i="32"/>
  <c r="O45" i="32" s="1"/>
  <c r="E111" i="44"/>
  <c r="O111" i="44" s="1"/>
  <c r="F12" i="44"/>
  <c r="P12" i="44" s="1"/>
  <c r="F12" i="43"/>
  <c r="O12" i="43" s="1"/>
  <c r="F122" i="43"/>
  <c r="E88" i="43"/>
  <c r="N88" i="43" s="1"/>
  <c r="E88" i="45"/>
  <c r="P88" i="45" s="1"/>
  <c r="E33" i="45"/>
  <c r="P33" i="45" s="1"/>
  <c r="F67" i="45"/>
  <c r="Q67" i="45" s="1"/>
  <c r="F78" i="43"/>
  <c r="O78" i="43" s="1"/>
  <c r="F67" i="44"/>
  <c r="P67" i="44" s="1"/>
  <c r="F78" i="44"/>
  <c r="P78" i="44" s="1"/>
  <c r="F88" i="45"/>
  <c r="Q88" i="45" s="1"/>
  <c r="E33" i="44"/>
  <c r="O33" i="44" s="1"/>
  <c r="E23" i="45"/>
  <c r="P23" i="45" s="1"/>
  <c r="E44" i="43"/>
  <c r="N44" i="43" s="1"/>
  <c r="E66" i="45"/>
  <c r="P66" i="45" s="1"/>
  <c r="F45" i="43"/>
  <c r="O45" i="43" s="1"/>
  <c r="E12" i="30"/>
  <c r="E24" i="30" s="1"/>
  <c r="E12" i="43"/>
  <c r="N12" i="43" s="1"/>
  <c r="F23" i="45"/>
  <c r="Q23" i="45" s="1"/>
  <c r="E68" i="45"/>
  <c r="P68" i="45" s="1"/>
  <c r="E67" i="43"/>
  <c r="N67" i="43" s="1"/>
  <c r="F56" i="43"/>
  <c r="O56" i="43" s="1"/>
  <c r="U11" i="32"/>
  <c r="F34" i="45"/>
  <c r="Q34" i="45" s="1"/>
  <c r="E23" i="44"/>
  <c r="O23" i="44" s="1"/>
  <c r="F89" i="44"/>
  <c r="P89" i="44" s="1"/>
  <c r="F45" i="45"/>
  <c r="Q45" i="45" s="1"/>
  <c r="E111" i="45"/>
  <c r="P111" i="45" s="1"/>
  <c r="F89" i="45"/>
  <c r="Q89" i="45" s="1"/>
  <c r="F100" i="43"/>
  <c r="O100" i="43" s="1"/>
  <c r="F34" i="43"/>
  <c r="O34" i="43" s="1"/>
  <c r="E66" i="43"/>
  <c r="N66" i="43" s="1"/>
  <c r="E101" i="45"/>
  <c r="P101" i="45" s="1"/>
  <c r="F67" i="43"/>
  <c r="O67" i="43" s="1"/>
  <c r="F45" i="44"/>
  <c r="P45" i="44" s="1"/>
  <c r="E22" i="43"/>
  <c r="N22" i="43" s="1"/>
  <c r="F123" i="44"/>
  <c r="E23" i="43"/>
  <c r="N23" i="43" s="1"/>
  <c r="F123" i="45"/>
  <c r="E68" i="44"/>
  <c r="O68" i="44" s="1"/>
  <c r="E66" i="44"/>
  <c r="O66" i="44" s="1"/>
  <c r="F89" i="43"/>
  <c r="O89" i="43" s="1"/>
  <c r="E101" i="44"/>
  <c r="O101" i="44" s="1"/>
  <c r="E89" i="43"/>
  <c r="N89" i="43" s="1"/>
  <c r="F23" i="43"/>
  <c r="O23" i="43" s="1"/>
  <c r="F23" i="44"/>
  <c r="P23" i="44" s="1"/>
  <c r="F78" i="45"/>
  <c r="Q78" i="45" s="1"/>
  <c r="E123" i="43"/>
  <c r="E110" i="45"/>
  <c r="P110" i="45" s="1"/>
  <c r="F56" i="45"/>
  <c r="Q56" i="45" s="1"/>
  <c r="E110" i="44"/>
  <c r="O110" i="44" s="1"/>
  <c r="F56" i="44"/>
  <c r="P56" i="44" s="1"/>
  <c r="E110" i="43"/>
  <c r="N110" i="43" s="1"/>
  <c r="E67" i="44"/>
  <c r="O67" i="44" s="1"/>
  <c r="E34" i="45"/>
  <c r="P34" i="45" s="1"/>
  <c r="E67" i="45"/>
  <c r="P67" i="45" s="1"/>
  <c r="F122" i="45"/>
  <c r="E34" i="44"/>
  <c r="O34" i="44" s="1"/>
  <c r="F100" i="44"/>
  <c r="P100" i="44" s="1"/>
  <c r="F123" i="43"/>
  <c r="F34" i="44"/>
  <c r="P34" i="44" s="1"/>
  <c r="F34" i="32"/>
  <c r="O34" i="32" s="1"/>
  <c r="F12" i="32"/>
  <c r="O12" i="32" s="1"/>
  <c r="F12" i="45"/>
  <c r="Q12" i="45" s="1"/>
  <c r="E12" i="44"/>
  <c r="O12" i="44" s="1"/>
  <c r="E12" i="45"/>
  <c r="P12" i="45" s="1"/>
  <c r="E88" i="44"/>
  <c r="O88" i="44" s="1"/>
  <c r="F122" i="44"/>
  <c r="E45" i="43"/>
  <c r="N45" i="43" s="1"/>
  <c r="S43" i="31"/>
  <c r="S98" i="31"/>
  <c r="Q77" i="30"/>
  <c r="S99" i="31"/>
  <c r="S54" i="31"/>
  <c r="S76" i="31"/>
  <c r="Q33" i="30"/>
  <c r="Q111" i="30"/>
  <c r="Q55" i="30"/>
  <c r="AV15" i="1"/>
  <c r="G14" i="32"/>
  <c r="P14" i="32" s="1"/>
  <c r="U14" i="32" s="1"/>
  <c r="G14" i="29"/>
  <c r="M21" i="31"/>
  <c r="S21" i="31" s="1"/>
  <c r="E34" i="31"/>
  <c r="M34" i="31" s="1"/>
  <c r="E68" i="32"/>
  <c r="N68" i="32" s="1"/>
  <c r="E88" i="32"/>
  <c r="N88" i="32" s="1"/>
  <c r="E23" i="32"/>
  <c r="N23" i="32" s="1"/>
  <c r="E34" i="32"/>
  <c r="N34" i="32" s="1"/>
  <c r="E67" i="32"/>
  <c r="N67" i="32" s="1"/>
  <c r="E33" i="32"/>
  <c r="N33" i="32" s="1"/>
  <c r="E23" i="31"/>
  <c r="E35" i="31" s="1"/>
  <c r="E66" i="32"/>
  <c r="N66" i="32" s="1"/>
  <c r="E111" i="32"/>
  <c r="N111" i="32" s="1"/>
  <c r="E101" i="32"/>
  <c r="N101" i="32" s="1"/>
  <c r="E110" i="32"/>
  <c r="N110" i="32" s="1"/>
  <c r="E12" i="31"/>
  <c r="E24" i="31" s="1"/>
  <c r="E12" i="32"/>
  <c r="N12" i="32" s="1"/>
  <c r="M11" i="30"/>
  <c r="Q11" i="30" s="1"/>
  <c r="E45" i="31"/>
  <c r="M33" i="31"/>
  <c r="F45" i="31"/>
  <c r="N33" i="31"/>
  <c r="F34" i="31"/>
  <c r="N22" i="31"/>
  <c r="S22" i="31" s="1"/>
  <c r="F100" i="31"/>
  <c r="N88" i="31"/>
  <c r="E113" i="31"/>
  <c r="M101" i="31"/>
  <c r="F123" i="31"/>
  <c r="N111" i="31"/>
  <c r="E100" i="31"/>
  <c r="M88" i="31"/>
  <c r="F89" i="31"/>
  <c r="N77" i="31"/>
  <c r="S77" i="31" s="1"/>
  <c r="F67" i="31"/>
  <c r="N55" i="31"/>
  <c r="S55" i="31" s="1"/>
  <c r="E79" i="31"/>
  <c r="M67" i="31"/>
  <c r="F78" i="31"/>
  <c r="N66" i="31"/>
  <c r="F122" i="31"/>
  <c r="N110" i="31"/>
  <c r="F23" i="31"/>
  <c r="N11" i="31"/>
  <c r="S11" i="31" s="1"/>
  <c r="E123" i="31"/>
  <c r="M111" i="31"/>
  <c r="E122" i="31"/>
  <c r="M110" i="31"/>
  <c r="E78" i="31"/>
  <c r="M66" i="31"/>
  <c r="E80" i="31"/>
  <c r="M68" i="31"/>
  <c r="F56" i="31"/>
  <c r="N44" i="31"/>
  <c r="S44" i="31" s="1"/>
  <c r="F12" i="30"/>
  <c r="F24" i="30" s="1"/>
  <c r="F12" i="31"/>
  <c r="F46" i="30"/>
  <c r="M34" i="30"/>
  <c r="F57" i="30"/>
  <c r="M45" i="30"/>
  <c r="E101" i="30"/>
  <c r="L89" i="30"/>
  <c r="E135" i="30"/>
  <c r="L135" i="30" s="1"/>
  <c r="L123" i="30"/>
  <c r="F135" i="30"/>
  <c r="M135" i="30" s="1"/>
  <c r="M123" i="30"/>
  <c r="F112" i="30"/>
  <c r="M100" i="30"/>
  <c r="E57" i="30"/>
  <c r="L45" i="30"/>
  <c r="F79" i="30"/>
  <c r="M67" i="30"/>
  <c r="E79" i="30"/>
  <c r="L67" i="30"/>
  <c r="E78" i="30"/>
  <c r="L66" i="30"/>
  <c r="Q66" i="30" s="1"/>
  <c r="E122" i="30"/>
  <c r="L110" i="30"/>
  <c r="Q110" i="30" s="1"/>
  <c r="E56" i="30"/>
  <c r="L44" i="30"/>
  <c r="Q44" i="30" s="1"/>
  <c r="F134" i="30"/>
  <c r="M134" i="30" s="1"/>
  <c r="M122" i="30"/>
  <c r="E100" i="30"/>
  <c r="L88" i="30"/>
  <c r="Q88" i="30" s="1"/>
  <c r="F68" i="30"/>
  <c r="M56" i="30"/>
  <c r="E34" i="30"/>
  <c r="L22" i="30"/>
  <c r="Q22" i="30" s="1"/>
  <c r="F35" i="30"/>
  <c r="M23" i="30"/>
  <c r="F90" i="30"/>
  <c r="M78" i="30"/>
  <c r="F101" i="30"/>
  <c r="M89" i="30"/>
  <c r="DR30" i="4"/>
  <c r="DS19" i="4"/>
  <c r="DR16" i="4"/>
  <c r="DS5" i="4"/>
  <c r="DC30" i="4"/>
  <c r="DD19" i="4"/>
  <c r="DC16" i="4"/>
  <c r="DD5" i="4"/>
  <c r="CN30" i="4"/>
  <c r="CO19" i="4"/>
  <c r="CN16" i="4"/>
  <c r="CO5" i="4"/>
  <c r="BY30" i="4"/>
  <c r="BZ19" i="4"/>
  <c r="BY16" i="4"/>
  <c r="BZ5" i="4"/>
  <c r="BJ16" i="4"/>
  <c r="BK5" i="4"/>
  <c r="BJ30" i="4"/>
  <c r="BK19" i="4"/>
  <c r="AU30" i="4"/>
  <c r="AV19" i="4"/>
  <c r="AU16" i="4"/>
  <c r="AV5" i="4"/>
  <c r="P14" i="29" l="1"/>
  <c r="U14" i="29" s="1"/>
  <c r="F134" i="32"/>
  <c r="O134" i="32" s="1"/>
  <c r="F135" i="32"/>
  <c r="O135" i="32" s="1"/>
  <c r="F79" i="32"/>
  <c r="O79" i="32" s="1"/>
  <c r="F100" i="32"/>
  <c r="O100" i="32" s="1"/>
  <c r="F101" i="32"/>
  <c r="O101" i="32" s="1"/>
  <c r="F90" i="32"/>
  <c r="O90" i="32" s="1"/>
  <c r="F68" i="32"/>
  <c r="O68" i="32" s="1"/>
  <c r="L23" i="30"/>
  <c r="Q23" i="30" s="1"/>
  <c r="F35" i="32"/>
  <c r="O35" i="32" s="1"/>
  <c r="F57" i="32"/>
  <c r="O57" i="32" s="1"/>
  <c r="L12" i="30"/>
  <c r="F46" i="32"/>
  <c r="O46" i="32" s="1"/>
  <c r="F135" i="45"/>
  <c r="Q135" i="45" s="1"/>
  <c r="Q123" i="45"/>
  <c r="E56" i="43"/>
  <c r="N56" i="43" s="1"/>
  <c r="F24" i="32"/>
  <c r="O24" i="32" s="1"/>
  <c r="E122" i="43"/>
  <c r="F68" i="43"/>
  <c r="O68" i="43" s="1"/>
  <c r="F112" i="43"/>
  <c r="O112" i="43" s="1"/>
  <c r="F135" i="43"/>
  <c r="O135" i="43" s="1"/>
  <c r="O123" i="43"/>
  <c r="E35" i="44"/>
  <c r="O35" i="44" s="1"/>
  <c r="F46" i="45"/>
  <c r="Q46" i="45" s="1"/>
  <c r="E79" i="44"/>
  <c r="O79" i="44" s="1"/>
  <c r="E45" i="45"/>
  <c r="P45" i="45" s="1"/>
  <c r="F135" i="44"/>
  <c r="P135" i="44" s="1"/>
  <c r="P123" i="44"/>
  <c r="F101" i="45"/>
  <c r="Q101" i="45" s="1"/>
  <c r="E45" i="44"/>
  <c r="O45" i="44" s="1"/>
  <c r="E46" i="44"/>
  <c r="O46" i="44" s="1"/>
  <c r="F134" i="43"/>
  <c r="O134" i="43" s="1"/>
  <c r="O122" i="43"/>
  <c r="F68" i="45"/>
  <c r="Q68" i="45" s="1"/>
  <c r="F57" i="44"/>
  <c r="P57" i="44" s="1"/>
  <c r="F35" i="45"/>
  <c r="Q35" i="45" s="1"/>
  <c r="F90" i="44"/>
  <c r="P90" i="44" s="1"/>
  <c r="F24" i="43"/>
  <c r="O24" i="43" s="1"/>
  <c r="F24" i="45"/>
  <c r="Q24" i="45" s="1"/>
  <c r="F57" i="43"/>
  <c r="O57" i="43" s="1"/>
  <c r="E135" i="43"/>
  <c r="N135" i="43" s="1"/>
  <c r="N123" i="43"/>
  <c r="E80" i="44"/>
  <c r="O80" i="44" s="1"/>
  <c r="E46" i="45"/>
  <c r="P46" i="45" s="1"/>
  <c r="F79" i="45"/>
  <c r="Q79" i="45" s="1"/>
  <c r="F90" i="45"/>
  <c r="Q90" i="45" s="1"/>
  <c r="E35" i="43"/>
  <c r="N35" i="43" s="1"/>
  <c r="F46" i="44"/>
  <c r="P46" i="44" s="1"/>
  <c r="F46" i="43"/>
  <c r="O46" i="43" s="1"/>
  <c r="F35" i="43"/>
  <c r="O35" i="43" s="1"/>
  <c r="E100" i="45"/>
  <c r="P100" i="45" s="1"/>
  <c r="F68" i="44"/>
  <c r="P68" i="44" s="1"/>
  <c r="E79" i="43"/>
  <c r="N79" i="43" s="1"/>
  <c r="F134" i="44"/>
  <c r="P134" i="44" s="1"/>
  <c r="P122" i="44"/>
  <c r="F112" i="44"/>
  <c r="P112" i="44" s="1"/>
  <c r="E113" i="44"/>
  <c r="O113" i="44" s="1"/>
  <c r="F100" i="45"/>
  <c r="Q100" i="45" s="1"/>
  <c r="E100" i="44"/>
  <c r="O100" i="44" s="1"/>
  <c r="Q122" i="45"/>
  <c r="F134" i="45"/>
  <c r="Q134" i="45" s="1"/>
  <c r="F101" i="43"/>
  <c r="O101" i="43" s="1"/>
  <c r="F79" i="43"/>
  <c r="O79" i="43" s="1"/>
  <c r="F57" i="45"/>
  <c r="Q57" i="45" s="1"/>
  <c r="E24" i="43"/>
  <c r="N24" i="43" s="1"/>
  <c r="F24" i="44"/>
  <c r="P24" i="44" s="1"/>
  <c r="E78" i="45"/>
  <c r="P78" i="45" s="1"/>
  <c r="E100" i="43"/>
  <c r="N100" i="43" s="1"/>
  <c r="E80" i="45"/>
  <c r="P80" i="45" s="1"/>
  <c r="E123" i="45"/>
  <c r="U12" i="32"/>
  <c r="E24" i="45"/>
  <c r="P24" i="45" s="1"/>
  <c r="E78" i="44"/>
  <c r="O78" i="44" s="1"/>
  <c r="F101" i="44"/>
  <c r="P101" i="44" s="1"/>
  <c r="F90" i="43"/>
  <c r="O90" i="43" s="1"/>
  <c r="E78" i="43"/>
  <c r="N78" i="43" s="1"/>
  <c r="F35" i="44"/>
  <c r="P35" i="44" s="1"/>
  <c r="E57" i="43"/>
  <c r="N57" i="43" s="1"/>
  <c r="E35" i="45"/>
  <c r="P35" i="45" s="1"/>
  <c r="E34" i="43"/>
  <c r="N34" i="43" s="1"/>
  <c r="E101" i="43"/>
  <c r="N101" i="43" s="1"/>
  <c r="E122" i="44"/>
  <c r="E24" i="44"/>
  <c r="O24" i="44" s="1"/>
  <c r="E79" i="45"/>
  <c r="P79" i="45" s="1"/>
  <c r="E122" i="45"/>
  <c r="E113" i="45"/>
  <c r="P113" i="45" s="1"/>
  <c r="F79" i="44"/>
  <c r="P79" i="44" s="1"/>
  <c r="E123" i="44"/>
  <c r="S88" i="31"/>
  <c r="S110" i="31"/>
  <c r="S111" i="31"/>
  <c r="S66" i="31"/>
  <c r="S33" i="31"/>
  <c r="Q67" i="30"/>
  <c r="Q45" i="30"/>
  <c r="Q123" i="30"/>
  <c r="Q89" i="30"/>
  <c r="Q135" i="30"/>
  <c r="AV16" i="1"/>
  <c r="G15" i="32"/>
  <c r="P15" i="32" s="1"/>
  <c r="U15" i="32" s="1"/>
  <c r="G15" i="29"/>
  <c r="E46" i="31"/>
  <c r="E58" i="31" s="1"/>
  <c r="E24" i="32"/>
  <c r="N24" i="32" s="1"/>
  <c r="E46" i="32"/>
  <c r="N46" i="32" s="1"/>
  <c r="E113" i="32"/>
  <c r="N113" i="32" s="1"/>
  <c r="E35" i="32"/>
  <c r="N35" i="32" s="1"/>
  <c r="E100" i="32"/>
  <c r="N100" i="32" s="1"/>
  <c r="E122" i="32"/>
  <c r="N122" i="32" s="1"/>
  <c r="E78" i="32"/>
  <c r="N78" i="32" s="1"/>
  <c r="E123" i="32"/>
  <c r="N123" i="32" s="1"/>
  <c r="E79" i="32"/>
  <c r="N79" i="32" s="1"/>
  <c r="M12" i="31"/>
  <c r="M23" i="31"/>
  <c r="E45" i="32"/>
  <c r="N45" i="32" s="1"/>
  <c r="E80" i="32"/>
  <c r="N80" i="32" s="1"/>
  <c r="E125" i="31"/>
  <c r="M113" i="31"/>
  <c r="F24" i="31"/>
  <c r="N12" i="31"/>
  <c r="F135" i="31"/>
  <c r="N135" i="31" s="1"/>
  <c r="N123" i="31"/>
  <c r="E91" i="31"/>
  <c r="M79" i="31"/>
  <c r="F68" i="31"/>
  <c r="N56" i="31"/>
  <c r="S56" i="31" s="1"/>
  <c r="F46" i="31"/>
  <c r="N34" i="31"/>
  <c r="S34" i="31" s="1"/>
  <c r="E47" i="31"/>
  <c r="M35" i="31"/>
  <c r="E134" i="31"/>
  <c r="M134" i="31" s="1"/>
  <c r="M122" i="31"/>
  <c r="F101" i="31"/>
  <c r="N89" i="31"/>
  <c r="S89" i="31" s="1"/>
  <c r="F57" i="31"/>
  <c r="N45" i="31"/>
  <c r="F35" i="31"/>
  <c r="N23" i="31"/>
  <c r="F90" i="31"/>
  <c r="N78" i="31"/>
  <c r="F112" i="31"/>
  <c r="N100" i="31"/>
  <c r="F79" i="31"/>
  <c r="N67" i="31"/>
  <c r="S67" i="31" s="1"/>
  <c r="E36" i="31"/>
  <c r="M24" i="31"/>
  <c r="M12" i="30"/>
  <c r="F134" i="31"/>
  <c r="N134" i="31" s="1"/>
  <c r="N122" i="31"/>
  <c r="E92" i="31"/>
  <c r="M80" i="31"/>
  <c r="E90" i="31"/>
  <c r="M78" i="31"/>
  <c r="E135" i="31"/>
  <c r="M135" i="31" s="1"/>
  <c r="M123" i="31"/>
  <c r="E112" i="31"/>
  <c r="M100" i="31"/>
  <c r="E57" i="31"/>
  <c r="M45" i="31"/>
  <c r="E69" i="30"/>
  <c r="L57" i="30"/>
  <c r="F124" i="30"/>
  <c r="M112" i="30"/>
  <c r="F113" i="30"/>
  <c r="M101" i="30"/>
  <c r="E36" i="30"/>
  <c r="L24" i="30"/>
  <c r="F102" i="30"/>
  <c r="M90" i="30"/>
  <c r="E134" i="30"/>
  <c r="L134" i="30" s="1"/>
  <c r="Q134" i="30" s="1"/>
  <c r="L122" i="30"/>
  <c r="Q122" i="30" s="1"/>
  <c r="F36" i="30"/>
  <c r="M24" i="30"/>
  <c r="E46" i="30"/>
  <c r="L34" i="30"/>
  <c r="Q34" i="30" s="1"/>
  <c r="E90" i="30"/>
  <c r="L78" i="30"/>
  <c r="Q78" i="30" s="1"/>
  <c r="E68" i="30"/>
  <c r="L56" i="30"/>
  <c r="Q56" i="30" s="1"/>
  <c r="F47" i="30"/>
  <c r="M35" i="30"/>
  <c r="E47" i="30"/>
  <c r="L35" i="30"/>
  <c r="E113" i="30"/>
  <c r="L101" i="30"/>
  <c r="F80" i="30"/>
  <c r="M68" i="30"/>
  <c r="E91" i="30"/>
  <c r="L79" i="30"/>
  <c r="F69" i="30"/>
  <c r="M57" i="30"/>
  <c r="E112" i="30"/>
  <c r="L100" i="30"/>
  <c r="Q100" i="30" s="1"/>
  <c r="F91" i="30"/>
  <c r="M79" i="30"/>
  <c r="F58" i="30"/>
  <c r="M46" i="30"/>
  <c r="DI47" i="4"/>
  <c r="DS16" i="4"/>
  <c r="DJ47" i="4"/>
  <c r="DS30" i="4"/>
  <c r="CT47" i="4"/>
  <c r="DD16" i="4"/>
  <c r="CU47" i="4"/>
  <c r="DD30" i="4"/>
  <c r="CE47" i="4"/>
  <c r="CO16" i="4"/>
  <c r="CF47" i="4"/>
  <c r="CO30" i="4"/>
  <c r="BP47" i="4"/>
  <c r="BZ16" i="4"/>
  <c r="BQ47" i="4"/>
  <c r="BZ30" i="4"/>
  <c r="AV16" i="4"/>
  <c r="AL47" i="4"/>
  <c r="P14" i="41" s="1"/>
  <c r="AV30" i="4"/>
  <c r="AM47" i="4"/>
  <c r="BB47" i="4"/>
  <c r="BK30" i="4"/>
  <c r="BA47" i="4"/>
  <c r="BK16" i="4"/>
  <c r="P15" i="29" l="1"/>
  <c r="U15" i="29" s="1"/>
  <c r="F91" i="32"/>
  <c r="O91" i="32" s="1"/>
  <c r="F102" i="32"/>
  <c r="O102" i="32" s="1"/>
  <c r="F112" i="32"/>
  <c r="O112" i="32" s="1"/>
  <c r="F113" i="32"/>
  <c r="O113" i="32" s="1"/>
  <c r="F80" i="32"/>
  <c r="O80" i="32" s="1"/>
  <c r="F47" i="32"/>
  <c r="O47" i="32" s="1"/>
  <c r="F58" i="32"/>
  <c r="O58" i="32" s="1"/>
  <c r="F69" i="32"/>
  <c r="O69" i="32" s="1"/>
  <c r="Q12" i="30"/>
  <c r="F36" i="32"/>
  <c r="O36" i="32" s="1"/>
  <c r="F113" i="44"/>
  <c r="P113" i="44" s="1"/>
  <c r="F36" i="44"/>
  <c r="P36" i="44" s="1"/>
  <c r="E125" i="44"/>
  <c r="F124" i="44"/>
  <c r="F102" i="45"/>
  <c r="Q102" i="45" s="1"/>
  <c r="E57" i="44"/>
  <c r="O57" i="44" s="1"/>
  <c r="F91" i="44"/>
  <c r="P91" i="44" s="1"/>
  <c r="F91" i="43"/>
  <c r="O91" i="43" s="1"/>
  <c r="F113" i="45"/>
  <c r="Q113" i="45" s="1"/>
  <c r="F80" i="43"/>
  <c r="O80" i="43" s="1"/>
  <c r="E134" i="43"/>
  <c r="N134" i="43" s="1"/>
  <c r="S134" i="43" s="1"/>
  <c r="N122" i="43"/>
  <c r="S122" i="43" s="1"/>
  <c r="E92" i="45"/>
  <c r="P92" i="45" s="1"/>
  <c r="E112" i="43"/>
  <c r="N112" i="43" s="1"/>
  <c r="E112" i="45"/>
  <c r="P112" i="45" s="1"/>
  <c r="E92" i="44"/>
  <c r="O92" i="44" s="1"/>
  <c r="F80" i="45"/>
  <c r="Q80" i="45" s="1"/>
  <c r="E91" i="44"/>
  <c r="O91" i="44" s="1"/>
  <c r="E134" i="44"/>
  <c r="O134" i="44" s="1"/>
  <c r="U134" i="44" s="1"/>
  <c r="O122" i="44"/>
  <c r="U122" i="44" s="1"/>
  <c r="E58" i="44"/>
  <c r="O58" i="44" s="1"/>
  <c r="E113" i="43"/>
  <c r="N113" i="43" s="1"/>
  <c r="E13" i="30"/>
  <c r="E25" i="30" s="1"/>
  <c r="E13" i="43"/>
  <c r="N13" i="43" s="1"/>
  <c r="E135" i="44"/>
  <c r="O135" i="44" s="1"/>
  <c r="U135" i="44" s="1"/>
  <c r="O123" i="44"/>
  <c r="U123" i="44" s="1"/>
  <c r="E46" i="43"/>
  <c r="N46" i="43" s="1"/>
  <c r="F102" i="44"/>
  <c r="P102" i="44" s="1"/>
  <c r="F13" i="32"/>
  <c r="O13" i="32" s="1"/>
  <c r="F13" i="45"/>
  <c r="Q13" i="45" s="1"/>
  <c r="E134" i="45"/>
  <c r="P134" i="45" s="1"/>
  <c r="P122" i="45"/>
  <c r="E135" i="45"/>
  <c r="P135" i="45" s="1"/>
  <c r="P123" i="45"/>
  <c r="F80" i="44"/>
  <c r="P80" i="44" s="1"/>
  <c r="F69" i="44"/>
  <c r="P69" i="44" s="1"/>
  <c r="F47" i="44"/>
  <c r="P47" i="44" s="1"/>
  <c r="E90" i="43"/>
  <c r="N90" i="43" s="1"/>
  <c r="E112" i="44"/>
  <c r="O112" i="44" s="1"/>
  <c r="F47" i="43"/>
  <c r="O47" i="43" s="1"/>
  <c r="S123" i="43"/>
  <c r="E68" i="43"/>
  <c r="N68" i="43" s="1"/>
  <c r="F58" i="44"/>
  <c r="P58" i="44" s="1"/>
  <c r="E36" i="43"/>
  <c r="N36" i="43" s="1"/>
  <c r="E90" i="44"/>
  <c r="O90" i="44" s="1"/>
  <c r="E47" i="43"/>
  <c r="N47" i="43" s="1"/>
  <c r="E47" i="45"/>
  <c r="P47" i="45" s="1"/>
  <c r="F47" i="45"/>
  <c r="Q47" i="45" s="1"/>
  <c r="E57" i="45"/>
  <c r="P57" i="45" s="1"/>
  <c r="S135" i="43"/>
  <c r="F58" i="45"/>
  <c r="Q58" i="45" s="1"/>
  <c r="F36" i="43"/>
  <c r="O36" i="43" s="1"/>
  <c r="E36" i="45"/>
  <c r="P36" i="45" s="1"/>
  <c r="F69" i="45"/>
  <c r="Q69" i="45" s="1"/>
  <c r="E125" i="45"/>
  <c r="F13" i="44"/>
  <c r="P13" i="44" s="1"/>
  <c r="F13" i="43"/>
  <c r="O13" i="43" s="1"/>
  <c r="F91" i="45"/>
  <c r="Q91" i="45" s="1"/>
  <c r="E69" i="43"/>
  <c r="N69" i="43" s="1"/>
  <c r="E58" i="45"/>
  <c r="P58" i="45" s="1"/>
  <c r="E90" i="45"/>
  <c r="P90" i="45" s="1"/>
  <c r="F112" i="45"/>
  <c r="Q112" i="45" s="1"/>
  <c r="F58" i="43"/>
  <c r="O58" i="43" s="1"/>
  <c r="E47" i="44"/>
  <c r="O47" i="44" s="1"/>
  <c r="F36" i="45"/>
  <c r="Q36" i="45" s="1"/>
  <c r="F124" i="43"/>
  <c r="E13" i="45"/>
  <c r="P13" i="45" s="1"/>
  <c r="E13" i="44"/>
  <c r="O13" i="44" s="1"/>
  <c r="E91" i="43"/>
  <c r="N91" i="43" s="1"/>
  <c r="F113" i="43"/>
  <c r="O113" i="43" s="1"/>
  <c r="E91" i="45"/>
  <c r="P91" i="45" s="1"/>
  <c r="E36" i="44"/>
  <c r="O36" i="44" s="1"/>
  <c r="F102" i="43"/>
  <c r="O102" i="43" s="1"/>
  <c r="F69" i="43"/>
  <c r="O69" i="43" s="1"/>
  <c r="S135" i="31"/>
  <c r="S12" i="31"/>
  <c r="S78" i="31"/>
  <c r="S123" i="31"/>
  <c r="S23" i="31"/>
  <c r="S122" i="31"/>
  <c r="S45" i="31"/>
  <c r="S100" i="31"/>
  <c r="S134" i="31"/>
  <c r="Q101" i="30"/>
  <c r="Q35" i="30"/>
  <c r="Q57" i="30"/>
  <c r="Q79" i="30"/>
  <c r="Q24" i="30"/>
  <c r="AV17" i="1"/>
  <c r="G16" i="32"/>
  <c r="P16" i="32" s="1"/>
  <c r="U16" i="32" s="1"/>
  <c r="G16" i="29"/>
  <c r="M46" i="31"/>
  <c r="E134" i="32"/>
  <c r="N134" i="32" s="1"/>
  <c r="E112" i="32"/>
  <c r="N112" i="32" s="1"/>
  <c r="E47" i="32"/>
  <c r="N47" i="32" s="1"/>
  <c r="E92" i="32"/>
  <c r="N92" i="32" s="1"/>
  <c r="E57" i="32"/>
  <c r="N57" i="32" s="1"/>
  <c r="E91" i="32"/>
  <c r="N91" i="32" s="1"/>
  <c r="E125" i="32"/>
  <c r="N125" i="32" s="1"/>
  <c r="E58" i="32"/>
  <c r="N58" i="32" s="1"/>
  <c r="E36" i="32"/>
  <c r="N36" i="32" s="1"/>
  <c r="E135" i="32"/>
  <c r="N135" i="32" s="1"/>
  <c r="E90" i="32"/>
  <c r="N90" i="32" s="1"/>
  <c r="E13" i="31"/>
  <c r="M13" i="31" s="1"/>
  <c r="E13" i="32"/>
  <c r="N13" i="32" s="1"/>
  <c r="E59" i="31"/>
  <c r="M47" i="31"/>
  <c r="F58" i="31"/>
  <c r="N46" i="31"/>
  <c r="E69" i="31"/>
  <c r="M57" i="31"/>
  <c r="F91" i="31"/>
  <c r="N79" i="31"/>
  <c r="S79" i="31" s="1"/>
  <c r="E70" i="31"/>
  <c r="M58" i="31"/>
  <c r="E124" i="31"/>
  <c r="M112" i="31"/>
  <c r="F102" i="31"/>
  <c r="N90" i="31"/>
  <c r="F80" i="31"/>
  <c r="N68" i="31"/>
  <c r="S68" i="31" s="1"/>
  <c r="E48" i="31"/>
  <c r="M36" i="31"/>
  <c r="F47" i="31"/>
  <c r="N35" i="31"/>
  <c r="S35" i="31" s="1"/>
  <c r="F69" i="31"/>
  <c r="N57" i="31"/>
  <c r="E103" i="31"/>
  <c r="M91" i="31"/>
  <c r="E102" i="31"/>
  <c r="M90" i="31"/>
  <c r="F113" i="31"/>
  <c r="N101" i="31"/>
  <c r="S101" i="31" s="1"/>
  <c r="F36" i="31"/>
  <c r="N24" i="31"/>
  <c r="S24" i="31" s="1"/>
  <c r="F124" i="31"/>
  <c r="N112" i="31"/>
  <c r="E104" i="31"/>
  <c r="M92" i="31"/>
  <c r="E137" i="31"/>
  <c r="M137" i="31" s="1"/>
  <c r="M125" i="31"/>
  <c r="F13" i="30"/>
  <c r="F25" i="30" s="1"/>
  <c r="F13" i="31"/>
  <c r="E58" i="30"/>
  <c r="L46" i="30"/>
  <c r="Q46" i="30" s="1"/>
  <c r="E103" i="30"/>
  <c r="L91" i="30"/>
  <c r="E125" i="30"/>
  <c r="L113" i="30"/>
  <c r="E59" i="30"/>
  <c r="L47" i="30"/>
  <c r="F48" i="30"/>
  <c r="M36" i="30"/>
  <c r="F103" i="30"/>
  <c r="M91" i="30"/>
  <c r="F136" i="30"/>
  <c r="M136" i="30" s="1"/>
  <c r="M124" i="30"/>
  <c r="F81" i="30"/>
  <c r="M69" i="30"/>
  <c r="F92" i="30"/>
  <c r="M80" i="30"/>
  <c r="F114" i="30"/>
  <c r="M102" i="30"/>
  <c r="E48" i="30"/>
  <c r="L36" i="30"/>
  <c r="F70" i="30"/>
  <c r="M58" i="30"/>
  <c r="F59" i="30"/>
  <c r="M47" i="30"/>
  <c r="F125" i="30"/>
  <c r="M113" i="30"/>
  <c r="E80" i="30"/>
  <c r="L68" i="30"/>
  <c r="Q68" i="30" s="1"/>
  <c r="E124" i="30"/>
  <c r="L112" i="30"/>
  <c r="Q112" i="30" s="1"/>
  <c r="E102" i="30"/>
  <c r="L90" i="30"/>
  <c r="Q90" i="30" s="1"/>
  <c r="E81" i="30"/>
  <c r="L69" i="30"/>
  <c r="J50" i="6"/>
  <c r="P16" i="29" l="1"/>
  <c r="U16" i="29" s="1"/>
  <c r="F103" i="32"/>
  <c r="O103" i="32" s="1"/>
  <c r="F125" i="32"/>
  <c r="O125" i="32" s="1"/>
  <c r="F114" i="32"/>
  <c r="O114" i="32" s="1"/>
  <c r="F124" i="32"/>
  <c r="O124" i="32" s="1"/>
  <c r="F92" i="32"/>
  <c r="O92" i="32" s="1"/>
  <c r="F59" i="32"/>
  <c r="O59" i="32" s="1"/>
  <c r="F70" i="32"/>
  <c r="O70" i="32" s="1"/>
  <c r="F81" i="32"/>
  <c r="O81" i="32" s="1"/>
  <c r="U13" i="32"/>
  <c r="L13" i="30"/>
  <c r="F48" i="32"/>
  <c r="O48" i="32" s="1"/>
  <c r="F25" i="32"/>
  <c r="O25" i="32" s="1"/>
  <c r="F70" i="43"/>
  <c r="O70" i="43" s="1"/>
  <c r="E59" i="45"/>
  <c r="P59" i="45" s="1"/>
  <c r="F81" i="45"/>
  <c r="Q81" i="45" s="1"/>
  <c r="E25" i="44"/>
  <c r="O25" i="44" s="1"/>
  <c r="E70" i="45"/>
  <c r="P70" i="45" s="1"/>
  <c r="F136" i="43"/>
  <c r="O136" i="43" s="1"/>
  <c r="O124" i="43"/>
  <c r="F124" i="45"/>
  <c r="F103" i="44"/>
  <c r="P103" i="44" s="1"/>
  <c r="F59" i="44"/>
  <c r="P59" i="44" s="1"/>
  <c r="E102" i="45"/>
  <c r="P102" i="45" s="1"/>
  <c r="E48" i="45"/>
  <c r="P48" i="45" s="1"/>
  <c r="F81" i="44"/>
  <c r="P81" i="44" s="1"/>
  <c r="F48" i="43"/>
  <c r="O48" i="43" s="1"/>
  <c r="F92" i="44"/>
  <c r="P92" i="44" s="1"/>
  <c r="E69" i="45"/>
  <c r="P69" i="45" s="1"/>
  <c r="E137" i="44"/>
  <c r="O137" i="44" s="1"/>
  <c r="O125" i="44"/>
  <c r="E124" i="45"/>
  <c r="F114" i="45"/>
  <c r="Q114" i="45" s="1"/>
  <c r="F70" i="45"/>
  <c r="Q70" i="45" s="1"/>
  <c r="E48" i="44"/>
  <c r="O48" i="44" s="1"/>
  <c r="F48" i="45"/>
  <c r="Q48" i="45" s="1"/>
  <c r="F25" i="45"/>
  <c r="Q25" i="45" s="1"/>
  <c r="F92" i="43"/>
  <c r="O92" i="43" s="1"/>
  <c r="F48" i="44"/>
  <c r="P48" i="44" s="1"/>
  <c r="E102" i="43"/>
  <c r="N102" i="43" s="1"/>
  <c r="E102" i="44"/>
  <c r="O102" i="44" s="1"/>
  <c r="E69" i="44"/>
  <c r="O69" i="44" s="1"/>
  <c r="F81" i="43"/>
  <c r="O81" i="43" s="1"/>
  <c r="F70" i="44"/>
  <c r="P70" i="44" s="1"/>
  <c r="F136" i="44"/>
  <c r="P136" i="44" s="1"/>
  <c r="P124" i="44"/>
  <c r="E70" i="44"/>
  <c r="O70" i="44" s="1"/>
  <c r="E81" i="43"/>
  <c r="N81" i="43" s="1"/>
  <c r="F103" i="45"/>
  <c r="Q103" i="45" s="1"/>
  <c r="E103" i="45"/>
  <c r="P103" i="45" s="1"/>
  <c r="E59" i="44"/>
  <c r="O59" i="44" s="1"/>
  <c r="F25" i="43"/>
  <c r="O25" i="43" s="1"/>
  <c r="F59" i="43"/>
  <c r="O59" i="43" s="1"/>
  <c r="E103" i="44"/>
  <c r="O103" i="44" s="1"/>
  <c r="F125" i="45"/>
  <c r="E58" i="43"/>
  <c r="N58" i="43" s="1"/>
  <c r="F125" i="43"/>
  <c r="E25" i="43"/>
  <c r="N25" i="43" s="1"/>
  <c r="E48" i="43"/>
  <c r="N48" i="43" s="1"/>
  <c r="E125" i="43"/>
  <c r="F25" i="44"/>
  <c r="P25" i="44" s="1"/>
  <c r="F59" i="45"/>
  <c r="Q59" i="45" s="1"/>
  <c r="F114" i="44"/>
  <c r="P114" i="44" s="1"/>
  <c r="E59" i="43"/>
  <c r="N59" i="43" s="1"/>
  <c r="E104" i="44"/>
  <c r="O104" i="44" s="1"/>
  <c r="E103" i="43"/>
  <c r="N103" i="43" s="1"/>
  <c r="E124" i="43"/>
  <c r="E104" i="45"/>
  <c r="P104" i="45" s="1"/>
  <c r="E25" i="45"/>
  <c r="P25" i="45" s="1"/>
  <c r="E80" i="43"/>
  <c r="N80" i="43" s="1"/>
  <c r="F114" i="43"/>
  <c r="O114" i="43" s="1"/>
  <c r="P125" i="45"/>
  <c r="E137" i="45"/>
  <c r="P137" i="45" s="1"/>
  <c r="E124" i="44"/>
  <c r="F92" i="45"/>
  <c r="Q92" i="45" s="1"/>
  <c r="F103" i="43"/>
  <c r="O103" i="43" s="1"/>
  <c r="F125" i="44"/>
  <c r="S112" i="31"/>
  <c r="S57" i="31"/>
  <c r="S90" i="31"/>
  <c r="S46" i="31"/>
  <c r="Q91" i="30"/>
  <c r="Q69" i="30"/>
  <c r="Q113" i="30"/>
  <c r="Q36" i="30"/>
  <c r="Q47" i="30"/>
  <c r="AV18" i="1"/>
  <c r="G17" i="32"/>
  <c r="P17" i="32" s="1"/>
  <c r="U17" i="32" s="1"/>
  <c r="G17" i="29"/>
  <c r="E48" i="32"/>
  <c r="N48" i="32" s="1"/>
  <c r="E104" i="32"/>
  <c r="N104" i="32" s="1"/>
  <c r="E25" i="32"/>
  <c r="N25" i="32" s="1"/>
  <c r="E59" i="32"/>
  <c r="N59" i="32" s="1"/>
  <c r="E124" i="32"/>
  <c r="N124" i="32" s="1"/>
  <c r="E70" i="32"/>
  <c r="N70" i="32" s="1"/>
  <c r="E25" i="31"/>
  <c r="E37" i="31" s="1"/>
  <c r="E137" i="32"/>
  <c r="N137" i="32" s="1"/>
  <c r="E69" i="32"/>
  <c r="N69" i="32" s="1"/>
  <c r="E102" i="32"/>
  <c r="N102" i="32" s="1"/>
  <c r="E103" i="32"/>
  <c r="N103" i="32" s="1"/>
  <c r="M13" i="30"/>
  <c r="F114" i="31"/>
  <c r="N102" i="31"/>
  <c r="E136" i="31"/>
  <c r="M136" i="31" s="1"/>
  <c r="M124" i="31"/>
  <c r="F48" i="31"/>
  <c r="N36" i="31"/>
  <c r="S36" i="31" s="1"/>
  <c r="E114" i="31"/>
  <c r="M102" i="31"/>
  <c r="E82" i="31"/>
  <c r="M70" i="31"/>
  <c r="E115" i="31"/>
  <c r="M103" i="31"/>
  <c r="F81" i="31"/>
  <c r="N69" i="31"/>
  <c r="E81" i="31"/>
  <c r="M69" i="31"/>
  <c r="E116" i="31"/>
  <c r="M104" i="31"/>
  <c r="E60" i="31"/>
  <c r="M48" i="31"/>
  <c r="F70" i="31"/>
  <c r="N58" i="31"/>
  <c r="S58" i="31" s="1"/>
  <c r="F125" i="31"/>
  <c r="N113" i="31"/>
  <c r="S113" i="31" s="1"/>
  <c r="F103" i="31"/>
  <c r="N91" i="31"/>
  <c r="S91" i="31" s="1"/>
  <c r="F25" i="31"/>
  <c r="N13" i="31"/>
  <c r="S13" i="31" s="1"/>
  <c r="F59" i="31"/>
  <c r="N47" i="31"/>
  <c r="S47" i="31" s="1"/>
  <c r="F136" i="31"/>
  <c r="N136" i="31" s="1"/>
  <c r="N124" i="31"/>
  <c r="F92" i="31"/>
  <c r="N80" i="31"/>
  <c r="S80" i="31" s="1"/>
  <c r="E71" i="31"/>
  <c r="M59" i="31"/>
  <c r="F115" i="30"/>
  <c r="M103" i="30"/>
  <c r="F82" i="30"/>
  <c r="M70" i="30"/>
  <c r="E93" i="30"/>
  <c r="L81" i="30"/>
  <c r="E71" i="30"/>
  <c r="L59" i="30"/>
  <c r="F126" i="30"/>
  <c r="M114" i="30"/>
  <c r="E92" i="30"/>
  <c r="L80" i="30"/>
  <c r="Q80" i="30" s="1"/>
  <c r="F93" i="30"/>
  <c r="M81" i="30"/>
  <c r="F137" i="30"/>
  <c r="M137" i="30" s="1"/>
  <c r="M125" i="30"/>
  <c r="F71" i="30"/>
  <c r="M59" i="30"/>
  <c r="F60" i="30"/>
  <c r="M48" i="30"/>
  <c r="E60" i="30"/>
  <c r="L48" i="30"/>
  <c r="E114" i="30"/>
  <c r="L102" i="30"/>
  <c r="Q102" i="30" s="1"/>
  <c r="E137" i="30"/>
  <c r="L137" i="30" s="1"/>
  <c r="L125" i="30"/>
  <c r="E136" i="30"/>
  <c r="L136" i="30" s="1"/>
  <c r="Q136" i="30" s="1"/>
  <c r="L124" i="30"/>
  <c r="Q124" i="30" s="1"/>
  <c r="F104" i="30"/>
  <c r="M92" i="30"/>
  <c r="E115" i="30"/>
  <c r="L103" i="30"/>
  <c r="E37" i="30"/>
  <c r="L25" i="30"/>
  <c r="F37" i="30"/>
  <c r="M25" i="30"/>
  <c r="E70" i="30"/>
  <c r="L58" i="30"/>
  <c r="Q58" i="30" s="1"/>
  <c r="G12" i="36"/>
  <c r="E3" i="36"/>
  <c r="D17" i="36"/>
  <c r="D16" i="36"/>
  <c r="D14" i="36"/>
  <c r="C5" i="36" s="1"/>
  <c r="E5" i="36" s="1"/>
  <c r="D13" i="36"/>
  <c r="G13" i="36" s="1"/>
  <c r="D12" i="36"/>
  <c r="C8" i="36"/>
  <c r="E8" i="36" s="1"/>
  <c r="C7" i="36"/>
  <c r="E7" i="36" s="1"/>
  <c r="C3" i="36"/>
  <c r="D4" i="36"/>
  <c r="D5" i="36"/>
  <c r="D6" i="36"/>
  <c r="D7" i="36"/>
  <c r="D8" i="36"/>
  <c r="D3" i="36"/>
  <c r="D9" i="36" s="1"/>
  <c r="G16" i="36"/>
  <c r="G17" i="36"/>
  <c r="D15" i="36"/>
  <c r="C6" i="36" s="1"/>
  <c r="E6" i="36" s="1"/>
  <c r="M22" i="35"/>
  <c r="M30" i="35"/>
  <c r="M31" i="35"/>
  <c r="M32" i="35"/>
  <c r="M10" i="35"/>
  <c r="J29" i="6"/>
  <c r="P17" i="29" l="1"/>
  <c r="U17" i="29" s="1"/>
  <c r="F137" i="32"/>
  <c r="O137" i="32" s="1"/>
  <c r="F115" i="32"/>
  <c r="O115" i="32" s="1"/>
  <c r="F126" i="32"/>
  <c r="O126" i="32" s="1"/>
  <c r="F136" i="32"/>
  <c r="O136" i="32" s="1"/>
  <c r="F104" i="32"/>
  <c r="O104" i="32" s="1"/>
  <c r="F71" i="32"/>
  <c r="O71" i="32" s="1"/>
  <c r="F93" i="32"/>
  <c r="O93" i="32" s="1"/>
  <c r="F82" i="32"/>
  <c r="O82" i="32" s="1"/>
  <c r="Q13" i="30"/>
  <c r="F37" i="32"/>
  <c r="O37" i="32" s="1"/>
  <c r="F60" i="32"/>
  <c r="O60" i="32" s="1"/>
  <c r="F82" i="44"/>
  <c r="P82" i="44" s="1"/>
  <c r="E81" i="45"/>
  <c r="P81" i="45" s="1"/>
  <c r="F137" i="44"/>
  <c r="P137" i="44" s="1"/>
  <c r="U137" i="44" s="1"/>
  <c r="P125" i="44"/>
  <c r="U125" i="44" s="1"/>
  <c r="E37" i="45"/>
  <c r="P37" i="45" s="1"/>
  <c r="E70" i="43"/>
  <c r="N70" i="43" s="1"/>
  <c r="E114" i="43"/>
  <c r="N114" i="43" s="1"/>
  <c r="F126" i="45"/>
  <c r="F93" i="45"/>
  <c r="Q93" i="45" s="1"/>
  <c r="Q124" i="45"/>
  <c r="F136" i="45"/>
  <c r="Q136" i="45" s="1"/>
  <c r="F37" i="45"/>
  <c r="Q37" i="45" s="1"/>
  <c r="E71" i="44"/>
  <c r="O71" i="44" s="1"/>
  <c r="F104" i="44"/>
  <c r="P104" i="44" s="1"/>
  <c r="E116" i="44"/>
  <c r="O116" i="44" s="1"/>
  <c r="E37" i="43"/>
  <c r="N37" i="43" s="1"/>
  <c r="E115" i="45"/>
  <c r="P115" i="45" s="1"/>
  <c r="F115" i="45"/>
  <c r="Q115" i="45" s="1"/>
  <c r="E82" i="45"/>
  <c r="P82" i="45" s="1"/>
  <c r="E116" i="45"/>
  <c r="P116" i="45" s="1"/>
  <c r="F71" i="45"/>
  <c r="Q71" i="45" s="1"/>
  <c r="Q125" i="45"/>
  <c r="F137" i="45"/>
  <c r="Q137" i="45" s="1"/>
  <c r="E93" i="43"/>
  <c r="N93" i="43" s="1"/>
  <c r="E114" i="45"/>
  <c r="P114" i="45" s="1"/>
  <c r="E115" i="43"/>
  <c r="N115" i="43" s="1"/>
  <c r="N125" i="43"/>
  <c r="E137" i="43"/>
  <c r="N137" i="43" s="1"/>
  <c r="F126" i="43"/>
  <c r="E60" i="44"/>
  <c r="O60" i="44" s="1"/>
  <c r="F137" i="43"/>
  <c r="O137" i="43" s="1"/>
  <c r="O125" i="43"/>
  <c r="E37" i="44"/>
  <c r="O37" i="44" s="1"/>
  <c r="F115" i="43"/>
  <c r="O115" i="43" s="1"/>
  <c r="E82" i="44"/>
  <c r="O82" i="44" s="1"/>
  <c r="F60" i="44"/>
  <c r="P60" i="44" s="1"/>
  <c r="E136" i="45"/>
  <c r="P136" i="45" s="1"/>
  <c r="P124" i="45"/>
  <c r="E60" i="43"/>
  <c r="N60" i="43" s="1"/>
  <c r="F93" i="43"/>
  <c r="O93" i="43" s="1"/>
  <c r="F82" i="45"/>
  <c r="Q82" i="45" s="1"/>
  <c r="F104" i="45"/>
  <c r="Q104" i="45" s="1"/>
  <c r="F37" i="44"/>
  <c r="P37" i="44" s="1"/>
  <c r="F71" i="44"/>
  <c r="P71" i="44" s="1"/>
  <c r="E71" i="45"/>
  <c r="P71" i="45" s="1"/>
  <c r="E81" i="44"/>
  <c r="O81" i="44" s="1"/>
  <c r="F93" i="44"/>
  <c r="P93" i="44" s="1"/>
  <c r="E136" i="43"/>
  <c r="N136" i="43" s="1"/>
  <c r="S136" i="43" s="1"/>
  <c r="N124" i="43"/>
  <c r="S124" i="43" s="1"/>
  <c r="E115" i="44"/>
  <c r="O115" i="44" s="1"/>
  <c r="F37" i="43"/>
  <c r="O37" i="43" s="1"/>
  <c r="F60" i="45"/>
  <c r="Q60" i="45" s="1"/>
  <c r="E71" i="43"/>
  <c r="N71" i="43" s="1"/>
  <c r="F60" i="43"/>
  <c r="O60" i="43" s="1"/>
  <c r="E92" i="43"/>
  <c r="N92" i="43" s="1"/>
  <c r="F126" i="44"/>
  <c r="E114" i="44"/>
  <c r="O114" i="44" s="1"/>
  <c r="E60" i="45"/>
  <c r="P60" i="45" s="1"/>
  <c r="E136" i="44"/>
  <c r="O136" i="44" s="1"/>
  <c r="U136" i="44" s="1"/>
  <c r="O124" i="44"/>
  <c r="U124" i="44" s="1"/>
  <c r="F71" i="43"/>
  <c r="O71" i="43" s="1"/>
  <c r="F104" i="43"/>
  <c r="O104" i="43" s="1"/>
  <c r="F115" i="44"/>
  <c r="P115" i="44" s="1"/>
  <c r="F82" i="43"/>
  <c r="O82" i="43" s="1"/>
  <c r="S69" i="31"/>
  <c r="S102" i="31"/>
  <c r="S124" i="31"/>
  <c r="S136" i="31"/>
  <c r="Q125" i="30"/>
  <c r="Q137" i="30"/>
  <c r="Q59" i="30"/>
  <c r="Q48" i="30"/>
  <c r="Q81" i="30"/>
  <c r="Q25" i="30"/>
  <c r="Q103" i="30"/>
  <c r="AV19" i="1"/>
  <c r="G18" i="32"/>
  <c r="P18" i="32" s="1"/>
  <c r="U18" i="32" s="1"/>
  <c r="G18" i="29"/>
  <c r="M25" i="31"/>
  <c r="E81" i="32"/>
  <c r="N81" i="32" s="1"/>
  <c r="E82" i="32"/>
  <c r="N82" i="32" s="1"/>
  <c r="E136" i="32"/>
  <c r="N136" i="32" s="1"/>
  <c r="E115" i="32"/>
  <c r="N115" i="32" s="1"/>
  <c r="E37" i="32"/>
  <c r="N37" i="32" s="1"/>
  <c r="E116" i="32"/>
  <c r="N116" i="32" s="1"/>
  <c r="E71" i="32"/>
  <c r="N71" i="32" s="1"/>
  <c r="E114" i="32"/>
  <c r="N114" i="32" s="1"/>
  <c r="E60" i="32"/>
  <c r="N60" i="32" s="1"/>
  <c r="F71" i="31"/>
  <c r="N59" i="31"/>
  <c r="S59" i="31" s="1"/>
  <c r="E49" i="31"/>
  <c r="M37" i="31"/>
  <c r="E93" i="31"/>
  <c r="M81" i="31"/>
  <c r="E127" i="31"/>
  <c r="M115" i="31"/>
  <c r="F37" i="31"/>
  <c r="N25" i="31"/>
  <c r="F93" i="31"/>
  <c r="N81" i="31"/>
  <c r="E94" i="31"/>
  <c r="M82" i="31"/>
  <c r="F137" i="31"/>
  <c r="N137" i="31" s="1"/>
  <c r="S137" i="31" s="1"/>
  <c r="N125" i="31"/>
  <c r="S125" i="31" s="1"/>
  <c r="F60" i="31"/>
  <c r="N48" i="31"/>
  <c r="S48" i="31" s="1"/>
  <c r="F104" i="31"/>
  <c r="N92" i="31"/>
  <c r="S92" i="31" s="1"/>
  <c r="E72" i="31"/>
  <c r="M60" i="31"/>
  <c r="F115" i="31"/>
  <c r="N103" i="31"/>
  <c r="S103" i="31" s="1"/>
  <c r="E126" i="31"/>
  <c r="M114" i="31"/>
  <c r="F82" i="31"/>
  <c r="N70" i="31"/>
  <c r="S70" i="31" s="1"/>
  <c r="E83" i="31"/>
  <c r="M71" i="31"/>
  <c r="E128" i="31"/>
  <c r="M116" i="31"/>
  <c r="F126" i="31"/>
  <c r="N114" i="31"/>
  <c r="E127" i="30"/>
  <c r="L115" i="30"/>
  <c r="F116" i="30"/>
  <c r="M104" i="30"/>
  <c r="E104" i="30"/>
  <c r="L92" i="30"/>
  <c r="Q92" i="30" s="1"/>
  <c r="F138" i="30"/>
  <c r="M138" i="30" s="1"/>
  <c r="M126" i="30"/>
  <c r="E126" i="30"/>
  <c r="L114" i="30"/>
  <c r="Q114" i="30" s="1"/>
  <c r="E72" i="30"/>
  <c r="L60" i="30"/>
  <c r="F105" i="30"/>
  <c r="M93" i="30"/>
  <c r="E83" i="30"/>
  <c r="L71" i="30"/>
  <c r="E82" i="30"/>
  <c r="L70" i="30"/>
  <c r="Q70" i="30" s="1"/>
  <c r="E105" i="30"/>
  <c r="L93" i="30"/>
  <c r="F49" i="30"/>
  <c r="M37" i="30"/>
  <c r="F72" i="30"/>
  <c r="M60" i="30"/>
  <c r="F94" i="30"/>
  <c r="M82" i="30"/>
  <c r="E49" i="30"/>
  <c r="L37" i="30"/>
  <c r="F83" i="30"/>
  <c r="M71" i="30"/>
  <c r="F127" i="30"/>
  <c r="M115" i="30"/>
  <c r="G15" i="36"/>
  <c r="G14" i="36"/>
  <c r="C4" i="36"/>
  <c r="E4" i="36" s="1"/>
  <c r="E9" i="36" s="1"/>
  <c r="C9" i="36"/>
  <c r="P18" i="29" l="1"/>
  <c r="U18" i="29" s="1"/>
  <c r="F127" i="32"/>
  <c r="O127" i="32" s="1"/>
  <c r="F116" i="32"/>
  <c r="O116" i="32" s="1"/>
  <c r="F138" i="32"/>
  <c r="O138" i="32" s="1"/>
  <c r="F83" i="32"/>
  <c r="O83" i="32" s="1"/>
  <c r="F105" i="32"/>
  <c r="O105" i="32" s="1"/>
  <c r="F94" i="32"/>
  <c r="O94" i="32" s="1"/>
  <c r="F49" i="32"/>
  <c r="O49" i="32" s="1"/>
  <c r="F72" i="32"/>
  <c r="O72" i="32" s="1"/>
  <c r="P126" i="44"/>
  <c r="F138" i="44"/>
  <c r="P138" i="44" s="1"/>
  <c r="E49" i="44"/>
  <c r="O49" i="44" s="1"/>
  <c r="E105" i="43"/>
  <c r="N105" i="43" s="1"/>
  <c r="E49" i="43"/>
  <c r="N49" i="43" s="1"/>
  <c r="F138" i="45"/>
  <c r="Q138" i="45" s="1"/>
  <c r="Q126" i="45"/>
  <c r="F105" i="44"/>
  <c r="P105" i="44" s="1"/>
  <c r="F94" i="45"/>
  <c r="Q94" i="45" s="1"/>
  <c r="E126" i="43"/>
  <c r="E82" i="43"/>
  <c r="N82" i="43" s="1"/>
  <c r="F116" i="44"/>
  <c r="P116" i="44" s="1"/>
  <c r="E72" i="44"/>
  <c r="O72" i="44" s="1"/>
  <c r="F127" i="44"/>
  <c r="E104" i="43"/>
  <c r="N104" i="43" s="1"/>
  <c r="E93" i="44"/>
  <c r="O93" i="44" s="1"/>
  <c r="E83" i="43"/>
  <c r="N83" i="43" s="1"/>
  <c r="E49" i="45"/>
  <c r="P49" i="45" s="1"/>
  <c r="O126" i="43"/>
  <c r="F138" i="43"/>
  <c r="O138" i="43" s="1"/>
  <c r="S137" i="43"/>
  <c r="E72" i="45"/>
  <c r="P72" i="45" s="1"/>
  <c r="F49" i="43"/>
  <c r="O49" i="43" s="1"/>
  <c r="F72" i="44"/>
  <c r="P72" i="44" s="1"/>
  <c r="S125" i="43"/>
  <c r="E94" i="45"/>
  <c r="P94" i="45" s="1"/>
  <c r="F49" i="45"/>
  <c r="Q49" i="45" s="1"/>
  <c r="E83" i="44"/>
  <c r="O83" i="44" s="1"/>
  <c r="F72" i="45"/>
  <c r="Q72" i="45" s="1"/>
  <c r="E94" i="44"/>
  <c r="O94" i="44" s="1"/>
  <c r="E127" i="43"/>
  <c r="F127" i="45"/>
  <c r="E93" i="45"/>
  <c r="P93" i="45" s="1"/>
  <c r="E72" i="43"/>
  <c r="N72" i="43" s="1"/>
  <c r="F49" i="44"/>
  <c r="P49" i="44" s="1"/>
  <c r="E83" i="45"/>
  <c r="P83" i="45" s="1"/>
  <c r="F83" i="44"/>
  <c r="P83" i="44" s="1"/>
  <c r="E126" i="44"/>
  <c r="E127" i="45"/>
  <c r="F94" i="44"/>
  <c r="P94" i="44" s="1"/>
  <c r="F94" i="43"/>
  <c r="O94" i="43" s="1"/>
  <c r="F105" i="43"/>
  <c r="O105" i="43" s="1"/>
  <c r="E128" i="44"/>
  <c r="F83" i="45"/>
  <c r="Q83" i="45" s="1"/>
  <c r="F116" i="43"/>
  <c r="O116" i="43" s="1"/>
  <c r="F72" i="43"/>
  <c r="O72" i="43" s="1"/>
  <c r="F83" i="43"/>
  <c r="O83" i="43" s="1"/>
  <c r="E128" i="45"/>
  <c r="E127" i="44"/>
  <c r="F116" i="45"/>
  <c r="Q116" i="45" s="1"/>
  <c r="F127" i="43"/>
  <c r="E126" i="45"/>
  <c r="F105" i="45"/>
  <c r="Q105" i="45" s="1"/>
  <c r="S114" i="31"/>
  <c r="S81" i="31"/>
  <c r="Q71" i="30"/>
  <c r="S25" i="31"/>
  <c r="Q115" i="30"/>
  <c r="Q60" i="30"/>
  <c r="Q37" i="30"/>
  <c r="Q93" i="30"/>
  <c r="AV20" i="1"/>
  <c r="G19" i="32"/>
  <c r="P19" i="32" s="1"/>
  <c r="U19" i="32" s="1"/>
  <c r="G19" i="29"/>
  <c r="E126" i="32"/>
  <c r="N126" i="32" s="1"/>
  <c r="E127" i="32"/>
  <c r="N127" i="32" s="1"/>
  <c r="E83" i="32"/>
  <c r="N83" i="32" s="1"/>
  <c r="E49" i="32"/>
  <c r="N49" i="32" s="1"/>
  <c r="E128" i="32"/>
  <c r="N128" i="32" s="1"/>
  <c r="E94" i="32"/>
  <c r="N94" i="32" s="1"/>
  <c r="E72" i="32"/>
  <c r="N72" i="32" s="1"/>
  <c r="E93" i="32"/>
  <c r="N93" i="32" s="1"/>
  <c r="E95" i="31"/>
  <c r="M83" i="31"/>
  <c r="E140" i="31"/>
  <c r="M140" i="31" s="1"/>
  <c r="M128" i="31"/>
  <c r="E138" i="31"/>
  <c r="M138" i="31" s="1"/>
  <c r="M126" i="31"/>
  <c r="E106" i="31"/>
  <c r="M94" i="31"/>
  <c r="F94" i="31"/>
  <c r="N82" i="31"/>
  <c r="S82" i="31" s="1"/>
  <c r="F105" i="31"/>
  <c r="N93" i="31"/>
  <c r="F49" i="31"/>
  <c r="N37" i="31"/>
  <c r="S37" i="31" s="1"/>
  <c r="F127" i="31"/>
  <c r="N115" i="31"/>
  <c r="S115" i="31" s="1"/>
  <c r="F116" i="31"/>
  <c r="N104" i="31"/>
  <c r="S104" i="31" s="1"/>
  <c r="E61" i="31"/>
  <c r="M49" i="31"/>
  <c r="E105" i="31"/>
  <c r="M93" i="31"/>
  <c r="E139" i="31"/>
  <c r="M139" i="31" s="1"/>
  <c r="M127" i="31"/>
  <c r="E84" i="31"/>
  <c r="M72" i="31"/>
  <c r="F138" i="31"/>
  <c r="N138" i="31" s="1"/>
  <c r="N126" i="31"/>
  <c r="F72" i="31"/>
  <c r="N60" i="31"/>
  <c r="S60" i="31" s="1"/>
  <c r="F83" i="31"/>
  <c r="N71" i="31"/>
  <c r="S71" i="31" s="1"/>
  <c r="E95" i="30"/>
  <c r="L83" i="30"/>
  <c r="F95" i="30"/>
  <c r="M83" i="30"/>
  <c r="E61" i="30"/>
  <c r="L49" i="30"/>
  <c r="F106" i="30"/>
  <c r="M94" i="30"/>
  <c r="E138" i="30"/>
  <c r="L138" i="30" s="1"/>
  <c r="Q138" i="30" s="1"/>
  <c r="L126" i="30"/>
  <c r="Q126" i="30" s="1"/>
  <c r="F84" i="30"/>
  <c r="M72" i="30"/>
  <c r="E116" i="30"/>
  <c r="L104" i="30"/>
  <c r="Q104" i="30" s="1"/>
  <c r="F139" i="30"/>
  <c r="M139" i="30" s="1"/>
  <c r="M127" i="30"/>
  <c r="F117" i="30"/>
  <c r="M105" i="30"/>
  <c r="E84" i="30"/>
  <c r="L72" i="30"/>
  <c r="F61" i="30"/>
  <c r="M49" i="30"/>
  <c r="E117" i="30"/>
  <c r="L105" i="30"/>
  <c r="F128" i="30"/>
  <c r="M116" i="30"/>
  <c r="E94" i="30"/>
  <c r="L82" i="30"/>
  <c r="Q82" i="30" s="1"/>
  <c r="E139" i="30"/>
  <c r="L139" i="30" s="1"/>
  <c r="L127" i="30"/>
  <c r="I33" i="34"/>
  <c r="I32" i="34"/>
  <c r="I31" i="34"/>
  <c r="I28" i="34"/>
  <c r="I27" i="34"/>
  <c r="I26" i="34"/>
  <c r="I23" i="34"/>
  <c r="I22" i="34"/>
  <c r="I21" i="34"/>
  <c r="I18" i="34"/>
  <c r="I17" i="34"/>
  <c r="I16" i="34"/>
  <c r="I12" i="34"/>
  <c r="I13" i="34"/>
  <c r="I11" i="34"/>
  <c r="F14" i="34"/>
  <c r="I8" i="34"/>
  <c r="I7" i="34"/>
  <c r="I6" i="34"/>
  <c r="P19" i="29" l="1"/>
  <c r="U19" i="29" s="1"/>
  <c r="F139" i="32"/>
  <c r="O139" i="32" s="1"/>
  <c r="F128" i="32"/>
  <c r="O128" i="32" s="1"/>
  <c r="F95" i="32"/>
  <c r="O95" i="32" s="1"/>
  <c r="F117" i="32"/>
  <c r="O117" i="32" s="1"/>
  <c r="F106" i="32"/>
  <c r="O106" i="32" s="1"/>
  <c r="F61" i="32"/>
  <c r="O61" i="32" s="1"/>
  <c r="F84" i="32"/>
  <c r="O84" i="32" s="1"/>
  <c r="N126" i="43"/>
  <c r="S126" i="43" s="1"/>
  <c r="E138" i="43"/>
  <c r="N138" i="43" s="1"/>
  <c r="S138" i="43" s="1"/>
  <c r="F106" i="44"/>
  <c r="P106" i="44" s="1"/>
  <c r="F61" i="43"/>
  <c r="O61" i="43" s="1"/>
  <c r="P127" i="44"/>
  <c r="F139" i="44"/>
  <c r="P139" i="44" s="1"/>
  <c r="P126" i="45"/>
  <c r="E138" i="45"/>
  <c r="P138" i="45" s="1"/>
  <c r="F128" i="43"/>
  <c r="E139" i="43"/>
  <c r="N139" i="43" s="1"/>
  <c r="N127" i="43"/>
  <c r="E84" i="45"/>
  <c r="P84" i="45" s="1"/>
  <c r="F84" i="43"/>
  <c r="O84" i="43" s="1"/>
  <c r="F95" i="45"/>
  <c r="Q95" i="45" s="1"/>
  <c r="F95" i="44"/>
  <c r="P95" i="44" s="1"/>
  <c r="E106" i="44"/>
  <c r="O106" i="44" s="1"/>
  <c r="E61" i="43"/>
  <c r="N61" i="43" s="1"/>
  <c r="P128" i="45"/>
  <c r="E140" i="45"/>
  <c r="P140" i="45" s="1"/>
  <c r="F106" i="45"/>
  <c r="Q106" i="45" s="1"/>
  <c r="F117" i="45"/>
  <c r="Q117" i="45" s="1"/>
  <c r="F128" i="44"/>
  <c r="E117" i="43"/>
  <c r="N117" i="43" s="1"/>
  <c r="F128" i="45"/>
  <c r="E61" i="44"/>
  <c r="O61" i="44" s="1"/>
  <c r="E84" i="43"/>
  <c r="N84" i="43" s="1"/>
  <c r="P127" i="45"/>
  <c r="E139" i="45"/>
  <c r="P139" i="45" s="1"/>
  <c r="E138" i="44"/>
  <c r="O138" i="44" s="1"/>
  <c r="U138" i="44" s="1"/>
  <c r="O126" i="44"/>
  <c r="U126" i="44" s="1"/>
  <c r="F61" i="44"/>
  <c r="P61" i="44" s="1"/>
  <c r="E61" i="45"/>
  <c r="P61" i="45" s="1"/>
  <c r="F95" i="43"/>
  <c r="O95" i="43" s="1"/>
  <c r="E105" i="44"/>
  <c r="O105" i="44" s="1"/>
  <c r="E105" i="45"/>
  <c r="P105" i="45" s="1"/>
  <c r="F84" i="44"/>
  <c r="P84" i="44" s="1"/>
  <c r="F139" i="45"/>
  <c r="Q139" i="45" s="1"/>
  <c r="Q127" i="45"/>
  <c r="E84" i="44"/>
  <c r="O84" i="44" s="1"/>
  <c r="F84" i="45"/>
  <c r="Q84" i="45" s="1"/>
  <c r="O127" i="44"/>
  <c r="E139" i="44"/>
  <c r="O139" i="44" s="1"/>
  <c r="F117" i="43"/>
  <c r="O117" i="43" s="1"/>
  <c r="E95" i="44"/>
  <c r="O95" i="44" s="1"/>
  <c r="E94" i="43"/>
  <c r="N94" i="43" s="1"/>
  <c r="E106" i="45"/>
  <c r="P106" i="45" s="1"/>
  <c r="E116" i="43"/>
  <c r="N116" i="43" s="1"/>
  <c r="F117" i="44"/>
  <c r="P117" i="44" s="1"/>
  <c r="F139" i="43"/>
  <c r="O139" i="43" s="1"/>
  <c r="O127" i="43"/>
  <c r="E95" i="45"/>
  <c r="P95" i="45" s="1"/>
  <c r="O128" i="44"/>
  <c r="E140" i="44"/>
  <c r="O140" i="44" s="1"/>
  <c r="F106" i="43"/>
  <c r="O106" i="43" s="1"/>
  <c r="F61" i="45"/>
  <c r="Q61" i="45" s="1"/>
  <c r="E95" i="43"/>
  <c r="N95" i="43" s="1"/>
  <c r="S93" i="31"/>
  <c r="S126" i="31"/>
  <c r="S138" i="31"/>
  <c r="Q105" i="30"/>
  <c r="Q83" i="30"/>
  <c r="Q49" i="30"/>
  <c r="Q72" i="30"/>
  <c r="Q127" i="30"/>
  <c r="Q139" i="30"/>
  <c r="AV21" i="1"/>
  <c r="G20" i="32"/>
  <c r="P20" i="32" s="1"/>
  <c r="U20" i="32" s="1"/>
  <c r="G20" i="29"/>
  <c r="E95" i="32"/>
  <c r="N95" i="32" s="1"/>
  <c r="E84" i="32"/>
  <c r="N84" i="32" s="1"/>
  <c r="E140" i="32"/>
  <c r="N140" i="32" s="1"/>
  <c r="E105" i="32"/>
  <c r="N105" i="32" s="1"/>
  <c r="E106" i="32"/>
  <c r="N106" i="32" s="1"/>
  <c r="E139" i="32"/>
  <c r="N139" i="32" s="1"/>
  <c r="E61" i="32"/>
  <c r="N61" i="32" s="1"/>
  <c r="E138" i="32"/>
  <c r="N138" i="32" s="1"/>
  <c r="F61" i="31"/>
  <c r="N49" i="31"/>
  <c r="S49" i="31" s="1"/>
  <c r="F139" i="31"/>
  <c r="N139" i="31" s="1"/>
  <c r="S139" i="31" s="1"/>
  <c r="N127" i="31"/>
  <c r="S127" i="31" s="1"/>
  <c r="E96" i="31"/>
  <c r="M84" i="31"/>
  <c r="E117" i="31"/>
  <c r="M105" i="31"/>
  <c r="F95" i="31"/>
  <c r="N83" i="31"/>
  <c r="S83" i="31" s="1"/>
  <c r="F84" i="31"/>
  <c r="N72" i="31"/>
  <c r="S72" i="31" s="1"/>
  <c r="E118" i="31"/>
  <c r="M106" i="31"/>
  <c r="F117" i="31"/>
  <c r="N105" i="31"/>
  <c r="F106" i="31"/>
  <c r="N94" i="31"/>
  <c r="S94" i="31" s="1"/>
  <c r="E73" i="31"/>
  <c r="M61" i="31"/>
  <c r="F128" i="31"/>
  <c r="N116" i="31"/>
  <c r="S116" i="31" s="1"/>
  <c r="E107" i="31"/>
  <c r="M95" i="31"/>
  <c r="E128" i="30"/>
  <c r="L116" i="30"/>
  <c r="Q116" i="30" s="1"/>
  <c r="F140" i="30"/>
  <c r="M140" i="30" s="1"/>
  <c r="M128" i="30"/>
  <c r="F118" i="30"/>
  <c r="M106" i="30"/>
  <c r="F73" i="30"/>
  <c r="M61" i="30"/>
  <c r="E106" i="30"/>
  <c r="L94" i="30"/>
  <c r="Q94" i="30" s="1"/>
  <c r="F96" i="30"/>
  <c r="M84" i="30"/>
  <c r="E129" i="30"/>
  <c r="L117" i="30"/>
  <c r="E73" i="30"/>
  <c r="L61" i="30"/>
  <c r="E96" i="30"/>
  <c r="L84" i="30"/>
  <c r="F107" i="30"/>
  <c r="M95" i="30"/>
  <c r="F129" i="30"/>
  <c r="M117" i="30"/>
  <c r="E107" i="30"/>
  <c r="L95" i="30"/>
  <c r="J40" i="6"/>
  <c r="P20" i="29" l="1"/>
  <c r="U20" i="29" s="1"/>
  <c r="F140" i="32"/>
  <c r="O140" i="32" s="1"/>
  <c r="F107" i="32"/>
  <c r="O107" i="32" s="1"/>
  <c r="F129" i="32"/>
  <c r="O129" i="32" s="1"/>
  <c r="F118" i="32"/>
  <c r="O118" i="32" s="1"/>
  <c r="F73" i="32"/>
  <c r="O73" i="32" s="1"/>
  <c r="F96" i="32"/>
  <c r="O96" i="32" s="1"/>
  <c r="U139" i="44"/>
  <c r="U127" i="44"/>
  <c r="S127" i="43"/>
  <c r="S139" i="43"/>
  <c r="E106" i="43"/>
  <c r="N106" i="43" s="1"/>
  <c r="F73" i="45"/>
  <c r="Q73" i="45" s="1"/>
  <c r="E96" i="45"/>
  <c r="P96" i="45" s="1"/>
  <c r="F107" i="43"/>
  <c r="O107" i="43" s="1"/>
  <c r="F96" i="44"/>
  <c r="P96" i="44" s="1"/>
  <c r="F118" i="43"/>
  <c r="O118" i="43" s="1"/>
  <c r="E73" i="43"/>
  <c r="N73" i="43" s="1"/>
  <c r="F140" i="43"/>
  <c r="O140" i="43" s="1"/>
  <c r="O128" i="43"/>
  <c r="E118" i="44"/>
  <c r="O118" i="44" s="1"/>
  <c r="Q128" i="45"/>
  <c r="F140" i="45"/>
  <c r="Q140" i="45" s="1"/>
  <c r="E107" i="45"/>
  <c r="P107" i="45" s="1"/>
  <c r="E73" i="45"/>
  <c r="P73" i="45" s="1"/>
  <c r="E129" i="43"/>
  <c r="F73" i="43"/>
  <c r="O73" i="43" s="1"/>
  <c r="E96" i="43"/>
  <c r="N96" i="43" s="1"/>
  <c r="E117" i="45"/>
  <c r="P117" i="45" s="1"/>
  <c r="E107" i="44"/>
  <c r="O107" i="44" s="1"/>
  <c r="E117" i="44"/>
  <c r="O117" i="44" s="1"/>
  <c r="P128" i="44"/>
  <c r="U128" i="44" s="1"/>
  <c r="F140" i="44"/>
  <c r="P140" i="44" s="1"/>
  <c r="U140" i="44" s="1"/>
  <c r="F129" i="44"/>
  <c r="E96" i="44"/>
  <c r="O96" i="44" s="1"/>
  <c r="F107" i="45"/>
  <c r="Q107" i="45" s="1"/>
  <c r="F118" i="44"/>
  <c r="P118" i="44" s="1"/>
  <c r="E128" i="43"/>
  <c r="F129" i="45"/>
  <c r="F96" i="43"/>
  <c r="O96" i="43" s="1"/>
  <c r="E73" i="44"/>
  <c r="O73" i="44" s="1"/>
  <c r="F129" i="43"/>
  <c r="F96" i="45"/>
  <c r="Q96" i="45" s="1"/>
  <c r="F73" i="44"/>
  <c r="P73" i="44" s="1"/>
  <c r="F107" i="44"/>
  <c r="P107" i="44" s="1"/>
  <c r="E107" i="43"/>
  <c r="N107" i="43" s="1"/>
  <c r="E118" i="45"/>
  <c r="P118" i="45" s="1"/>
  <c r="F118" i="45"/>
  <c r="Q118" i="45" s="1"/>
  <c r="Q84" i="30"/>
  <c r="S105" i="31"/>
  <c r="Q61" i="30"/>
  <c r="Q117" i="30"/>
  <c r="Q95" i="30"/>
  <c r="AV22" i="1"/>
  <c r="G21" i="32"/>
  <c r="P21" i="32" s="1"/>
  <c r="U21" i="32" s="1"/>
  <c r="G21" i="29"/>
  <c r="E117" i="32"/>
  <c r="N117" i="32" s="1"/>
  <c r="E96" i="32"/>
  <c r="N96" i="32" s="1"/>
  <c r="E73" i="32"/>
  <c r="N73" i="32" s="1"/>
  <c r="E107" i="32"/>
  <c r="N107" i="32" s="1"/>
  <c r="E118" i="32"/>
  <c r="N118" i="32" s="1"/>
  <c r="F129" i="31"/>
  <c r="N117" i="31"/>
  <c r="E130" i="31"/>
  <c r="M118" i="31"/>
  <c r="E129" i="31"/>
  <c r="M117" i="31"/>
  <c r="F140" i="31"/>
  <c r="N140" i="31" s="1"/>
  <c r="S140" i="31" s="1"/>
  <c r="N128" i="31"/>
  <c r="S128" i="31" s="1"/>
  <c r="F96" i="31"/>
  <c r="N84" i="31"/>
  <c r="S84" i="31" s="1"/>
  <c r="F107" i="31"/>
  <c r="N95" i="31"/>
  <c r="S95" i="31" s="1"/>
  <c r="E119" i="31"/>
  <c r="M107" i="31"/>
  <c r="E108" i="31"/>
  <c r="M96" i="31"/>
  <c r="E85" i="31"/>
  <c r="M73" i="31"/>
  <c r="F118" i="31"/>
  <c r="N106" i="31"/>
  <c r="S106" i="31" s="1"/>
  <c r="F73" i="31"/>
  <c r="N61" i="31"/>
  <c r="S61" i="31" s="1"/>
  <c r="E141" i="30"/>
  <c r="L141" i="30" s="1"/>
  <c r="L129" i="30"/>
  <c r="F108" i="30"/>
  <c r="M96" i="30"/>
  <c r="E118" i="30"/>
  <c r="L106" i="30"/>
  <c r="Q106" i="30" s="1"/>
  <c r="E119" i="30"/>
  <c r="L107" i="30"/>
  <c r="F141" i="30"/>
  <c r="M141" i="30" s="1"/>
  <c r="M129" i="30"/>
  <c r="E85" i="30"/>
  <c r="L73" i="30"/>
  <c r="F85" i="30"/>
  <c r="M73" i="30"/>
  <c r="F130" i="30"/>
  <c r="M118" i="30"/>
  <c r="F119" i="30"/>
  <c r="M107" i="30"/>
  <c r="E108" i="30"/>
  <c r="L96" i="30"/>
  <c r="E140" i="30"/>
  <c r="L140" i="30" s="1"/>
  <c r="Q140" i="30" s="1"/>
  <c r="L128" i="30"/>
  <c r="Q128" i="30" s="1"/>
  <c r="B62" i="5"/>
  <c r="B63" i="5"/>
  <c r="B64" i="5"/>
  <c r="B65" i="5"/>
  <c r="B66" i="5"/>
  <c r="B67" i="5"/>
  <c r="B68" i="5"/>
  <c r="B69" i="5"/>
  <c r="B70" i="5"/>
  <c r="B71" i="5"/>
  <c r="B72" i="5"/>
  <c r="B73" i="5"/>
  <c r="A62" i="25"/>
  <c r="B62" i="25"/>
  <c r="C62" i="25"/>
  <c r="G62" i="25"/>
  <c r="N62" i="25" s="1"/>
  <c r="Q62" i="25" s="1"/>
  <c r="A63" i="25"/>
  <c r="B63" i="25"/>
  <c r="C63" i="25"/>
  <c r="G63" i="25"/>
  <c r="N63" i="25" s="1"/>
  <c r="Q63" i="25" s="1"/>
  <c r="A64" i="25"/>
  <c r="B64" i="25"/>
  <c r="C64" i="25"/>
  <c r="G64" i="25"/>
  <c r="N64" i="25" s="1"/>
  <c r="Q64" i="25" s="1"/>
  <c r="A65" i="25"/>
  <c r="B65" i="25"/>
  <c r="C65" i="25"/>
  <c r="G65" i="25"/>
  <c r="N65" i="25" s="1"/>
  <c r="Q65" i="25" s="1"/>
  <c r="A66" i="25"/>
  <c r="B66" i="25"/>
  <c r="C66" i="25"/>
  <c r="G66" i="25"/>
  <c r="N66" i="25" s="1"/>
  <c r="Q66" i="25" s="1"/>
  <c r="A67" i="25"/>
  <c r="B67" i="25"/>
  <c r="C67" i="25"/>
  <c r="G67" i="25"/>
  <c r="N67" i="25" s="1"/>
  <c r="Q67" i="25" s="1"/>
  <c r="A68" i="25"/>
  <c r="B68" i="25"/>
  <c r="C68" i="25"/>
  <c r="G68" i="25"/>
  <c r="N68" i="25" s="1"/>
  <c r="Q68" i="25" s="1"/>
  <c r="A69" i="25"/>
  <c r="B69" i="25"/>
  <c r="C69" i="25"/>
  <c r="G69" i="25"/>
  <c r="N69" i="25" s="1"/>
  <c r="Q69" i="25" s="1"/>
  <c r="A70" i="25"/>
  <c r="B70" i="25"/>
  <c r="C70" i="25"/>
  <c r="G70" i="25"/>
  <c r="N70" i="25" s="1"/>
  <c r="Q70" i="25" s="1"/>
  <c r="A71" i="25"/>
  <c r="B71" i="25"/>
  <c r="C71" i="25"/>
  <c r="G71" i="25"/>
  <c r="N71" i="25" s="1"/>
  <c r="Q71" i="25" s="1"/>
  <c r="A72" i="25"/>
  <c r="B72" i="25"/>
  <c r="C72" i="25"/>
  <c r="G72" i="25"/>
  <c r="N72" i="25" s="1"/>
  <c r="Q72" i="25" s="1"/>
  <c r="A73" i="25"/>
  <c r="B73" i="25"/>
  <c r="C73" i="25"/>
  <c r="G73" i="25"/>
  <c r="N73" i="25" s="1"/>
  <c r="Q73" i="25" s="1"/>
  <c r="P21" i="29" l="1"/>
  <c r="U21" i="29" s="1"/>
  <c r="F119" i="32"/>
  <c r="O119" i="32" s="1"/>
  <c r="F130" i="32"/>
  <c r="O130" i="32" s="1"/>
  <c r="F141" i="32"/>
  <c r="O141" i="32" s="1"/>
  <c r="F108" i="32"/>
  <c r="O108" i="32" s="1"/>
  <c r="F85" i="32"/>
  <c r="O85" i="32" s="1"/>
  <c r="P129" i="44"/>
  <c r="F141" i="44"/>
  <c r="P141" i="44" s="1"/>
  <c r="E85" i="44"/>
  <c r="O85" i="44" s="1"/>
  <c r="F108" i="43"/>
  <c r="O108" i="43" s="1"/>
  <c r="E119" i="45"/>
  <c r="P119" i="45" s="1"/>
  <c r="F119" i="43"/>
  <c r="O119" i="43" s="1"/>
  <c r="O129" i="43"/>
  <c r="F141" i="43"/>
  <c r="O141" i="43" s="1"/>
  <c r="F130" i="43"/>
  <c r="Q129" i="45"/>
  <c r="F141" i="45"/>
  <c r="Q141" i="45" s="1"/>
  <c r="E119" i="44"/>
  <c r="O119" i="44" s="1"/>
  <c r="F108" i="44"/>
  <c r="P108" i="44" s="1"/>
  <c r="E119" i="43"/>
  <c r="N119" i="43" s="1"/>
  <c r="E85" i="43"/>
  <c r="N85" i="43" s="1"/>
  <c r="E140" i="43"/>
  <c r="N140" i="43" s="1"/>
  <c r="S140" i="43" s="1"/>
  <c r="N128" i="43"/>
  <c r="S128" i="43" s="1"/>
  <c r="E108" i="45"/>
  <c r="P108" i="45" s="1"/>
  <c r="E108" i="43"/>
  <c r="N108" i="43" s="1"/>
  <c r="N129" i="43"/>
  <c r="E141" i="43"/>
  <c r="N141" i="43" s="1"/>
  <c r="F130" i="44"/>
  <c r="F85" i="45"/>
  <c r="Q85" i="45" s="1"/>
  <c r="F130" i="45"/>
  <c r="E85" i="45"/>
  <c r="P85" i="45" s="1"/>
  <c r="E129" i="44"/>
  <c r="F119" i="44"/>
  <c r="P119" i="44" s="1"/>
  <c r="E129" i="45"/>
  <c r="F85" i="44"/>
  <c r="P85" i="44" s="1"/>
  <c r="F119" i="45"/>
  <c r="Q119" i="45" s="1"/>
  <c r="E108" i="44"/>
  <c r="O108" i="44" s="1"/>
  <c r="E130" i="45"/>
  <c r="F108" i="45"/>
  <c r="Q108" i="45" s="1"/>
  <c r="F85" i="43"/>
  <c r="O85" i="43" s="1"/>
  <c r="E130" i="44"/>
  <c r="E118" i="43"/>
  <c r="N118" i="43" s="1"/>
  <c r="S117" i="31"/>
  <c r="Q96" i="30"/>
  <c r="Q141" i="30"/>
  <c r="Q129" i="30"/>
  <c r="Q73" i="30"/>
  <c r="Q107" i="30"/>
  <c r="AV23" i="1"/>
  <c r="G22" i="32"/>
  <c r="P22" i="32" s="1"/>
  <c r="U22" i="32" s="1"/>
  <c r="G22" i="29"/>
  <c r="E85" i="32"/>
  <c r="N85" i="32" s="1"/>
  <c r="E108" i="32"/>
  <c r="N108" i="32" s="1"/>
  <c r="E119" i="32"/>
  <c r="N119" i="32" s="1"/>
  <c r="E130" i="32"/>
  <c r="N130" i="32" s="1"/>
  <c r="E129" i="32"/>
  <c r="N129" i="32" s="1"/>
  <c r="E131" i="31"/>
  <c r="M119" i="31"/>
  <c r="F119" i="31"/>
  <c r="N107" i="31"/>
  <c r="S107" i="31" s="1"/>
  <c r="F130" i="31"/>
  <c r="N118" i="31"/>
  <c r="S118" i="31" s="1"/>
  <c r="E142" i="31"/>
  <c r="M142" i="31" s="1"/>
  <c r="M130" i="31"/>
  <c r="E120" i="31"/>
  <c r="M108" i="31"/>
  <c r="E141" i="31"/>
  <c r="M141" i="31" s="1"/>
  <c r="M129" i="31"/>
  <c r="F108" i="31"/>
  <c r="N96" i="31"/>
  <c r="S96" i="31" s="1"/>
  <c r="F85" i="31"/>
  <c r="N73" i="31"/>
  <c r="S73" i="31" s="1"/>
  <c r="E97" i="31"/>
  <c r="M85" i="31"/>
  <c r="F141" i="31"/>
  <c r="N141" i="31" s="1"/>
  <c r="N129" i="31"/>
  <c r="E131" i="30"/>
  <c r="L119" i="30"/>
  <c r="F142" i="30"/>
  <c r="M142" i="30" s="1"/>
  <c r="M130" i="30"/>
  <c r="E130" i="30"/>
  <c r="L118" i="30"/>
  <c r="Q118" i="30" s="1"/>
  <c r="E120" i="30"/>
  <c r="L108" i="30"/>
  <c r="F120" i="30"/>
  <c r="M108" i="30"/>
  <c r="F97" i="30"/>
  <c r="M85" i="30"/>
  <c r="E97" i="30"/>
  <c r="L85" i="30"/>
  <c r="F131" i="30"/>
  <c r="M119" i="30"/>
  <c r="P22" i="29" l="1"/>
  <c r="U22" i="29" s="1"/>
  <c r="F142" i="32"/>
  <c r="O142" i="32" s="1"/>
  <c r="F131" i="32"/>
  <c r="O131" i="32" s="1"/>
  <c r="F120" i="32"/>
  <c r="O120" i="32" s="1"/>
  <c r="F97" i="32"/>
  <c r="O97" i="32" s="1"/>
  <c r="S141" i="43"/>
  <c r="S129" i="43"/>
  <c r="P129" i="45"/>
  <c r="E141" i="45"/>
  <c r="P141" i="45" s="1"/>
  <c r="E120" i="43"/>
  <c r="N120" i="43" s="1"/>
  <c r="P130" i="45"/>
  <c r="E142" i="45"/>
  <c r="P142" i="45" s="1"/>
  <c r="Q130" i="45"/>
  <c r="F142" i="45"/>
  <c r="Q142" i="45" s="1"/>
  <c r="F131" i="43"/>
  <c r="F97" i="43"/>
  <c r="O97" i="43" s="1"/>
  <c r="F97" i="44"/>
  <c r="P97" i="44" s="1"/>
  <c r="E130" i="43"/>
  <c r="E131" i="44"/>
  <c r="E120" i="45"/>
  <c r="P120" i="45" s="1"/>
  <c r="O130" i="43"/>
  <c r="F142" i="43"/>
  <c r="O142" i="43" s="1"/>
  <c r="E120" i="44"/>
  <c r="O120" i="44" s="1"/>
  <c r="E97" i="43"/>
  <c r="N97" i="43" s="1"/>
  <c r="P130" i="44"/>
  <c r="F142" i="44"/>
  <c r="P142" i="44" s="1"/>
  <c r="F120" i="44"/>
  <c r="P120" i="44" s="1"/>
  <c r="O129" i="44"/>
  <c r="U129" i="44" s="1"/>
  <c r="E141" i="44"/>
  <c r="O141" i="44" s="1"/>
  <c r="U141" i="44" s="1"/>
  <c r="F120" i="45"/>
  <c r="Q120" i="45" s="1"/>
  <c r="E97" i="45"/>
  <c r="P97" i="45" s="1"/>
  <c r="F97" i="45"/>
  <c r="Q97" i="45" s="1"/>
  <c r="E131" i="43"/>
  <c r="F131" i="45"/>
  <c r="E131" i="45"/>
  <c r="F120" i="43"/>
  <c r="O120" i="43" s="1"/>
  <c r="E97" i="44"/>
  <c r="O97" i="44" s="1"/>
  <c r="O130" i="44"/>
  <c r="E142" i="44"/>
  <c r="O142" i="44" s="1"/>
  <c r="F131" i="44"/>
  <c r="S129" i="31"/>
  <c r="S141" i="31"/>
  <c r="Q119" i="30"/>
  <c r="Q85" i="30"/>
  <c r="Q108" i="30"/>
  <c r="AV24" i="1"/>
  <c r="G23" i="32"/>
  <c r="P23" i="32" s="1"/>
  <c r="U23" i="32" s="1"/>
  <c r="G23" i="29"/>
  <c r="E142" i="32"/>
  <c r="N142" i="32" s="1"/>
  <c r="E120" i="32"/>
  <c r="N120" i="32" s="1"/>
  <c r="E97" i="32"/>
  <c r="N97" i="32" s="1"/>
  <c r="E131" i="32"/>
  <c r="N131" i="32" s="1"/>
  <c r="E141" i="32"/>
  <c r="N141" i="32" s="1"/>
  <c r="F97" i="31"/>
  <c r="N85" i="31"/>
  <c r="S85" i="31" s="1"/>
  <c r="F120" i="31"/>
  <c r="N108" i="31"/>
  <c r="S108" i="31" s="1"/>
  <c r="E132" i="31"/>
  <c r="M120" i="31"/>
  <c r="F142" i="31"/>
  <c r="N142" i="31" s="1"/>
  <c r="S142" i="31" s="1"/>
  <c r="N130" i="31"/>
  <c r="S130" i="31" s="1"/>
  <c r="F131" i="31"/>
  <c r="N119" i="31"/>
  <c r="S119" i="31" s="1"/>
  <c r="E109" i="31"/>
  <c r="M97" i="31"/>
  <c r="E143" i="31"/>
  <c r="M143" i="31" s="1"/>
  <c r="M131" i="31"/>
  <c r="F143" i="30"/>
  <c r="M143" i="30" s="1"/>
  <c r="M131" i="30"/>
  <c r="E109" i="30"/>
  <c r="L97" i="30"/>
  <c r="F109" i="30"/>
  <c r="M97" i="30"/>
  <c r="F132" i="30"/>
  <c r="M120" i="30"/>
  <c r="E142" i="30"/>
  <c r="L142" i="30" s="1"/>
  <c r="Q142" i="30" s="1"/>
  <c r="L130" i="30"/>
  <c r="Q130" i="30" s="1"/>
  <c r="E132" i="30"/>
  <c r="L120" i="30"/>
  <c r="E143" i="30"/>
  <c r="L143" i="30" s="1"/>
  <c r="L131" i="30"/>
  <c r="P23" i="29" l="1"/>
  <c r="U23" i="29" s="1"/>
  <c r="F143" i="32"/>
  <c r="O143" i="32" s="1"/>
  <c r="F132" i="32"/>
  <c r="O132" i="32" s="1"/>
  <c r="F109" i="32"/>
  <c r="O109" i="32" s="1"/>
  <c r="P131" i="44"/>
  <c r="F143" i="44"/>
  <c r="P143" i="44" s="1"/>
  <c r="F109" i="45"/>
  <c r="Q109" i="45" s="1"/>
  <c r="F143" i="43"/>
  <c r="O143" i="43" s="1"/>
  <c r="O131" i="43"/>
  <c r="E109" i="43"/>
  <c r="N109" i="43" s="1"/>
  <c r="E132" i="44"/>
  <c r="E143" i="43"/>
  <c r="N143" i="43" s="1"/>
  <c r="N131" i="43"/>
  <c r="U142" i="44"/>
  <c r="F109" i="43"/>
  <c r="O109" i="43" s="1"/>
  <c r="U130" i="44"/>
  <c r="E109" i="45"/>
  <c r="P109" i="45" s="1"/>
  <c r="E132" i="45"/>
  <c r="F109" i="44"/>
  <c r="P109" i="44" s="1"/>
  <c r="E132" i="43"/>
  <c r="F132" i="43"/>
  <c r="Q131" i="45"/>
  <c r="F143" i="45"/>
  <c r="Q143" i="45" s="1"/>
  <c r="E109" i="44"/>
  <c r="O109" i="44" s="1"/>
  <c r="E143" i="45"/>
  <c r="P143" i="45" s="1"/>
  <c r="P131" i="45"/>
  <c r="F132" i="45"/>
  <c r="O131" i="44"/>
  <c r="E143" i="44"/>
  <c r="O143" i="44" s="1"/>
  <c r="F132" i="44"/>
  <c r="E142" i="43"/>
  <c r="N142" i="43" s="1"/>
  <c r="S142" i="43" s="1"/>
  <c r="N130" i="43"/>
  <c r="S130" i="43" s="1"/>
  <c r="Q120" i="30"/>
  <c r="Q143" i="30"/>
  <c r="Q131" i="30"/>
  <c r="Q97" i="30"/>
  <c r="AV25" i="1"/>
  <c r="G24" i="32"/>
  <c r="P24" i="32" s="1"/>
  <c r="U24" i="32" s="1"/>
  <c r="G24" i="29"/>
  <c r="E109" i="32"/>
  <c r="N109" i="32" s="1"/>
  <c r="E143" i="32"/>
  <c r="N143" i="32" s="1"/>
  <c r="E132" i="32"/>
  <c r="N132" i="32" s="1"/>
  <c r="F143" i="31"/>
  <c r="N143" i="31" s="1"/>
  <c r="S143" i="31" s="1"/>
  <c r="N131" i="31"/>
  <c r="S131" i="31" s="1"/>
  <c r="E121" i="31"/>
  <c r="M109" i="31"/>
  <c r="E144" i="31"/>
  <c r="M144" i="31" s="1"/>
  <c r="M132" i="31"/>
  <c r="F132" i="31"/>
  <c r="N120" i="31"/>
  <c r="S120" i="31" s="1"/>
  <c r="F109" i="31"/>
  <c r="N97" i="31"/>
  <c r="S97" i="31" s="1"/>
  <c r="F144" i="30"/>
  <c r="M144" i="30" s="1"/>
  <c r="M132" i="30"/>
  <c r="E144" i="30"/>
  <c r="L144" i="30" s="1"/>
  <c r="L132" i="30"/>
  <c r="F121" i="30"/>
  <c r="M109" i="30"/>
  <c r="E121" i="30"/>
  <c r="L109" i="30"/>
  <c r="D43" i="35"/>
  <c r="D30" i="35"/>
  <c r="D38" i="35" s="1"/>
  <c r="D34" i="35"/>
  <c r="D42" i="35" s="1"/>
  <c r="G26" i="35"/>
  <c r="D25" i="35"/>
  <c r="D24" i="35"/>
  <c r="D33" i="35" s="1"/>
  <c r="D41" i="35" s="1"/>
  <c r="D23" i="35"/>
  <c r="D32" i="35" s="1"/>
  <c r="D40" i="35" s="1"/>
  <c r="D22" i="35"/>
  <c r="D31" i="35" s="1"/>
  <c r="D39" i="35" s="1"/>
  <c r="D21" i="35"/>
  <c r="D20" i="35"/>
  <c r="D29" i="35" s="1"/>
  <c r="D37" i="35" s="1"/>
  <c r="P24" i="29" l="1"/>
  <c r="U24" i="29" s="1"/>
  <c r="F121" i="32"/>
  <c r="O121" i="32" s="1"/>
  <c r="F144" i="32"/>
  <c r="O144" i="32" s="1"/>
  <c r="U143" i="44"/>
  <c r="U131" i="44"/>
  <c r="S131" i="43"/>
  <c r="S143" i="43"/>
  <c r="F144" i="44"/>
  <c r="P144" i="44" s="1"/>
  <c r="P132" i="44"/>
  <c r="E144" i="43"/>
  <c r="N144" i="43" s="1"/>
  <c r="N132" i="43"/>
  <c r="E121" i="43"/>
  <c r="N121" i="43" s="1"/>
  <c r="F144" i="43"/>
  <c r="O144" i="43" s="1"/>
  <c r="O132" i="43"/>
  <c r="O132" i="44"/>
  <c r="E144" i="44"/>
  <c r="O144" i="44" s="1"/>
  <c r="F121" i="44"/>
  <c r="P121" i="44" s="1"/>
  <c r="Q132" i="45"/>
  <c r="F144" i="45"/>
  <c r="Q144" i="45" s="1"/>
  <c r="F121" i="43"/>
  <c r="O121" i="43" s="1"/>
  <c r="E144" i="45"/>
  <c r="P144" i="45" s="1"/>
  <c r="P132" i="45"/>
  <c r="F121" i="45"/>
  <c r="Q121" i="45" s="1"/>
  <c r="E121" i="45"/>
  <c r="P121" i="45" s="1"/>
  <c r="E121" i="44"/>
  <c r="O121" i="44" s="1"/>
  <c r="Q144" i="30"/>
  <c r="Q109" i="30"/>
  <c r="Q132" i="30"/>
  <c r="AV26" i="1"/>
  <c r="G25" i="32"/>
  <c r="P25" i="32" s="1"/>
  <c r="U25" i="32" s="1"/>
  <c r="G25" i="29"/>
  <c r="E144" i="32"/>
  <c r="N144" i="32" s="1"/>
  <c r="E121" i="32"/>
  <c r="N121" i="32" s="1"/>
  <c r="F144" i="31"/>
  <c r="N144" i="31" s="1"/>
  <c r="S144" i="31" s="1"/>
  <c r="N132" i="31"/>
  <c r="S132" i="31" s="1"/>
  <c r="F121" i="31"/>
  <c r="N109" i="31"/>
  <c r="S109" i="31" s="1"/>
  <c r="E133" i="31"/>
  <c r="M121" i="31"/>
  <c r="E133" i="30"/>
  <c r="L121" i="30"/>
  <c r="F133" i="30"/>
  <c r="M121" i="30"/>
  <c r="P25" i="29" l="1"/>
  <c r="U25" i="29" s="1"/>
  <c r="F133" i="32"/>
  <c r="O133" i="32" s="1"/>
  <c r="U144" i="44"/>
  <c r="U132" i="44"/>
  <c r="S132" i="43"/>
  <c r="F133" i="45"/>
  <c r="E133" i="45"/>
  <c r="F133" i="44"/>
  <c r="E133" i="44"/>
  <c r="E133" i="43"/>
  <c r="F133" i="43"/>
  <c r="S144" i="43"/>
  <c r="Q121" i="30"/>
  <c r="AV27" i="1"/>
  <c r="G26" i="32"/>
  <c r="P26" i="32" s="1"/>
  <c r="U26" i="32" s="1"/>
  <c r="G26" i="29"/>
  <c r="E133" i="32"/>
  <c r="N133" i="32" s="1"/>
  <c r="E145" i="31"/>
  <c r="M145" i="31" s="1"/>
  <c r="M133" i="31"/>
  <c r="F133" i="31"/>
  <c r="N121" i="31"/>
  <c r="S121" i="31" s="1"/>
  <c r="F145" i="30"/>
  <c r="M145" i="30" s="1"/>
  <c r="M133" i="30"/>
  <c r="E145" i="30"/>
  <c r="L145" i="30" s="1"/>
  <c r="L133" i="30"/>
  <c r="AG10" i="35"/>
  <c r="AB10" i="35"/>
  <c r="W10" i="35"/>
  <c r="R10" i="35"/>
  <c r="H10" i="35"/>
  <c r="Q6" i="35"/>
  <c r="V6" i="35" s="1"/>
  <c r="AA6" i="35" s="1"/>
  <c r="AF6" i="35" s="1"/>
  <c r="L10" i="35"/>
  <c r="Q10" i="35" s="1"/>
  <c r="V10" i="35" s="1"/>
  <c r="AA10" i="35" s="1"/>
  <c r="AF10" i="35" s="1"/>
  <c r="L6" i="35"/>
  <c r="G4" i="35"/>
  <c r="L4" i="35" s="1"/>
  <c r="Q4" i="35" s="1"/>
  <c r="V4" i="35" s="1"/>
  <c r="AA4" i="35" s="1"/>
  <c r="AF4" i="35" s="1"/>
  <c r="G5" i="35"/>
  <c r="L5" i="35" s="1"/>
  <c r="Q5" i="35" s="1"/>
  <c r="V5" i="35" s="1"/>
  <c r="AA5" i="35" s="1"/>
  <c r="AF5" i="35" s="1"/>
  <c r="G6" i="35"/>
  <c r="G7" i="35"/>
  <c r="L7" i="35" s="1"/>
  <c r="Q7" i="35" s="1"/>
  <c r="V7" i="35" s="1"/>
  <c r="AA7" i="35" s="1"/>
  <c r="AF7" i="35" s="1"/>
  <c r="G8" i="35"/>
  <c r="L8" i="35" s="1"/>
  <c r="Q8" i="35" s="1"/>
  <c r="V8" i="35" s="1"/>
  <c r="AA8" i="35" s="1"/>
  <c r="AF8" i="35" s="1"/>
  <c r="G9" i="35"/>
  <c r="L9" i="35" s="1"/>
  <c r="Q9" i="35" s="1"/>
  <c r="V9" i="35" s="1"/>
  <c r="AA9" i="35" s="1"/>
  <c r="AF9" i="35" s="1"/>
  <c r="G10" i="35"/>
  <c r="G3" i="35"/>
  <c r="L3" i="35" s="1"/>
  <c r="Q3" i="35" s="1"/>
  <c r="V3" i="35" s="1"/>
  <c r="AA3" i="35" s="1"/>
  <c r="AF3" i="35" s="1"/>
  <c r="P26" i="29" l="1"/>
  <c r="U26" i="29" s="1"/>
  <c r="F145" i="32"/>
  <c r="O145" i="32" s="1"/>
  <c r="O133" i="43"/>
  <c r="F145" i="43"/>
  <c r="O145" i="43" s="1"/>
  <c r="E145" i="43"/>
  <c r="N145" i="43" s="1"/>
  <c r="N133" i="43"/>
  <c r="E145" i="44"/>
  <c r="O145" i="44" s="1"/>
  <c r="O133" i="44"/>
  <c r="F145" i="44"/>
  <c r="P145" i="44" s="1"/>
  <c r="P133" i="44"/>
  <c r="E145" i="45"/>
  <c r="P145" i="45" s="1"/>
  <c r="P133" i="45"/>
  <c r="Q133" i="45"/>
  <c r="F145" i="45"/>
  <c r="Q145" i="45" s="1"/>
  <c r="Q133" i="30"/>
  <c r="Q145" i="30"/>
  <c r="AV28" i="1"/>
  <c r="G27" i="32"/>
  <c r="P27" i="32" s="1"/>
  <c r="U27" i="32" s="1"/>
  <c r="G27" i="29"/>
  <c r="E145" i="32"/>
  <c r="N145" i="32" s="1"/>
  <c r="F145" i="31"/>
  <c r="N145" i="31" s="1"/>
  <c r="S145" i="31" s="1"/>
  <c r="N133" i="31"/>
  <c r="S133" i="31" s="1"/>
  <c r="C10" i="35"/>
  <c r="P27" i="29" l="1"/>
  <c r="U27" i="29" s="1"/>
  <c r="S133" i="43"/>
  <c r="S145" i="43"/>
  <c r="U133" i="44"/>
  <c r="U145" i="44"/>
  <c r="AV29" i="1"/>
  <c r="G28" i="32"/>
  <c r="P28" i="32" s="1"/>
  <c r="U28" i="32" s="1"/>
  <c r="G28" i="29"/>
  <c r="P28" i="29" l="1"/>
  <c r="U28" i="29" s="1"/>
  <c r="R59" i="17"/>
  <c r="R58" i="17"/>
  <c r="G59" i="17"/>
  <c r="I59" i="17" s="1"/>
  <c r="G58" i="17"/>
  <c r="I58" i="17" s="1"/>
  <c r="AV30" i="1"/>
  <c r="G29" i="32"/>
  <c r="P29" i="32" s="1"/>
  <c r="U29" i="32" s="1"/>
  <c r="G29" i="29"/>
  <c r="P29" i="29" l="1"/>
  <c r="U29" i="29" s="1"/>
  <c r="AV31" i="1"/>
  <c r="G30" i="32"/>
  <c r="P30" i="32" s="1"/>
  <c r="U30" i="32" s="1"/>
  <c r="G30" i="29"/>
  <c r="K2" i="25"/>
  <c r="I34" i="34"/>
  <c r="E34" i="34"/>
  <c r="D34" i="34"/>
  <c r="F34" i="34" s="1"/>
  <c r="I24" i="34"/>
  <c r="E24" i="34"/>
  <c r="D24" i="34"/>
  <c r="I19" i="34"/>
  <c r="E19" i="34"/>
  <c r="D19" i="34"/>
  <c r="I14" i="34"/>
  <c r="E14" i="34"/>
  <c r="D14" i="34"/>
  <c r="I29" i="34"/>
  <c r="E29" i="34"/>
  <c r="D29" i="34"/>
  <c r="F29" i="34" s="1"/>
  <c r="I9" i="34"/>
  <c r="E9" i="34"/>
  <c r="D9" i="34"/>
  <c r="P30" i="29" l="1"/>
  <c r="U30" i="29" s="1"/>
  <c r="AV32" i="1"/>
  <c r="G31" i="32"/>
  <c r="P31" i="32" s="1"/>
  <c r="U31" i="32" s="1"/>
  <c r="G31" i="29"/>
  <c r="I38" i="34"/>
  <c r="F9" i="34"/>
  <c r="F24" i="34"/>
  <c r="F19" i="34"/>
  <c r="P31" i="29" l="1"/>
  <c r="U31" i="29" s="1"/>
  <c r="AV33" i="1"/>
  <c r="G32" i="32"/>
  <c r="P32" i="32" s="1"/>
  <c r="U32" i="32" s="1"/>
  <c r="G32" i="29"/>
  <c r="N35" i="6"/>
  <c r="O35" i="6"/>
  <c r="P32" i="29" l="1"/>
  <c r="U32" i="29" s="1"/>
  <c r="N13" i="6"/>
  <c r="N12" i="6"/>
  <c r="AV34" i="1"/>
  <c r="G33" i="32"/>
  <c r="P33" i="32" s="1"/>
  <c r="U33" i="32" s="1"/>
  <c r="G33" i="29"/>
  <c r="O12" i="6"/>
  <c r="O13" i="6"/>
  <c r="M36" i="6"/>
  <c r="M35" i="6"/>
  <c r="O34" i="6"/>
  <c r="N34" i="6"/>
  <c r="O36" i="6"/>
  <c r="M41" i="6"/>
  <c r="N36" i="6"/>
  <c r="M1" i="30"/>
  <c r="P1" i="31"/>
  <c r="O1" i="31"/>
  <c r="M1" i="31"/>
  <c r="L1" i="30"/>
  <c r="N1" i="30"/>
  <c r="P1" i="27"/>
  <c r="N1" i="32"/>
  <c r="D1" i="30"/>
  <c r="N1" i="29"/>
  <c r="O1" i="27"/>
  <c r="M1" i="27"/>
  <c r="G2" i="25"/>
  <c r="N2" i="25" s="1"/>
  <c r="Q2" i="25" s="1"/>
  <c r="G3" i="25"/>
  <c r="N3" i="25" s="1"/>
  <c r="Q3" i="25" s="1"/>
  <c r="G4" i="25"/>
  <c r="N4" i="25" s="1"/>
  <c r="Q4" i="25" s="1"/>
  <c r="G5" i="25"/>
  <c r="N5" i="25" s="1"/>
  <c r="Q5" i="25" s="1"/>
  <c r="G6" i="25"/>
  <c r="N6" i="25" s="1"/>
  <c r="Q6" i="25" s="1"/>
  <c r="G7" i="25"/>
  <c r="N7" i="25" s="1"/>
  <c r="Q7" i="25" s="1"/>
  <c r="G8" i="25"/>
  <c r="N8" i="25" s="1"/>
  <c r="Q8" i="25" s="1"/>
  <c r="G9" i="25"/>
  <c r="N9" i="25" s="1"/>
  <c r="Q9" i="25" s="1"/>
  <c r="G10" i="25"/>
  <c r="N10" i="25" s="1"/>
  <c r="Q10" i="25" s="1"/>
  <c r="G11" i="25"/>
  <c r="N11" i="25" s="1"/>
  <c r="Q11" i="25" s="1"/>
  <c r="G12" i="25"/>
  <c r="N12" i="25" s="1"/>
  <c r="Q12" i="25" s="1"/>
  <c r="G13" i="25"/>
  <c r="N13" i="25" s="1"/>
  <c r="Q13" i="25" s="1"/>
  <c r="G14" i="25"/>
  <c r="N14" i="25" s="1"/>
  <c r="Q14" i="25" s="1"/>
  <c r="G15" i="25"/>
  <c r="N15" i="25" s="1"/>
  <c r="Q15" i="25" s="1"/>
  <c r="G16" i="25"/>
  <c r="N16" i="25" s="1"/>
  <c r="Q16" i="25" s="1"/>
  <c r="G17" i="25"/>
  <c r="N17" i="25" s="1"/>
  <c r="Q17" i="25" s="1"/>
  <c r="G18" i="25"/>
  <c r="N18" i="25" s="1"/>
  <c r="Q18" i="25" s="1"/>
  <c r="G19" i="25"/>
  <c r="N19" i="25" s="1"/>
  <c r="Q19" i="25" s="1"/>
  <c r="G20" i="25"/>
  <c r="N20" i="25" s="1"/>
  <c r="Q20" i="25" s="1"/>
  <c r="G21" i="25"/>
  <c r="N21" i="25" s="1"/>
  <c r="Q21" i="25" s="1"/>
  <c r="G22" i="25"/>
  <c r="N22" i="25" s="1"/>
  <c r="Q22" i="25" s="1"/>
  <c r="G23" i="25"/>
  <c r="N23" i="25" s="1"/>
  <c r="Q23" i="25" s="1"/>
  <c r="G24" i="25"/>
  <c r="N24" i="25" s="1"/>
  <c r="Q24" i="25" s="1"/>
  <c r="G25" i="25"/>
  <c r="N25" i="25" s="1"/>
  <c r="Q25" i="25" s="1"/>
  <c r="G26" i="25"/>
  <c r="N26" i="25" s="1"/>
  <c r="Q26" i="25" s="1"/>
  <c r="G27" i="25"/>
  <c r="N27" i="25" s="1"/>
  <c r="Q27" i="25" s="1"/>
  <c r="G28" i="25"/>
  <c r="N28" i="25" s="1"/>
  <c r="Q28" i="25" s="1"/>
  <c r="G29" i="25"/>
  <c r="N29" i="25" s="1"/>
  <c r="Q29" i="25" s="1"/>
  <c r="G30" i="25"/>
  <c r="N30" i="25" s="1"/>
  <c r="Q30" i="25" s="1"/>
  <c r="G31" i="25"/>
  <c r="N31" i="25" s="1"/>
  <c r="Q31" i="25" s="1"/>
  <c r="G32" i="25"/>
  <c r="N32" i="25" s="1"/>
  <c r="Q32" i="25" s="1"/>
  <c r="G33" i="25"/>
  <c r="N33" i="25" s="1"/>
  <c r="Q33" i="25" s="1"/>
  <c r="G34" i="25"/>
  <c r="N34" i="25" s="1"/>
  <c r="Q34" i="25" s="1"/>
  <c r="G35" i="25"/>
  <c r="N35" i="25" s="1"/>
  <c r="Q35" i="25" s="1"/>
  <c r="G36" i="25"/>
  <c r="N36" i="25" s="1"/>
  <c r="Q36" i="25" s="1"/>
  <c r="G37" i="25"/>
  <c r="N37" i="25" s="1"/>
  <c r="Q37" i="25" s="1"/>
  <c r="G38" i="25"/>
  <c r="N38" i="25" s="1"/>
  <c r="Q38" i="25" s="1"/>
  <c r="G39" i="25"/>
  <c r="N39" i="25" s="1"/>
  <c r="Q39" i="25" s="1"/>
  <c r="G40" i="25"/>
  <c r="N40" i="25" s="1"/>
  <c r="Q40" i="25" s="1"/>
  <c r="G41" i="25"/>
  <c r="N41" i="25" s="1"/>
  <c r="Q41" i="25" s="1"/>
  <c r="G42" i="25"/>
  <c r="N42" i="25" s="1"/>
  <c r="Q42" i="25" s="1"/>
  <c r="G43" i="25"/>
  <c r="N43" i="25" s="1"/>
  <c r="Q43" i="25" s="1"/>
  <c r="G44" i="25"/>
  <c r="N44" i="25" s="1"/>
  <c r="Q44" i="25" s="1"/>
  <c r="G45" i="25"/>
  <c r="N45" i="25" s="1"/>
  <c r="Q45" i="25" s="1"/>
  <c r="G46" i="25"/>
  <c r="N46" i="25" s="1"/>
  <c r="Q46" i="25" s="1"/>
  <c r="G47" i="25"/>
  <c r="N47" i="25" s="1"/>
  <c r="Q47" i="25" s="1"/>
  <c r="G48" i="25"/>
  <c r="N48" i="25" s="1"/>
  <c r="Q48" i="25" s="1"/>
  <c r="G49" i="25"/>
  <c r="N49" i="25" s="1"/>
  <c r="Q49" i="25" s="1"/>
  <c r="G50" i="25"/>
  <c r="N50" i="25" s="1"/>
  <c r="Q50" i="25" s="1"/>
  <c r="G51" i="25"/>
  <c r="N51" i="25" s="1"/>
  <c r="Q51" i="25" s="1"/>
  <c r="G52" i="25"/>
  <c r="N52" i="25" s="1"/>
  <c r="Q52" i="25" s="1"/>
  <c r="G53" i="25"/>
  <c r="N53" i="25" s="1"/>
  <c r="Q53" i="25" s="1"/>
  <c r="G54" i="25"/>
  <c r="N54" i="25" s="1"/>
  <c r="Q54" i="25" s="1"/>
  <c r="G55" i="25"/>
  <c r="N55" i="25" s="1"/>
  <c r="Q55" i="25" s="1"/>
  <c r="G56" i="25"/>
  <c r="N56" i="25" s="1"/>
  <c r="Q56" i="25" s="1"/>
  <c r="G57" i="25"/>
  <c r="N57" i="25" s="1"/>
  <c r="Q57" i="25" s="1"/>
  <c r="G58" i="25"/>
  <c r="N58" i="25" s="1"/>
  <c r="Q58" i="25" s="1"/>
  <c r="G59" i="25"/>
  <c r="N59" i="25" s="1"/>
  <c r="Q59" i="25" s="1"/>
  <c r="G60" i="25"/>
  <c r="N60" i="25" s="1"/>
  <c r="Q60" i="25" s="1"/>
  <c r="G61" i="25"/>
  <c r="N61" i="25" s="1"/>
  <c r="Q61" i="25" s="1"/>
  <c r="G1" i="25"/>
  <c r="N1" i="25" s="1"/>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3" i="25"/>
  <c r="A2" i="25"/>
  <c r="D1" i="25"/>
  <c r="C1" i="25"/>
  <c r="B1" i="25"/>
  <c r="A1" i="25"/>
  <c r="B42" i="23"/>
  <c r="B41" i="23"/>
  <c r="B40" i="23"/>
  <c r="B39" i="23"/>
  <c r="B38" i="23"/>
  <c r="B37" i="23"/>
  <c r="B32" i="23"/>
  <c r="B31" i="23"/>
  <c r="B30" i="23"/>
  <c r="B18" i="23"/>
  <c r="B17" i="23"/>
  <c r="B16" i="23"/>
  <c r="B15" i="23"/>
  <c r="B14" i="23"/>
  <c r="B13" i="23"/>
  <c r="P6" i="21"/>
  <c r="P7" i="21" s="1"/>
  <c r="J6" i="21"/>
  <c r="J7" i="21" s="1"/>
  <c r="B6" i="21"/>
  <c r="B7" i="21" s="1"/>
  <c r="B8" i="21" s="1"/>
  <c r="B9" i="21" s="1"/>
  <c r="B10" i="21" s="1"/>
  <c r="B11" i="21" s="1"/>
  <c r="B12" i="21" s="1"/>
  <c r="B13" i="21" s="1"/>
  <c r="B14" i="21" s="1"/>
  <c r="N41" i="6" l="1"/>
  <c r="I104" i="1" s="1"/>
  <c r="J104" i="1" s="1"/>
  <c r="D104" i="44" s="1"/>
  <c r="U104" i="44" s="1"/>
  <c r="P33" i="29"/>
  <c r="U33" i="29" s="1"/>
  <c r="AV35" i="1"/>
  <c r="G34" i="32"/>
  <c r="P34" i="32" s="1"/>
  <c r="U34" i="32" s="1"/>
  <c r="G34" i="29"/>
  <c r="O41" i="6"/>
  <c r="M100" i="1" s="1"/>
  <c r="N100" i="1" s="1"/>
  <c r="D100" i="45" s="1"/>
  <c r="W100" i="45" s="1"/>
  <c r="O14" i="6"/>
  <c r="I101" i="1"/>
  <c r="J101" i="1" s="1"/>
  <c r="D101" i="44" s="1"/>
  <c r="U101" i="44" s="1"/>
  <c r="I109" i="1"/>
  <c r="J109" i="1" s="1"/>
  <c r="D109" i="44" s="1"/>
  <c r="U109" i="44" s="1"/>
  <c r="I105" i="1"/>
  <c r="J105" i="1" s="1"/>
  <c r="D105" i="44" s="1"/>
  <c r="U105" i="44" s="1"/>
  <c r="I107" i="1"/>
  <c r="J107" i="1" s="1"/>
  <c r="D107" i="44" s="1"/>
  <c r="U107" i="44" s="1"/>
  <c r="I98" i="1"/>
  <c r="I99" i="1"/>
  <c r="J99" i="1" s="1"/>
  <c r="D99" i="44" s="1"/>
  <c r="U99" i="44" s="1"/>
  <c r="I108" i="1"/>
  <c r="J108" i="1" s="1"/>
  <c r="D108" i="44" s="1"/>
  <c r="U108" i="44" s="1"/>
  <c r="I103" i="1"/>
  <c r="J103" i="1" s="1"/>
  <c r="D103" i="44" s="1"/>
  <c r="U103" i="44" s="1"/>
  <c r="I100" i="1"/>
  <c r="J100" i="1" s="1"/>
  <c r="D100" i="44" s="1"/>
  <c r="U100" i="44" s="1"/>
  <c r="E109" i="1"/>
  <c r="E107" i="1"/>
  <c r="E105" i="1"/>
  <c r="E103" i="1"/>
  <c r="E101" i="1"/>
  <c r="E108" i="1"/>
  <c r="E98" i="1"/>
  <c r="E104" i="1"/>
  <c r="E99" i="1"/>
  <c r="E100" i="1"/>
  <c r="E102" i="1"/>
  <c r="E106" i="1"/>
  <c r="I14" i="35"/>
  <c r="I15" i="35" s="1"/>
  <c r="S14" i="35"/>
  <c r="S15" i="35" s="1"/>
  <c r="Q1" i="31"/>
  <c r="O1" i="30"/>
  <c r="O1" i="29"/>
  <c r="Q1" i="27"/>
  <c r="P8" i="21"/>
  <c r="J8" i="21"/>
  <c r="I102" i="1" l="1"/>
  <c r="J102" i="1" s="1"/>
  <c r="D102" i="44" s="1"/>
  <c r="U102" i="44" s="1"/>
  <c r="I106" i="1"/>
  <c r="J106" i="1" s="1"/>
  <c r="D106" i="44" s="1"/>
  <c r="U106" i="44" s="1"/>
  <c r="P34" i="29"/>
  <c r="U34" i="29" s="1"/>
  <c r="N14" i="6"/>
  <c r="D56" i="17"/>
  <c r="H56" i="17" s="1"/>
  <c r="J98" i="1"/>
  <c r="D98" i="31" s="1"/>
  <c r="O56" i="17"/>
  <c r="S56" i="17" s="1"/>
  <c r="AV36" i="1"/>
  <c r="G35" i="32"/>
  <c r="P35" i="32" s="1"/>
  <c r="U35" i="32" s="1"/>
  <c r="G35" i="29"/>
  <c r="S59" i="17"/>
  <c r="T59" i="17" s="1"/>
  <c r="M106" i="1"/>
  <c r="N106" i="1" s="1"/>
  <c r="CK100" i="1"/>
  <c r="D100" i="32"/>
  <c r="D100" i="29"/>
  <c r="M104" i="1"/>
  <c r="N104" i="1" s="1"/>
  <c r="D104" i="45" s="1"/>
  <c r="W104" i="45" s="1"/>
  <c r="M108" i="1"/>
  <c r="N108" i="1" s="1"/>
  <c r="D108" i="45" s="1"/>
  <c r="W108" i="45" s="1"/>
  <c r="M102" i="1"/>
  <c r="N102" i="1" s="1"/>
  <c r="D102" i="45" s="1"/>
  <c r="W102" i="45" s="1"/>
  <c r="M105" i="1"/>
  <c r="N105" i="1" s="1"/>
  <c r="D105" i="45" s="1"/>
  <c r="W105" i="45" s="1"/>
  <c r="M101" i="1"/>
  <c r="N101" i="1" s="1"/>
  <c r="D101" i="45" s="1"/>
  <c r="W101" i="45" s="1"/>
  <c r="M109" i="1"/>
  <c r="N109" i="1" s="1"/>
  <c r="D109" i="45" s="1"/>
  <c r="W109" i="45" s="1"/>
  <c r="M99" i="1"/>
  <c r="N99" i="1" s="1"/>
  <c r="D99" i="45" s="1"/>
  <c r="W99" i="45" s="1"/>
  <c r="M107" i="1"/>
  <c r="N107" i="1" s="1"/>
  <c r="D107" i="45" s="1"/>
  <c r="W107" i="45" s="1"/>
  <c r="M98" i="1"/>
  <c r="O15" i="6"/>
  <c r="M103" i="1"/>
  <c r="N103" i="1" s="1"/>
  <c r="D103" i="45" s="1"/>
  <c r="W103" i="45" s="1"/>
  <c r="D102" i="27"/>
  <c r="T102" i="27" s="1"/>
  <c r="D102" i="31"/>
  <c r="D108" i="27"/>
  <c r="T108" i="27" s="1"/>
  <c r="D108" i="31"/>
  <c r="D105" i="27"/>
  <c r="T105" i="27" s="1"/>
  <c r="D105" i="31"/>
  <c r="D104" i="27"/>
  <c r="T104" i="27" s="1"/>
  <c r="D104" i="31"/>
  <c r="D109" i="27"/>
  <c r="T109" i="27" s="1"/>
  <c r="D109" i="31"/>
  <c r="D99" i="31"/>
  <c r="D99" i="27"/>
  <c r="T99" i="27" s="1"/>
  <c r="D100" i="27"/>
  <c r="T100" i="27" s="1"/>
  <c r="D100" i="31"/>
  <c r="D107" i="27"/>
  <c r="T107" i="27" s="1"/>
  <c r="D107" i="31"/>
  <c r="D106" i="27"/>
  <c r="T106" i="27" s="1"/>
  <c r="D106" i="31"/>
  <c r="D101" i="27"/>
  <c r="T101" i="27" s="1"/>
  <c r="D101" i="31"/>
  <c r="D103" i="27"/>
  <c r="T103" i="27" s="1"/>
  <c r="D103" i="31"/>
  <c r="N14" i="35"/>
  <c r="N15" i="35" s="1"/>
  <c r="P9" i="21"/>
  <c r="J9" i="21"/>
  <c r="P35" i="29" l="1"/>
  <c r="U35" i="29" s="1"/>
  <c r="N15" i="6"/>
  <c r="S58" i="17"/>
  <c r="T58" i="17" s="1"/>
  <c r="S15" i="17"/>
  <c r="D98" i="27"/>
  <c r="T98" i="27" s="1"/>
  <c r="N98" i="1"/>
  <c r="D98" i="29" s="1"/>
  <c r="Z56" i="17"/>
  <c r="AD56" i="17" s="1"/>
  <c r="D106" i="29"/>
  <c r="D106" i="45"/>
  <c r="W106" i="45" s="1"/>
  <c r="D98" i="44"/>
  <c r="U98" i="44" s="1"/>
  <c r="R56" i="17" s="1"/>
  <c r="T56" i="17" s="1"/>
  <c r="P56" i="17"/>
  <c r="AV37" i="1"/>
  <c r="G36" i="32"/>
  <c r="P36" i="32" s="1"/>
  <c r="U36" i="32" s="1"/>
  <c r="G36" i="29"/>
  <c r="CK106" i="1"/>
  <c r="D106" i="32"/>
  <c r="CK103" i="1"/>
  <c r="D103" i="32"/>
  <c r="D103" i="29"/>
  <c r="D101" i="32"/>
  <c r="CK101" i="1"/>
  <c r="D101" i="29"/>
  <c r="D98" i="32"/>
  <c r="D102" i="32"/>
  <c r="CK102" i="1"/>
  <c r="D102" i="29"/>
  <c r="CK107" i="1"/>
  <c r="D107" i="29"/>
  <c r="D107" i="32"/>
  <c r="CK105" i="1"/>
  <c r="D105" i="32"/>
  <c r="D105" i="29"/>
  <c r="D104" i="32"/>
  <c r="CK104" i="1"/>
  <c r="D104" i="29"/>
  <c r="CK108" i="1"/>
  <c r="D108" i="29"/>
  <c r="D108" i="32"/>
  <c r="D99" i="32"/>
  <c r="D99" i="29"/>
  <c r="CK99" i="1"/>
  <c r="D109" i="32"/>
  <c r="D109" i="29"/>
  <c r="CK109" i="1"/>
  <c r="D19" i="23"/>
  <c r="P10" i="21"/>
  <c r="J10" i="21"/>
  <c r="CK98" i="1" l="1"/>
  <c r="V56" i="17"/>
  <c r="P36" i="29"/>
  <c r="U36" i="29" s="1"/>
  <c r="AD58" i="17"/>
  <c r="D98" i="45"/>
  <c r="W98" i="45" s="1"/>
  <c r="AC56" i="17" s="1"/>
  <c r="AA56" i="17"/>
  <c r="AV38" i="1"/>
  <c r="G37" i="32"/>
  <c r="P37" i="32" s="1"/>
  <c r="U37" i="32" s="1"/>
  <c r="G37" i="29"/>
  <c r="AD59" i="17"/>
  <c r="P11" i="21"/>
  <c r="J11" i="21"/>
  <c r="P37" i="29" l="1"/>
  <c r="U37" i="29" s="1"/>
  <c r="AV39" i="1"/>
  <c r="G38" i="32"/>
  <c r="P38" i="32" s="1"/>
  <c r="U38" i="32" s="1"/>
  <c r="G38" i="29"/>
  <c r="P12" i="21"/>
  <c r="J12" i="21"/>
  <c r="AU6" i="17"/>
  <c r="AU7" i="17" s="1"/>
  <c r="AU8" i="17" s="1"/>
  <c r="AO6" i="17"/>
  <c r="AO7" i="17" s="1"/>
  <c r="AO8" i="17" s="1"/>
  <c r="N5" i="18"/>
  <c r="N6" i="18" s="1"/>
  <c r="N7" i="18" s="1"/>
  <c r="N8" i="18" s="1"/>
  <c r="N9" i="18" s="1"/>
  <c r="N10" i="18" s="1"/>
  <c r="N11" i="18" s="1"/>
  <c r="N12" i="18" s="1"/>
  <c r="V5" i="18"/>
  <c r="V6" i="18" s="1"/>
  <c r="V7" i="18" s="1"/>
  <c r="V8" i="18" s="1"/>
  <c r="V9" i="18" s="1"/>
  <c r="V10" i="18" s="1"/>
  <c r="V11" i="18" s="1"/>
  <c r="V12" i="18" s="1"/>
  <c r="V15" i="18" s="1"/>
  <c r="R5" i="18"/>
  <c r="R6" i="18" s="1"/>
  <c r="R7" i="18" s="1"/>
  <c r="R8" i="18" s="1"/>
  <c r="R9" i="18" s="1"/>
  <c r="R10" i="18" s="1"/>
  <c r="R11" i="18" s="1"/>
  <c r="R12" i="18" s="1"/>
  <c r="J5" i="18"/>
  <c r="J6" i="18" s="1"/>
  <c r="J7" i="18" s="1"/>
  <c r="J8" i="18" s="1"/>
  <c r="J9" i="18" s="1"/>
  <c r="J10" i="18" s="1"/>
  <c r="J11" i="18" s="1"/>
  <c r="J12" i="18" s="1"/>
  <c r="F5" i="18"/>
  <c r="F6" i="18" s="1"/>
  <c r="F7" i="18" s="1"/>
  <c r="F8" i="18" s="1"/>
  <c r="F9" i="18" s="1"/>
  <c r="F10" i="18" s="1"/>
  <c r="F11" i="18" s="1"/>
  <c r="F12" i="18" s="1"/>
  <c r="B5" i="18"/>
  <c r="B6" i="18" s="1"/>
  <c r="B7" i="18" s="1"/>
  <c r="B8" i="18" s="1"/>
  <c r="B9" i="18" s="1"/>
  <c r="B10" i="18" s="1"/>
  <c r="B11" i="18" s="1"/>
  <c r="B12" i="18" s="1"/>
  <c r="B15" i="18" s="1"/>
  <c r="AI5" i="17"/>
  <c r="X6" i="17"/>
  <c r="X7" i="17" s="1"/>
  <c r="M6" i="17"/>
  <c r="M7" i="17" s="1"/>
  <c r="B6" i="17"/>
  <c r="AI6" i="17" s="1"/>
  <c r="P38" i="29" l="1"/>
  <c r="U38" i="29" s="1"/>
  <c r="AV40" i="1"/>
  <c r="G39" i="32"/>
  <c r="P39" i="32" s="1"/>
  <c r="U39" i="32" s="1"/>
  <c r="G39" i="29"/>
  <c r="X8" i="17"/>
  <c r="R15" i="18"/>
  <c r="J15" i="18"/>
  <c r="N15" i="18"/>
  <c r="F15" i="18"/>
  <c r="N1" i="27"/>
  <c r="N1" i="31"/>
  <c r="P13" i="21"/>
  <c r="J13" i="21"/>
  <c r="AU9" i="17"/>
  <c r="AO9" i="17"/>
  <c r="B7" i="17"/>
  <c r="X9" i="17"/>
  <c r="M8" i="17"/>
  <c r="P39" i="29" l="1"/>
  <c r="U39" i="29" s="1"/>
  <c r="AV41" i="1"/>
  <c r="G40" i="32"/>
  <c r="P40" i="32" s="1"/>
  <c r="U40" i="32" s="1"/>
  <c r="G40" i="29"/>
  <c r="P14" i="21"/>
  <c r="J14" i="21"/>
  <c r="AU10" i="17"/>
  <c r="AO10" i="17"/>
  <c r="B8" i="17"/>
  <c r="AI7" i="17"/>
  <c r="X10" i="17"/>
  <c r="M9" i="17"/>
  <c r="B74" i="5"/>
  <c r="B75" i="5"/>
  <c r="B76" i="5"/>
  <c r="B77" i="5"/>
  <c r="B78" i="5"/>
  <c r="B79" i="5"/>
  <c r="B80"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P40" i="29" l="1"/>
  <c r="U40" i="29" s="1"/>
  <c r="AV42" i="1"/>
  <c r="G41" i="32"/>
  <c r="P41" i="32" s="1"/>
  <c r="U41" i="32" s="1"/>
  <c r="G41" i="29"/>
  <c r="AU11" i="17"/>
  <c r="AO11" i="17"/>
  <c r="AI8" i="17"/>
  <c r="B9" i="17"/>
  <c r="X11" i="17"/>
  <c r="M10" i="17"/>
  <c r="P41" i="29" l="1"/>
  <c r="U41" i="29" s="1"/>
  <c r="AV43" i="1"/>
  <c r="G42" i="32"/>
  <c r="P42" i="32" s="1"/>
  <c r="U42" i="32" s="1"/>
  <c r="G42" i="29"/>
  <c r="AU12" i="17"/>
  <c r="AO12" i="17"/>
  <c r="AI9" i="17"/>
  <c r="B10" i="17"/>
  <c r="X12" i="17"/>
  <c r="M11" i="17"/>
  <c r="P42" i="29" l="1"/>
  <c r="U42" i="29" s="1"/>
  <c r="AV44" i="1"/>
  <c r="G43" i="32"/>
  <c r="P43" i="32" s="1"/>
  <c r="U43" i="32" s="1"/>
  <c r="G43" i="29"/>
  <c r="AU13" i="17"/>
  <c r="AO13" i="17"/>
  <c r="AI10" i="17"/>
  <c r="B11" i="17"/>
  <c r="X13" i="17"/>
  <c r="M12" i="17"/>
  <c r="P43" i="29" l="1"/>
  <c r="U43" i="29" s="1"/>
  <c r="AV45" i="1"/>
  <c r="G44" i="32"/>
  <c r="P44" i="32" s="1"/>
  <c r="U44" i="32" s="1"/>
  <c r="G44" i="29"/>
  <c r="AU14" i="17"/>
  <c r="AU15" i="17" s="1"/>
  <c r="AO14" i="17"/>
  <c r="AO15" i="17" s="1"/>
  <c r="AI11" i="17"/>
  <c r="B12" i="17"/>
  <c r="X14" i="17"/>
  <c r="X15" i="17" s="1"/>
  <c r="M13" i="17"/>
  <c r="P44" i="29" l="1"/>
  <c r="U44" i="29" s="1"/>
  <c r="AV46" i="1"/>
  <c r="G45" i="32"/>
  <c r="P45" i="32" s="1"/>
  <c r="U45" i="32" s="1"/>
  <c r="G45" i="29"/>
  <c r="AU16" i="17"/>
  <c r="AO16" i="17"/>
  <c r="AI12" i="17"/>
  <c r="B13" i="17"/>
  <c r="M14" i="17"/>
  <c r="M15" i="17" s="1"/>
  <c r="P45" i="29" l="1"/>
  <c r="U45" i="29" s="1"/>
  <c r="AV47" i="1"/>
  <c r="G46" i="32"/>
  <c r="P46" i="32" s="1"/>
  <c r="U46" i="32" s="1"/>
  <c r="G46" i="29"/>
  <c r="AI13" i="17"/>
  <c r="B14" i="17"/>
  <c r="B15" i="17" s="1"/>
  <c r="AI15" i="17" s="1"/>
  <c r="X16" i="17"/>
  <c r="P46" i="29" l="1"/>
  <c r="U46" i="29" s="1"/>
  <c r="AV48" i="1"/>
  <c r="G47" i="32"/>
  <c r="P47" i="32" s="1"/>
  <c r="U47" i="32" s="1"/>
  <c r="G47" i="29"/>
  <c r="AI14" i="17"/>
  <c r="M16" i="17"/>
  <c r="P47" i="29" l="1"/>
  <c r="U47" i="29" s="1"/>
  <c r="AV49" i="1"/>
  <c r="G48" i="32"/>
  <c r="P48" i="32" s="1"/>
  <c r="U48" i="32" s="1"/>
  <c r="G48" i="29"/>
  <c r="B16" i="17"/>
  <c r="AI16" i="17" s="1"/>
  <c r="P48" i="29" l="1"/>
  <c r="U48" i="29" s="1"/>
  <c r="AV50" i="1"/>
  <c r="G49" i="32"/>
  <c r="P49" i="32" s="1"/>
  <c r="U49" i="32" s="1"/>
  <c r="G49" i="29"/>
  <c r="P49" i="29" l="1"/>
  <c r="U49" i="29" s="1"/>
  <c r="AV51" i="1"/>
  <c r="G50" i="32"/>
  <c r="P50" i="32" s="1"/>
  <c r="U50" i="32" s="1"/>
  <c r="G50" i="29"/>
  <c r="P50" i="29" l="1"/>
  <c r="U50" i="29" s="1"/>
  <c r="AV52" i="1"/>
  <c r="G51" i="32"/>
  <c r="P51" i="32" s="1"/>
  <c r="U51" i="32" s="1"/>
  <c r="G51" i="29"/>
  <c r="P51" i="29" l="1"/>
  <c r="U51" i="29" s="1"/>
  <c r="AV53" i="1"/>
  <c r="G52" i="32"/>
  <c r="P52" i="32" s="1"/>
  <c r="U52" i="32" s="1"/>
  <c r="G52" i="29"/>
  <c r="P52" i="29" l="1"/>
  <c r="U52" i="29" s="1"/>
  <c r="AV54" i="1"/>
  <c r="G53" i="32"/>
  <c r="P53" i="32" s="1"/>
  <c r="U53" i="32" s="1"/>
  <c r="G53" i="29"/>
  <c r="P53" i="29" l="1"/>
  <c r="U53" i="29" s="1"/>
  <c r="AV55" i="1"/>
  <c r="G54" i="32"/>
  <c r="P54" i="32" s="1"/>
  <c r="U54" i="32" s="1"/>
  <c r="G54" i="29"/>
  <c r="P54" i="29" l="1"/>
  <c r="U54" i="29" s="1"/>
  <c r="AV56" i="1"/>
  <c r="G55" i="32"/>
  <c r="P55" i="32" s="1"/>
  <c r="U55" i="32" s="1"/>
  <c r="G55" i="29"/>
  <c r="P55" i="29" l="1"/>
  <c r="U55" i="29" s="1"/>
  <c r="AV57" i="1"/>
  <c r="G56" i="29"/>
  <c r="G56" i="32"/>
  <c r="P56" i="32" s="1"/>
  <c r="U56" i="32" s="1"/>
  <c r="P56" i="29" l="1"/>
  <c r="U56" i="29" s="1"/>
  <c r="AV58" i="1"/>
  <c r="G57" i="32"/>
  <c r="P57" i="32" s="1"/>
  <c r="U57" i="32" s="1"/>
  <c r="G57" i="29"/>
  <c r="P57" i="29" l="1"/>
  <c r="U57" i="29" s="1"/>
  <c r="AV59" i="1"/>
  <c r="G58" i="32"/>
  <c r="P58" i="32" s="1"/>
  <c r="U58" i="32" s="1"/>
  <c r="G58" i="29"/>
  <c r="P58" i="29" l="1"/>
  <c r="U58" i="29" s="1"/>
  <c r="AV60" i="1"/>
  <c r="G59" i="32"/>
  <c r="P59" i="32" s="1"/>
  <c r="U59" i="32" s="1"/>
  <c r="G59" i="29"/>
  <c r="P59" i="29" l="1"/>
  <c r="U59" i="29" s="1"/>
  <c r="AV61" i="1"/>
  <c r="G60" i="32"/>
  <c r="P60" i="32" s="1"/>
  <c r="U60" i="32" s="1"/>
  <c r="G60" i="29"/>
  <c r="P60" i="29" l="1"/>
  <c r="U60" i="29" s="1"/>
  <c r="AV62" i="1"/>
  <c r="G61" i="32"/>
  <c r="P61" i="32" s="1"/>
  <c r="U61" i="32" s="1"/>
  <c r="G61" i="29"/>
  <c r="P61" i="29" l="1"/>
  <c r="U61" i="29" s="1"/>
  <c r="AV63" i="1"/>
  <c r="G62" i="32"/>
  <c r="P62" i="32" s="1"/>
  <c r="U62" i="32" s="1"/>
  <c r="G62" i="29"/>
  <c r="P62" i="29" l="1"/>
  <c r="U62" i="29" s="1"/>
  <c r="AV64" i="1"/>
  <c r="G63" i="32"/>
  <c r="P63" i="32" s="1"/>
  <c r="U63" i="32" s="1"/>
  <c r="G63" i="29"/>
  <c r="P63" i="29" l="1"/>
  <c r="U63" i="29" s="1"/>
  <c r="AV65" i="1"/>
  <c r="G64" i="32"/>
  <c r="P64" i="32" s="1"/>
  <c r="U64" i="32" s="1"/>
  <c r="G64" i="29"/>
  <c r="P64" i="29" l="1"/>
  <c r="U64" i="29" s="1"/>
  <c r="AV66" i="1"/>
  <c r="G65" i="32"/>
  <c r="P65" i="32" s="1"/>
  <c r="U65" i="32" s="1"/>
  <c r="G65" i="29"/>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P65" i="29" l="1"/>
  <c r="U65" i="29" s="1"/>
  <c r="B29" i="30"/>
  <c r="B29" i="31"/>
  <c r="B29" i="32"/>
  <c r="B29" i="29"/>
  <c r="B29" i="27"/>
  <c r="B43" i="30"/>
  <c r="B43" i="31"/>
  <c r="B43" i="32"/>
  <c r="B43" i="29"/>
  <c r="B43" i="27"/>
  <c r="B57" i="30"/>
  <c r="B57" i="31"/>
  <c r="B57" i="32"/>
  <c r="B57" i="29"/>
  <c r="B57" i="27"/>
  <c r="B40" i="32"/>
  <c r="B40" i="29"/>
  <c r="B40" i="27"/>
  <c r="B40" i="30"/>
  <c r="B40" i="31"/>
  <c r="B7" i="32"/>
  <c r="B7" i="30"/>
  <c r="B7" i="31"/>
  <c r="B7" i="29"/>
  <c r="B7" i="27"/>
  <c r="B53" i="30"/>
  <c r="B53" i="31"/>
  <c r="B53" i="29"/>
  <c r="B53" i="32"/>
  <c r="B53" i="27"/>
  <c r="B37" i="30"/>
  <c r="B37" i="31"/>
  <c r="B37" i="32"/>
  <c r="B37" i="29"/>
  <c r="B37" i="27"/>
  <c r="B21" i="30"/>
  <c r="B21" i="31"/>
  <c r="B21" i="32"/>
  <c r="B21" i="27"/>
  <c r="B21" i="29"/>
  <c r="B5" i="30"/>
  <c r="B5" i="31"/>
  <c r="B5" i="32"/>
  <c r="B5" i="29"/>
  <c r="B5" i="27"/>
  <c r="B46" i="30"/>
  <c r="B46" i="31"/>
  <c r="B46" i="27"/>
  <c r="B46" i="32"/>
  <c r="B46" i="29"/>
  <c r="B45" i="30"/>
  <c r="B45" i="31"/>
  <c r="B45" i="27"/>
  <c r="B45" i="32"/>
  <c r="B45" i="29"/>
  <c r="B27" i="30"/>
  <c r="B27" i="31"/>
  <c r="B27" i="32"/>
  <c r="B27" i="29"/>
  <c r="B27" i="27"/>
  <c r="B52" i="30"/>
  <c r="B52" i="31"/>
  <c r="B52" i="29"/>
  <c r="B52" i="32"/>
  <c r="B52" i="27"/>
  <c r="B13" i="31"/>
  <c r="B13" i="32"/>
  <c r="B13" i="29"/>
  <c r="B13" i="27"/>
  <c r="B13" i="30"/>
  <c r="B59" i="30"/>
  <c r="B59" i="31"/>
  <c r="B59" i="29"/>
  <c r="B59" i="32"/>
  <c r="B59" i="27"/>
  <c r="B26" i="31"/>
  <c r="B26" i="32"/>
  <c r="B26" i="29"/>
  <c r="B26" i="30"/>
  <c r="B26" i="27"/>
  <c r="B8" i="32"/>
  <c r="B8" i="30"/>
  <c r="B8" i="31"/>
  <c r="B8" i="29"/>
  <c r="B8" i="27"/>
  <c r="B6" i="32"/>
  <c r="B6" i="30"/>
  <c r="B6" i="31"/>
  <c r="B6" i="27"/>
  <c r="B6" i="29"/>
  <c r="B35" i="30"/>
  <c r="B35" i="31"/>
  <c r="B35" i="29"/>
  <c r="B35" i="27"/>
  <c r="B35" i="32"/>
  <c r="B19" i="32"/>
  <c r="B19" i="29"/>
  <c r="B19" i="30"/>
  <c r="B19" i="31"/>
  <c r="B19" i="27"/>
  <c r="B3" i="31"/>
  <c r="B3" i="30"/>
  <c r="B3" i="32"/>
  <c r="B3" i="29"/>
  <c r="B3" i="27"/>
  <c r="B14" i="30"/>
  <c r="B14" i="31"/>
  <c r="B14" i="32"/>
  <c r="B14" i="29"/>
  <c r="B14" i="27"/>
  <c r="B44" i="30"/>
  <c r="B44" i="32"/>
  <c r="B44" i="31"/>
  <c r="B44" i="29"/>
  <c r="B44" i="27"/>
  <c r="B10" i="31"/>
  <c r="B10" i="29"/>
  <c r="B10" i="32"/>
  <c r="B10" i="30"/>
  <c r="B10" i="27"/>
  <c r="B24" i="29"/>
  <c r="B24" i="31"/>
  <c r="B24" i="30"/>
  <c r="B24" i="27"/>
  <c r="B24" i="32"/>
  <c r="B22" i="32"/>
  <c r="B22" i="30"/>
  <c r="B22" i="31"/>
  <c r="B22" i="29"/>
  <c r="B22" i="27"/>
  <c r="B34" i="30"/>
  <c r="B34" i="29"/>
  <c r="B34" i="31"/>
  <c r="B34" i="32"/>
  <c r="B34" i="27"/>
  <c r="B18" i="29"/>
  <c r="B18" i="30"/>
  <c r="B18" i="31"/>
  <c r="B18" i="32"/>
  <c r="B18" i="27"/>
  <c r="B2" i="31"/>
  <c r="B2" i="30"/>
  <c r="B2" i="32"/>
  <c r="B2" i="29"/>
  <c r="B2" i="27"/>
  <c r="B61" i="32"/>
  <c r="B61" i="31"/>
  <c r="B61" i="27"/>
  <c r="B61" i="29"/>
  <c r="B61" i="30"/>
  <c r="B60" i="30"/>
  <c r="B60" i="32"/>
  <c r="B60" i="29"/>
  <c r="B60" i="31"/>
  <c r="B60" i="27"/>
  <c r="B11" i="30"/>
  <c r="B11" i="31"/>
  <c r="B11" i="29"/>
  <c r="B11" i="32"/>
  <c r="B11" i="27"/>
  <c r="B9" i="32"/>
  <c r="B9" i="30"/>
  <c r="B9" i="31"/>
  <c r="B9" i="29"/>
  <c r="B9" i="27"/>
  <c r="B39" i="32"/>
  <c r="B39" i="29"/>
  <c r="B39" i="30"/>
  <c r="B39" i="31"/>
  <c r="B39" i="27"/>
  <c r="B38" i="30"/>
  <c r="B38" i="31"/>
  <c r="B38" i="32"/>
  <c r="B38" i="29"/>
  <c r="B38" i="27"/>
  <c r="B36" i="30"/>
  <c r="B36" i="31"/>
  <c r="B36" i="29"/>
  <c r="B36" i="27"/>
  <c r="B36" i="32"/>
  <c r="B50" i="30"/>
  <c r="B50" i="31"/>
  <c r="B50" i="32"/>
  <c r="B50" i="29"/>
  <c r="B50" i="27"/>
  <c r="B49" i="32"/>
  <c r="B49" i="30"/>
  <c r="B49" i="31"/>
  <c r="B49" i="29"/>
  <c r="B49" i="27"/>
  <c r="B33" i="32"/>
  <c r="B33" i="30"/>
  <c r="B33" i="31"/>
  <c r="B33" i="29"/>
  <c r="B33" i="27"/>
  <c r="B17" i="32"/>
  <c r="B17" i="30"/>
  <c r="B17" i="31"/>
  <c r="B17" i="29"/>
  <c r="B17" i="27"/>
  <c r="B30" i="32"/>
  <c r="B30" i="30"/>
  <c r="B30" i="29"/>
  <c r="B30" i="27"/>
  <c r="B30" i="31"/>
  <c r="B28" i="30"/>
  <c r="B28" i="31"/>
  <c r="B28" i="29"/>
  <c r="B28" i="32"/>
  <c r="B28" i="27"/>
  <c r="B42" i="31"/>
  <c r="B42" i="30"/>
  <c r="B42" i="29"/>
  <c r="B42" i="32"/>
  <c r="B42" i="27"/>
  <c r="B25" i="30"/>
  <c r="B25" i="31"/>
  <c r="B25" i="32"/>
  <c r="B25" i="29"/>
  <c r="B25" i="27"/>
  <c r="B55" i="32"/>
  <c r="B55" i="30"/>
  <c r="B55" i="31"/>
  <c r="B55" i="29"/>
  <c r="B55" i="27"/>
  <c r="B54" i="30"/>
  <c r="B54" i="31"/>
  <c r="B54" i="32"/>
  <c r="B54" i="29"/>
  <c r="B54" i="27"/>
  <c r="B4" i="32"/>
  <c r="B4" i="31"/>
  <c r="B4" i="30"/>
  <c r="B4" i="29"/>
  <c r="B4" i="27"/>
  <c r="B48" i="32"/>
  <c r="B48" i="30"/>
  <c r="B48" i="31"/>
  <c r="B48" i="29"/>
  <c r="B48" i="27"/>
  <c r="B32" i="32"/>
  <c r="B32" i="30"/>
  <c r="B32" i="31"/>
  <c r="B32" i="29"/>
  <c r="B32" i="27"/>
  <c r="B16" i="32"/>
  <c r="B16" i="30"/>
  <c r="B16" i="31"/>
  <c r="B16" i="29"/>
  <c r="B16" i="27"/>
  <c r="B12" i="32"/>
  <c r="B12" i="30"/>
  <c r="B12" i="29"/>
  <c r="B12" i="31"/>
  <c r="B12" i="27"/>
  <c r="B58" i="31"/>
  <c r="B58" i="29"/>
  <c r="B58" i="32"/>
  <c r="B58" i="30"/>
  <c r="B58" i="27"/>
  <c r="B41" i="31"/>
  <c r="B41" i="32"/>
  <c r="B41" i="30"/>
  <c r="B41" i="27"/>
  <c r="B41" i="29"/>
  <c r="B56" i="30"/>
  <c r="B56" i="31"/>
  <c r="B56" i="32"/>
  <c r="B56" i="27"/>
  <c r="B56" i="29"/>
  <c r="B23" i="30"/>
  <c r="B23" i="32"/>
  <c r="B23" i="29"/>
  <c r="B23" i="31"/>
  <c r="B23" i="27"/>
  <c r="B20" i="30"/>
  <c r="B20" i="31"/>
  <c r="B20" i="32"/>
  <c r="B20" i="29"/>
  <c r="B20" i="27"/>
  <c r="B51" i="30"/>
  <c r="B51" i="29"/>
  <c r="B51" i="32"/>
  <c r="B51" i="27"/>
  <c r="B51" i="31"/>
  <c r="B47" i="32"/>
  <c r="B47" i="31"/>
  <c r="B47" i="29"/>
  <c r="B47" i="27"/>
  <c r="B47" i="30"/>
  <c r="B31" i="32"/>
  <c r="B31" i="30"/>
  <c r="B31" i="31"/>
  <c r="B31" i="29"/>
  <c r="B31" i="27"/>
  <c r="B15" i="30"/>
  <c r="B15" i="31"/>
  <c r="B15" i="29"/>
  <c r="B15" i="32"/>
  <c r="B15" i="27"/>
  <c r="AV67" i="1"/>
  <c r="G66" i="32"/>
  <c r="P66" i="32" s="1"/>
  <c r="U66" i="32" s="1"/>
  <c r="G66" i="29"/>
  <c r="B61" i="25"/>
  <c r="B53" i="25"/>
  <c r="B45" i="25"/>
  <c r="B41" i="25"/>
  <c r="B37" i="25"/>
  <c r="B29" i="25"/>
  <c r="B25" i="25"/>
  <c r="B17" i="25"/>
  <c r="B13" i="25"/>
  <c r="B9" i="25"/>
  <c r="B5" i="25"/>
  <c r="B60" i="25"/>
  <c r="B52" i="25"/>
  <c r="B48" i="25"/>
  <c r="B40" i="25"/>
  <c r="B36" i="25"/>
  <c r="B28" i="25"/>
  <c r="B24" i="25"/>
  <c r="B16" i="25"/>
  <c r="B12" i="25"/>
  <c r="B8" i="25"/>
  <c r="B4" i="25"/>
  <c r="B59" i="25"/>
  <c r="B55" i="25"/>
  <c r="B51" i="25"/>
  <c r="B47" i="25"/>
  <c r="B43" i="25"/>
  <c r="B39" i="25"/>
  <c r="B35" i="25"/>
  <c r="B31" i="25"/>
  <c r="B27" i="25"/>
  <c r="B23" i="25"/>
  <c r="B19" i="25"/>
  <c r="B15" i="25"/>
  <c r="B11" i="25"/>
  <c r="B7" i="25"/>
  <c r="B3" i="25"/>
  <c r="B57" i="25"/>
  <c r="B49" i="25"/>
  <c r="B33" i="25"/>
  <c r="B21" i="25"/>
  <c r="B56" i="25"/>
  <c r="B44" i="25"/>
  <c r="B32" i="25"/>
  <c r="B20" i="25"/>
  <c r="B58" i="25"/>
  <c r="B54" i="25"/>
  <c r="B50" i="25"/>
  <c r="B46" i="25"/>
  <c r="B42" i="25"/>
  <c r="B38" i="25"/>
  <c r="B34" i="25"/>
  <c r="B30" i="25"/>
  <c r="B26" i="25"/>
  <c r="B22" i="25"/>
  <c r="B18" i="25"/>
  <c r="B14" i="25"/>
  <c r="B10" i="25"/>
  <c r="B6" i="25"/>
  <c r="B2" i="25"/>
  <c r="B50" i="1"/>
  <c r="B51" i="1"/>
  <c r="B52" i="1"/>
  <c r="B53" i="1"/>
  <c r="B54" i="1"/>
  <c r="B55" i="1"/>
  <c r="B56" i="1"/>
  <c r="B57" i="1"/>
  <c r="B58" i="1"/>
  <c r="B59" i="1"/>
  <c r="B60" i="1"/>
  <c r="B61" i="1"/>
  <c r="B47" i="1"/>
  <c r="B48" i="1"/>
  <c r="B49"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P66" i="29" l="1"/>
  <c r="U66" i="29" s="1"/>
  <c r="C40" i="32"/>
  <c r="C40" i="29"/>
  <c r="C40" i="31"/>
  <c r="C40" i="27"/>
  <c r="C40" i="30"/>
  <c r="C54" i="30"/>
  <c r="C54" i="31"/>
  <c r="C54" i="32"/>
  <c r="C54" i="29"/>
  <c r="C54" i="27"/>
  <c r="C24" i="31"/>
  <c r="C24" i="32"/>
  <c r="C24" i="29"/>
  <c r="C24" i="30"/>
  <c r="C24" i="27"/>
  <c r="C9" i="32"/>
  <c r="C9" i="30"/>
  <c r="C9" i="31"/>
  <c r="C9" i="29"/>
  <c r="C9" i="27"/>
  <c r="C10" i="30"/>
  <c r="C10" i="31"/>
  <c r="C10" i="29"/>
  <c r="C10" i="32"/>
  <c r="C10" i="27"/>
  <c r="C27" i="30"/>
  <c r="C27" i="31"/>
  <c r="C27" i="29"/>
  <c r="C27" i="32"/>
  <c r="C27" i="27"/>
  <c r="AV68" i="1"/>
  <c r="G67" i="32"/>
  <c r="P67" i="32" s="1"/>
  <c r="U67" i="32" s="1"/>
  <c r="G67" i="29"/>
  <c r="C45" i="30"/>
  <c r="C45" i="31"/>
  <c r="C45" i="27"/>
  <c r="C45" i="32"/>
  <c r="C45" i="29"/>
  <c r="C25" i="32"/>
  <c r="C25" i="30"/>
  <c r="C25" i="31"/>
  <c r="C25" i="29"/>
  <c r="C25" i="27"/>
  <c r="C11" i="32"/>
  <c r="C11" i="30"/>
  <c r="C11" i="31"/>
  <c r="C11" i="29"/>
  <c r="C11" i="27"/>
  <c r="C51" i="29"/>
  <c r="C51" i="32"/>
  <c r="C51" i="27"/>
  <c r="C51" i="31"/>
  <c r="C51" i="30"/>
  <c r="C13" i="30"/>
  <c r="C13" i="31"/>
  <c r="C13" i="32"/>
  <c r="C13" i="29"/>
  <c r="C13" i="27"/>
  <c r="C52" i="30"/>
  <c r="C52" i="31"/>
  <c r="C52" i="29"/>
  <c r="C52" i="32"/>
  <c r="C52" i="27"/>
  <c r="C29" i="30"/>
  <c r="C29" i="31"/>
  <c r="C29" i="32"/>
  <c r="C29" i="29"/>
  <c r="C29" i="27"/>
  <c r="C8" i="32"/>
  <c r="C8" i="30"/>
  <c r="C8" i="31"/>
  <c r="C8" i="29"/>
  <c r="C8" i="27"/>
  <c r="C41" i="30"/>
  <c r="C41" i="31"/>
  <c r="C41" i="32"/>
  <c r="C41" i="27"/>
  <c r="C41" i="29"/>
  <c r="C42" i="30"/>
  <c r="C42" i="31"/>
  <c r="C42" i="29"/>
  <c r="C42" i="32"/>
  <c r="C42" i="27"/>
  <c r="C12" i="29"/>
  <c r="C12" i="31"/>
  <c r="C12" i="30"/>
  <c r="C12" i="32"/>
  <c r="C12" i="27"/>
  <c r="C46" i="32"/>
  <c r="C46" i="31"/>
  <c r="C46" i="30"/>
  <c r="C46" i="27"/>
  <c r="C46" i="29"/>
  <c r="C16" i="30"/>
  <c r="C16" i="31"/>
  <c r="C16" i="32"/>
  <c r="C16" i="27"/>
  <c r="C16" i="29"/>
  <c r="C34" i="31"/>
  <c r="C34" i="30"/>
  <c r="C34" i="29"/>
  <c r="C34" i="32"/>
  <c r="C34" i="27"/>
  <c r="C15" i="31"/>
  <c r="C15" i="29"/>
  <c r="C15" i="32"/>
  <c r="C15" i="27"/>
  <c r="C15" i="30"/>
  <c r="C31" i="31"/>
  <c r="C31" i="32"/>
  <c r="C31" i="30"/>
  <c r="C31" i="29"/>
  <c r="C31" i="27"/>
  <c r="C48" i="30"/>
  <c r="C48" i="31"/>
  <c r="C48" i="32"/>
  <c r="C48" i="29"/>
  <c r="C48" i="27"/>
  <c r="E2" i="1"/>
  <c r="C2" i="31"/>
  <c r="C2" i="30"/>
  <c r="C2" i="32"/>
  <c r="C2" i="29"/>
  <c r="C2" i="27"/>
  <c r="R7" i="21"/>
  <c r="R12" i="21"/>
  <c r="C18" i="29"/>
  <c r="C18" i="30"/>
  <c r="C18" i="31"/>
  <c r="C18" i="32"/>
  <c r="C18" i="27"/>
  <c r="C61" i="32"/>
  <c r="C61" i="30"/>
  <c r="C61" i="31"/>
  <c r="C61" i="27"/>
  <c r="C61" i="29"/>
  <c r="C3" i="31"/>
  <c r="C3" i="30"/>
  <c r="C3" i="32"/>
  <c r="C3" i="29"/>
  <c r="C3" i="27"/>
  <c r="C19" i="32"/>
  <c r="C19" i="29"/>
  <c r="C19" i="31"/>
  <c r="C19" i="30"/>
  <c r="C19" i="27"/>
  <c r="C35" i="30"/>
  <c r="C35" i="31"/>
  <c r="C35" i="29"/>
  <c r="C35" i="27"/>
  <c r="C35" i="32"/>
  <c r="C60" i="32"/>
  <c r="C60" i="29"/>
  <c r="C60" i="31"/>
  <c r="C60" i="30"/>
  <c r="C60" i="27"/>
  <c r="C30" i="32"/>
  <c r="C30" i="31"/>
  <c r="C30" i="30"/>
  <c r="C30" i="29"/>
  <c r="C30" i="27"/>
  <c r="C33" i="30"/>
  <c r="C33" i="32"/>
  <c r="C33" i="31"/>
  <c r="C33" i="29"/>
  <c r="C33" i="27"/>
  <c r="C4" i="32"/>
  <c r="C4" i="30"/>
  <c r="C4" i="29"/>
  <c r="C4" i="31"/>
  <c r="C4" i="27"/>
  <c r="C20" i="30"/>
  <c r="C20" i="31"/>
  <c r="C20" i="32"/>
  <c r="C20" i="29"/>
  <c r="C20" i="27"/>
  <c r="C36" i="30"/>
  <c r="C36" i="31"/>
  <c r="C36" i="29"/>
  <c r="C36" i="27"/>
  <c r="C36" i="32"/>
  <c r="C59" i="30"/>
  <c r="C59" i="31"/>
  <c r="C59" i="29"/>
  <c r="C59" i="32"/>
  <c r="C59" i="27"/>
  <c r="C55" i="32"/>
  <c r="C55" i="31"/>
  <c r="C55" i="30"/>
  <c r="C55" i="29"/>
  <c r="C55" i="27"/>
  <c r="C26" i="30"/>
  <c r="C26" i="31"/>
  <c r="C26" i="32"/>
  <c r="C26" i="29"/>
  <c r="C26" i="27"/>
  <c r="C53" i="32"/>
  <c r="C53" i="30"/>
  <c r="C53" i="31"/>
  <c r="C53" i="29"/>
  <c r="C53" i="27"/>
  <c r="C43" i="30"/>
  <c r="C43" i="31"/>
  <c r="C43" i="32"/>
  <c r="C43" i="29"/>
  <c r="C43" i="27"/>
  <c r="C28" i="30"/>
  <c r="C28" i="31"/>
  <c r="C28" i="29"/>
  <c r="C28" i="32"/>
  <c r="C28" i="27"/>
  <c r="C50" i="30"/>
  <c r="C50" i="31"/>
  <c r="C50" i="32"/>
  <c r="C50" i="29"/>
  <c r="C50" i="27"/>
  <c r="C17" i="30"/>
  <c r="C17" i="31"/>
  <c r="C17" i="32"/>
  <c r="C17" i="29"/>
  <c r="C17" i="27"/>
  <c r="C5" i="32"/>
  <c r="C5" i="30"/>
  <c r="C5" i="31"/>
  <c r="C5" i="29"/>
  <c r="C5" i="27"/>
  <c r="C47" i="31"/>
  <c r="C47" i="32"/>
  <c r="C47" i="29"/>
  <c r="C47" i="27"/>
  <c r="C47" i="30"/>
  <c r="C21" i="32"/>
  <c r="C21" i="30"/>
  <c r="C21" i="31"/>
  <c r="C21" i="27"/>
  <c r="C21" i="29"/>
  <c r="C58" i="30"/>
  <c r="C58" i="31"/>
  <c r="C58" i="29"/>
  <c r="C58" i="32"/>
  <c r="C58" i="27"/>
  <c r="C22" i="32"/>
  <c r="C22" i="30"/>
  <c r="C22" i="31"/>
  <c r="C22" i="29"/>
  <c r="C22" i="27"/>
  <c r="C44" i="30"/>
  <c r="C44" i="32"/>
  <c r="C44" i="31"/>
  <c r="C44" i="29"/>
  <c r="C44" i="27"/>
  <c r="C14" i="30"/>
  <c r="C14" i="31"/>
  <c r="C14" i="32"/>
  <c r="C14" i="29"/>
  <c r="C14" i="27"/>
  <c r="C49" i="30"/>
  <c r="C49" i="31"/>
  <c r="C49" i="32"/>
  <c r="C49" i="29"/>
  <c r="C49" i="27"/>
  <c r="C32" i="30"/>
  <c r="C32" i="31"/>
  <c r="C32" i="32"/>
  <c r="C32" i="29"/>
  <c r="C32" i="27"/>
  <c r="C37" i="32"/>
  <c r="C37" i="30"/>
  <c r="C37" i="31"/>
  <c r="C37" i="29"/>
  <c r="C37" i="27"/>
  <c r="C6" i="32"/>
  <c r="C6" i="30"/>
  <c r="C6" i="31"/>
  <c r="C6" i="29"/>
  <c r="C6" i="27"/>
  <c r="C38" i="32"/>
  <c r="C38" i="30"/>
  <c r="C38" i="31"/>
  <c r="C38" i="29"/>
  <c r="C38" i="27"/>
  <c r="C57" i="30"/>
  <c r="C57" i="31"/>
  <c r="C57" i="32"/>
  <c r="C57" i="29"/>
  <c r="C57" i="27"/>
  <c r="C7" i="32"/>
  <c r="C7" i="30"/>
  <c r="C7" i="31"/>
  <c r="C7" i="29"/>
  <c r="C7" i="27"/>
  <c r="C23" i="31"/>
  <c r="C23" i="30"/>
  <c r="C23" i="29"/>
  <c r="C23" i="27"/>
  <c r="C23" i="32"/>
  <c r="C39" i="32"/>
  <c r="C39" i="29"/>
  <c r="C39" i="31"/>
  <c r="C39" i="27"/>
  <c r="C39" i="30"/>
  <c r="C56" i="30"/>
  <c r="C56" i="31"/>
  <c r="C56" i="32"/>
  <c r="C56" i="27"/>
  <c r="C56" i="29"/>
  <c r="I7" i="1"/>
  <c r="M7" i="1"/>
  <c r="N7" i="1" s="1"/>
  <c r="D7" i="45" s="1"/>
  <c r="W7" i="45" s="1"/>
  <c r="E7" i="1"/>
  <c r="M31" i="1"/>
  <c r="N31" i="1" s="1"/>
  <c r="D31" i="45" s="1"/>
  <c r="W31" i="45" s="1"/>
  <c r="I31" i="1"/>
  <c r="J31" i="1" s="1"/>
  <c r="D31" i="44" s="1"/>
  <c r="U31" i="44" s="1"/>
  <c r="E31" i="1"/>
  <c r="F31" i="1" s="1"/>
  <c r="D31" i="43" s="1"/>
  <c r="S31" i="43" s="1"/>
  <c r="M35" i="1"/>
  <c r="N35" i="1" s="1"/>
  <c r="D35" i="45" s="1"/>
  <c r="W35" i="45" s="1"/>
  <c r="I35" i="1"/>
  <c r="J35" i="1" s="1"/>
  <c r="D35" i="44" s="1"/>
  <c r="U35" i="44" s="1"/>
  <c r="E35" i="1"/>
  <c r="F35" i="1" s="1"/>
  <c r="D35" i="43" s="1"/>
  <c r="S35" i="43" s="1"/>
  <c r="I17" i="1"/>
  <c r="J17" i="1" s="1"/>
  <c r="D17" i="44" s="1"/>
  <c r="U17" i="44" s="1"/>
  <c r="M17" i="1"/>
  <c r="N17" i="1" s="1"/>
  <c r="D17" i="45" s="1"/>
  <c r="W17" i="45" s="1"/>
  <c r="E17" i="1"/>
  <c r="I47" i="1"/>
  <c r="J47" i="1" s="1"/>
  <c r="D47" i="44" s="1"/>
  <c r="U47" i="44" s="1"/>
  <c r="E47" i="1"/>
  <c r="F47" i="1" s="1"/>
  <c r="D47" i="43" s="1"/>
  <c r="S47" i="43" s="1"/>
  <c r="M47" i="1"/>
  <c r="N47" i="1" s="1"/>
  <c r="D47" i="45" s="1"/>
  <c r="W47" i="45" s="1"/>
  <c r="I2" i="1"/>
  <c r="M2" i="1"/>
  <c r="I18" i="1"/>
  <c r="J18" i="1" s="1"/>
  <c r="D18" i="44" s="1"/>
  <c r="U18" i="44" s="1"/>
  <c r="E18" i="1"/>
  <c r="M18" i="1"/>
  <c r="N18" i="1" s="1"/>
  <c r="D18" i="45" s="1"/>
  <c r="W18" i="45" s="1"/>
  <c r="M34" i="1"/>
  <c r="N34" i="1" s="1"/>
  <c r="D34" i="45" s="1"/>
  <c r="W34" i="45" s="1"/>
  <c r="I34" i="1"/>
  <c r="J34" i="1" s="1"/>
  <c r="D34" i="44" s="1"/>
  <c r="U34" i="44" s="1"/>
  <c r="E34" i="1"/>
  <c r="F34" i="1" s="1"/>
  <c r="D34" i="43" s="1"/>
  <c r="S34" i="43" s="1"/>
  <c r="I5" i="1"/>
  <c r="J5" i="1" s="1"/>
  <c r="D5" i="44" s="1"/>
  <c r="U5" i="44" s="1"/>
  <c r="M5" i="1"/>
  <c r="N5" i="1" s="1"/>
  <c r="D5" i="45" s="1"/>
  <c r="W5" i="45" s="1"/>
  <c r="E5" i="1"/>
  <c r="M21" i="1"/>
  <c r="N21" i="1" s="1"/>
  <c r="D21" i="45" s="1"/>
  <c r="W21" i="45" s="1"/>
  <c r="I21" i="1"/>
  <c r="J21" i="1" s="1"/>
  <c r="D21" i="44" s="1"/>
  <c r="U21" i="44" s="1"/>
  <c r="E21" i="1"/>
  <c r="M37" i="1"/>
  <c r="N37" i="1" s="1"/>
  <c r="D37" i="45" s="1"/>
  <c r="W37" i="45" s="1"/>
  <c r="I37" i="1"/>
  <c r="J37" i="1" s="1"/>
  <c r="D37" i="44" s="1"/>
  <c r="U37" i="44" s="1"/>
  <c r="E37" i="1"/>
  <c r="F37" i="1" s="1"/>
  <c r="D37" i="43" s="1"/>
  <c r="S37" i="43" s="1"/>
  <c r="I3" i="1"/>
  <c r="J3" i="1" s="1"/>
  <c r="D3" i="44" s="1"/>
  <c r="U3" i="44" s="1"/>
  <c r="M3" i="1"/>
  <c r="N3" i="1" s="1"/>
  <c r="D3" i="45" s="1"/>
  <c r="W3" i="45" s="1"/>
  <c r="E3" i="1"/>
  <c r="M19" i="1"/>
  <c r="N19" i="1" s="1"/>
  <c r="D19" i="45" s="1"/>
  <c r="W19" i="45" s="1"/>
  <c r="E19" i="1"/>
  <c r="I19" i="1"/>
  <c r="J19" i="1" s="1"/>
  <c r="D19" i="44" s="1"/>
  <c r="U19" i="44" s="1"/>
  <c r="I4" i="1"/>
  <c r="J4" i="1" s="1"/>
  <c r="D4" i="44" s="1"/>
  <c r="U4" i="44" s="1"/>
  <c r="M4" i="1"/>
  <c r="N4" i="1" s="1"/>
  <c r="D4" i="45" s="1"/>
  <c r="W4" i="45" s="1"/>
  <c r="E4" i="1"/>
  <c r="E20" i="1"/>
  <c r="M20" i="1"/>
  <c r="N20" i="1" s="1"/>
  <c r="D20" i="45" s="1"/>
  <c r="W20" i="45" s="1"/>
  <c r="I20" i="1"/>
  <c r="J20" i="1" s="1"/>
  <c r="D20" i="44" s="1"/>
  <c r="U20" i="44" s="1"/>
  <c r="M36" i="1"/>
  <c r="N36" i="1" s="1"/>
  <c r="D36" i="45" s="1"/>
  <c r="W36" i="45" s="1"/>
  <c r="I36" i="1"/>
  <c r="J36" i="1" s="1"/>
  <c r="D36" i="44" s="1"/>
  <c r="U36" i="44" s="1"/>
  <c r="E36" i="1"/>
  <c r="F36" i="1" s="1"/>
  <c r="D36" i="43" s="1"/>
  <c r="S36" i="43" s="1"/>
  <c r="I6" i="1"/>
  <c r="E6" i="1"/>
  <c r="M6" i="1"/>
  <c r="N6" i="1" s="1"/>
  <c r="D6" i="45" s="1"/>
  <c r="W6" i="45" s="1"/>
  <c r="E22" i="1"/>
  <c r="M22" i="1"/>
  <c r="N22" i="1" s="1"/>
  <c r="D22" i="45" s="1"/>
  <c r="W22" i="45" s="1"/>
  <c r="I22" i="1"/>
  <c r="J22" i="1" s="1"/>
  <c r="D22" i="44" s="1"/>
  <c r="U22" i="44" s="1"/>
  <c r="E38" i="1"/>
  <c r="M38" i="1"/>
  <c r="I38" i="1"/>
  <c r="M24" i="1"/>
  <c r="N24" i="1" s="1"/>
  <c r="D24" i="45" s="1"/>
  <c r="W24" i="45" s="1"/>
  <c r="E24" i="1"/>
  <c r="I24" i="1"/>
  <c r="J24" i="1" s="1"/>
  <c r="D24" i="44" s="1"/>
  <c r="U24" i="44" s="1"/>
  <c r="I9" i="1"/>
  <c r="J9" i="1" s="1"/>
  <c r="D9" i="44" s="1"/>
  <c r="U9" i="44" s="1"/>
  <c r="E9" i="1"/>
  <c r="M9" i="1"/>
  <c r="N9" i="1" s="1"/>
  <c r="D9" i="45" s="1"/>
  <c r="W9" i="45" s="1"/>
  <c r="I26" i="1"/>
  <c r="M26" i="1"/>
  <c r="E26" i="1"/>
  <c r="I11" i="1"/>
  <c r="M11" i="1"/>
  <c r="N11" i="1" s="1"/>
  <c r="D11" i="45" s="1"/>
  <c r="W11" i="45" s="1"/>
  <c r="E11" i="1"/>
  <c r="M27" i="1"/>
  <c r="N27" i="1" s="1"/>
  <c r="D27" i="45" s="1"/>
  <c r="W27" i="45" s="1"/>
  <c r="I27" i="1"/>
  <c r="J27" i="1" s="1"/>
  <c r="D27" i="44" s="1"/>
  <c r="U27" i="44" s="1"/>
  <c r="E27" i="1"/>
  <c r="F27" i="1" s="1"/>
  <c r="D27" i="43" s="1"/>
  <c r="S27" i="43" s="1"/>
  <c r="M43" i="1"/>
  <c r="N43" i="1" s="1"/>
  <c r="D43" i="45" s="1"/>
  <c r="W43" i="45" s="1"/>
  <c r="E43" i="1"/>
  <c r="F43" i="1" s="1"/>
  <c r="D43" i="43" s="1"/>
  <c r="S43" i="43" s="1"/>
  <c r="I43" i="1"/>
  <c r="J43" i="1" s="1"/>
  <c r="D43" i="44" s="1"/>
  <c r="U43" i="44" s="1"/>
  <c r="I39" i="1"/>
  <c r="J39" i="1" s="1"/>
  <c r="D39" i="44" s="1"/>
  <c r="U39" i="44" s="1"/>
  <c r="M39" i="1"/>
  <c r="N39" i="1" s="1"/>
  <c r="D39" i="45" s="1"/>
  <c r="W39" i="45" s="1"/>
  <c r="E39" i="1"/>
  <c r="F39" i="1" s="1"/>
  <c r="D39" i="43" s="1"/>
  <c r="S39" i="43" s="1"/>
  <c r="M25" i="1"/>
  <c r="N25" i="1" s="1"/>
  <c r="D25" i="45" s="1"/>
  <c r="W25" i="45" s="1"/>
  <c r="I25" i="1"/>
  <c r="J25" i="1" s="1"/>
  <c r="D25" i="44" s="1"/>
  <c r="U25" i="44" s="1"/>
  <c r="E25" i="1"/>
  <c r="M41" i="1"/>
  <c r="N41" i="1" s="1"/>
  <c r="D41" i="45" s="1"/>
  <c r="W41" i="45" s="1"/>
  <c r="I41" i="1"/>
  <c r="E41" i="1"/>
  <c r="F41" i="1" s="1"/>
  <c r="D41" i="43" s="1"/>
  <c r="S41" i="43" s="1"/>
  <c r="I10" i="1"/>
  <c r="J10" i="1" s="1"/>
  <c r="D10" i="44" s="1"/>
  <c r="U10" i="44" s="1"/>
  <c r="E10" i="1"/>
  <c r="M10" i="1"/>
  <c r="N10" i="1" s="1"/>
  <c r="D10" i="45" s="1"/>
  <c r="W10" i="45" s="1"/>
  <c r="I42" i="1"/>
  <c r="J42" i="1" s="1"/>
  <c r="D42" i="44" s="1"/>
  <c r="U42" i="44" s="1"/>
  <c r="M42" i="1"/>
  <c r="N42" i="1" s="1"/>
  <c r="D42" i="45" s="1"/>
  <c r="W42" i="45" s="1"/>
  <c r="E42" i="1"/>
  <c r="F42" i="1" s="1"/>
  <c r="D42" i="43" s="1"/>
  <c r="S42" i="43" s="1"/>
  <c r="I12" i="1"/>
  <c r="J12" i="1" s="1"/>
  <c r="D12" i="44" s="1"/>
  <c r="U12" i="44" s="1"/>
  <c r="M12" i="1"/>
  <c r="N12" i="1" s="1"/>
  <c r="D12" i="45" s="1"/>
  <c r="W12" i="45" s="1"/>
  <c r="E12" i="1"/>
  <c r="I28" i="1"/>
  <c r="J28" i="1" s="1"/>
  <c r="D28" i="44" s="1"/>
  <c r="U28" i="44" s="1"/>
  <c r="M28" i="1"/>
  <c r="N28" i="1" s="1"/>
  <c r="D28" i="45" s="1"/>
  <c r="W28" i="45" s="1"/>
  <c r="E28" i="1"/>
  <c r="F28" i="1" s="1"/>
  <c r="D28" i="43" s="1"/>
  <c r="S28" i="43" s="1"/>
  <c r="M44" i="1"/>
  <c r="N44" i="1" s="1"/>
  <c r="D44" i="45" s="1"/>
  <c r="W44" i="45" s="1"/>
  <c r="E44" i="1"/>
  <c r="F44" i="1" s="1"/>
  <c r="D44" i="43" s="1"/>
  <c r="S44" i="43" s="1"/>
  <c r="I44" i="1"/>
  <c r="J44" i="1" s="1"/>
  <c r="D44" i="44" s="1"/>
  <c r="U44" i="44" s="1"/>
  <c r="I8" i="1"/>
  <c r="J8" i="1" s="1"/>
  <c r="D8" i="44" s="1"/>
  <c r="U8" i="44" s="1"/>
  <c r="E8" i="1"/>
  <c r="M8" i="1"/>
  <c r="N8" i="1" s="1"/>
  <c r="D8" i="45" s="1"/>
  <c r="W8" i="45" s="1"/>
  <c r="M40" i="1"/>
  <c r="N40" i="1" s="1"/>
  <c r="D40" i="45" s="1"/>
  <c r="W40" i="45" s="1"/>
  <c r="E40" i="1"/>
  <c r="F40" i="1" s="1"/>
  <c r="D40" i="43" s="1"/>
  <c r="S40" i="43" s="1"/>
  <c r="I40" i="1"/>
  <c r="J40" i="1" s="1"/>
  <c r="D40" i="44" s="1"/>
  <c r="U40" i="44" s="1"/>
  <c r="I13" i="1"/>
  <c r="J13" i="1" s="1"/>
  <c r="D13" i="44" s="1"/>
  <c r="U13" i="44" s="1"/>
  <c r="M13" i="1"/>
  <c r="N13" i="1" s="1"/>
  <c r="D13" i="45" s="1"/>
  <c r="W13" i="45" s="1"/>
  <c r="E13" i="1"/>
  <c r="I29" i="1"/>
  <c r="J29" i="1" s="1"/>
  <c r="D29" i="44" s="1"/>
  <c r="U29" i="44" s="1"/>
  <c r="M29" i="1"/>
  <c r="N29" i="1" s="1"/>
  <c r="D29" i="45" s="1"/>
  <c r="W29" i="45" s="1"/>
  <c r="E29" i="1"/>
  <c r="F29" i="1" s="1"/>
  <c r="D29" i="43" s="1"/>
  <c r="S29" i="43" s="1"/>
  <c r="M45" i="1"/>
  <c r="N45" i="1" s="1"/>
  <c r="D45" i="45" s="1"/>
  <c r="W45" i="45" s="1"/>
  <c r="I45" i="1"/>
  <c r="J45" i="1" s="1"/>
  <c r="D45" i="44" s="1"/>
  <c r="U45" i="44" s="1"/>
  <c r="E45" i="1"/>
  <c r="F45" i="1" s="1"/>
  <c r="D45" i="43" s="1"/>
  <c r="S45" i="43" s="1"/>
  <c r="M14" i="1"/>
  <c r="I14" i="1"/>
  <c r="E14" i="1"/>
  <c r="I30" i="1"/>
  <c r="J30" i="1" s="1"/>
  <c r="D30" i="44" s="1"/>
  <c r="U30" i="44" s="1"/>
  <c r="M30" i="1"/>
  <c r="N30" i="1" s="1"/>
  <c r="D30" i="45" s="1"/>
  <c r="W30" i="45" s="1"/>
  <c r="E30" i="1"/>
  <c r="F30" i="1" s="1"/>
  <c r="D30" i="43" s="1"/>
  <c r="S30" i="43" s="1"/>
  <c r="M46" i="1"/>
  <c r="N46" i="1" s="1"/>
  <c r="D46" i="45" s="1"/>
  <c r="W46" i="45" s="1"/>
  <c r="I46" i="1"/>
  <c r="J46" i="1" s="1"/>
  <c r="D46" i="44" s="1"/>
  <c r="U46" i="44" s="1"/>
  <c r="E46" i="1"/>
  <c r="F46" i="1" s="1"/>
  <c r="D46" i="43" s="1"/>
  <c r="S46" i="43" s="1"/>
  <c r="I23" i="1"/>
  <c r="J23" i="1" s="1"/>
  <c r="D23" i="44" s="1"/>
  <c r="U23" i="44" s="1"/>
  <c r="E23" i="1"/>
  <c r="M23" i="1"/>
  <c r="N23" i="1" s="1"/>
  <c r="D23" i="45" s="1"/>
  <c r="W23" i="45" s="1"/>
  <c r="I15" i="1"/>
  <c r="J15" i="1" s="1"/>
  <c r="D15" i="44" s="1"/>
  <c r="U15" i="44" s="1"/>
  <c r="E15" i="1"/>
  <c r="M15" i="1"/>
  <c r="N15" i="1" s="1"/>
  <c r="D15" i="45" s="1"/>
  <c r="W15" i="45" s="1"/>
  <c r="M16" i="1"/>
  <c r="N16" i="1" s="1"/>
  <c r="D16" i="45" s="1"/>
  <c r="W16" i="45" s="1"/>
  <c r="E16" i="1"/>
  <c r="I16" i="1"/>
  <c r="J16" i="1" s="1"/>
  <c r="D16" i="44" s="1"/>
  <c r="U16" i="44" s="1"/>
  <c r="M32" i="1"/>
  <c r="N32" i="1" s="1"/>
  <c r="D32" i="45" s="1"/>
  <c r="W32" i="45" s="1"/>
  <c r="I32" i="1"/>
  <c r="J32" i="1" s="1"/>
  <c r="D32" i="44" s="1"/>
  <c r="U32" i="44" s="1"/>
  <c r="E32" i="1"/>
  <c r="F32" i="1" s="1"/>
  <c r="D32" i="43" s="1"/>
  <c r="S32" i="43" s="1"/>
  <c r="E48" i="1"/>
  <c r="F48" i="1" s="1"/>
  <c r="D48" i="43" s="1"/>
  <c r="S48" i="43" s="1"/>
  <c r="I48" i="1"/>
  <c r="J48" i="1" s="1"/>
  <c r="D48" i="44" s="1"/>
  <c r="U48" i="44" s="1"/>
  <c r="M48" i="1"/>
  <c r="N48" i="1" s="1"/>
  <c r="D48" i="45" s="1"/>
  <c r="W48" i="45" s="1"/>
  <c r="E49" i="1"/>
  <c r="F49" i="1" s="1"/>
  <c r="D49" i="43" s="1"/>
  <c r="S49" i="43" s="1"/>
  <c r="M49" i="1"/>
  <c r="N49" i="1" s="1"/>
  <c r="D49" i="45" s="1"/>
  <c r="W49" i="45" s="1"/>
  <c r="I49" i="1"/>
  <c r="J49" i="1" s="1"/>
  <c r="D49" i="44" s="1"/>
  <c r="U49" i="44" s="1"/>
  <c r="I33" i="1"/>
  <c r="J33" i="1" s="1"/>
  <c r="D33" i="44" s="1"/>
  <c r="U33" i="44" s="1"/>
  <c r="M33" i="1"/>
  <c r="N33" i="1" s="1"/>
  <c r="D33" i="45" s="1"/>
  <c r="W33" i="45" s="1"/>
  <c r="E33" i="1"/>
  <c r="F33" i="1" s="1"/>
  <c r="D33" i="43" s="1"/>
  <c r="S33" i="43" s="1"/>
  <c r="C2" i="25"/>
  <c r="N2" i="1"/>
  <c r="C22" i="25"/>
  <c r="C38" i="25"/>
  <c r="C57" i="25"/>
  <c r="C3" i="25"/>
  <c r="C23" i="25"/>
  <c r="C39" i="25"/>
  <c r="C56" i="25"/>
  <c r="C4" i="25"/>
  <c r="C20" i="25"/>
  <c r="C40" i="25"/>
  <c r="C55" i="25"/>
  <c r="Q5" i="21"/>
  <c r="D5" i="21"/>
  <c r="R5" i="21"/>
  <c r="C5" i="21"/>
  <c r="L5" i="21"/>
  <c r="K5" i="21"/>
  <c r="L7" i="21"/>
  <c r="K7" i="21"/>
  <c r="R6" i="21"/>
  <c r="D13" i="21"/>
  <c r="D11" i="21"/>
  <c r="C9" i="21"/>
  <c r="C7" i="21"/>
  <c r="D7" i="21"/>
  <c r="D12" i="21"/>
  <c r="C14" i="21"/>
  <c r="C12" i="21"/>
  <c r="C10" i="21"/>
  <c r="D6" i="21"/>
  <c r="C6" i="21"/>
  <c r="C8" i="21"/>
  <c r="C13" i="21"/>
  <c r="C11" i="21"/>
  <c r="D14" i="21"/>
  <c r="K6" i="21"/>
  <c r="Q6" i="21"/>
  <c r="D9" i="21"/>
  <c r="D10" i="21"/>
  <c r="L6" i="21"/>
  <c r="Q7" i="21"/>
  <c r="D8" i="21"/>
  <c r="L8" i="21"/>
  <c r="K8" i="21"/>
  <c r="Q8" i="21"/>
  <c r="R8" i="21"/>
  <c r="Q9" i="21"/>
  <c r="L9" i="21"/>
  <c r="R9" i="21"/>
  <c r="K9" i="21"/>
  <c r="Q10" i="21"/>
  <c r="K10" i="21"/>
  <c r="R10" i="21"/>
  <c r="L10" i="21"/>
  <c r="K11" i="21"/>
  <c r="AP5" i="17"/>
  <c r="O4" i="18"/>
  <c r="AK5" i="17" s="1"/>
  <c r="G12" i="18"/>
  <c r="Y5" i="17"/>
  <c r="L11" i="21"/>
  <c r="K4" i="18"/>
  <c r="C5" i="17"/>
  <c r="Q11" i="21"/>
  <c r="O5" i="18"/>
  <c r="O9" i="18"/>
  <c r="S5" i="18"/>
  <c r="S9" i="18"/>
  <c r="W5" i="18"/>
  <c r="W9" i="18"/>
  <c r="W4" i="18"/>
  <c r="AW5" i="17" s="1"/>
  <c r="K5" i="18"/>
  <c r="K9" i="18"/>
  <c r="G4" i="18"/>
  <c r="G8" i="18"/>
  <c r="C7" i="18"/>
  <c r="C11" i="18"/>
  <c r="C11" i="41" s="1"/>
  <c r="R11" i="21"/>
  <c r="AV5" i="17"/>
  <c r="AJ5" i="17"/>
  <c r="E11" i="41"/>
  <c r="O6" i="18"/>
  <c r="O10" i="18"/>
  <c r="S6" i="18"/>
  <c r="S10" i="18"/>
  <c r="W6" i="18"/>
  <c r="W10" i="18"/>
  <c r="S4" i="18"/>
  <c r="AQ5" i="17" s="1"/>
  <c r="K6" i="18"/>
  <c r="K10" i="18"/>
  <c r="G5" i="18"/>
  <c r="G9" i="18"/>
  <c r="C4" i="18"/>
  <c r="C8" i="18"/>
  <c r="C12" i="18"/>
  <c r="N5" i="17"/>
  <c r="G7" i="18"/>
  <c r="W8" i="18"/>
  <c r="O8" i="18"/>
  <c r="Y6" i="17"/>
  <c r="C5" i="18"/>
  <c r="K7" i="18"/>
  <c r="S7" i="18"/>
  <c r="Q12" i="21"/>
  <c r="AP7" i="17"/>
  <c r="AJ8" i="17"/>
  <c r="AJ7" i="17"/>
  <c r="AV7" i="17"/>
  <c r="C10" i="18"/>
  <c r="K12" i="18"/>
  <c r="L13" i="18" s="1"/>
  <c r="S12" i="18"/>
  <c r="T13" i="18" s="1"/>
  <c r="AJ6" i="17"/>
  <c r="G10" i="18"/>
  <c r="W11" i="18"/>
  <c r="O11" i="18"/>
  <c r="C6" i="17"/>
  <c r="E22" i="41"/>
  <c r="C6" i="18"/>
  <c r="K8" i="18"/>
  <c r="S8" i="18"/>
  <c r="G6" i="18"/>
  <c r="W7" i="18"/>
  <c r="O7" i="18"/>
  <c r="L12" i="21"/>
  <c r="AV6" i="17"/>
  <c r="O12" i="18"/>
  <c r="P13" i="18" s="1"/>
  <c r="AP8" i="17"/>
  <c r="Y7" i="17"/>
  <c r="W12" i="18"/>
  <c r="X13" i="18" s="1"/>
  <c r="C9" i="18"/>
  <c r="AP6" i="17"/>
  <c r="N7" i="17"/>
  <c r="S11" i="18"/>
  <c r="K12" i="21"/>
  <c r="N6" i="17"/>
  <c r="G11" i="18"/>
  <c r="C22" i="41" s="1"/>
  <c r="K11" i="18"/>
  <c r="AV9" i="17"/>
  <c r="L13" i="21"/>
  <c r="AP9" i="17"/>
  <c r="Y9" i="17"/>
  <c r="R3" i="35" s="1"/>
  <c r="N8" i="17"/>
  <c r="Y8" i="17"/>
  <c r="K13" i="21"/>
  <c r="AV8" i="17"/>
  <c r="Q13" i="21"/>
  <c r="R13" i="21"/>
  <c r="C7" i="17"/>
  <c r="AJ9" i="17"/>
  <c r="AV10" i="17"/>
  <c r="R14" i="21"/>
  <c r="N9" i="17"/>
  <c r="M3" i="35" s="1"/>
  <c r="Y10" i="17"/>
  <c r="K14" i="21"/>
  <c r="L14" i="21"/>
  <c r="AJ10" i="17"/>
  <c r="C8" i="17"/>
  <c r="Q14" i="21"/>
  <c r="AP10" i="17"/>
  <c r="AV11" i="17"/>
  <c r="AJ11" i="17"/>
  <c r="N10" i="17"/>
  <c r="AP11" i="17"/>
  <c r="C9" i="17"/>
  <c r="H3" i="35" s="1"/>
  <c r="Y11" i="17"/>
  <c r="AV12" i="17"/>
  <c r="AJ12" i="17"/>
  <c r="AP12" i="17"/>
  <c r="N11" i="17"/>
  <c r="C10" i="17"/>
  <c r="Y12" i="17"/>
  <c r="AV13" i="17"/>
  <c r="N12" i="17"/>
  <c r="AP13" i="17"/>
  <c r="AJ13" i="17"/>
  <c r="C11" i="17"/>
  <c r="Y13" i="17"/>
  <c r="AV14" i="17"/>
  <c r="N13" i="17"/>
  <c r="C12" i="17"/>
  <c r="AJ14" i="17"/>
  <c r="AP14" i="17"/>
  <c r="Y14" i="17"/>
  <c r="N14" i="17"/>
  <c r="C13" i="17"/>
  <c r="C14" i="17"/>
  <c r="G3" i="23" s="1"/>
  <c r="C6" i="25"/>
  <c r="J6" i="1"/>
  <c r="D6" i="44" s="1"/>
  <c r="U6" i="44" s="1"/>
  <c r="C10" i="25"/>
  <c r="C14" i="25"/>
  <c r="C18" i="25"/>
  <c r="C26" i="25"/>
  <c r="C30" i="25"/>
  <c r="C34" i="25"/>
  <c r="C42" i="25"/>
  <c r="C46" i="25"/>
  <c r="C61" i="25"/>
  <c r="C53" i="25"/>
  <c r="C7" i="25"/>
  <c r="J7" i="1"/>
  <c r="D7" i="44" s="1"/>
  <c r="U7" i="44" s="1"/>
  <c r="C11" i="25"/>
  <c r="J11" i="1"/>
  <c r="D11" i="44" s="1"/>
  <c r="U11" i="44" s="1"/>
  <c r="C15" i="25"/>
  <c r="C19" i="25"/>
  <c r="C27" i="25"/>
  <c r="C31" i="25"/>
  <c r="C35" i="25"/>
  <c r="C43" i="25"/>
  <c r="C49" i="25"/>
  <c r="C60" i="25"/>
  <c r="C52" i="25"/>
  <c r="C8" i="25"/>
  <c r="C12" i="25"/>
  <c r="C16" i="25"/>
  <c r="C24" i="25"/>
  <c r="C28" i="25"/>
  <c r="C32" i="25"/>
  <c r="C36" i="25"/>
  <c r="C44" i="25"/>
  <c r="C48" i="25"/>
  <c r="C59" i="25"/>
  <c r="C51" i="25"/>
  <c r="C5" i="25"/>
  <c r="C9" i="25"/>
  <c r="C13" i="25"/>
  <c r="C17" i="25"/>
  <c r="C21" i="25"/>
  <c r="C25" i="25"/>
  <c r="C29" i="25"/>
  <c r="C33" i="25"/>
  <c r="C37" i="25"/>
  <c r="C41" i="25"/>
  <c r="J41" i="1"/>
  <c r="D41" i="44" s="1"/>
  <c r="U41" i="44" s="1"/>
  <c r="C45" i="25"/>
  <c r="C47" i="25"/>
  <c r="C58" i="25"/>
  <c r="C54" i="25"/>
  <c r="C50" i="25"/>
  <c r="D22" i="41" l="1"/>
  <c r="H13" i="18"/>
  <c r="D11" i="41"/>
  <c r="D13" i="18"/>
  <c r="P67" i="29"/>
  <c r="U67" i="29" s="1"/>
  <c r="D48" i="17"/>
  <c r="H48" i="17" s="1"/>
  <c r="D49" i="17"/>
  <c r="H49" i="17" s="1"/>
  <c r="J14" i="1"/>
  <c r="D14" i="27" s="1"/>
  <c r="O49" i="17"/>
  <c r="S49" i="17" s="1"/>
  <c r="N14" i="1"/>
  <c r="Z49" i="17"/>
  <c r="AD49" i="17" s="1"/>
  <c r="F26" i="1"/>
  <c r="CI26" i="1" s="1"/>
  <c r="D50" i="17"/>
  <c r="H50" i="17" s="1"/>
  <c r="Z48" i="17"/>
  <c r="AD48" i="17" s="1"/>
  <c r="J38" i="1"/>
  <c r="P8" i="17" s="1"/>
  <c r="O51" i="17"/>
  <c r="S51" i="17" s="1"/>
  <c r="N38" i="1"/>
  <c r="CK38" i="1" s="1"/>
  <c r="Z51" i="17"/>
  <c r="AD51" i="17" s="1"/>
  <c r="N26" i="1"/>
  <c r="AA7" i="17" s="1"/>
  <c r="Z50" i="17"/>
  <c r="AD50" i="17" s="1"/>
  <c r="J2" i="1"/>
  <c r="P5" i="17" s="1"/>
  <c r="O48" i="17"/>
  <c r="S48" i="17" s="1"/>
  <c r="F38" i="1"/>
  <c r="CI38" i="1" s="1"/>
  <c r="D51" i="17"/>
  <c r="H51" i="17" s="1"/>
  <c r="D2" i="45"/>
  <c r="W2" i="45" s="1"/>
  <c r="AC48" i="17" s="1"/>
  <c r="AA48" i="17"/>
  <c r="J26" i="1"/>
  <c r="D26" i="31" s="1"/>
  <c r="O50" i="17"/>
  <c r="S50" i="17" s="1"/>
  <c r="AR5" i="17"/>
  <c r="AV69" i="1"/>
  <c r="G68" i="32"/>
  <c r="P68" i="32" s="1"/>
  <c r="U68" i="32" s="1"/>
  <c r="G68" i="29"/>
  <c r="E23" i="41"/>
  <c r="E27" i="41" s="1"/>
  <c r="E26" i="41"/>
  <c r="E28" i="41" s="1"/>
  <c r="E30" i="41" s="1"/>
  <c r="E38" i="41" s="1"/>
  <c r="D12" i="41"/>
  <c r="D16" i="41" s="1"/>
  <c r="E12" i="41"/>
  <c r="D23" i="41"/>
  <c r="D27" i="41" s="1"/>
  <c r="AL5" i="17"/>
  <c r="AM5" i="17" s="1"/>
  <c r="H12" i="9"/>
  <c r="CK33" i="1"/>
  <c r="D33" i="32"/>
  <c r="D33" i="29"/>
  <c r="V33" i="29" s="1"/>
  <c r="W33" i="29" s="1"/>
  <c r="D15" i="31"/>
  <c r="D15" i="27"/>
  <c r="T15" i="27" s="1"/>
  <c r="U15" i="27" s="1"/>
  <c r="CI29" i="1"/>
  <c r="D29" i="30"/>
  <c r="CK28" i="1"/>
  <c r="D28" i="29"/>
  <c r="V28" i="29" s="1"/>
  <c r="W28" i="29" s="1"/>
  <c r="D28" i="32"/>
  <c r="CK25" i="1"/>
  <c r="D25" i="32"/>
  <c r="D25" i="29"/>
  <c r="V25" i="29" s="1"/>
  <c r="W25" i="29" s="1"/>
  <c r="CK9" i="1"/>
  <c r="D9" i="32"/>
  <c r="D9" i="29"/>
  <c r="V9" i="29" s="1"/>
  <c r="D36" i="27"/>
  <c r="T36" i="27" s="1"/>
  <c r="U36" i="27" s="1"/>
  <c r="D36" i="31"/>
  <c r="CK37" i="1"/>
  <c r="D37" i="29"/>
  <c r="V37" i="29" s="1"/>
  <c r="W37" i="29" s="1"/>
  <c r="D37" i="32"/>
  <c r="CK47" i="1"/>
  <c r="D47" i="32"/>
  <c r="D47" i="29"/>
  <c r="V47" i="29" s="1"/>
  <c r="W47" i="29" s="1"/>
  <c r="D25" i="27"/>
  <c r="T25" i="27" s="1"/>
  <c r="U25" i="27" s="1"/>
  <c r="D25" i="31"/>
  <c r="CI28" i="1"/>
  <c r="D28" i="30"/>
  <c r="CI36" i="1"/>
  <c r="D36" i="30"/>
  <c r="CI32" i="1"/>
  <c r="D32" i="30"/>
  <c r="CK8" i="1"/>
  <c r="D8" i="32"/>
  <c r="D8" i="29"/>
  <c r="V8" i="29" s="1"/>
  <c r="CK45" i="1"/>
  <c r="D45" i="29"/>
  <c r="V45" i="29" s="1"/>
  <c r="W45" i="29" s="1"/>
  <c r="D45" i="32"/>
  <c r="CI33" i="1"/>
  <c r="D33" i="30"/>
  <c r="D37" i="27"/>
  <c r="T37" i="27" s="1"/>
  <c r="U37" i="27" s="1"/>
  <c r="D37" i="31"/>
  <c r="CK30" i="1"/>
  <c r="D30" i="32"/>
  <c r="D30" i="29"/>
  <c r="V30" i="29" s="1"/>
  <c r="W30" i="29" s="1"/>
  <c r="D32" i="31"/>
  <c r="D32" i="27"/>
  <c r="T32" i="27" s="1"/>
  <c r="U32" i="27" s="1"/>
  <c r="D8" i="27"/>
  <c r="T8" i="27" s="1"/>
  <c r="D8" i="31"/>
  <c r="CK10" i="1"/>
  <c r="D10" i="29"/>
  <c r="V10" i="29" s="1"/>
  <c r="D10" i="32"/>
  <c r="D45" i="27"/>
  <c r="T45" i="27" s="1"/>
  <c r="U45" i="27" s="1"/>
  <c r="D45" i="31"/>
  <c r="D33" i="31"/>
  <c r="D33" i="27"/>
  <c r="T33" i="27" s="1"/>
  <c r="U33" i="27" s="1"/>
  <c r="CK23" i="1"/>
  <c r="D23" i="32"/>
  <c r="D23" i="29"/>
  <c r="V23" i="29" s="1"/>
  <c r="W23" i="29" s="1"/>
  <c r="CK29" i="1"/>
  <c r="D29" i="29"/>
  <c r="V29" i="29" s="1"/>
  <c r="W29" i="29" s="1"/>
  <c r="D29" i="32"/>
  <c r="D28" i="27"/>
  <c r="T28" i="27" s="1"/>
  <c r="U28" i="27" s="1"/>
  <c r="D28" i="31"/>
  <c r="CI39" i="1"/>
  <c r="D39" i="30"/>
  <c r="CK36" i="1"/>
  <c r="D36" i="29"/>
  <c r="V36" i="29" s="1"/>
  <c r="W36" i="29" s="1"/>
  <c r="D36" i="32"/>
  <c r="CI47" i="1"/>
  <c r="D47" i="30"/>
  <c r="D27" i="27"/>
  <c r="T27" i="27" s="1"/>
  <c r="U27" i="27" s="1"/>
  <c r="D27" i="31"/>
  <c r="D49" i="31"/>
  <c r="D49" i="27"/>
  <c r="T49" i="27" s="1"/>
  <c r="U49" i="27" s="1"/>
  <c r="D29" i="27"/>
  <c r="T29" i="27" s="1"/>
  <c r="U29" i="27" s="1"/>
  <c r="D29" i="31"/>
  <c r="CK39" i="1"/>
  <c r="D39" i="32"/>
  <c r="D39" i="29"/>
  <c r="V39" i="29" s="1"/>
  <c r="W39" i="29" s="1"/>
  <c r="D9" i="27"/>
  <c r="T9" i="27" s="1"/>
  <c r="D9" i="31"/>
  <c r="D20" i="27"/>
  <c r="T20" i="27" s="1"/>
  <c r="U20" i="27" s="1"/>
  <c r="D20" i="31"/>
  <c r="D21" i="27"/>
  <c r="T21" i="27" s="1"/>
  <c r="U21" i="27" s="1"/>
  <c r="D21" i="31"/>
  <c r="D47" i="31"/>
  <c r="D47" i="27"/>
  <c r="T47" i="27" s="1"/>
  <c r="U47" i="27" s="1"/>
  <c r="CI41" i="1"/>
  <c r="D41" i="30"/>
  <c r="D48" i="31"/>
  <c r="D48" i="27"/>
  <c r="T48" i="27" s="1"/>
  <c r="U48" i="27" s="1"/>
  <c r="D46" i="31"/>
  <c r="D46" i="27"/>
  <c r="T46" i="27" s="1"/>
  <c r="U46" i="27" s="1"/>
  <c r="CK49" i="1"/>
  <c r="D49" i="32"/>
  <c r="D49" i="29"/>
  <c r="V49" i="29" s="1"/>
  <c r="W49" i="29" s="1"/>
  <c r="D23" i="27"/>
  <c r="T23" i="27" s="1"/>
  <c r="U23" i="27" s="1"/>
  <c r="D23" i="31"/>
  <c r="D39" i="27"/>
  <c r="T39" i="27" s="1"/>
  <c r="U39" i="27" s="1"/>
  <c r="D39" i="31"/>
  <c r="CK20" i="1"/>
  <c r="D20" i="29"/>
  <c r="V20" i="29" s="1"/>
  <c r="W20" i="29" s="1"/>
  <c r="D20" i="32"/>
  <c r="D6" i="27"/>
  <c r="T6" i="27" s="1"/>
  <c r="D6" i="31"/>
  <c r="CK21" i="1"/>
  <c r="D21" i="29"/>
  <c r="V21" i="29" s="1"/>
  <c r="W21" i="29" s="1"/>
  <c r="D21" i="32"/>
  <c r="CK24" i="1"/>
  <c r="D24" i="32"/>
  <c r="D24" i="29"/>
  <c r="V24" i="29" s="1"/>
  <c r="W24" i="29" s="1"/>
  <c r="CK3" i="1"/>
  <c r="D3" i="29"/>
  <c r="V3" i="29" s="1"/>
  <c r="D3" i="32"/>
  <c r="D3" i="31"/>
  <c r="D3" i="27"/>
  <c r="T3" i="27" s="1"/>
  <c r="CK46" i="1"/>
  <c r="D46" i="32"/>
  <c r="D46" i="29"/>
  <c r="V46" i="29" s="1"/>
  <c r="W46" i="29" s="1"/>
  <c r="D40" i="31"/>
  <c r="D40" i="27"/>
  <c r="T40" i="27" s="1"/>
  <c r="U40" i="27" s="1"/>
  <c r="D22" i="27"/>
  <c r="T22" i="27" s="1"/>
  <c r="U22" i="27" s="1"/>
  <c r="D22" i="31"/>
  <c r="CK4" i="1"/>
  <c r="D4" i="32"/>
  <c r="D4" i="29"/>
  <c r="V4" i="29" s="1"/>
  <c r="CK32" i="1"/>
  <c r="D32" i="32"/>
  <c r="D32" i="29"/>
  <c r="V32" i="29" s="1"/>
  <c r="W32" i="29" s="1"/>
  <c r="D19" i="31"/>
  <c r="D19" i="27"/>
  <c r="T19" i="27" s="1"/>
  <c r="U19" i="27" s="1"/>
  <c r="CK43" i="1"/>
  <c r="D43" i="29"/>
  <c r="V43" i="29" s="1"/>
  <c r="W43" i="29" s="1"/>
  <c r="D43" i="32"/>
  <c r="D18" i="31"/>
  <c r="D18" i="27"/>
  <c r="T18" i="27" s="1"/>
  <c r="U18" i="27" s="1"/>
  <c r="CI40" i="1"/>
  <c r="D40" i="30"/>
  <c r="CK22" i="1"/>
  <c r="D22" i="29"/>
  <c r="V22" i="29" s="1"/>
  <c r="W22" i="29" s="1"/>
  <c r="D22" i="32"/>
  <c r="CI49" i="1"/>
  <c r="D49" i="30"/>
  <c r="CK40" i="1"/>
  <c r="D40" i="32"/>
  <c r="D40" i="29"/>
  <c r="V40" i="29" s="1"/>
  <c r="W40" i="29" s="1"/>
  <c r="CK27" i="1"/>
  <c r="D27" i="29"/>
  <c r="V27" i="29" s="1"/>
  <c r="W27" i="29" s="1"/>
  <c r="D27" i="32"/>
  <c r="D24" i="31"/>
  <c r="D24" i="27"/>
  <c r="T24" i="27" s="1"/>
  <c r="U24" i="27" s="1"/>
  <c r="CK41" i="1"/>
  <c r="D41" i="32"/>
  <c r="D41" i="29"/>
  <c r="V41" i="29" s="1"/>
  <c r="W41" i="29" s="1"/>
  <c r="CK18" i="1"/>
  <c r="D18" i="29"/>
  <c r="V18" i="29" s="1"/>
  <c r="W18" i="29" s="1"/>
  <c r="D18" i="32"/>
  <c r="CI42" i="1"/>
  <c r="D42" i="30"/>
  <c r="D13" i="27"/>
  <c r="T13" i="27" s="1"/>
  <c r="D13" i="31"/>
  <c r="CK14" i="1"/>
  <c r="D14" i="32"/>
  <c r="D14" i="29"/>
  <c r="V14" i="29" s="1"/>
  <c r="CK2" i="1"/>
  <c r="D2" i="32"/>
  <c r="D2" i="29"/>
  <c r="V2" i="29" s="1"/>
  <c r="CI48" i="1"/>
  <c r="D48" i="30"/>
  <c r="CK48" i="1"/>
  <c r="D48" i="32"/>
  <c r="D48" i="29"/>
  <c r="V48" i="29" s="1"/>
  <c r="W48" i="29" s="1"/>
  <c r="D17" i="31"/>
  <c r="D17" i="27"/>
  <c r="T17" i="27" s="1"/>
  <c r="CK44" i="1"/>
  <c r="D44" i="29"/>
  <c r="V44" i="29" s="1"/>
  <c r="W44" i="29" s="1"/>
  <c r="D44" i="32"/>
  <c r="D11" i="27"/>
  <c r="T11" i="27" s="1"/>
  <c r="D11" i="31"/>
  <c r="D34" i="31"/>
  <c r="D34" i="27"/>
  <c r="T34" i="27" s="1"/>
  <c r="U34" i="27" s="1"/>
  <c r="D14" i="31"/>
  <c r="D4" i="27"/>
  <c r="T4" i="27" s="1"/>
  <c r="D4" i="31"/>
  <c r="CI46" i="1"/>
  <c r="D46" i="30"/>
  <c r="D43" i="27"/>
  <c r="T43" i="27" s="1"/>
  <c r="U43" i="27" s="1"/>
  <c r="D43" i="31"/>
  <c r="CK17" i="1"/>
  <c r="D17" i="32"/>
  <c r="D17" i="29"/>
  <c r="V17" i="29" s="1"/>
  <c r="W17" i="29" s="1"/>
  <c r="CK16" i="1"/>
  <c r="D16" i="32"/>
  <c r="D16" i="29"/>
  <c r="V16" i="29" s="1"/>
  <c r="W16" i="29" s="1"/>
  <c r="CK15" i="1"/>
  <c r="D15" i="32"/>
  <c r="D15" i="29"/>
  <c r="V15" i="29" s="1"/>
  <c r="W15" i="29" s="1"/>
  <c r="CI30" i="1"/>
  <c r="D30" i="30"/>
  <c r="CI27" i="1"/>
  <c r="D27" i="30"/>
  <c r="D41" i="27"/>
  <c r="T41" i="27" s="1"/>
  <c r="U41" i="27" s="1"/>
  <c r="D41" i="31"/>
  <c r="CK42" i="1"/>
  <c r="D42" i="29"/>
  <c r="V42" i="29" s="1"/>
  <c r="W42" i="29" s="1"/>
  <c r="D42" i="32"/>
  <c r="CI37" i="1"/>
  <c r="D37" i="30"/>
  <c r="CK35" i="1"/>
  <c r="D35" i="29"/>
  <c r="V35" i="29" s="1"/>
  <c r="W35" i="29" s="1"/>
  <c r="D35" i="32"/>
  <c r="CK13" i="1"/>
  <c r="D13" i="29"/>
  <c r="V13" i="29" s="1"/>
  <c r="D13" i="32"/>
  <c r="CI35" i="1"/>
  <c r="D35" i="30"/>
  <c r="D12" i="27"/>
  <c r="T12" i="27" s="1"/>
  <c r="D12" i="31"/>
  <c r="CI45" i="1"/>
  <c r="D45" i="30"/>
  <c r="CK6" i="1"/>
  <c r="D6" i="32"/>
  <c r="D6" i="29"/>
  <c r="V6" i="29" s="1"/>
  <c r="CK19" i="1"/>
  <c r="D19" i="29"/>
  <c r="V19" i="29" s="1"/>
  <c r="W19" i="29" s="1"/>
  <c r="D19" i="32"/>
  <c r="CI43" i="1"/>
  <c r="D43" i="30"/>
  <c r="D16" i="31"/>
  <c r="D16" i="27"/>
  <c r="T16" i="27" s="1"/>
  <c r="U16" i="27" s="1"/>
  <c r="D35" i="31"/>
  <c r="D35" i="27"/>
  <c r="T35" i="27" s="1"/>
  <c r="U35" i="27" s="1"/>
  <c r="CK12" i="1"/>
  <c r="D12" i="29"/>
  <c r="V12" i="29" s="1"/>
  <c r="D12" i="32"/>
  <c r="CK34" i="1"/>
  <c r="D34" i="29"/>
  <c r="V34" i="29" s="1"/>
  <c r="W34" i="29" s="1"/>
  <c r="D34" i="32"/>
  <c r="D31" i="31"/>
  <c r="D31" i="27"/>
  <c r="T31" i="27" s="1"/>
  <c r="U31" i="27" s="1"/>
  <c r="CI34" i="1"/>
  <c r="D34" i="30"/>
  <c r="D10" i="27"/>
  <c r="T10" i="27" s="1"/>
  <c r="D10" i="31"/>
  <c r="CK5" i="1"/>
  <c r="D5" i="29"/>
  <c r="V5" i="29" s="1"/>
  <c r="D5" i="32"/>
  <c r="CK31" i="1"/>
  <c r="D31" i="32"/>
  <c r="D31" i="29"/>
  <c r="V31" i="29" s="1"/>
  <c r="W31" i="29" s="1"/>
  <c r="D7" i="27"/>
  <c r="T7" i="27" s="1"/>
  <c r="D7" i="31"/>
  <c r="D30" i="31"/>
  <c r="D30" i="27"/>
  <c r="T30" i="27" s="1"/>
  <c r="U30" i="27" s="1"/>
  <c r="D44" i="27"/>
  <c r="T44" i="27" s="1"/>
  <c r="U44" i="27" s="1"/>
  <c r="D44" i="31"/>
  <c r="CI44" i="1"/>
  <c r="D44" i="30"/>
  <c r="D42" i="27"/>
  <c r="T42" i="27" s="1"/>
  <c r="U42" i="27" s="1"/>
  <c r="D42" i="31"/>
  <c r="CK11" i="1"/>
  <c r="D11" i="29"/>
  <c r="V11" i="29" s="1"/>
  <c r="D11" i="32"/>
  <c r="D5" i="27"/>
  <c r="T5" i="27" s="1"/>
  <c r="D5" i="31"/>
  <c r="CI31" i="1"/>
  <c r="D31" i="30"/>
  <c r="CK7" i="1"/>
  <c r="D7" i="32"/>
  <c r="D7" i="29"/>
  <c r="V7" i="29" s="1"/>
  <c r="AX5" i="17"/>
  <c r="AY5" i="17" s="1"/>
  <c r="D6" i="18"/>
  <c r="S5" i="21"/>
  <c r="H9" i="35"/>
  <c r="M6" i="21"/>
  <c r="R15" i="17"/>
  <c r="D5" i="18"/>
  <c r="G15" i="17"/>
  <c r="W9" i="35"/>
  <c r="R9" i="35"/>
  <c r="AB9" i="35"/>
  <c r="M9" i="35"/>
  <c r="AG9" i="35"/>
  <c r="H6" i="18"/>
  <c r="E8" i="17"/>
  <c r="AA5" i="17"/>
  <c r="P13" i="17"/>
  <c r="S9" i="21"/>
  <c r="S7" i="21"/>
  <c r="E9" i="21"/>
  <c r="E6" i="21"/>
  <c r="M7" i="21"/>
  <c r="M9" i="21"/>
  <c r="L7" i="18"/>
  <c r="D7" i="18"/>
  <c r="M8" i="21"/>
  <c r="S6" i="21"/>
  <c r="D43" i="25"/>
  <c r="R43" i="25" s="1"/>
  <c r="S43" i="25" s="1"/>
  <c r="H6" i="35"/>
  <c r="E3" i="23"/>
  <c r="D45" i="25"/>
  <c r="R45" i="25" s="1"/>
  <c r="S45" i="25" s="1"/>
  <c r="U101" i="27"/>
  <c r="D37" i="25"/>
  <c r="R37" i="25" s="1"/>
  <c r="S37" i="25" s="1"/>
  <c r="D44" i="25"/>
  <c r="R44" i="25" s="1"/>
  <c r="S44" i="25" s="1"/>
  <c r="U109" i="27"/>
  <c r="H8" i="35"/>
  <c r="G6" i="23"/>
  <c r="W8" i="35"/>
  <c r="G8" i="23"/>
  <c r="AG8" i="35"/>
  <c r="Z13" i="17"/>
  <c r="AD13" i="17" s="1"/>
  <c r="E4" i="23"/>
  <c r="M6" i="35"/>
  <c r="H4" i="35"/>
  <c r="C3" i="23"/>
  <c r="E7" i="23"/>
  <c r="AB6" i="35"/>
  <c r="E8" i="23"/>
  <c r="AG6" i="35"/>
  <c r="D7" i="23"/>
  <c r="AB5" i="35"/>
  <c r="AA6" i="17"/>
  <c r="P6" i="17"/>
  <c r="W3" i="35"/>
  <c r="Z7" i="17"/>
  <c r="AD7" i="17" s="1"/>
  <c r="D5" i="17"/>
  <c r="H5" i="17" s="1"/>
  <c r="F25" i="23"/>
  <c r="S13" i="21"/>
  <c r="Z5" i="17"/>
  <c r="AD5" i="17" s="1"/>
  <c r="AG3" i="35"/>
  <c r="AI7" i="35"/>
  <c r="F42" i="23"/>
  <c r="X12" i="18"/>
  <c r="AW13" i="17"/>
  <c r="AX13" i="17" s="1"/>
  <c r="AY13" i="17" s="1"/>
  <c r="Y6" i="35"/>
  <c r="E40" i="23"/>
  <c r="P11" i="18"/>
  <c r="AK12" i="17"/>
  <c r="AL12" i="17" s="1"/>
  <c r="AI8" i="35"/>
  <c r="G42" i="23"/>
  <c r="AW14" i="17"/>
  <c r="AX14" i="17" s="1"/>
  <c r="AY14" i="17" s="1"/>
  <c r="H7" i="18"/>
  <c r="L6" i="18"/>
  <c r="AD5" i="35"/>
  <c r="D41" i="23"/>
  <c r="AQ11" i="17"/>
  <c r="AR11" i="17" s="1"/>
  <c r="T10" i="18"/>
  <c r="AD8" i="35"/>
  <c r="G41" i="23"/>
  <c r="AQ14" i="17"/>
  <c r="AR14" i="17" s="1"/>
  <c r="AR15" i="17" s="1"/>
  <c r="O3" i="35"/>
  <c r="H8" i="18"/>
  <c r="AQ6" i="17"/>
  <c r="AR6" i="17" s="1"/>
  <c r="T5" i="18"/>
  <c r="O7" i="35"/>
  <c r="F38" i="23"/>
  <c r="H12" i="18"/>
  <c r="C24" i="23"/>
  <c r="M10" i="21"/>
  <c r="S8" i="21"/>
  <c r="E8" i="21"/>
  <c r="C23" i="23"/>
  <c r="E10" i="21"/>
  <c r="G23" i="23"/>
  <c r="E14" i="21"/>
  <c r="M5" i="21"/>
  <c r="U100" i="27"/>
  <c r="U98" i="27"/>
  <c r="D38" i="25"/>
  <c r="R38" i="25" s="1"/>
  <c r="S38" i="25" s="1"/>
  <c r="D47" i="25"/>
  <c r="R47" i="25" s="1"/>
  <c r="S47" i="25" s="1"/>
  <c r="U105" i="27"/>
  <c r="D28" i="25"/>
  <c r="R28" i="25" s="1"/>
  <c r="S28" i="25" s="1"/>
  <c r="D35" i="25"/>
  <c r="R35" i="25" s="1"/>
  <c r="S35" i="25" s="1"/>
  <c r="D27" i="25"/>
  <c r="R27" i="25" s="1"/>
  <c r="S27" i="25" s="1"/>
  <c r="D42" i="25"/>
  <c r="R42" i="25" s="1"/>
  <c r="S42" i="25" s="1"/>
  <c r="H7" i="35"/>
  <c r="F3" i="23"/>
  <c r="F5" i="23"/>
  <c r="R7" i="35"/>
  <c r="AA13" i="17"/>
  <c r="E6" i="23"/>
  <c r="W6" i="35"/>
  <c r="D6" i="23"/>
  <c r="W5" i="35"/>
  <c r="C5" i="23"/>
  <c r="R4" i="35"/>
  <c r="D7" i="17"/>
  <c r="H7" i="17" s="1"/>
  <c r="T6" i="35"/>
  <c r="E39" i="23"/>
  <c r="L11" i="18"/>
  <c r="Y8" i="35"/>
  <c r="G40" i="23"/>
  <c r="AK14" i="17"/>
  <c r="AL14" i="17" s="1"/>
  <c r="AM14" i="17" s="1"/>
  <c r="AI6" i="35"/>
  <c r="E42" i="23"/>
  <c r="X11" i="18"/>
  <c r="AW12" i="17"/>
  <c r="AX12" i="17" s="1"/>
  <c r="D41" i="25"/>
  <c r="R41" i="25" s="1"/>
  <c r="S41" i="25" s="1"/>
  <c r="D48" i="25"/>
  <c r="R48" i="25" s="1"/>
  <c r="S48" i="25" s="1"/>
  <c r="D36" i="25"/>
  <c r="R36" i="25" s="1"/>
  <c r="S36" i="25" s="1"/>
  <c r="D49" i="25"/>
  <c r="R49" i="25" s="1"/>
  <c r="S49" i="25" s="1"/>
  <c r="D31" i="25"/>
  <c r="R31" i="25" s="1"/>
  <c r="S31" i="25" s="1"/>
  <c r="D34" i="25"/>
  <c r="R34" i="25" s="1"/>
  <c r="S34" i="25" s="1"/>
  <c r="D13" i="17"/>
  <c r="H13" i="17" s="1"/>
  <c r="D8" i="17"/>
  <c r="H8" i="17" s="1"/>
  <c r="G25" i="23"/>
  <c r="S14" i="21"/>
  <c r="O8" i="17"/>
  <c r="S8" i="17" s="1"/>
  <c r="E24" i="23"/>
  <c r="M12" i="21"/>
  <c r="O8" i="35"/>
  <c r="G38" i="23"/>
  <c r="AD7" i="35"/>
  <c r="F41" i="23"/>
  <c r="AQ13" i="17"/>
  <c r="AR13" i="17" s="1"/>
  <c r="T12" i="18"/>
  <c r="O4" i="35"/>
  <c r="C38" i="23"/>
  <c r="H9" i="18"/>
  <c r="AQ7" i="17"/>
  <c r="AR7" i="17" s="1"/>
  <c r="T6" i="18"/>
  <c r="T8" i="35"/>
  <c r="G39" i="23"/>
  <c r="D25" i="23"/>
  <c r="S11" i="21"/>
  <c r="AI4" i="35"/>
  <c r="C42" i="23"/>
  <c r="X9" i="18"/>
  <c r="AW10" i="17"/>
  <c r="AX10" i="17" s="1"/>
  <c r="AY10" i="17" s="1"/>
  <c r="Y4" i="35"/>
  <c r="C40" i="23"/>
  <c r="P9" i="18"/>
  <c r="AK10" i="17"/>
  <c r="AL10" i="17" s="1"/>
  <c r="AM10" i="17" s="1"/>
  <c r="C25" i="23"/>
  <c r="S10" i="21"/>
  <c r="E23" i="23"/>
  <c r="E12" i="21"/>
  <c r="D23" i="23"/>
  <c r="E11" i="21"/>
  <c r="R5" i="17"/>
  <c r="R6" i="17"/>
  <c r="R8" i="17"/>
  <c r="R7" i="17"/>
  <c r="R9" i="17"/>
  <c r="R10" i="17"/>
  <c r="R11" i="17"/>
  <c r="R12" i="17"/>
  <c r="R13" i="17"/>
  <c r="R14" i="17"/>
  <c r="R16" i="17"/>
  <c r="G5" i="17"/>
  <c r="G6" i="17"/>
  <c r="G7" i="17"/>
  <c r="G8" i="17"/>
  <c r="G9" i="17"/>
  <c r="G10" i="17"/>
  <c r="G11" i="17"/>
  <c r="G12" i="17"/>
  <c r="G13" i="17"/>
  <c r="G14" i="17"/>
  <c r="G16" i="17"/>
  <c r="D39" i="25"/>
  <c r="R39" i="25" s="1"/>
  <c r="S39" i="25" s="1"/>
  <c r="U107" i="27"/>
  <c r="D29" i="25"/>
  <c r="R29" i="25" s="1"/>
  <c r="S29" i="25" s="1"/>
  <c r="U108" i="27"/>
  <c r="U104" i="27"/>
  <c r="D32" i="25"/>
  <c r="R32" i="25" s="1"/>
  <c r="S32" i="25" s="1"/>
  <c r="U103" i="27"/>
  <c r="D46" i="25"/>
  <c r="R46" i="25" s="1"/>
  <c r="S46" i="25" s="1"/>
  <c r="U102" i="27"/>
  <c r="O13" i="17"/>
  <c r="S13" i="17" s="1"/>
  <c r="H5" i="35"/>
  <c r="D3" i="23"/>
  <c r="F7" i="23"/>
  <c r="AB7" i="35"/>
  <c r="F8" i="23"/>
  <c r="AG7" i="35"/>
  <c r="D4" i="23"/>
  <c r="M5" i="35"/>
  <c r="D5" i="23"/>
  <c r="R5" i="35"/>
  <c r="C4" i="23"/>
  <c r="M4" i="35"/>
  <c r="D8" i="23"/>
  <c r="AG5" i="35"/>
  <c r="G24" i="23"/>
  <c r="M14" i="21"/>
  <c r="C8" i="23"/>
  <c r="AG4" i="35"/>
  <c r="O5" i="17"/>
  <c r="S5" i="17" s="1"/>
  <c r="O7" i="17"/>
  <c r="S7" i="17" s="1"/>
  <c r="D6" i="17"/>
  <c r="H6" i="17" s="1"/>
  <c r="AB3" i="35"/>
  <c r="Z6" i="17"/>
  <c r="AD6" i="17" s="1"/>
  <c r="O6" i="35"/>
  <c r="E38" i="23"/>
  <c r="H11" i="18"/>
  <c r="J4" i="35"/>
  <c r="C37" i="23"/>
  <c r="D9" i="18"/>
  <c r="AK8" i="17"/>
  <c r="AL8" i="17" s="1"/>
  <c r="AM8" i="17" s="1"/>
  <c r="P7" i="18"/>
  <c r="AD3" i="35"/>
  <c r="AQ9" i="17"/>
  <c r="AR9" i="17" s="1"/>
  <c r="T8" i="18"/>
  <c r="O5" i="35"/>
  <c r="D38" i="23"/>
  <c r="H10" i="18"/>
  <c r="T7" i="35"/>
  <c r="F39" i="23"/>
  <c r="L12" i="18"/>
  <c r="AQ8" i="17"/>
  <c r="AR8" i="17" s="1"/>
  <c r="T7" i="18"/>
  <c r="Y3" i="35"/>
  <c r="P8" i="18"/>
  <c r="AK9" i="17"/>
  <c r="AL9" i="17" s="1"/>
  <c r="AM9" i="17" s="1"/>
  <c r="J7" i="35"/>
  <c r="F37" i="23"/>
  <c r="D12" i="18"/>
  <c r="H5" i="18"/>
  <c r="AI5" i="35"/>
  <c r="D42" i="23"/>
  <c r="X10" i="18"/>
  <c r="AW11" i="17"/>
  <c r="AX11" i="17" s="1"/>
  <c r="Y5" i="35"/>
  <c r="D40" i="23"/>
  <c r="AK11" i="17"/>
  <c r="AL11" i="17" s="1"/>
  <c r="AM11" i="17" s="1"/>
  <c r="P10" i="18"/>
  <c r="J8" i="35"/>
  <c r="G37" i="23"/>
  <c r="J6" i="35"/>
  <c r="E37" i="23"/>
  <c r="D11" i="18"/>
  <c r="T4" i="35"/>
  <c r="C39" i="23"/>
  <c r="L9" i="18"/>
  <c r="AW6" i="17"/>
  <c r="AX6" i="17" s="1"/>
  <c r="AY6" i="17" s="1"/>
  <c r="X5" i="18"/>
  <c r="AK6" i="17"/>
  <c r="AL6" i="17" s="1"/>
  <c r="AM6" i="17" s="1"/>
  <c r="P5" i="18"/>
  <c r="D24" i="23"/>
  <c r="M11" i="21"/>
  <c r="E7" i="21"/>
  <c r="F23" i="23"/>
  <c r="E13" i="21"/>
  <c r="D4" i="9"/>
  <c r="D7" i="9"/>
  <c r="D9" i="9"/>
  <c r="D10" i="9"/>
  <c r="D5" i="9"/>
  <c r="D11" i="9"/>
  <c r="D6" i="9"/>
  <c r="D8" i="9"/>
  <c r="D12" i="9"/>
  <c r="I4" i="9"/>
  <c r="I11" i="9"/>
  <c r="I5" i="9"/>
  <c r="I12" i="9"/>
  <c r="I9" i="9"/>
  <c r="I10" i="9"/>
  <c r="I7" i="9"/>
  <c r="I8" i="9"/>
  <c r="I13" i="9"/>
  <c r="I6" i="9"/>
  <c r="E5" i="21"/>
  <c r="D33" i="25"/>
  <c r="R33" i="25" s="1"/>
  <c r="S33" i="25" s="1"/>
  <c r="U106" i="27"/>
  <c r="D30" i="25"/>
  <c r="R30" i="25" s="1"/>
  <c r="S30" i="25" s="1"/>
  <c r="G4" i="23"/>
  <c r="M8" i="35"/>
  <c r="G5" i="23"/>
  <c r="R8" i="35"/>
  <c r="G7" i="23"/>
  <c r="AB8" i="35"/>
  <c r="F4" i="23"/>
  <c r="M7" i="35"/>
  <c r="F6" i="23"/>
  <c r="W7" i="35"/>
  <c r="E5" i="23"/>
  <c r="R6" i="35"/>
  <c r="C7" i="23"/>
  <c r="AB4" i="35"/>
  <c r="C6" i="23"/>
  <c r="W4" i="35"/>
  <c r="Z8" i="17"/>
  <c r="AD8" i="17" s="1"/>
  <c r="O6" i="17"/>
  <c r="S6" i="17" s="1"/>
  <c r="F24" i="23"/>
  <c r="M13" i="21"/>
  <c r="AD6" i="35"/>
  <c r="E41" i="23"/>
  <c r="T11" i="18"/>
  <c r="AQ12" i="17"/>
  <c r="AR12" i="17" s="1"/>
  <c r="Y7" i="35"/>
  <c r="F40" i="23"/>
  <c r="P12" i="18"/>
  <c r="AK13" i="17"/>
  <c r="AL13" i="17" s="1"/>
  <c r="AM13" i="17" s="1"/>
  <c r="X7" i="18"/>
  <c r="AW8" i="17"/>
  <c r="AX8" i="17" s="1"/>
  <c r="AY8" i="17" s="1"/>
  <c r="T3" i="35"/>
  <c r="L8" i="18"/>
  <c r="E25" i="23"/>
  <c r="S12" i="21"/>
  <c r="J5" i="35"/>
  <c r="D37" i="23"/>
  <c r="D10" i="18"/>
  <c r="AI3" i="35"/>
  <c r="AW9" i="17"/>
  <c r="AX9" i="17" s="1"/>
  <c r="AY9" i="17" s="1"/>
  <c r="X8" i="18"/>
  <c r="J3" i="35"/>
  <c r="D8" i="18"/>
  <c r="T5" i="35"/>
  <c r="D39" i="23"/>
  <c r="L10" i="18"/>
  <c r="AW7" i="17"/>
  <c r="AX7" i="17" s="1"/>
  <c r="AY7" i="17" s="1"/>
  <c r="X6" i="18"/>
  <c r="AK7" i="17"/>
  <c r="AL7" i="17" s="1"/>
  <c r="AM7" i="17" s="1"/>
  <c r="P6" i="18"/>
  <c r="L5" i="18"/>
  <c r="AD4" i="35"/>
  <c r="C41" i="23"/>
  <c r="T9" i="18"/>
  <c r="AQ10" i="17"/>
  <c r="AR10" i="17" s="1"/>
  <c r="AC5" i="17"/>
  <c r="AC6" i="17"/>
  <c r="AC7" i="17"/>
  <c r="AC8" i="17"/>
  <c r="AC9" i="17"/>
  <c r="N7" i="9"/>
  <c r="N4" i="9"/>
  <c r="N6" i="9"/>
  <c r="N8" i="9"/>
  <c r="N5" i="9"/>
  <c r="D40" i="25"/>
  <c r="R40" i="25" s="1"/>
  <c r="S40" i="25" s="1"/>
  <c r="U99" i="27"/>
  <c r="D38" i="30" l="1"/>
  <c r="P7" i="17"/>
  <c r="D26" i="30"/>
  <c r="T15" i="18"/>
  <c r="P15" i="18"/>
  <c r="X15" i="18"/>
  <c r="P68" i="29"/>
  <c r="U68" i="29" s="1"/>
  <c r="E19" i="21"/>
  <c r="E18" i="21" s="1"/>
  <c r="AL15" i="17"/>
  <c r="AL16" i="17" s="1"/>
  <c r="D26" i="41"/>
  <c r="D28" i="41" s="1"/>
  <c r="D30" i="41" s="1"/>
  <c r="D38" i="41" s="1"/>
  <c r="AH3" i="35"/>
  <c r="AH4" i="35"/>
  <c r="H8" i="23"/>
  <c r="AH7" i="35"/>
  <c r="E7" i="17"/>
  <c r="D26" i="25"/>
  <c r="R26" i="25" s="1"/>
  <c r="S26" i="25" s="1"/>
  <c r="AA8" i="17"/>
  <c r="D38" i="29"/>
  <c r="V38" i="29" s="1"/>
  <c r="W38" i="29" s="1"/>
  <c r="Z151" i="29" s="1"/>
  <c r="D38" i="32"/>
  <c r="D2" i="44"/>
  <c r="U2" i="44" s="1"/>
  <c r="R48" i="17" s="1"/>
  <c r="T48" i="17" s="1"/>
  <c r="V48" i="17" s="1"/>
  <c r="P48" i="17"/>
  <c r="D26" i="45"/>
  <c r="W26" i="45" s="1"/>
  <c r="AC50" i="17" s="1"/>
  <c r="AA50" i="17"/>
  <c r="D38" i="45"/>
  <c r="W38" i="45" s="1"/>
  <c r="AC51" i="17" s="1"/>
  <c r="AA51" i="17"/>
  <c r="D38" i="44"/>
  <c r="U38" i="44" s="1"/>
  <c r="R51" i="17" s="1"/>
  <c r="T51" i="17" s="1"/>
  <c r="V51" i="17" s="1"/>
  <c r="P51" i="17"/>
  <c r="D38" i="31"/>
  <c r="D38" i="27"/>
  <c r="H7" i="9" s="1"/>
  <c r="J7" i="9" s="1"/>
  <c r="D26" i="43"/>
  <c r="S26" i="43" s="1"/>
  <c r="G50" i="17" s="1"/>
  <c r="I50" i="17" s="1"/>
  <c r="K50" i="17" s="1"/>
  <c r="E50" i="17"/>
  <c r="D2" i="27"/>
  <c r="T2" i="27" s="1"/>
  <c r="D26" i="32"/>
  <c r="D26" i="44"/>
  <c r="U26" i="44" s="1"/>
  <c r="R50" i="17" s="1"/>
  <c r="T50" i="17" s="1"/>
  <c r="V50" i="17" s="1"/>
  <c r="P50" i="17"/>
  <c r="D2" i="31"/>
  <c r="D26" i="29"/>
  <c r="V26" i="29" s="1"/>
  <c r="Y150" i="29" s="1"/>
  <c r="D14" i="45"/>
  <c r="W14" i="45" s="1"/>
  <c r="AC49" i="17" s="1"/>
  <c r="AA49" i="17"/>
  <c r="CK26" i="1"/>
  <c r="P49" i="17"/>
  <c r="D14" i="44"/>
  <c r="U14" i="44" s="1"/>
  <c r="R49" i="17" s="1"/>
  <c r="T49" i="17" s="1"/>
  <c r="V49" i="17" s="1"/>
  <c r="D26" i="27"/>
  <c r="T26" i="27" s="1"/>
  <c r="D38" i="43"/>
  <c r="S38" i="43" s="1"/>
  <c r="G51" i="17" s="1"/>
  <c r="I51" i="17" s="1"/>
  <c r="K51" i="17" s="1"/>
  <c r="E51" i="17"/>
  <c r="W14" i="29"/>
  <c r="Z149" i="29" s="1"/>
  <c r="Y149" i="29"/>
  <c r="Y148" i="29"/>
  <c r="E15" i="41"/>
  <c r="E16" i="41"/>
  <c r="D15" i="41"/>
  <c r="D17" i="41" s="1"/>
  <c r="AV70" i="1"/>
  <c r="G69" i="29"/>
  <c r="G69" i="32"/>
  <c r="P69" i="32" s="1"/>
  <c r="U69" i="32" s="1"/>
  <c r="K18" i="21"/>
  <c r="H6" i="23"/>
  <c r="AY12" i="17"/>
  <c r="S19" i="21"/>
  <c r="S18" i="21" s="1"/>
  <c r="N10" i="21"/>
  <c r="N8" i="21"/>
  <c r="AM12" i="17"/>
  <c r="T14" i="27"/>
  <c r="U14" i="27" s="1"/>
  <c r="H5" i="9"/>
  <c r="J5" i="9" s="1"/>
  <c r="AE5" i="17"/>
  <c r="AG5" i="17" s="1"/>
  <c r="T7" i="21"/>
  <c r="AS5" i="17"/>
  <c r="C3" i="35"/>
  <c r="I5" i="17"/>
  <c r="K5" i="17" s="1"/>
  <c r="C9" i="35"/>
  <c r="N11" i="21"/>
  <c r="AS14" i="17"/>
  <c r="M19" i="21"/>
  <c r="N7" i="21"/>
  <c r="AE7" i="17"/>
  <c r="AG7" i="17" s="1"/>
  <c r="I14" i="9"/>
  <c r="M12" i="9"/>
  <c r="I13" i="17"/>
  <c r="AS13" i="17"/>
  <c r="AC7" i="35" s="1"/>
  <c r="T9" i="21"/>
  <c r="T8" i="21"/>
  <c r="F9" i="21"/>
  <c r="T11" i="21"/>
  <c r="M7" i="9"/>
  <c r="O7" i="9" s="1"/>
  <c r="I8" i="17"/>
  <c r="K8" i="17" s="1"/>
  <c r="I7" i="17"/>
  <c r="K7" i="17" s="1"/>
  <c r="AS10" i="17"/>
  <c r="AC4" i="35" s="1"/>
  <c r="T8" i="17"/>
  <c r="V8" i="17" s="1"/>
  <c r="E8" i="35"/>
  <c r="E3" i="35"/>
  <c r="F11" i="21"/>
  <c r="AE8" i="17"/>
  <c r="AG8" i="17" s="1"/>
  <c r="X7" i="35"/>
  <c r="F10" i="21"/>
  <c r="AE6" i="17"/>
  <c r="AG6" i="17" s="1"/>
  <c r="N9" i="21"/>
  <c r="G43" i="23"/>
  <c r="D43" i="23"/>
  <c r="AH8" i="35"/>
  <c r="AY11" i="17"/>
  <c r="M5" i="9"/>
  <c r="O5" i="9" s="1"/>
  <c r="W10" i="29"/>
  <c r="E43" i="23"/>
  <c r="F43" i="23"/>
  <c r="U6" i="27"/>
  <c r="I6" i="17"/>
  <c r="K6" i="17" s="1"/>
  <c r="T6" i="17"/>
  <c r="V6" i="17" s="1"/>
  <c r="F14" i="21"/>
  <c r="N14" i="21"/>
  <c r="U11" i="27"/>
  <c r="F9" i="23"/>
  <c r="U4" i="27"/>
  <c r="G26" i="23"/>
  <c r="T10" i="21"/>
  <c r="AS11" i="17"/>
  <c r="AC5" i="35" s="1"/>
  <c r="U13" i="27"/>
  <c r="E9" i="23"/>
  <c r="U10" i="27"/>
  <c r="M4" i="9"/>
  <c r="E5" i="35"/>
  <c r="F7" i="21"/>
  <c r="J12" i="9"/>
  <c r="E6" i="35"/>
  <c r="E7" i="35"/>
  <c r="C43" i="23"/>
  <c r="D9" i="23"/>
  <c r="U7" i="27"/>
  <c r="U12" i="27"/>
  <c r="U3" i="27"/>
  <c r="T13" i="17"/>
  <c r="T5" i="17"/>
  <c r="V5" i="17" s="1"/>
  <c r="E26" i="23"/>
  <c r="T13" i="21"/>
  <c r="X6" i="35"/>
  <c r="C7" i="35"/>
  <c r="F12" i="21"/>
  <c r="N12" i="21"/>
  <c r="C8" i="35"/>
  <c r="W9" i="29"/>
  <c r="C6" i="35"/>
  <c r="W2" i="29"/>
  <c r="C7" i="9"/>
  <c r="E7" i="9" s="1"/>
  <c r="F26" i="23"/>
  <c r="N13" i="21"/>
  <c r="E4" i="35"/>
  <c r="C5" i="35"/>
  <c r="W6" i="29"/>
  <c r="T7" i="17"/>
  <c r="V7" i="17" s="1"/>
  <c r="F13" i="21"/>
  <c r="F8" i="21"/>
  <c r="AS6" i="17"/>
  <c r="T14" i="21"/>
  <c r="X5" i="35"/>
  <c r="U9" i="27"/>
  <c r="W3" i="29"/>
  <c r="C26" i="23"/>
  <c r="AS7" i="17"/>
  <c r="AS12" i="17"/>
  <c r="AC6" i="35" s="1"/>
  <c r="C9" i="23"/>
  <c r="G9" i="23"/>
  <c r="U8" i="27"/>
  <c r="W13" i="29"/>
  <c r="W156" i="27"/>
  <c r="AS8" i="17"/>
  <c r="AS9" i="17"/>
  <c r="AC3" i="35" s="1"/>
  <c r="W8" i="29"/>
  <c r="W12" i="29"/>
  <c r="W4" i="29"/>
  <c r="D26" i="23"/>
  <c r="T12" i="21"/>
  <c r="W5" i="29"/>
  <c r="C4" i="35"/>
  <c r="W7" i="29"/>
  <c r="U5" i="27"/>
  <c r="W11" i="29"/>
  <c r="P69" i="29" l="1"/>
  <c r="U69" i="29" s="1"/>
  <c r="M6" i="9"/>
  <c r="O6" i="9" s="1"/>
  <c r="C6" i="9"/>
  <c r="E6" i="9" s="1"/>
  <c r="E17" i="41"/>
  <c r="E19" i="41" s="1"/>
  <c r="E34" i="41" s="1"/>
  <c r="AH5" i="35"/>
  <c r="AH6" i="35"/>
  <c r="E20" i="21"/>
  <c r="T38" i="27"/>
  <c r="U38" i="27" s="1"/>
  <c r="Y151" i="29"/>
  <c r="H6" i="9"/>
  <c r="J6" i="9" s="1"/>
  <c r="W26" i="29"/>
  <c r="Z150" i="29" s="1"/>
  <c r="H4" i="9"/>
  <c r="J4" i="9" s="1"/>
  <c r="Z148" i="29"/>
  <c r="AV71" i="1"/>
  <c r="G70" i="32"/>
  <c r="P70" i="32" s="1"/>
  <c r="U70" i="32" s="1"/>
  <c r="G70" i="29"/>
  <c r="D19" i="41"/>
  <c r="D34" i="41" s="1"/>
  <c r="S15" i="18"/>
  <c r="S48" i="18" s="1"/>
  <c r="S49" i="18" s="1"/>
  <c r="S50" i="18" s="1"/>
  <c r="S51" i="18" s="1"/>
  <c r="S52" i="18" s="1"/>
  <c r="S53" i="18" s="1"/>
  <c r="S54" i="18" s="1"/>
  <c r="S55" i="18" s="1"/>
  <c r="S56" i="18" s="1"/>
  <c r="S57" i="18" s="1"/>
  <c r="S58" i="18" s="1"/>
  <c r="S59" i="18" s="1"/>
  <c r="AQ15" i="17"/>
  <c r="AS15" i="17" s="1"/>
  <c r="S20" i="21"/>
  <c r="M20" i="21"/>
  <c r="M18" i="21"/>
  <c r="L18" i="21" s="1"/>
  <c r="N7" i="35"/>
  <c r="V13" i="17"/>
  <c r="I7" i="35"/>
  <c r="K13" i="17"/>
  <c r="Q18" i="21"/>
  <c r="R18" i="21" s="1"/>
  <c r="H7" i="23"/>
  <c r="X4" i="35"/>
  <c r="V151" i="25"/>
  <c r="U151" i="25"/>
  <c r="AR16" i="17"/>
  <c r="O4" i="9"/>
  <c r="U2" i="27"/>
  <c r="W148" i="27"/>
  <c r="X3" i="35"/>
  <c r="U26" i="27"/>
  <c r="W150" i="27"/>
  <c r="U150" i="25"/>
  <c r="U17" i="27"/>
  <c r="W149" i="27"/>
  <c r="W151" i="27"/>
  <c r="P70" i="29" l="1"/>
  <c r="U70" i="29" s="1"/>
  <c r="T48" i="18"/>
  <c r="T49" i="18"/>
  <c r="I7" i="23"/>
  <c r="H25" i="23"/>
  <c r="H24" i="23"/>
  <c r="Q19" i="21"/>
  <c r="R19" i="21" s="1"/>
  <c r="N32" i="35" s="1"/>
  <c r="M24" i="35" s="1"/>
  <c r="K48" i="18"/>
  <c r="K49" i="18" s="1"/>
  <c r="K50" i="18" s="1"/>
  <c r="K51" i="18" s="1"/>
  <c r="K52" i="18" s="1"/>
  <c r="K53" i="18" s="1"/>
  <c r="K54" i="18" s="1"/>
  <c r="K55" i="18" s="1"/>
  <c r="K56" i="18" s="1"/>
  <c r="K57" i="18" s="1"/>
  <c r="K58" i="18" s="1"/>
  <c r="K59" i="18" s="1"/>
  <c r="W15" i="18"/>
  <c r="W48" i="18" s="1"/>
  <c r="W49" i="18" s="1"/>
  <c r="W50" i="18" s="1"/>
  <c r="W51" i="18" s="1"/>
  <c r="W52" i="18" s="1"/>
  <c r="W53" i="18" s="1"/>
  <c r="W54" i="18" s="1"/>
  <c r="W55" i="18" s="1"/>
  <c r="W56" i="18" s="1"/>
  <c r="W57" i="18" s="1"/>
  <c r="W58" i="18" s="1"/>
  <c r="W59" i="18" s="1"/>
  <c r="AW15" i="17"/>
  <c r="AV72" i="1"/>
  <c r="G71" i="32"/>
  <c r="P71" i="32" s="1"/>
  <c r="U71" i="32" s="1"/>
  <c r="G71" i="29"/>
  <c r="O15" i="18"/>
  <c r="O48" i="18" s="1"/>
  <c r="O49" i="18" s="1"/>
  <c r="O50" i="18" s="1"/>
  <c r="O51" i="18" s="1"/>
  <c r="O52" i="18" s="1"/>
  <c r="O53" i="18" s="1"/>
  <c r="O54" i="18" s="1"/>
  <c r="O55" i="18" s="1"/>
  <c r="O56" i="18" s="1"/>
  <c r="O57" i="18" s="1"/>
  <c r="O58" i="18" s="1"/>
  <c r="O59" i="18" s="1"/>
  <c r="AK15" i="17"/>
  <c r="AM15" i="17" s="1"/>
  <c r="K19" i="21" s="1"/>
  <c r="F22" i="41"/>
  <c r="X149" i="27"/>
  <c r="X151" i="27"/>
  <c r="X156" i="27"/>
  <c r="X150" i="27"/>
  <c r="V150" i="25"/>
  <c r="T9" i="35"/>
  <c r="H39" i="23"/>
  <c r="Y9" i="35"/>
  <c r="H40" i="23"/>
  <c r="O9" i="35"/>
  <c r="H38" i="23"/>
  <c r="X148" i="27"/>
  <c r="AI9" i="35"/>
  <c r="H42" i="23"/>
  <c r="AD9" i="35"/>
  <c r="H41" i="23"/>
  <c r="P71" i="29" l="1"/>
  <c r="U71" i="29" s="1"/>
  <c r="X48" i="18"/>
  <c r="P48" i="18"/>
  <c r="L48" i="18"/>
  <c r="G22" i="41"/>
  <c r="G23" i="41" s="1"/>
  <c r="G27" i="41" s="1"/>
  <c r="L49" i="18"/>
  <c r="P49" i="18"/>
  <c r="X49" i="18"/>
  <c r="T50" i="18"/>
  <c r="I25" i="23"/>
  <c r="C21" i="38"/>
  <c r="E21" i="38" s="1"/>
  <c r="I6" i="23"/>
  <c r="AV73" i="1"/>
  <c r="G72" i="32"/>
  <c r="P72" i="32" s="1"/>
  <c r="U72" i="32" s="1"/>
  <c r="G72" i="29"/>
  <c r="F23" i="41"/>
  <c r="F27" i="41" s="1"/>
  <c r="O10" i="35"/>
  <c r="L21" i="35" s="1"/>
  <c r="I38" i="23"/>
  <c r="Y10" i="35"/>
  <c r="L23" i="35" s="1"/>
  <c r="I40" i="23"/>
  <c r="AK16" i="17"/>
  <c r="AM16" i="17" s="1"/>
  <c r="T10" i="35"/>
  <c r="L22" i="35" s="1"/>
  <c r="N22" i="35" s="1"/>
  <c r="F22" i="35" s="1"/>
  <c r="I39" i="23"/>
  <c r="AC9" i="35"/>
  <c r="AI10" i="35"/>
  <c r="L25" i="35" s="1"/>
  <c r="I42" i="23"/>
  <c r="AW16" i="17"/>
  <c r="AD10" i="35"/>
  <c r="L24" i="35" s="1"/>
  <c r="N24" i="35" s="1"/>
  <c r="F24" i="35" s="1"/>
  <c r="I41" i="23"/>
  <c r="AQ16" i="17"/>
  <c r="AS16" i="17" s="1"/>
  <c r="X9" i="35"/>
  <c r="P72" i="29" l="1"/>
  <c r="U72" i="29" s="1"/>
  <c r="G49" i="18"/>
  <c r="G50" i="18" s="1"/>
  <c r="H48" i="18"/>
  <c r="P50" i="18"/>
  <c r="T51" i="18"/>
  <c r="X50" i="18"/>
  <c r="L50" i="18"/>
  <c r="G26" i="41"/>
  <c r="G28" i="41" s="1"/>
  <c r="G30" i="41" s="1"/>
  <c r="G38" i="41" s="1"/>
  <c r="F26" i="41"/>
  <c r="F28" i="41" s="1"/>
  <c r="F30" i="41" s="1"/>
  <c r="F38" i="41" s="1"/>
  <c r="H21" i="38"/>
  <c r="J21" i="38" s="1"/>
  <c r="E51" i="23"/>
  <c r="E52" i="23"/>
  <c r="E49" i="23"/>
  <c r="E50" i="23"/>
  <c r="E48" i="23"/>
  <c r="AV74" i="1"/>
  <c r="G73" i="32"/>
  <c r="G73" i="29"/>
  <c r="K20" i="21"/>
  <c r="J6" i="23"/>
  <c r="J7" i="23"/>
  <c r="Q20" i="21"/>
  <c r="R20" i="21" s="1"/>
  <c r="E31" i="35"/>
  <c r="F31" i="35" s="1"/>
  <c r="E39" i="35"/>
  <c r="F39" i="35" s="1"/>
  <c r="P73" i="29" l="1"/>
  <c r="U73" i="29" s="1"/>
  <c r="H49" i="18"/>
  <c r="X51" i="18"/>
  <c r="L51" i="18"/>
  <c r="T52" i="18"/>
  <c r="P51" i="18"/>
  <c r="P73" i="32"/>
  <c r="U73" i="32" s="1"/>
  <c r="AC10" i="17" s="1"/>
  <c r="G74" i="32"/>
  <c r="P74" i="32" s="1"/>
  <c r="U74" i="32" s="1"/>
  <c r="G74" i="29"/>
  <c r="AV75" i="1"/>
  <c r="E33" i="35"/>
  <c r="F33" i="35" s="1"/>
  <c r="E41" i="35"/>
  <c r="F41" i="35" s="1"/>
  <c r="P74" i="29" l="1"/>
  <c r="U74" i="29" s="1"/>
  <c r="G51" i="18"/>
  <c r="H50" i="18"/>
  <c r="P52" i="18"/>
  <c r="T53" i="18"/>
  <c r="L52" i="18"/>
  <c r="X52" i="18"/>
  <c r="G75" i="32"/>
  <c r="P75" i="32" s="1"/>
  <c r="U75" i="32" s="1"/>
  <c r="G75" i="29"/>
  <c r="AV76" i="1"/>
  <c r="P15" i="41"/>
  <c r="Q14" i="41" s="1"/>
  <c r="I19" i="41" s="1"/>
  <c r="I30" i="41" l="1"/>
  <c r="F36" i="41"/>
  <c r="F40" i="41"/>
  <c r="P75" i="29"/>
  <c r="U75" i="29" s="1"/>
  <c r="G52" i="18"/>
  <c r="H51" i="18"/>
  <c r="X53" i="18"/>
  <c r="L53" i="18"/>
  <c r="T54" i="18"/>
  <c r="P53" i="18"/>
  <c r="G76" i="32"/>
  <c r="P76" i="32" s="1"/>
  <c r="U76" i="32" s="1"/>
  <c r="G76" i="29"/>
  <c r="AV77" i="1"/>
  <c r="Q7" i="41"/>
  <c r="Q6" i="41"/>
  <c r="Q5" i="41"/>
  <c r="Q8" i="41"/>
  <c r="Q10" i="41"/>
  <c r="Q12" i="41"/>
  <c r="Q4" i="41"/>
  <c r="Q11" i="41"/>
  <c r="Q9" i="41"/>
  <c r="Q13" i="41"/>
  <c r="Q3" i="41"/>
  <c r="P76" i="29" l="1"/>
  <c r="U76" i="29" s="1"/>
  <c r="G53" i="18"/>
  <c r="H52" i="18"/>
  <c r="T55" i="18"/>
  <c r="P54" i="18"/>
  <c r="L54" i="18"/>
  <c r="X54" i="18"/>
  <c r="G77" i="32"/>
  <c r="P77" i="32" s="1"/>
  <c r="U77" i="32" s="1"/>
  <c r="G77" i="29"/>
  <c r="AV78" i="1"/>
  <c r="R10" i="41"/>
  <c r="G40" i="41" s="1"/>
  <c r="R3" i="41"/>
  <c r="Q15" i="41"/>
  <c r="G39" i="41" l="1"/>
  <c r="P77" i="29"/>
  <c r="U77" i="29" s="1"/>
  <c r="G54" i="18"/>
  <c r="H53" i="18"/>
  <c r="X55" i="18"/>
  <c r="L55" i="18"/>
  <c r="P55" i="18"/>
  <c r="T56" i="18"/>
  <c r="G78" i="32"/>
  <c r="P78" i="32" s="1"/>
  <c r="U78" i="32" s="1"/>
  <c r="G78" i="29"/>
  <c r="AV79" i="1"/>
  <c r="D39" i="41"/>
  <c r="D35" i="41"/>
  <c r="H39" i="41"/>
  <c r="J30" i="41"/>
  <c r="D9" i="42"/>
  <c r="D13" i="42" s="1"/>
  <c r="E35" i="41"/>
  <c r="E39" i="41"/>
  <c r="D36" i="41"/>
  <c r="E40" i="41"/>
  <c r="D40" i="41"/>
  <c r="E36" i="41"/>
  <c r="P78" i="29" l="1"/>
  <c r="U78" i="29" s="1"/>
  <c r="G55" i="18"/>
  <c r="H54" i="18"/>
  <c r="P56" i="18"/>
  <c r="L56" i="18"/>
  <c r="T57" i="18"/>
  <c r="X56" i="18"/>
  <c r="U15" i="17"/>
  <c r="U58" i="17"/>
  <c r="V58" i="17" s="1"/>
  <c r="G79" i="32"/>
  <c r="P79" i="32" s="1"/>
  <c r="U79" i="32" s="1"/>
  <c r="G79" i="29"/>
  <c r="AV80" i="1"/>
  <c r="E41" i="41"/>
  <c r="F41" i="41"/>
  <c r="D47" i="41" s="1"/>
  <c r="G41" i="41"/>
  <c r="E47" i="41" s="1"/>
  <c r="E9" i="42"/>
  <c r="E37" i="41"/>
  <c r="D37" i="41"/>
  <c r="D41" i="41"/>
  <c r="P79" i="29" l="1"/>
  <c r="U79" i="29" s="1"/>
  <c r="G56" i="18"/>
  <c r="H55" i="18"/>
  <c r="L57" i="18"/>
  <c r="T58" i="18"/>
  <c r="P57" i="18"/>
  <c r="X57" i="18"/>
  <c r="E13" i="42"/>
  <c r="U59" i="17" s="1"/>
  <c r="V59" i="17" s="1"/>
  <c r="G80" i="32"/>
  <c r="P80" i="32" s="1"/>
  <c r="U80" i="32" s="1"/>
  <c r="G80" i="29"/>
  <c r="AV81" i="1"/>
  <c r="F47" i="41"/>
  <c r="P80" i="29" l="1"/>
  <c r="U80" i="29" s="1"/>
  <c r="G57" i="18"/>
  <c r="H56" i="18"/>
  <c r="T59" i="18"/>
  <c r="S19" i="18"/>
  <c r="X58" i="18"/>
  <c r="P58" i="18"/>
  <c r="L58" i="18"/>
  <c r="U16" i="17"/>
  <c r="G81" i="32"/>
  <c r="P81" i="32" s="1"/>
  <c r="U81" i="32" s="1"/>
  <c r="G81" i="29"/>
  <c r="AV82" i="1"/>
  <c r="O44" i="6"/>
  <c r="N44" i="6"/>
  <c r="N42" i="6"/>
  <c r="I121" i="1" s="1"/>
  <c r="M42" i="6"/>
  <c r="O42" i="6"/>
  <c r="N43" i="6"/>
  <c r="O43" i="6"/>
  <c r="M122" i="1" l="1"/>
  <c r="N122" i="1" s="1"/>
  <c r="M127" i="1"/>
  <c r="N127" i="1" s="1"/>
  <c r="M123" i="1"/>
  <c r="N123" i="1" s="1"/>
  <c r="M128" i="1"/>
  <c r="N128" i="1" s="1"/>
  <c r="M132" i="1"/>
  <c r="N132" i="1" s="1"/>
  <c r="M131" i="1"/>
  <c r="N131" i="1" s="1"/>
  <c r="M126" i="1"/>
  <c r="N126" i="1" s="1"/>
  <c r="M130" i="1"/>
  <c r="N130" i="1" s="1"/>
  <c r="M129" i="1"/>
  <c r="N129" i="1" s="1"/>
  <c r="M125" i="1"/>
  <c r="N125" i="1" s="1"/>
  <c r="M124" i="1"/>
  <c r="N124" i="1" s="1"/>
  <c r="I132" i="1"/>
  <c r="J132" i="1" s="1"/>
  <c r="I131" i="1"/>
  <c r="J131" i="1" s="1"/>
  <c r="I128" i="1"/>
  <c r="J128" i="1" s="1"/>
  <c r="I123" i="1"/>
  <c r="J123" i="1" s="1"/>
  <c r="I122" i="1"/>
  <c r="J122" i="1" s="1"/>
  <c r="I129" i="1"/>
  <c r="J129" i="1" s="1"/>
  <c r="I127" i="1"/>
  <c r="J127" i="1" s="1"/>
  <c r="I126" i="1"/>
  <c r="J126" i="1" s="1"/>
  <c r="I125" i="1"/>
  <c r="J125" i="1" s="1"/>
  <c r="I130" i="1"/>
  <c r="J130" i="1" s="1"/>
  <c r="I124" i="1"/>
  <c r="J124" i="1" s="1"/>
  <c r="P81" i="29"/>
  <c r="U81" i="29" s="1"/>
  <c r="G58" i="18"/>
  <c r="H57" i="18"/>
  <c r="P59" i="18"/>
  <c r="O19" i="18"/>
  <c r="T19" i="18"/>
  <c r="S21" i="18"/>
  <c r="L59" i="18"/>
  <c r="K19" i="18"/>
  <c r="X59" i="18"/>
  <c r="W19" i="18"/>
  <c r="G82" i="32"/>
  <c r="P82" i="32" s="1"/>
  <c r="U82" i="32" s="1"/>
  <c r="G82" i="29"/>
  <c r="AV83" i="1"/>
  <c r="M115" i="1"/>
  <c r="N115" i="1" s="1"/>
  <c r="D115" i="45" s="1"/>
  <c r="W115" i="45" s="1"/>
  <c r="M111" i="1"/>
  <c r="N111" i="1" s="1"/>
  <c r="D111" i="45" s="1"/>
  <c r="W111" i="45" s="1"/>
  <c r="M116" i="1"/>
  <c r="N116" i="1" s="1"/>
  <c r="D116" i="45" s="1"/>
  <c r="W116" i="45" s="1"/>
  <c r="M117" i="1"/>
  <c r="N117" i="1" s="1"/>
  <c r="D117" i="45" s="1"/>
  <c r="W117" i="45" s="1"/>
  <c r="M119" i="1"/>
  <c r="N119" i="1" s="1"/>
  <c r="D119" i="45" s="1"/>
  <c r="W119" i="45" s="1"/>
  <c r="M112" i="1"/>
  <c r="N112" i="1" s="1"/>
  <c r="D112" i="45" s="1"/>
  <c r="W112" i="45" s="1"/>
  <c r="M118" i="1"/>
  <c r="N118" i="1" s="1"/>
  <c r="D118" i="45" s="1"/>
  <c r="W118" i="45" s="1"/>
  <c r="M120" i="1"/>
  <c r="N120" i="1" s="1"/>
  <c r="M121" i="1"/>
  <c r="N121" i="1" s="1"/>
  <c r="D121" i="32" s="1"/>
  <c r="M113" i="1"/>
  <c r="N113" i="1" s="1"/>
  <c r="D113" i="45" s="1"/>
  <c r="W113" i="45" s="1"/>
  <c r="M114" i="1"/>
  <c r="N114" i="1" s="1"/>
  <c r="D114" i="45" s="1"/>
  <c r="W114" i="45" s="1"/>
  <c r="M110" i="1"/>
  <c r="I118" i="1"/>
  <c r="J118" i="1" s="1"/>
  <c r="D118" i="44" s="1"/>
  <c r="U118" i="44" s="1"/>
  <c r="I113" i="1"/>
  <c r="J113" i="1" s="1"/>
  <c r="D113" i="44" s="1"/>
  <c r="U113" i="44" s="1"/>
  <c r="I112" i="1"/>
  <c r="J112" i="1" s="1"/>
  <c r="D112" i="44" s="1"/>
  <c r="U112" i="44" s="1"/>
  <c r="I111" i="1"/>
  <c r="J111" i="1" s="1"/>
  <c r="D111" i="44" s="1"/>
  <c r="U111" i="44" s="1"/>
  <c r="I110" i="1"/>
  <c r="I114" i="1"/>
  <c r="J114" i="1" s="1"/>
  <c r="D114" i="44" s="1"/>
  <c r="U114" i="44" s="1"/>
  <c r="I116" i="1"/>
  <c r="J116" i="1" s="1"/>
  <c r="D116" i="44" s="1"/>
  <c r="U116" i="44" s="1"/>
  <c r="I119" i="1"/>
  <c r="J119" i="1" s="1"/>
  <c r="D119" i="44" s="1"/>
  <c r="U119" i="44" s="1"/>
  <c r="I115" i="1"/>
  <c r="J115" i="1" s="1"/>
  <c r="D115" i="44" s="1"/>
  <c r="U115" i="44" s="1"/>
  <c r="J121" i="1"/>
  <c r="D121" i="44" s="1"/>
  <c r="U121" i="44" s="1"/>
  <c r="I117" i="1"/>
  <c r="J117" i="1" s="1"/>
  <c r="D117" i="44" s="1"/>
  <c r="U117" i="44" s="1"/>
  <c r="I120" i="1"/>
  <c r="J120" i="1" s="1"/>
  <c r="D120" i="44" s="1"/>
  <c r="U120" i="44" s="1"/>
  <c r="E110" i="1"/>
  <c r="E121" i="1"/>
  <c r="F121" i="1" s="1"/>
  <c r="E119" i="1"/>
  <c r="F119" i="1" s="1"/>
  <c r="D119" i="43" s="1"/>
  <c r="S119" i="43" s="1"/>
  <c r="E115" i="1"/>
  <c r="F115" i="1" s="1"/>
  <c r="D115" i="43" s="1"/>
  <c r="S115" i="43" s="1"/>
  <c r="E120" i="1"/>
  <c r="F120" i="1" s="1"/>
  <c r="E114" i="1"/>
  <c r="F114" i="1" s="1"/>
  <c r="D114" i="43" s="1"/>
  <c r="S114" i="43" s="1"/>
  <c r="E111" i="1"/>
  <c r="F111" i="1" s="1"/>
  <c r="D111" i="43" s="1"/>
  <c r="S111" i="43" s="1"/>
  <c r="E117" i="1"/>
  <c r="F117" i="1" s="1"/>
  <c r="D117" i="43" s="1"/>
  <c r="S117" i="43" s="1"/>
  <c r="E113" i="1"/>
  <c r="F113" i="1" s="1"/>
  <c r="D113" i="43" s="1"/>
  <c r="S113" i="43" s="1"/>
  <c r="E112" i="1"/>
  <c r="F112" i="1" s="1"/>
  <c r="D112" i="43" s="1"/>
  <c r="S112" i="43" s="1"/>
  <c r="E118" i="1"/>
  <c r="F118" i="1" s="1"/>
  <c r="D118" i="43" s="1"/>
  <c r="S118" i="43" s="1"/>
  <c r="E116" i="1"/>
  <c r="F116" i="1" s="1"/>
  <c r="D116" i="43" s="1"/>
  <c r="S116" i="43" s="1"/>
  <c r="F18" i="1"/>
  <c r="D18" i="43" s="1"/>
  <c r="S18" i="43" s="1"/>
  <c r="F15" i="1"/>
  <c r="D15" i="43" s="1"/>
  <c r="S15" i="43" s="1"/>
  <c r="F8" i="1"/>
  <c r="D8" i="43" s="1"/>
  <c r="S8" i="43" s="1"/>
  <c r="F11" i="1"/>
  <c r="D11" i="43" s="1"/>
  <c r="S11" i="43" s="1"/>
  <c r="F6" i="1"/>
  <c r="D6" i="43" s="1"/>
  <c r="S6" i="43" s="1"/>
  <c r="F10" i="1"/>
  <c r="D10" i="43" s="1"/>
  <c r="S10" i="43" s="1"/>
  <c r="F4" i="1"/>
  <c r="D4" i="43" s="1"/>
  <c r="S4" i="43" s="1"/>
  <c r="F3" i="1"/>
  <c r="D3" i="43" s="1"/>
  <c r="S3" i="43" s="1"/>
  <c r="F20" i="1"/>
  <c r="D20" i="43" s="1"/>
  <c r="S20" i="43" s="1"/>
  <c r="F22" i="1"/>
  <c r="D22" i="43" s="1"/>
  <c r="S22" i="43" s="1"/>
  <c r="F5" i="1"/>
  <c r="D5" i="43" s="1"/>
  <c r="S5" i="43" s="1"/>
  <c r="F7" i="1"/>
  <c r="D7" i="43" s="1"/>
  <c r="S7" i="43" s="1"/>
  <c r="F23" i="1"/>
  <c r="D23" i="43" s="1"/>
  <c r="S23" i="43" s="1"/>
  <c r="F12" i="1"/>
  <c r="D12" i="43" s="1"/>
  <c r="S12" i="43" s="1"/>
  <c r="F24" i="1"/>
  <c r="D24" i="43" s="1"/>
  <c r="S24" i="43" s="1"/>
  <c r="F13" i="1"/>
  <c r="D13" i="43" s="1"/>
  <c r="S13" i="43" s="1"/>
  <c r="F16" i="1"/>
  <c r="D16" i="43" s="1"/>
  <c r="S16" i="43" s="1"/>
  <c r="F21" i="1"/>
  <c r="D21" i="43" s="1"/>
  <c r="S21" i="43" s="1"/>
  <c r="F9" i="1"/>
  <c r="D9" i="43" s="1"/>
  <c r="S9" i="43" s="1"/>
  <c r="F25" i="1"/>
  <c r="D25" i="43" s="1"/>
  <c r="S25" i="43" s="1"/>
  <c r="F17" i="1"/>
  <c r="D17" i="43" s="1"/>
  <c r="S17" i="43" s="1"/>
  <c r="F19" i="1"/>
  <c r="D19" i="43" s="1"/>
  <c r="S19" i="43" s="1"/>
  <c r="F107" i="1"/>
  <c r="D107" i="43" s="1"/>
  <c r="S107" i="43" s="1"/>
  <c r="F104" i="1"/>
  <c r="D104" i="43" s="1"/>
  <c r="S104" i="43" s="1"/>
  <c r="F106" i="1"/>
  <c r="D106" i="43" s="1"/>
  <c r="S106" i="43" s="1"/>
  <c r="F98" i="1"/>
  <c r="F109" i="1"/>
  <c r="D109" i="43" s="1"/>
  <c r="S109" i="43" s="1"/>
  <c r="F105" i="1"/>
  <c r="D105" i="43" s="1"/>
  <c r="S105" i="43" s="1"/>
  <c r="F101" i="1"/>
  <c r="D101" i="43" s="1"/>
  <c r="S101" i="43" s="1"/>
  <c r="F100" i="1"/>
  <c r="D100" i="43" s="1"/>
  <c r="S100" i="43" s="1"/>
  <c r="F99" i="1"/>
  <c r="D99" i="43" s="1"/>
  <c r="S99" i="43" s="1"/>
  <c r="F102" i="1"/>
  <c r="D102" i="43" s="1"/>
  <c r="S102" i="43" s="1"/>
  <c r="F108" i="1"/>
  <c r="D108" i="43" s="1"/>
  <c r="S108" i="43" s="1"/>
  <c r="F103" i="1"/>
  <c r="D103" i="43" s="1"/>
  <c r="S103" i="43" s="1"/>
  <c r="M43" i="6"/>
  <c r="M44" i="6"/>
  <c r="X8" i="35"/>
  <c r="S16" i="17"/>
  <c r="T16" i="17" s="1"/>
  <c r="V16" i="17" s="1"/>
  <c r="AC8" i="35"/>
  <c r="H16" i="17"/>
  <c r="I16" i="17" s="1"/>
  <c r="AD16" i="17"/>
  <c r="S14" i="17"/>
  <c r="T14" i="17" s="1"/>
  <c r="D122" i="27" l="1"/>
  <c r="T122" i="27" s="1"/>
  <c r="U122" i="27" s="1"/>
  <c r="D122" i="31"/>
  <c r="D123" i="27"/>
  <c r="T123" i="27" s="1"/>
  <c r="U123" i="27" s="1"/>
  <c r="D123" i="31"/>
  <c r="D128" i="27"/>
  <c r="T128" i="27" s="1"/>
  <c r="U128" i="27" s="1"/>
  <c r="D128" i="31"/>
  <c r="D131" i="27"/>
  <c r="T131" i="27" s="1"/>
  <c r="U131" i="27" s="1"/>
  <c r="D131" i="31"/>
  <c r="D132" i="27"/>
  <c r="T132" i="27" s="1"/>
  <c r="U132" i="27" s="1"/>
  <c r="D132" i="31"/>
  <c r="D124" i="32"/>
  <c r="D124" i="29"/>
  <c r="CK124" i="1"/>
  <c r="D125" i="32"/>
  <c r="D125" i="29"/>
  <c r="CK125" i="1"/>
  <c r="D129" i="32"/>
  <c r="D129" i="29"/>
  <c r="CK129" i="1"/>
  <c r="D130" i="32"/>
  <c r="D130" i="29"/>
  <c r="CK130" i="1"/>
  <c r="D126" i="32"/>
  <c r="D126" i="29"/>
  <c r="CK126" i="1"/>
  <c r="D124" i="27"/>
  <c r="T124" i="27" s="1"/>
  <c r="U124" i="27" s="1"/>
  <c r="D124" i="31"/>
  <c r="D131" i="32"/>
  <c r="D131" i="29"/>
  <c r="CK131" i="1"/>
  <c r="D130" i="27"/>
  <c r="T130" i="27" s="1"/>
  <c r="U130" i="27" s="1"/>
  <c r="D130" i="31"/>
  <c r="D132" i="32"/>
  <c r="D132" i="29"/>
  <c r="CK132" i="1"/>
  <c r="D125" i="27"/>
  <c r="T125" i="27" s="1"/>
  <c r="U125" i="27" s="1"/>
  <c r="D125" i="31"/>
  <c r="D128" i="32"/>
  <c r="D128" i="29"/>
  <c r="CK128" i="1"/>
  <c r="D126" i="27"/>
  <c r="T126" i="27" s="1"/>
  <c r="U126" i="27" s="1"/>
  <c r="D126" i="31"/>
  <c r="D123" i="32"/>
  <c r="CK123" i="1"/>
  <c r="D123" i="29"/>
  <c r="D127" i="27"/>
  <c r="T127" i="27" s="1"/>
  <c r="U127" i="27" s="1"/>
  <c r="D127" i="31"/>
  <c r="D127" i="32"/>
  <c r="D127" i="29"/>
  <c r="CK127" i="1"/>
  <c r="D129" i="27"/>
  <c r="T129" i="27" s="1"/>
  <c r="U129" i="27" s="1"/>
  <c r="D129" i="31"/>
  <c r="D122" i="32"/>
  <c r="CK122" i="1"/>
  <c r="D122" i="29"/>
  <c r="V14" i="17"/>
  <c r="E123" i="1"/>
  <c r="F123" i="1" s="1"/>
  <c r="E124" i="1"/>
  <c r="F124" i="1" s="1"/>
  <c r="E125" i="1"/>
  <c r="F125" i="1" s="1"/>
  <c r="E122" i="1"/>
  <c r="F122" i="1" s="1"/>
  <c r="E126" i="1"/>
  <c r="F126" i="1" s="1"/>
  <c r="E132" i="1"/>
  <c r="F132" i="1" s="1"/>
  <c r="E129" i="1"/>
  <c r="F129" i="1" s="1"/>
  <c r="E130" i="1"/>
  <c r="F130" i="1" s="1"/>
  <c r="E128" i="1"/>
  <c r="F128" i="1" s="1"/>
  <c r="E127" i="1"/>
  <c r="F127" i="1" s="1"/>
  <c r="E131" i="1"/>
  <c r="F131" i="1" s="1"/>
  <c r="D121" i="45"/>
  <c r="W121" i="45" s="1"/>
  <c r="CK121" i="1"/>
  <c r="D120" i="43"/>
  <c r="S120" i="43" s="1"/>
  <c r="CI120" i="1"/>
  <c r="D121" i="43"/>
  <c r="S121" i="43" s="1"/>
  <c r="CI121" i="1"/>
  <c r="D120" i="45"/>
  <c r="W120" i="45" s="1"/>
  <c r="CK120" i="1"/>
  <c r="P82" i="29"/>
  <c r="U82" i="29" s="1"/>
  <c r="G59" i="18"/>
  <c r="H58" i="18"/>
  <c r="L19" i="18"/>
  <c r="K21" i="18"/>
  <c r="P19" i="18"/>
  <c r="O21" i="18"/>
  <c r="X19" i="18"/>
  <c r="W21" i="18"/>
  <c r="J4" i="23"/>
  <c r="N110" i="1"/>
  <c r="D110" i="32" s="1"/>
  <c r="Z57" i="17"/>
  <c r="AD57" i="17" s="1"/>
  <c r="F110" i="1"/>
  <c r="CI110" i="1" s="1"/>
  <c r="D57" i="17"/>
  <c r="H57" i="17" s="1"/>
  <c r="J110" i="1"/>
  <c r="D110" i="31" s="1"/>
  <c r="O57" i="17"/>
  <c r="S57" i="17" s="1"/>
  <c r="D98" i="43"/>
  <c r="S98" i="43" s="1"/>
  <c r="G56" i="17" s="1"/>
  <c r="I56" i="17" s="1"/>
  <c r="E56" i="17"/>
  <c r="G83" i="32"/>
  <c r="P83" i="32" s="1"/>
  <c r="U83" i="32" s="1"/>
  <c r="G83" i="29"/>
  <c r="AV84" i="1"/>
  <c r="N8" i="35"/>
  <c r="CI103" i="1"/>
  <c r="D103" i="30"/>
  <c r="CI108" i="1"/>
  <c r="D108" i="30"/>
  <c r="CI102" i="1"/>
  <c r="D102" i="30"/>
  <c r="CI99" i="1"/>
  <c r="D99" i="30"/>
  <c r="CI100" i="1"/>
  <c r="D100" i="30"/>
  <c r="CI101" i="1"/>
  <c r="D101" i="30"/>
  <c r="CI105" i="1"/>
  <c r="D105" i="30"/>
  <c r="CI109" i="1"/>
  <c r="D109" i="30"/>
  <c r="CI98" i="1"/>
  <c r="D98" i="30"/>
  <c r="E13" i="17"/>
  <c r="CI106" i="1"/>
  <c r="D106" i="30"/>
  <c r="CI104" i="1"/>
  <c r="D104" i="30"/>
  <c r="CI107" i="1"/>
  <c r="D107" i="30"/>
  <c r="CI19" i="1"/>
  <c r="D19" i="30"/>
  <c r="CI17" i="1"/>
  <c r="D17" i="30"/>
  <c r="CI25" i="1"/>
  <c r="D25" i="30"/>
  <c r="CI9" i="1"/>
  <c r="D9" i="30"/>
  <c r="CI21" i="1"/>
  <c r="D21" i="30"/>
  <c r="CI16" i="1"/>
  <c r="D16" i="30"/>
  <c r="CI13" i="1"/>
  <c r="D13" i="30"/>
  <c r="CI24" i="1"/>
  <c r="D24" i="30"/>
  <c r="CI12" i="1"/>
  <c r="D12" i="30"/>
  <c r="CI23" i="1"/>
  <c r="D23" i="30"/>
  <c r="CI7" i="1"/>
  <c r="D7" i="30"/>
  <c r="CI5" i="1"/>
  <c r="D5" i="30"/>
  <c r="CI22" i="1"/>
  <c r="D22" i="30"/>
  <c r="CI20" i="1"/>
  <c r="D20" i="30"/>
  <c r="CI3" i="1"/>
  <c r="D3" i="30"/>
  <c r="CI4" i="1"/>
  <c r="D4" i="30"/>
  <c r="CI10" i="1"/>
  <c r="D10" i="30"/>
  <c r="CI6" i="1"/>
  <c r="D6" i="30"/>
  <c r="CI11" i="1"/>
  <c r="D11" i="30"/>
  <c r="CI8" i="1"/>
  <c r="D8" i="30"/>
  <c r="CI15" i="1"/>
  <c r="D15" i="30"/>
  <c r="CI18" i="1"/>
  <c r="D18" i="30"/>
  <c r="CI116" i="1"/>
  <c r="D116" i="30"/>
  <c r="CI118" i="1"/>
  <c r="D118" i="30"/>
  <c r="CI112" i="1"/>
  <c r="D112" i="30"/>
  <c r="CI113" i="1"/>
  <c r="D113" i="30"/>
  <c r="CI117" i="1"/>
  <c r="D117" i="30"/>
  <c r="CI111" i="1"/>
  <c r="D111" i="30"/>
  <c r="CI114" i="1"/>
  <c r="D114" i="30"/>
  <c r="D120" i="30"/>
  <c r="CI115" i="1"/>
  <c r="D115" i="30"/>
  <c r="CI119" i="1"/>
  <c r="D119" i="30"/>
  <c r="D121" i="30"/>
  <c r="D120" i="27"/>
  <c r="T120" i="27" s="1"/>
  <c r="D120" i="31"/>
  <c r="D117" i="27"/>
  <c r="T117" i="27" s="1"/>
  <c r="D117" i="31"/>
  <c r="D121" i="27"/>
  <c r="T121" i="27" s="1"/>
  <c r="D121" i="31"/>
  <c r="D115" i="31"/>
  <c r="D115" i="27"/>
  <c r="T115" i="27" s="1"/>
  <c r="D119" i="27"/>
  <c r="T119" i="27" s="1"/>
  <c r="D119" i="31"/>
  <c r="D116" i="27"/>
  <c r="T116" i="27" s="1"/>
  <c r="D116" i="31"/>
  <c r="D114" i="31"/>
  <c r="D114" i="27"/>
  <c r="T114" i="27" s="1"/>
  <c r="D111" i="31"/>
  <c r="D111" i="27"/>
  <c r="T111" i="27" s="1"/>
  <c r="D112" i="31"/>
  <c r="D112" i="27"/>
  <c r="T112" i="27" s="1"/>
  <c r="D113" i="31"/>
  <c r="D113" i="27"/>
  <c r="T113" i="27" s="1"/>
  <c r="D118" i="27"/>
  <c r="T118" i="27" s="1"/>
  <c r="D118" i="31"/>
  <c r="CK114" i="1"/>
  <c r="D114" i="29"/>
  <c r="D114" i="32"/>
  <c r="CK113" i="1"/>
  <c r="D113" i="32"/>
  <c r="D113" i="29"/>
  <c r="D121" i="29"/>
  <c r="D120" i="32"/>
  <c r="D120" i="29"/>
  <c r="CK118" i="1"/>
  <c r="D118" i="32"/>
  <c r="D118" i="29"/>
  <c r="CK112" i="1"/>
  <c r="D112" i="32"/>
  <c r="D112" i="29"/>
  <c r="CK119" i="1"/>
  <c r="D119" i="32"/>
  <c r="D119" i="29"/>
  <c r="CK117" i="1"/>
  <c r="D117" i="29"/>
  <c r="D117" i="32"/>
  <c r="CK116" i="1"/>
  <c r="D116" i="29"/>
  <c r="D116" i="32"/>
  <c r="CK111" i="1"/>
  <c r="D111" i="32"/>
  <c r="D111" i="29"/>
  <c r="CK115" i="1"/>
  <c r="D115" i="29"/>
  <c r="D115" i="32"/>
  <c r="D103" i="25"/>
  <c r="R103" i="25" s="1"/>
  <c r="S103" i="25" s="1"/>
  <c r="D108" i="25"/>
  <c r="R108" i="25" s="1"/>
  <c r="S108" i="25" s="1"/>
  <c r="D102" i="25"/>
  <c r="R102" i="25" s="1"/>
  <c r="S102" i="25" s="1"/>
  <c r="D99" i="25"/>
  <c r="R99" i="25" s="1"/>
  <c r="S99" i="25" s="1"/>
  <c r="D100" i="25"/>
  <c r="R100" i="25" s="1"/>
  <c r="S100" i="25" s="1"/>
  <c r="D101" i="25"/>
  <c r="R101" i="25" s="1"/>
  <c r="S101" i="25" s="1"/>
  <c r="D105" i="25"/>
  <c r="R105" i="25" s="1"/>
  <c r="S105" i="25" s="1"/>
  <c r="D109" i="25"/>
  <c r="R109" i="25" s="1"/>
  <c r="S109" i="25" s="1"/>
  <c r="D98" i="25"/>
  <c r="D106" i="25"/>
  <c r="R106" i="25" s="1"/>
  <c r="S106" i="25" s="1"/>
  <c r="D104" i="25"/>
  <c r="R104" i="25" s="1"/>
  <c r="S104" i="25" s="1"/>
  <c r="D107" i="25"/>
  <c r="R107" i="25" s="1"/>
  <c r="S107" i="25" s="1"/>
  <c r="D116" i="25"/>
  <c r="R116" i="25" s="1"/>
  <c r="S116" i="25" s="1"/>
  <c r="D118" i="25"/>
  <c r="R118" i="25" s="1"/>
  <c r="S118" i="25" s="1"/>
  <c r="D112" i="25"/>
  <c r="R112" i="25" s="1"/>
  <c r="S112" i="25" s="1"/>
  <c r="D113" i="25"/>
  <c r="R113" i="25" s="1"/>
  <c r="S113" i="25" s="1"/>
  <c r="D117" i="25"/>
  <c r="R117" i="25" s="1"/>
  <c r="S117" i="25" s="1"/>
  <c r="D111" i="25"/>
  <c r="R111" i="25" s="1"/>
  <c r="S111" i="25" s="1"/>
  <c r="D114" i="25"/>
  <c r="R114" i="25" s="1"/>
  <c r="S114" i="25" s="1"/>
  <c r="D120" i="25"/>
  <c r="R120" i="25" s="1"/>
  <c r="S120" i="25" s="1"/>
  <c r="D115" i="25"/>
  <c r="R115" i="25" s="1"/>
  <c r="S115" i="25" s="1"/>
  <c r="D119" i="25"/>
  <c r="R119" i="25" s="1"/>
  <c r="S119" i="25" s="1"/>
  <c r="D121" i="25"/>
  <c r="D19" i="25"/>
  <c r="R19" i="25" s="1"/>
  <c r="S19" i="25" s="1"/>
  <c r="D17" i="25"/>
  <c r="R17" i="25" s="1"/>
  <c r="S17" i="25" s="1"/>
  <c r="F2" i="1"/>
  <c r="D25" i="25"/>
  <c r="R25" i="25" s="1"/>
  <c r="S25" i="25" s="1"/>
  <c r="D9" i="25"/>
  <c r="R9" i="25" s="1"/>
  <c r="S9" i="25" s="1"/>
  <c r="D21" i="25"/>
  <c r="R21" i="25" s="1"/>
  <c r="S21" i="25" s="1"/>
  <c r="D16" i="25"/>
  <c r="R16" i="25" s="1"/>
  <c r="S16" i="25" s="1"/>
  <c r="D13" i="25"/>
  <c r="R13" i="25" s="1"/>
  <c r="S13" i="25" s="1"/>
  <c r="D24" i="25"/>
  <c r="R24" i="25" s="1"/>
  <c r="S24" i="25" s="1"/>
  <c r="D12" i="25"/>
  <c r="R12" i="25" s="1"/>
  <c r="S12" i="25" s="1"/>
  <c r="D23" i="25"/>
  <c r="R23" i="25" s="1"/>
  <c r="S23" i="25" s="1"/>
  <c r="D7" i="25"/>
  <c r="R7" i="25" s="1"/>
  <c r="S7" i="25" s="1"/>
  <c r="D5" i="25"/>
  <c r="R5" i="25" s="1"/>
  <c r="S5" i="25" s="1"/>
  <c r="F14" i="1"/>
  <c r="D22" i="25"/>
  <c r="R22" i="25" s="1"/>
  <c r="S22" i="25" s="1"/>
  <c r="D20" i="25"/>
  <c r="R20" i="25" s="1"/>
  <c r="S20" i="25" s="1"/>
  <c r="D3" i="25"/>
  <c r="R3" i="25" s="1"/>
  <c r="S3" i="25" s="1"/>
  <c r="D4" i="25"/>
  <c r="R4" i="25" s="1"/>
  <c r="S4" i="25" s="1"/>
  <c r="D10" i="25"/>
  <c r="R10" i="25" s="1"/>
  <c r="S10" i="25" s="1"/>
  <c r="D6" i="25"/>
  <c r="R6" i="25" s="1"/>
  <c r="S6" i="25" s="1"/>
  <c r="D11" i="25"/>
  <c r="R11" i="25" s="1"/>
  <c r="S11" i="25" s="1"/>
  <c r="D8" i="25"/>
  <c r="R8" i="25" s="1"/>
  <c r="S8" i="25" s="1"/>
  <c r="D15" i="25"/>
  <c r="R15" i="25" s="1"/>
  <c r="S15" i="25" s="1"/>
  <c r="D18" i="25"/>
  <c r="R18" i="25" s="1"/>
  <c r="S18" i="25" s="1"/>
  <c r="N37" i="6"/>
  <c r="M38" i="6"/>
  <c r="O38" i="6"/>
  <c r="N38" i="6"/>
  <c r="M39" i="6"/>
  <c r="M40" i="6"/>
  <c r="M37" i="6"/>
  <c r="O37" i="6"/>
  <c r="O39" i="6"/>
  <c r="O40" i="6"/>
  <c r="N39" i="6"/>
  <c r="N40" i="6"/>
  <c r="L20" i="21"/>
  <c r="C16" i="23"/>
  <c r="J25" i="23"/>
  <c r="C17" i="23"/>
  <c r="N10" i="35"/>
  <c r="I10" i="35"/>
  <c r="X10" i="35"/>
  <c r="AC10" i="35"/>
  <c r="E17" i="23" l="1"/>
  <c r="C51" i="23" s="1"/>
  <c r="E16" i="23"/>
  <c r="D110" i="27"/>
  <c r="K56" i="17"/>
  <c r="C32" i="23"/>
  <c r="E32" i="23" s="1"/>
  <c r="D110" i="29"/>
  <c r="CI130" i="1"/>
  <c r="D130" i="25"/>
  <c r="R130" i="25" s="1"/>
  <c r="S130" i="25" s="1"/>
  <c r="D130" i="43"/>
  <c r="D130" i="30"/>
  <c r="CI129" i="1"/>
  <c r="D129" i="25"/>
  <c r="R129" i="25" s="1"/>
  <c r="S129" i="25" s="1"/>
  <c r="D129" i="43"/>
  <c r="D129" i="30"/>
  <c r="D132" i="25"/>
  <c r="R132" i="25" s="1"/>
  <c r="S132" i="25" s="1"/>
  <c r="CI132" i="1"/>
  <c r="D132" i="43"/>
  <c r="D132" i="30"/>
  <c r="D131" i="43"/>
  <c r="D131" i="25"/>
  <c r="R131" i="25" s="1"/>
  <c r="S131" i="25" s="1"/>
  <c r="CI131" i="1"/>
  <c r="D131" i="30"/>
  <c r="D126" i="25"/>
  <c r="R126" i="25" s="1"/>
  <c r="S126" i="25" s="1"/>
  <c r="CI126" i="1"/>
  <c r="D126" i="43"/>
  <c r="D126" i="30"/>
  <c r="D127" i="25"/>
  <c r="R127" i="25" s="1"/>
  <c r="S127" i="25" s="1"/>
  <c r="CI127" i="1"/>
  <c r="D127" i="43"/>
  <c r="D127" i="30"/>
  <c r="CI122" i="1"/>
  <c r="D122" i="25"/>
  <c r="R122" i="25" s="1"/>
  <c r="S122" i="25" s="1"/>
  <c r="D122" i="43"/>
  <c r="D122" i="30"/>
  <c r="D110" i="25"/>
  <c r="R110" i="25" s="1"/>
  <c r="S110" i="25" s="1"/>
  <c r="CK110" i="1"/>
  <c r="D128" i="25"/>
  <c r="R128" i="25" s="1"/>
  <c r="S128" i="25" s="1"/>
  <c r="CI128" i="1"/>
  <c r="D128" i="43"/>
  <c r="D128" i="30"/>
  <c r="D110" i="30"/>
  <c r="D125" i="25"/>
  <c r="R125" i="25" s="1"/>
  <c r="S125" i="25" s="1"/>
  <c r="CI125" i="1"/>
  <c r="D125" i="43"/>
  <c r="D125" i="30"/>
  <c r="CI124" i="1"/>
  <c r="D124" i="25"/>
  <c r="R124" i="25" s="1"/>
  <c r="S124" i="25" s="1"/>
  <c r="D124" i="43"/>
  <c r="D124" i="30"/>
  <c r="D123" i="25"/>
  <c r="R123" i="25" s="1"/>
  <c r="S123" i="25" s="1"/>
  <c r="CI123" i="1"/>
  <c r="D123" i="43"/>
  <c r="D123" i="30"/>
  <c r="P83" i="29"/>
  <c r="U83" i="29" s="1"/>
  <c r="G19" i="18"/>
  <c r="H59" i="18"/>
  <c r="J24" i="23"/>
  <c r="C14" i="23"/>
  <c r="D110" i="44"/>
  <c r="U110" i="44" s="1"/>
  <c r="R57" i="17" s="1"/>
  <c r="T57" i="17" s="1"/>
  <c r="P57" i="17"/>
  <c r="D14" i="43"/>
  <c r="S14" i="43" s="1"/>
  <c r="G49" i="17" s="1"/>
  <c r="I49" i="17" s="1"/>
  <c r="K49" i="17" s="1"/>
  <c r="E49" i="17"/>
  <c r="D2" i="43"/>
  <c r="S2" i="43" s="1"/>
  <c r="G48" i="17" s="1"/>
  <c r="I48" i="17" s="1"/>
  <c r="K48" i="17" s="1"/>
  <c r="E48" i="17"/>
  <c r="D110" i="43"/>
  <c r="S110" i="43" s="1"/>
  <c r="G57" i="17" s="1"/>
  <c r="I57" i="17" s="1"/>
  <c r="E57" i="17"/>
  <c r="D110" i="45"/>
  <c r="W110" i="45" s="1"/>
  <c r="AC57" i="17" s="1"/>
  <c r="AA57" i="17"/>
  <c r="G84" i="29"/>
  <c r="G84" i="32"/>
  <c r="P84" i="32" s="1"/>
  <c r="U84" i="32" s="1"/>
  <c r="AV85" i="1"/>
  <c r="CI14" i="1"/>
  <c r="D14" i="30"/>
  <c r="E6" i="17"/>
  <c r="CI2" i="1"/>
  <c r="D2" i="30"/>
  <c r="E5" i="17"/>
  <c r="R98" i="25"/>
  <c r="C12" i="9"/>
  <c r="E12" i="9" s="1"/>
  <c r="T110" i="27"/>
  <c r="H13" i="9"/>
  <c r="I64" i="1"/>
  <c r="J64" i="1" s="1"/>
  <c r="D64" i="44" s="1"/>
  <c r="U64" i="44" s="1"/>
  <c r="I68" i="1"/>
  <c r="J68" i="1" s="1"/>
  <c r="D68" i="44" s="1"/>
  <c r="U68" i="44" s="1"/>
  <c r="I69" i="1"/>
  <c r="J69" i="1" s="1"/>
  <c r="D69" i="44" s="1"/>
  <c r="U69" i="44" s="1"/>
  <c r="I63" i="1"/>
  <c r="J63" i="1" s="1"/>
  <c r="D63" i="44" s="1"/>
  <c r="U63" i="44" s="1"/>
  <c r="I65" i="1"/>
  <c r="J65" i="1" s="1"/>
  <c r="D65" i="44" s="1"/>
  <c r="U65" i="44" s="1"/>
  <c r="I73" i="1"/>
  <c r="J73" i="1" s="1"/>
  <c r="D73" i="44" s="1"/>
  <c r="U73" i="44" s="1"/>
  <c r="I67" i="1"/>
  <c r="J67" i="1" s="1"/>
  <c r="D67" i="44" s="1"/>
  <c r="U67" i="44" s="1"/>
  <c r="I72" i="1"/>
  <c r="J72" i="1" s="1"/>
  <c r="D72" i="44" s="1"/>
  <c r="U72" i="44" s="1"/>
  <c r="I66" i="1"/>
  <c r="J66" i="1" s="1"/>
  <c r="D66" i="44" s="1"/>
  <c r="U66" i="44" s="1"/>
  <c r="I70" i="1"/>
  <c r="J70" i="1" s="1"/>
  <c r="D70" i="44" s="1"/>
  <c r="U70" i="44" s="1"/>
  <c r="I71" i="1"/>
  <c r="J71" i="1" s="1"/>
  <c r="D71" i="44" s="1"/>
  <c r="U71" i="44" s="1"/>
  <c r="I62" i="1"/>
  <c r="M63" i="1"/>
  <c r="N63" i="1" s="1"/>
  <c r="D63" i="45" s="1"/>
  <c r="W63" i="45" s="1"/>
  <c r="M64" i="1"/>
  <c r="N64" i="1" s="1"/>
  <c r="D64" i="45" s="1"/>
  <c r="W64" i="45" s="1"/>
  <c r="M73" i="1"/>
  <c r="N73" i="1" s="1"/>
  <c r="D73" i="45" s="1"/>
  <c r="W73" i="45" s="1"/>
  <c r="M62" i="1"/>
  <c r="M65" i="1"/>
  <c r="N65" i="1" s="1"/>
  <c r="D65" i="45" s="1"/>
  <c r="W65" i="45" s="1"/>
  <c r="M69" i="1"/>
  <c r="N69" i="1" s="1"/>
  <c r="D69" i="45" s="1"/>
  <c r="W69" i="45" s="1"/>
  <c r="M68" i="1"/>
  <c r="N68" i="1" s="1"/>
  <c r="D68" i="45" s="1"/>
  <c r="W68" i="45" s="1"/>
  <c r="M67" i="1"/>
  <c r="N67" i="1" s="1"/>
  <c r="D67" i="45" s="1"/>
  <c r="W67" i="45" s="1"/>
  <c r="M66" i="1"/>
  <c r="N66" i="1" s="1"/>
  <c r="D66" i="45" s="1"/>
  <c r="W66" i="45" s="1"/>
  <c r="M70" i="1"/>
  <c r="N70" i="1" s="1"/>
  <c r="D70" i="45" s="1"/>
  <c r="W70" i="45" s="1"/>
  <c r="M71" i="1"/>
  <c r="N71" i="1" s="1"/>
  <c r="D71" i="45" s="1"/>
  <c r="W71" i="45" s="1"/>
  <c r="M72" i="1"/>
  <c r="N72" i="1" s="1"/>
  <c r="D72" i="45" s="1"/>
  <c r="W72" i="45" s="1"/>
  <c r="I89" i="1"/>
  <c r="J89" i="1" s="1"/>
  <c r="D89" i="44" s="1"/>
  <c r="U89" i="44" s="1"/>
  <c r="I90" i="1"/>
  <c r="J90" i="1" s="1"/>
  <c r="D90" i="44" s="1"/>
  <c r="U90" i="44" s="1"/>
  <c r="I93" i="1"/>
  <c r="J93" i="1" s="1"/>
  <c r="D93" i="44" s="1"/>
  <c r="U93" i="44" s="1"/>
  <c r="I86" i="1"/>
  <c r="I91" i="1"/>
  <c r="J91" i="1" s="1"/>
  <c r="D91" i="44" s="1"/>
  <c r="U91" i="44" s="1"/>
  <c r="I97" i="1"/>
  <c r="J97" i="1" s="1"/>
  <c r="D97" i="44" s="1"/>
  <c r="U97" i="44" s="1"/>
  <c r="I96" i="1"/>
  <c r="J96" i="1" s="1"/>
  <c r="D96" i="44" s="1"/>
  <c r="U96" i="44" s="1"/>
  <c r="I95" i="1"/>
  <c r="J95" i="1" s="1"/>
  <c r="D95" i="44" s="1"/>
  <c r="U95" i="44" s="1"/>
  <c r="I94" i="1"/>
  <c r="J94" i="1" s="1"/>
  <c r="D94" i="44" s="1"/>
  <c r="U94" i="44" s="1"/>
  <c r="I87" i="1"/>
  <c r="J87" i="1" s="1"/>
  <c r="D87" i="44" s="1"/>
  <c r="U87" i="44" s="1"/>
  <c r="I88" i="1"/>
  <c r="J88" i="1" s="1"/>
  <c r="D88" i="44" s="1"/>
  <c r="U88" i="44" s="1"/>
  <c r="I92" i="1"/>
  <c r="J92" i="1" s="1"/>
  <c r="D92" i="44" s="1"/>
  <c r="U92" i="44" s="1"/>
  <c r="I76" i="1"/>
  <c r="J76" i="1" s="1"/>
  <c r="D76" i="44" s="1"/>
  <c r="U76" i="44" s="1"/>
  <c r="I85" i="1"/>
  <c r="J85" i="1" s="1"/>
  <c r="D85" i="44" s="1"/>
  <c r="U85" i="44" s="1"/>
  <c r="I74" i="1"/>
  <c r="I78" i="1"/>
  <c r="J78" i="1" s="1"/>
  <c r="D78" i="44" s="1"/>
  <c r="U78" i="44" s="1"/>
  <c r="I77" i="1"/>
  <c r="J77" i="1" s="1"/>
  <c r="D77" i="44" s="1"/>
  <c r="U77" i="44" s="1"/>
  <c r="I81" i="1"/>
  <c r="J81" i="1" s="1"/>
  <c r="D81" i="44" s="1"/>
  <c r="U81" i="44" s="1"/>
  <c r="I80" i="1"/>
  <c r="J80" i="1" s="1"/>
  <c r="D80" i="44" s="1"/>
  <c r="U80" i="44" s="1"/>
  <c r="I79" i="1"/>
  <c r="J79" i="1" s="1"/>
  <c r="D79" i="44" s="1"/>
  <c r="U79" i="44" s="1"/>
  <c r="I82" i="1"/>
  <c r="J82" i="1" s="1"/>
  <c r="D82" i="44" s="1"/>
  <c r="U82" i="44" s="1"/>
  <c r="I83" i="1"/>
  <c r="J83" i="1" s="1"/>
  <c r="D83" i="44" s="1"/>
  <c r="U83" i="44" s="1"/>
  <c r="I75" i="1"/>
  <c r="J75" i="1" s="1"/>
  <c r="D75" i="44" s="1"/>
  <c r="U75" i="44" s="1"/>
  <c r="I84" i="1"/>
  <c r="J84" i="1" s="1"/>
  <c r="D84" i="44" s="1"/>
  <c r="U84" i="44" s="1"/>
  <c r="I57" i="1"/>
  <c r="J57" i="1" s="1"/>
  <c r="D57" i="44" s="1"/>
  <c r="U57" i="44" s="1"/>
  <c r="I59" i="1"/>
  <c r="J59" i="1" s="1"/>
  <c r="D59" i="44" s="1"/>
  <c r="U59" i="44" s="1"/>
  <c r="I58" i="1"/>
  <c r="J58" i="1" s="1"/>
  <c r="D58" i="44" s="1"/>
  <c r="U58" i="44" s="1"/>
  <c r="I61" i="1"/>
  <c r="J61" i="1" s="1"/>
  <c r="D61" i="44" s="1"/>
  <c r="U61" i="44" s="1"/>
  <c r="I52" i="1"/>
  <c r="J52" i="1" s="1"/>
  <c r="D52" i="44" s="1"/>
  <c r="U52" i="44" s="1"/>
  <c r="I60" i="1"/>
  <c r="J60" i="1" s="1"/>
  <c r="D60" i="44" s="1"/>
  <c r="U60" i="44" s="1"/>
  <c r="I51" i="1"/>
  <c r="J51" i="1" s="1"/>
  <c r="D51" i="44" s="1"/>
  <c r="U51" i="44" s="1"/>
  <c r="I54" i="1"/>
  <c r="J54" i="1" s="1"/>
  <c r="D54" i="44" s="1"/>
  <c r="U54" i="44" s="1"/>
  <c r="I55" i="1"/>
  <c r="J55" i="1" s="1"/>
  <c r="D55" i="44" s="1"/>
  <c r="U55" i="44" s="1"/>
  <c r="I56" i="1"/>
  <c r="J56" i="1" s="1"/>
  <c r="D56" i="44" s="1"/>
  <c r="U56" i="44" s="1"/>
  <c r="I53" i="1"/>
  <c r="J53" i="1" s="1"/>
  <c r="D53" i="44" s="1"/>
  <c r="U53" i="44" s="1"/>
  <c r="I50" i="1"/>
  <c r="M96" i="1"/>
  <c r="N96" i="1" s="1"/>
  <c r="D96" i="45" s="1"/>
  <c r="W96" i="45" s="1"/>
  <c r="M95" i="1"/>
  <c r="N95" i="1" s="1"/>
  <c r="D95" i="45" s="1"/>
  <c r="W95" i="45" s="1"/>
  <c r="M87" i="1"/>
  <c r="N87" i="1" s="1"/>
  <c r="D87" i="45" s="1"/>
  <c r="W87" i="45" s="1"/>
  <c r="M88" i="1"/>
  <c r="N88" i="1" s="1"/>
  <c r="D88" i="45" s="1"/>
  <c r="W88" i="45" s="1"/>
  <c r="M97" i="1"/>
  <c r="N97" i="1" s="1"/>
  <c r="D97" i="45" s="1"/>
  <c r="W97" i="45" s="1"/>
  <c r="M93" i="1"/>
  <c r="N93" i="1" s="1"/>
  <c r="D93" i="45" s="1"/>
  <c r="W93" i="45" s="1"/>
  <c r="M92" i="1"/>
  <c r="N92" i="1" s="1"/>
  <c r="D92" i="45" s="1"/>
  <c r="W92" i="45" s="1"/>
  <c r="M91" i="1"/>
  <c r="N91" i="1" s="1"/>
  <c r="D91" i="45" s="1"/>
  <c r="W91" i="45" s="1"/>
  <c r="M90" i="1"/>
  <c r="N90" i="1" s="1"/>
  <c r="D90" i="45" s="1"/>
  <c r="W90" i="45" s="1"/>
  <c r="M89" i="1"/>
  <c r="N89" i="1" s="1"/>
  <c r="D89" i="45" s="1"/>
  <c r="W89" i="45" s="1"/>
  <c r="M86" i="1"/>
  <c r="M94" i="1"/>
  <c r="N94" i="1" s="1"/>
  <c r="D94" i="45" s="1"/>
  <c r="W94" i="45" s="1"/>
  <c r="M78" i="1"/>
  <c r="N78" i="1" s="1"/>
  <c r="D78" i="45" s="1"/>
  <c r="W78" i="45" s="1"/>
  <c r="M79" i="1"/>
  <c r="N79" i="1" s="1"/>
  <c r="D79" i="45" s="1"/>
  <c r="W79" i="45" s="1"/>
  <c r="M83" i="1"/>
  <c r="N83" i="1" s="1"/>
  <c r="D83" i="45" s="1"/>
  <c r="W83" i="45" s="1"/>
  <c r="M80" i="1"/>
  <c r="N80" i="1" s="1"/>
  <c r="D80" i="45" s="1"/>
  <c r="W80" i="45" s="1"/>
  <c r="M82" i="1"/>
  <c r="N82" i="1" s="1"/>
  <c r="D82" i="45" s="1"/>
  <c r="W82" i="45" s="1"/>
  <c r="M84" i="1"/>
  <c r="N84" i="1" s="1"/>
  <c r="D84" i="45" s="1"/>
  <c r="W84" i="45" s="1"/>
  <c r="M85" i="1"/>
  <c r="N85" i="1" s="1"/>
  <c r="D85" i="45" s="1"/>
  <c r="W85" i="45" s="1"/>
  <c r="M81" i="1"/>
  <c r="N81" i="1" s="1"/>
  <c r="D81" i="45" s="1"/>
  <c r="W81" i="45" s="1"/>
  <c r="M77" i="1"/>
  <c r="N77" i="1" s="1"/>
  <c r="D77" i="45" s="1"/>
  <c r="W77" i="45" s="1"/>
  <c r="M76" i="1"/>
  <c r="N76" i="1" s="1"/>
  <c r="D76" i="45" s="1"/>
  <c r="W76" i="45" s="1"/>
  <c r="M75" i="1"/>
  <c r="N75" i="1" s="1"/>
  <c r="D75" i="45" s="1"/>
  <c r="W75" i="45" s="1"/>
  <c r="M74" i="1"/>
  <c r="M56" i="1"/>
  <c r="N56" i="1" s="1"/>
  <c r="D56" i="45" s="1"/>
  <c r="W56" i="45" s="1"/>
  <c r="M53" i="1"/>
  <c r="N53" i="1" s="1"/>
  <c r="D53" i="45" s="1"/>
  <c r="W53" i="45" s="1"/>
  <c r="M59" i="1"/>
  <c r="N59" i="1" s="1"/>
  <c r="D59" i="45" s="1"/>
  <c r="W59" i="45" s="1"/>
  <c r="M61" i="1"/>
  <c r="N61" i="1" s="1"/>
  <c r="D61" i="45" s="1"/>
  <c r="W61" i="45" s="1"/>
  <c r="M51" i="1"/>
  <c r="N51" i="1" s="1"/>
  <c r="D51" i="45" s="1"/>
  <c r="W51" i="45" s="1"/>
  <c r="M58" i="1"/>
  <c r="N58" i="1" s="1"/>
  <c r="D58" i="45" s="1"/>
  <c r="W58" i="45" s="1"/>
  <c r="M57" i="1"/>
  <c r="N57" i="1" s="1"/>
  <c r="D57" i="45" s="1"/>
  <c r="W57" i="45" s="1"/>
  <c r="M52" i="1"/>
  <c r="N52" i="1" s="1"/>
  <c r="D52" i="45" s="1"/>
  <c r="W52" i="45" s="1"/>
  <c r="M50" i="1"/>
  <c r="M54" i="1"/>
  <c r="N54" i="1" s="1"/>
  <c r="D54" i="45" s="1"/>
  <c r="W54" i="45" s="1"/>
  <c r="M60" i="1"/>
  <c r="N60" i="1" s="1"/>
  <c r="D60" i="45" s="1"/>
  <c r="W60" i="45" s="1"/>
  <c r="M55" i="1"/>
  <c r="N55" i="1" s="1"/>
  <c r="D55" i="45" s="1"/>
  <c r="W55" i="45" s="1"/>
  <c r="E61" i="1"/>
  <c r="F61" i="1" s="1"/>
  <c r="D61" i="43" s="1"/>
  <c r="S61" i="43" s="1"/>
  <c r="E60" i="1"/>
  <c r="F60" i="1" s="1"/>
  <c r="D60" i="43" s="1"/>
  <c r="S60" i="43" s="1"/>
  <c r="E54" i="1"/>
  <c r="F54" i="1" s="1"/>
  <c r="D54" i="43" s="1"/>
  <c r="S54" i="43" s="1"/>
  <c r="E59" i="1"/>
  <c r="F59" i="1" s="1"/>
  <c r="D59" i="43" s="1"/>
  <c r="S59" i="43" s="1"/>
  <c r="E57" i="1"/>
  <c r="F57" i="1" s="1"/>
  <c r="D57" i="43" s="1"/>
  <c r="S57" i="43" s="1"/>
  <c r="E51" i="1"/>
  <c r="F51" i="1" s="1"/>
  <c r="D51" i="43" s="1"/>
  <c r="S51" i="43" s="1"/>
  <c r="E56" i="1"/>
  <c r="F56" i="1" s="1"/>
  <c r="D56" i="43" s="1"/>
  <c r="S56" i="43" s="1"/>
  <c r="E55" i="1"/>
  <c r="F55" i="1" s="1"/>
  <c r="D55" i="43" s="1"/>
  <c r="S55" i="43" s="1"/>
  <c r="E50" i="1"/>
  <c r="E58" i="1"/>
  <c r="F58" i="1" s="1"/>
  <c r="D58" i="43" s="1"/>
  <c r="S58" i="43" s="1"/>
  <c r="E52" i="1"/>
  <c r="F52" i="1" s="1"/>
  <c r="D52" i="43" s="1"/>
  <c r="S52" i="43" s="1"/>
  <c r="E53" i="1"/>
  <c r="F53" i="1" s="1"/>
  <c r="D53" i="43" s="1"/>
  <c r="S53" i="43" s="1"/>
  <c r="E93" i="1"/>
  <c r="F93" i="1" s="1"/>
  <c r="D93" i="43" s="1"/>
  <c r="S93" i="43" s="1"/>
  <c r="E92" i="1"/>
  <c r="F92" i="1" s="1"/>
  <c r="D92" i="43" s="1"/>
  <c r="S92" i="43" s="1"/>
  <c r="E95" i="1"/>
  <c r="F95" i="1" s="1"/>
  <c r="D95" i="43" s="1"/>
  <c r="S95" i="43" s="1"/>
  <c r="E89" i="1"/>
  <c r="F89" i="1" s="1"/>
  <c r="D89" i="43" s="1"/>
  <c r="S89" i="43" s="1"/>
  <c r="E90" i="1"/>
  <c r="F90" i="1" s="1"/>
  <c r="D90" i="43" s="1"/>
  <c r="S90" i="43" s="1"/>
  <c r="E86" i="1"/>
  <c r="E88" i="1"/>
  <c r="F88" i="1" s="1"/>
  <c r="D88" i="43" s="1"/>
  <c r="S88" i="43" s="1"/>
  <c r="E91" i="1"/>
  <c r="F91" i="1" s="1"/>
  <c r="D91" i="43" s="1"/>
  <c r="S91" i="43" s="1"/>
  <c r="E96" i="1"/>
  <c r="F96" i="1" s="1"/>
  <c r="D96" i="43" s="1"/>
  <c r="S96" i="43" s="1"/>
  <c r="E97" i="1"/>
  <c r="F97" i="1" s="1"/>
  <c r="D97" i="43" s="1"/>
  <c r="S97" i="43" s="1"/>
  <c r="E94" i="1"/>
  <c r="F94" i="1" s="1"/>
  <c r="D94" i="43" s="1"/>
  <c r="S94" i="43" s="1"/>
  <c r="E87" i="1"/>
  <c r="F87" i="1" s="1"/>
  <c r="D87" i="43" s="1"/>
  <c r="S87" i="43" s="1"/>
  <c r="E76" i="1"/>
  <c r="F76" i="1" s="1"/>
  <c r="D76" i="43" s="1"/>
  <c r="S76" i="43" s="1"/>
  <c r="E77" i="1"/>
  <c r="F77" i="1" s="1"/>
  <c r="D77" i="43" s="1"/>
  <c r="S77" i="43" s="1"/>
  <c r="E83" i="1"/>
  <c r="F83" i="1" s="1"/>
  <c r="D83" i="43" s="1"/>
  <c r="S83" i="43" s="1"/>
  <c r="E79" i="1"/>
  <c r="F79" i="1" s="1"/>
  <c r="D79" i="43" s="1"/>
  <c r="S79" i="43" s="1"/>
  <c r="E75" i="1"/>
  <c r="F75" i="1" s="1"/>
  <c r="D75" i="43" s="1"/>
  <c r="S75" i="43" s="1"/>
  <c r="E80" i="1"/>
  <c r="F80" i="1" s="1"/>
  <c r="D80" i="43" s="1"/>
  <c r="S80" i="43" s="1"/>
  <c r="E74" i="1"/>
  <c r="E85" i="1"/>
  <c r="F85" i="1" s="1"/>
  <c r="D85" i="43" s="1"/>
  <c r="S85" i="43" s="1"/>
  <c r="E84" i="1"/>
  <c r="F84" i="1" s="1"/>
  <c r="D84" i="43" s="1"/>
  <c r="S84" i="43" s="1"/>
  <c r="E82" i="1"/>
  <c r="F82" i="1" s="1"/>
  <c r="D82" i="43" s="1"/>
  <c r="S82" i="43" s="1"/>
  <c r="E81" i="1"/>
  <c r="F81" i="1" s="1"/>
  <c r="D81" i="43" s="1"/>
  <c r="S81" i="43" s="1"/>
  <c r="E78" i="1"/>
  <c r="F78" i="1" s="1"/>
  <c r="D78" i="43" s="1"/>
  <c r="S78" i="43" s="1"/>
  <c r="E65" i="1"/>
  <c r="F65" i="1" s="1"/>
  <c r="D65" i="43" s="1"/>
  <c r="S65" i="43" s="1"/>
  <c r="E69" i="1"/>
  <c r="F69" i="1" s="1"/>
  <c r="D69" i="43" s="1"/>
  <c r="S69" i="43" s="1"/>
  <c r="E67" i="1"/>
  <c r="F67" i="1" s="1"/>
  <c r="D67" i="43" s="1"/>
  <c r="S67" i="43" s="1"/>
  <c r="E70" i="1"/>
  <c r="F70" i="1" s="1"/>
  <c r="D70" i="43" s="1"/>
  <c r="S70" i="43" s="1"/>
  <c r="E68" i="1"/>
  <c r="F68" i="1" s="1"/>
  <c r="D68" i="43" s="1"/>
  <c r="S68" i="43" s="1"/>
  <c r="E64" i="1"/>
  <c r="F64" i="1" s="1"/>
  <c r="D64" i="43" s="1"/>
  <c r="S64" i="43" s="1"/>
  <c r="E73" i="1"/>
  <c r="F73" i="1" s="1"/>
  <c r="D73" i="43" s="1"/>
  <c r="S73" i="43" s="1"/>
  <c r="E63" i="1"/>
  <c r="F63" i="1" s="1"/>
  <c r="D63" i="43" s="1"/>
  <c r="S63" i="43" s="1"/>
  <c r="E72" i="1"/>
  <c r="F72" i="1" s="1"/>
  <c r="D72" i="43" s="1"/>
  <c r="S72" i="43" s="1"/>
  <c r="E66" i="1"/>
  <c r="F66" i="1" s="1"/>
  <c r="D66" i="43" s="1"/>
  <c r="S66" i="43" s="1"/>
  <c r="E71" i="1"/>
  <c r="F71" i="1" s="1"/>
  <c r="D71" i="43" s="1"/>
  <c r="S71" i="43" s="1"/>
  <c r="E62" i="1"/>
  <c r="U114" i="27"/>
  <c r="D14" i="25"/>
  <c r="C5" i="9" s="1"/>
  <c r="E5" i="9" s="1"/>
  <c r="D2" i="25"/>
  <c r="C4" i="9" s="1"/>
  <c r="E4" i="9" s="1"/>
  <c r="U119" i="27"/>
  <c r="U118" i="27"/>
  <c r="U121" i="27"/>
  <c r="C50" i="23" l="1"/>
  <c r="D51" i="23"/>
  <c r="E14" i="23"/>
  <c r="D53" i="17"/>
  <c r="H53" i="17" s="1"/>
  <c r="F7" i="36"/>
  <c r="G7" i="36" s="1"/>
  <c r="V57" i="17"/>
  <c r="H4" i="23" s="1"/>
  <c r="C31" i="23"/>
  <c r="E31" i="23" s="1"/>
  <c r="P84" i="29"/>
  <c r="U84" i="29" s="1"/>
  <c r="H19" i="18"/>
  <c r="G21" i="18"/>
  <c r="K57" i="17"/>
  <c r="H3" i="23"/>
  <c r="O53" i="17"/>
  <c r="S53" i="17" s="1"/>
  <c r="Z53" i="17"/>
  <c r="AD53" i="17" s="1"/>
  <c r="O52" i="17"/>
  <c r="S52" i="17" s="1"/>
  <c r="D54" i="17"/>
  <c r="H54" i="17" s="1"/>
  <c r="F86" i="1"/>
  <c r="CI86" i="1" s="1"/>
  <c r="D55" i="17"/>
  <c r="H55" i="17" s="1"/>
  <c r="O55" i="17"/>
  <c r="S55" i="17" s="1"/>
  <c r="D52" i="17"/>
  <c r="H52" i="17" s="1"/>
  <c r="Z52" i="17"/>
  <c r="AD52" i="17" s="1"/>
  <c r="Z55" i="17"/>
  <c r="AD55" i="17" s="1"/>
  <c r="O54" i="17"/>
  <c r="S54" i="17" s="1"/>
  <c r="Z54" i="17"/>
  <c r="AD54" i="17" s="1"/>
  <c r="G85" i="32"/>
  <c r="P85" i="32" s="1"/>
  <c r="U85" i="32" s="1"/>
  <c r="G85" i="29"/>
  <c r="AV86" i="1"/>
  <c r="D12" i="17"/>
  <c r="H12" i="17" s="1"/>
  <c r="I12" i="17" s="1"/>
  <c r="F74" i="1"/>
  <c r="D74" i="30" s="1"/>
  <c r="D11" i="17"/>
  <c r="H11" i="17" s="1"/>
  <c r="I11" i="17" s="1"/>
  <c r="Z9" i="17"/>
  <c r="AD9" i="17" s="1"/>
  <c r="AE9" i="17" s="1"/>
  <c r="F62" i="1"/>
  <c r="D10" i="17"/>
  <c r="H10" i="17" s="1"/>
  <c r="I10" i="17" s="1"/>
  <c r="CI60" i="1"/>
  <c r="D60" i="30"/>
  <c r="CI54" i="1"/>
  <c r="D54" i="30"/>
  <c r="CI90" i="1"/>
  <c r="D90" i="30"/>
  <c r="CI88" i="1"/>
  <c r="D88" i="30"/>
  <c r="CI71" i="1"/>
  <c r="D71" i="30"/>
  <c r="CI66" i="1"/>
  <c r="D66" i="30"/>
  <c r="CI72" i="1"/>
  <c r="D72" i="30"/>
  <c r="CI63" i="1"/>
  <c r="D63" i="30"/>
  <c r="CI73" i="1"/>
  <c r="D73" i="30"/>
  <c r="CI64" i="1"/>
  <c r="D64" i="30"/>
  <c r="CI68" i="1"/>
  <c r="D68" i="30"/>
  <c r="CI70" i="1"/>
  <c r="D70" i="30"/>
  <c r="CI67" i="1"/>
  <c r="D67" i="30"/>
  <c r="CI69" i="1"/>
  <c r="D69" i="30"/>
  <c r="CI65" i="1"/>
  <c r="D65" i="30"/>
  <c r="CI78" i="1"/>
  <c r="D78" i="30"/>
  <c r="CI81" i="1"/>
  <c r="D81" i="30"/>
  <c r="CI82" i="1"/>
  <c r="D82" i="30"/>
  <c r="CI84" i="1"/>
  <c r="D84" i="30"/>
  <c r="CI85" i="1"/>
  <c r="D85" i="30"/>
  <c r="CI80" i="1"/>
  <c r="D80" i="30"/>
  <c r="CI75" i="1"/>
  <c r="D75" i="30"/>
  <c r="CI79" i="1"/>
  <c r="D79" i="30"/>
  <c r="CI83" i="1"/>
  <c r="D83" i="30"/>
  <c r="CI77" i="1"/>
  <c r="D77" i="30"/>
  <c r="CI76" i="1"/>
  <c r="D76" i="30"/>
  <c r="CI87" i="1"/>
  <c r="D87" i="30"/>
  <c r="CI94" i="1"/>
  <c r="D94" i="30"/>
  <c r="CI97" i="1"/>
  <c r="D97" i="30"/>
  <c r="CI96" i="1"/>
  <c r="D96" i="30"/>
  <c r="CI91" i="1"/>
  <c r="D91" i="30"/>
  <c r="CI89" i="1"/>
  <c r="D89" i="30"/>
  <c r="CI95" i="1"/>
  <c r="D95" i="30"/>
  <c r="CI92" i="1"/>
  <c r="D92" i="30"/>
  <c r="CI93" i="1"/>
  <c r="D93" i="30"/>
  <c r="CI53" i="1"/>
  <c r="D53" i="30"/>
  <c r="CI52" i="1"/>
  <c r="D52" i="30"/>
  <c r="CI58" i="1"/>
  <c r="D58" i="30"/>
  <c r="F50" i="1"/>
  <c r="D9" i="17"/>
  <c r="H9" i="17" s="1"/>
  <c r="I9" i="17" s="1"/>
  <c r="CI55" i="1"/>
  <c r="D55" i="30"/>
  <c r="CI56" i="1"/>
  <c r="D56" i="30"/>
  <c r="CI51" i="1"/>
  <c r="D51" i="30"/>
  <c r="CI57" i="1"/>
  <c r="D57" i="30"/>
  <c r="CI59" i="1"/>
  <c r="D59" i="30"/>
  <c r="CI61" i="1"/>
  <c r="D61" i="30"/>
  <c r="CK55" i="1"/>
  <c r="D55" i="32"/>
  <c r="D55" i="29"/>
  <c r="V55" i="29" s="1"/>
  <c r="D60" i="29"/>
  <c r="V60" i="29" s="1"/>
  <c r="D60" i="32"/>
  <c r="CK54" i="1"/>
  <c r="D54" i="32"/>
  <c r="D54" i="29"/>
  <c r="V54" i="29" s="1"/>
  <c r="CK52" i="1"/>
  <c r="D52" i="29"/>
  <c r="V52" i="29" s="1"/>
  <c r="D52" i="32"/>
  <c r="CK57" i="1"/>
  <c r="D57" i="32"/>
  <c r="D57" i="29"/>
  <c r="V57" i="29" s="1"/>
  <c r="D58" i="29"/>
  <c r="V58" i="29" s="1"/>
  <c r="D58" i="32"/>
  <c r="CK51" i="1"/>
  <c r="D51" i="29"/>
  <c r="V51" i="29" s="1"/>
  <c r="D51" i="32"/>
  <c r="CK61" i="1"/>
  <c r="D61" i="29"/>
  <c r="V61" i="29" s="1"/>
  <c r="D61" i="32"/>
  <c r="CK59" i="1"/>
  <c r="D59" i="29"/>
  <c r="V59" i="29" s="1"/>
  <c r="D59" i="32"/>
  <c r="D53" i="29"/>
  <c r="V53" i="29" s="1"/>
  <c r="D53" i="32"/>
  <c r="D56" i="32"/>
  <c r="D56" i="29"/>
  <c r="V56" i="29" s="1"/>
  <c r="N74" i="1"/>
  <c r="Z11" i="17"/>
  <c r="AD11" i="17" s="1"/>
  <c r="CK75" i="1"/>
  <c r="D75" i="29"/>
  <c r="V75" i="29" s="1"/>
  <c r="W75" i="29" s="1"/>
  <c r="D75" i="32"/>
  <c r="CK76" i="1"/>
  <c r="D76" i="29"/>
  <c r="V76" i="29" s="1"/>
  <c r="W76" i="29" s="1"/>
  <c r="D76" i="32"/>
  <c r="CK77" i="1"/>
  <c r="D77" i="29"/>
  <c r="V77" i="29" s="1"/>
  <c r="W77" i="29" s="1"/>
  <c r="D77" i="32"/>
  <c r="CK81" i="1"/>
  <c r="D81" i="32"/>
  <c r="D81" i="29"/>
  <c r="V81" i="29" s="1"/>
  <c r="W81" i="29" s="1"/>
  <c r="CK85" i="1"/>
  <c r="D85" i="29"/>
  <c r="D85" i="32"/>
  <c r="CK84" i="1"/>
  <c r="D84" i="29"/>
  <c r="D84" i="32"/>
  <c r="CK82" i="1"/>
  <c r="D82" i="29"/>
  <c r="V82" i="29" s="1"/>
  <c r="W82" i="29" s="1"/>
  <c r="D82" i="32"/>
  <c r="CK80" i="1"/>
  <c r="D80" i="32"/>
  <c r="D80" i="29"/>
  <c r="V80" i="29" s="1"/>
  <c r="W80" i="29" s="1"/>
  <c r="CK83" i="1"/>
  <c r="D83" i="29"/>
  <c r="V83" i="29" s="1"/>
  <c r="W83" i="29" s="1"/>
  <c r="D83" i="32"/>
  <c r="CK79" i="1"/>
  <c r="D79" i="32"/>
  <c r="D79" i="29"/>
  <c r="V79" i="29" s="1"/>
  <c r="W79" i="29" s="1"/>
  <c r="CK78" i="1"/>
  <c r="D78" i="32"/>
  <c r="D78" i="29"/>
  <c r="V78" i="29" s="1"/>
  <c r="W78" i="29" s="1"/>
  <c r="CK94" i="1"/>
  <c r="D94" i="32"/>
  <c r="D94" i="29"/>
  <c r="N86" i="1"/>
  <c r="Z12" i="17"/>
  <c r="AD12" i="17" s="1"/>
  <c r="CK89" i="1"/>
  <c r="D89" i="32"/>
  <c r="D89" i="29"/>
  <c r="CK90" i="1"/>
  <c r="D90" i="29"/>
  <c r="D90" i="32"/>
  <c r="CK91" i="1"/>
  <c r="D91" i="29"/>
  <c r="D91" i="32"/>
  <c r="CK92" i="1"/>
  <c r="D92" i="29"/>
  <c r="D92" i="32"/>
  <c r="CK93" i="1"/>
  <c r="D93" i="29"/>
  <c r="D93" i="32"/>
  <c r="CK97" i="1"/>
  <c r="D97" i="32"/>
  <c r="D97" i="29"/>
  <c r="CK88" i="1"/>
  <c r="D88" i="32"/>
  <c r="D88" i="29"/>
  <c r="CK87" i="1"/>
  <c r="D87" i="32"/>
  <c r="D87" i="29"/>
  <c r="CK95" i="1"/>
  <c r="D95" i="32"/>
  <c r="D95" i="29"/>
  <c r="CK96" i="1"/>
  <c r="D96" i="32"/>
  <c r="D96" i="29"/>
  <c r="J50" i="1"/>
  <c r="O9" i="17"/>
  <c r="S9" i="17" s="1"/>
  <c r="T9" i="17" s="1"/>
  <c r="D53" i="27"/>
  <c r="T53" i="27" s="1"/>
  <c r="U53" i="27" s="1"/>
  <c r="D53" i="31"/>
  <c r="D56" i="31"/>
  <c r="D56" i="27"/>
  <c r="T56" i="27" s="1"/>
  <c r="U56" i="27" s="1"/>
  <c r="D55" i="27"/>
  <c r="T55" i="27" s="1"/>
  <c r="U55" i="27" s="1"/>
  <c r="D55" i="31"/>
  <c r="D54" i="27"/>
  <c r="T54" i="27" s="1"/>
  <c r="U54" i="27" s="1"/>
  <c r="D54" i="31"/>
  <c r="U111" i="27"/>
  <c r="D51" i="31"/>
  <c r="D51" i="27"/>
  <c r="T51" i="27" s="1"/>
  <c r="U51" i="27" s="1"/>
  <c r="D60" i="27"/>
  <c r="T60" i="27" s="1"/>
  <c r="U60" i="27" s="1"/>
  <c r="D60" i="31"/>
  <c r="U112" i="27"/>
  <c r="D52" i="27"/>
  <c r="T52" i="27" s="1"/>
  <c r="D52" i="31"/>
  <c r="D61" i="27"/>
  <c r="T61" i="27" s="1"/>
  <c r="U61" i="27" s="1"/>
  <c r="D61" i="31"/>
  <c r="D58" i="27"/>
  <c r="T58" i="27" s="1"/>
  <c r="U58" i="27" s="1"/>
  <c r="D58" i="31"/>
  <c r="D59" i="27"/>
  <c r="T59" i="27" s="1"/>
  <c r="U59" i="27" s="1"/>
  <c r="D59" i="31"/>
  <c r="D57" i="27"/>
  <c r="T57" i="27" s="1"/>
  <c r="U57" i="27" s="1"/>
  <c r="D57" i="31"/>
  <c r="D84" i="27"/>
  <c r="T84" i="27" s="1"/>
  <c r="U84" i="27" s="1"/>
  <c r="D84" i="31"/>
  <c r="D75" i="27"/>
  <c r="T75" i="27" s="1"/>
  <c r="U75" i="27" s="1"/>
  <c r="D75" i="31"/>
  <c r="D83" i="31"/>
  <c r="D83" i="27"/>
  <c r="T83" i="27" s="1"/>
  <c r="U83" i="27" s="1"/>
  <c r="D82" i="31"/>
  <c r="D82" i="27"/>
  <c r="T82" i="27" s="1"/>
  <c r="U82" i="27" s="1"/>
  <c r="D79" i="31"/>
  <c r="D79" i="27"/>
  <c r="T79" i="27" s="1"/>
  <c r="U79" i="27" s="1"/>
  <c r="D80" i="31"/>
  <c r="D80" i="27"/>
  <c r="T80" i="27" s="1"/>
  <c r="U80" i="27" s="1"/>
  <c r="D81" i="31"/>
  <c r="D81" i="27"/>
  <c r="T81" i="27" s="1"/>
  <c r="U81" i="27" s="1"/>
  <c r="D77" i="27"/>
  <c r="T77" i="27" s="1"/>
  <c r="U77" i="27" s="1"/>
  <c r="D77" i="31"/>
  <c r="D78" i="31"/>
  <c r="D78" i="27"/>
  <c r="T78" i="27" s="1"/>
  <c r="U78" i="27" s="1"/>
  <c r="J74" i="1"/>
  <c r="O11" i="17"/>
  <c r="S11" i="17" s="1"/>
  <c r="T11" i="17" s="1"/>
  <c r="D85" i="27"/>
  <c r="T85" i="27" s="1"/>
  <c r="U85" i="27" s="1"/>
  <c r="D85" i="31"/>
  <c r="D76" i="27"/>
  <c r="T76" i="27" s="1"/>
  <c r="U76" i="27" s="1"/>
  <c r="D76" i="31"/>
  <c r="D92" i="27"/>
  <c r="T92" i="27" s="1"/>
  <c r="U92" i="27" s="1"/>
  <c r="D92" i="31"/>
  <c r="D88" i="27"/>
  <c r="T88" i="27" s="1"/>
  <c r="U88" i="27" s="1"/>
  <c r="D88" i="31"/>
  <c r="D87" i="27"/>
  <c r="T87" i="27" s="1"/>
  <c r="U87" i="27" s="1"/>
  <c r="D87" i="31"/>
  <c r="D94" i="31"/>
  <c r="D94" i="27"/>
  <c r="T94" i="27" s="1"/>
  <c r="U94" i="27" s="1"/>
  <c r="D95" i="31"/>
  <c r="D95" i="27"/>
  <c r="T95" i="27" s="1"/>
  <c r="U95" i="27" s="1"/>
  <c r="D96" i="31"/>
  <c r="D96" i="27"/>
  <c r="T96" i="27" s="1"/>
  <c r="U96" i="27" s="1"/>
  <c r="D97" i="31"/>
  <c r="D97" i="27"/>
  <c r="T97" i="27" s="1"/>
  <c r="U97" i="27" s="1"/>
  <c r="D91" i="27"/>
  <c r="T91" i="27" s="1"/>
  <c r="U91" i="27" s="1"/>
  <c r="D91" i="31"/>
  <c r="J86" i="1"/>
  <c r="O12" i="17"/>
  <c r="S12" i="17" s="1"/>
  <c r="T12" i="17" s="1"/>
  <c r="D93" i="27"/>
  <c r="T93" i="27" s="1"/>
  <c r="U93" i="27" s="1"/>
  <c r="D93" i="31"/>
  <c r="D90" i="27"/>
  <c r="T90" i="27" s="1"/>
  <c r="U90" i="27" s="1"/>
  <c r="D90" i="31"/>
  <c r="D89" i="27"/>
  <c r="T89" i="27" s="1"/>
  <c r="U89" i="27" s="1"/>
  <c r="D89" i="31"/>
  <c r="CK72" i="1"/>
  <c r="D72" i="32"/>
  <c r="D72" i="29"/>
  <c r="V72" i="29" s="1"/>
  <c r="W72" i="29" s="1"/>
  <c r="CK71" i="1"/>
  <c r="D71" i="32"/>
  <c r="D71" i="29"/>
  <c r="V71" i="29" s="1"/>
  <c r="W71" i="29" s="1"/>
  <c r="D70" i="32"/>
  <c r="D70" i="29"/>
  <c r="V70" i="29" s="1"/>
  <c r="W70" i="29" s="1"/>
  <c r="CK66" i="1"/>
  <c r="D66" i="29"/>
  <c r="V66" i="29" s="1"/>
  <c r="W66" i="29" s="1"/>
  <c r="D66" i="32"/>
  <c r="CK67" i="1"/>
  <c r="D67" i="29"/>
  <c r="V67" i="29" s="1"/>
  <c r="W67" i="29" s="1"/>
  <c r="D67" i="32"/>
  <c r="D68" i="29"/>
  <c r="V68" i="29" s="1"/>
  <c r="W68" i="29" s="1"/>
  <c r="D68" i="32"/>
  <c r="CK69" i="1"/>
  <c r="D69" i="29"/>
  <c r="V69" i="29" s="1"/>
  <c r="W69" i="29" s="1"/>
  <c r="D69" i="32"/>
  <c r="D65" i="32"/>
  <c r="D65" i="29"/>
  <c r="V65" i="29" s="1"/>
  <c r="W65" i="29" s="1"/>
  <c r="N62" i="1"/>
  <c r="Z10" i="17"/>
  <c r="AD10" i="17" s="1"/>
  <c r="AE10" i="17" s="1"/>
  <c r="D73" i="32"/>
  <c r="D73" i="29"/>
  <c r="V73" i="29" s="1"/>
  <c r="W73" i="29" s="1"/>
  <c r="CK64" i="1"/>
  <c r="D64" i="32"/>
  <c r="D64" i="29"/>
  <c r="V64" i="29" s="1"/>
  <c r="W64" i="29" s="1"/>
  <c r="D63" i="32"/>
  <c r="D63" i="29"/>
  <c r="V63" i="29" s="1"/>
  <c r="W63" i="29" s="1"/>
  <c r="J62" i="1"/>
  <c r="O10" i="17"/>
  <c r="S10" i="17" s="1"/>
  <c r="T10" i="17" s="1"/>
  <c r="D71" i="27"/>
  <c r="T71" i="27" s="1"/>
  <c r="U71" i="27" s="1"/>
  <c r="D71" i="31"/>
  <c r="D70" i="27"/>
  <c r="T70" i="27" s="1"/>
  <c r="U70" i="27" s="1"/>
  <c r="D70" i="31"/>
  <c r="D66" i="31"/>
  <c r="D66" i="27"/>
  <c r="T66" i="27" s="1"/>
  <c r="U66" i="27" s="1"/>
  <c r="D72" i="31"/>
  <c r="D72" i="27"/>
  <c r="T72" i="27" s="1"/>
  <c r="U72" i="27" s="1"/>
  <c r="D67" i="31"/>
  <c r="D67" i="27"/>
  <c r="T67" i="27" s="1"/>
  <c r="U67" i="27" s="1"/>
  <c r="D73" i="27"/>
  <c r="T73" i="27" s="1"/>
  <c r="U73" i="27" s="1"/>
  <c r="D73" i="31"/>
  <c r="D65" i="31"/>
  <c r="D65" i="27"/>
  <c r="T65" i="27" s="1"/>
  <c r="U65" i="27" s="1"/>
  <c r="D63" i="31"/>
  <c r="D63" i="27"/>
  <c r="T63" i="27" s="1"/>
  <c r="U63" i="27" s="1"/>
  <c r="D69" i="27"/>
  <c r="T69" i="27" s="1"/>
  <c r="U69" i="27" s="1"/>
  <c r="D69" i="31"/>
  <c r="D68" i="27"/>
  <c r="T68" i="27" s="1"/>
  <c r="U68" i="27" s="1"/>
  <c r="D68" i="31"/>
  <c r="D64" i="31"/>
  <c r="D64" i="27"/>
  <c r="T64" i="27" s="1"/>
  <c r="U64" i="27" s="1"/>
  <c r="S98" i="25"/>
  <c r="V156" i="25" s="1"/>
  <c r="U156" i="25"/>
  <c r="CK60" i="1"/>
  <c r="CK58" i="1"/>
  <c r="CK53" i="1"/>
  <c r="CK56" i="1"/>
  <c r="CK70" i="1"/>
  <c r="CK68" i="1"/>
  <c r="CK65" i="1"/>
  <c r="CK73" i="1"/>
  <c r="CK63" i="1"/>
  <c r="D60" i="25"/>
  <c r="R60" i="25" s="1"/>
  <c r="S60" i="25" s="1"/>
  <c r="D54" i="25"/>
  <c r="R54" i="25" s="1"/>
  <c r="S54" i="25" s="1"/>
  <c r="D64" i="25"/>
  <c r="R64" i="25" s="1"/>
  <c r="S64" i="25" s="1"/>
  <c r="D68" i="25"/>
  <c r="R68" i="25" s="1"/>
  <c r="S68" i="25" s="1"/>
  <c r="D69" i="25"/>
  <c r="R69" i="25" s="1"/>
  <c r="S69" i="25" s="1"/>
  <c r="D53" i="25"/>
  <c r="R53" i="25" s="1"/>
  <c r="S53" i="25" s="1"/>
  <c r="D52" i="25"/>
  <c r="R52" i="25" s="1"/>
  <c r="S52" i="25" s="1"/>
  <c r="D55" i="25"/>
  <c r="R55" i="25" s="1"/>
  <c r="S55" i="25" s="1"/>
  <c r="D51" i="25"/>
  <c r="R51" i="25" s="1"/>
  <c r="S51" i="25" s="1"/>
  <c r="D57" i="25"/>
  <c r="R57" i="25" s="1"/>
  <c r="S57" i="25" s="1"/>
  <c r="D59" i="25"/>
  <c r="R59" i="25" s="1"/>
  <c r="S59" i="25" s="1"/>
  <c r="D61" i="25"/>
  <c r="R61" i="25" s="1"/>
  <c r="S61" i="25" s="1"/>
  <c r="D90" i="25"/>
  <c r="R90" i="25" s="1"/>
  <c r="S90" i="25" s="1"/>
  <c r="D88" i="25"/>
  <c r="R88" i="25" s="1"/>
  <c r="S88" i="25" s="1"/>
  <c r="D78" i="25"/>
  <c r="R78" i="25" s="1"/>
  <c r="S78" i="25" s="1"/>
  <c r="D81" i="25"/>
  <c r="R81" i="25" s="1"/>
  <c r="S81" i="25" s="1"/>
  <c r="D82" i="25"/>
  <c r="R82" i="25" s="1"/>
  <c r="S82" i="25" s="1"/>
  <c r="D84" i="25"/>
  <c r="R84" i="25" s="1"/>
  <c r="S84" i="25" s="1"/>
  <c r="D85" i="25"/>
  <c r="R85" i="25" s="1"/>
  <c r="S85" i="25" s="1"/>
  <c r="D80" i="25"/>
  <c r="R80" i="25" s="1"/>
  <c r="S80" i="25" s="1"/>
  <c r="D75" i="25"/>
  <c r="R75" i="25" s="1"/>
  <c r="S75" i="25" s="1"/>
  <c r="D79" i="25"/>
  <c r="R79" i="25" s="1"/>
  <c r="S79" i="25" s="1"/>
  <c r="D83" i="25"/>
  <c r="R83" i="25" s="1"/>
  <c r="S83" i="25" s="1"/>
  <c r="D77" i="25"/>
  <c r="R77" i="25" s="1"/>
  <c r="S77" i="25" s="1"/>
  <c r="D76" i="25"/>
  <c r="R76" i="25" s="1"/>
  <c r="S76" i="25" s="1"/>
  <c r="D87" i="25"/>
  <c r="R87" i="25" s="1"/>
  <c r="S87" i="25" s="1"/>
  <c r="D94" i="25"/>
  <c r="R94" i="25" s="1"/>
  <c r="S94" i="25" s="1"/>
  <c r="D97" i="25"/>
  <c r="R97" i="25" s="1"/>
  <c r="S97" i="25" s="1"/>
  <c r="D96" i="25"/>
  <c r="R96" i="25" s="1"/>
  <c r="S96" i="25" s="1"/>
  <c r="D91" i="25"/>
  <c r="R91" i="25" s="1"/>
  <c r="S91" i="25" s="1"/>
  <c r="D89" i="25"/>
  <c r="R89" i="25" s="1"/>
  <c r="S89" i="25" s="1"/>
  <c r="D95" i="25"/>
  <c r="R95" i="25" s="1"/>
  <c r="S95" i="25" s="1"/>
  <c r="D92" i="25"/>
  <c r="R92" i="25" s="1"/>
  <c r="S92" i="25" s="1"/>
  <c r="D93" i="25"/>
  <c r="R93" i="25" s="1"/>
  <c r="S93" i="25" s="1"/>
  <c r="T15" i="17"/>
  <c r="O14" i="17"/>
  <c r="U113" i="27"/>
  <c r="U116" i="27"/>
  <c r="Z14" i="17"/>
  <c r="AD14" i="17" s="1"/>
  <c r="D71" i="25"/>
  <c r="R71" i="25" s="1"/>
  <c r="S71" i="25" s="1"/>
  <c r="D65" i="25"/>
  <c r="R65" i="25" s="1"/>
  <c r="S65" i="25" s="1"/>
  <c r="N50" i="1"/>
  <c r="D72" i="25"/>
  <c r="R72" i="25" s="1"/>
  <c r="S72" i="25" s="1"/>
  <c r="D67" i="25"/>
  <c r="R67" i="25" s="1"/>
  <c r="S67" i="25" s="1"/>
  <c r="D56" i="25"/>
  <c r="R56" i="25" s="1"/>
  <c r="S56" i="25" s="1"/>
  <c r="D70" i="25"/>
  <c r="R70" i="25" s="1"/>
  <c r="S70" i="25" s="1"/>
  <c r="D14" i="17"/>
  <c r="I14" i="17" s="1"/>
  <c r="D73" i="25"/>
  <c r="R73" i="25" s="1"/>
  <c r="D66" i="25"/>
  <c r="R66" i="25" s="1"/>
  <c r="S66" i="25" s="1"/>
  <c r="D58" i="25"/>
  <c r="R58" i="25" s="1"/>
  <c r="S58" i="25" s="1"/>
  <c r="I15" i="17"/>
  <c r="R2" i="25"/>
  <c r="U148" i="25" s="1"/>
  <c r="R14" i="25"/>
  <c r="U149" i="25" s="1"/>
  <c r="U115" i="27"/>
  <c r="P14" i="17"/>
  <c r="U120" i="27"/>
  <c r="E14" i="17"/>
  <c r="U117" i="27"/>
  <c r="D63" i="25"/>
  <c r="C48" i="23" l="1"/>
  <c r="F8" i="36"/>
  <c r="G8" i="36" s="1"/>
  <c r="F4" i="36"/>
  <c r="G4" i="36" s="1"/>
  <c r="D50" i="23"/>
  <c r="K14" i="17"/>
  <c r="CI74" i="1"/>
  <c r="D86" i="25"/>
  <c r="E12" i="17"/>
  <c r="D86" i="30"/>
  <c r="V84" i="29"/>
  <c r="W84" i="29" s="1"/>
  <c r="P85" i="29"/>
  <c r="U85" i="29" s="1"/>
  <c r="V85" i="29" s="1"/>
  <c r="W85" i="29" s="1"/>
  <c r="D86" i="44"/>
  <c r="U86" i="44" s="1"/>
  <c r="R55" i="17" s="1"/>
  <c r="T55" i="17" s="1"/>
  <c r="P55" i="17"/>
  <c r="D50" i="44"/>
  <c r="U50" i="44" s="1"/>
  <c r="R52" i="17" s="1"/>
  <c r="T52" i="17" s="1"/>
  <c r="V52" i="17" s="1"/>
  <c r="P52" i="17"/>
  <c r="D86" i="45"/>
  <c r="W86" i="45" s="1"/>
  <c r="AC55" i="17" s="1"/>
  <c r="AA55" i="17"/>
  <c r="D62" i="44"/>
  <c r="U62" i="44" s="1"/>
  <c r="R53" i="17" s="1"/>
  <c r="T53" i="17" s="1"/>
  <c r="P53" i="17"/>
  <c r="D62" i="45"/>
  <c r="W62" i="45" s="1"/>
  <c r="AC53" i="17" s="1"/>
  <c r="AA53" i="17"/>
  <c r="D50" i="25"/>
  <c r="C8" i="9" s="1"/>
  <c r="E8" i="9" s="1"/>
  <c r="D50" i="43"/>
  <c r="S50" i="43" s="1"/>
  <c r="G52" i="17" s="1"/>
  <c r="I52" i="17" s="1"/>
  <c r="K52" i="17" s="1"/>
  <c r="E52" i="17"/>
  <c r="D74" i="45"/>
  <c r="W74" i="45" s="1"/>
  <c r="AC54" i="17" s="1"/>
  <c r="AA54" i="17"/>
  <c r="E11" i="17"/>
  <c r="D74" i="43"/>
  <c r="S74" i="43" s="1"/>
  <c r="G54" i="17" s="1"/>
  <c r="I54" i="17" s="1"/>
  <c r="E54" i="17"/>
  <c r="D86" i="43"/>
  <c r="S86" i="43" s="1"/>
  <c r="G55" i="17" s="1"/>
  <c r="I55" i="17" s="1"/>
  <c r="E55" i="17"/>
  <c r="D50" i="45"/>
  <c r="W50" i="45" s="1"/>
  <c r="AC52" i="17" s="1"/>
  <c r="AA52" i="17"/>
  <c r="D74" i="44"/>
  <c r="U74" i="44" s="1"/>
  <c r="R54" i="17" s="1"/>
  <c r="T54" i="17" s="1"/>
  <c r="P54" i="17"/>
  <c r="E10" i="17"/>
  <c r="D62" i="43"/>
  <c r="S62" i="43" s="1"/>
  <c r="G53" i="17" s="1"/>
  <c r="I53" i="17" s="1"/>
  <c r="E53" i="17"/>
  <c r="W58" i="29"/>
  <c r="W57" i="29"/>
  <c r="W55" i="29"/>
  <c r="W51" i="29"/>
  <c r="W56" i="29"/>
  <c r="W60" i="29"/>
  <c r="W54" i="29"/>
  <c r="W59" i="29"/>
  <c r="W61" i="29"/>
  <c r="W53" i="29"/>
  <c r="W52" i="29"/>
  <c r="G86" i="32"/>
  <c r="P86" i="32" s="1"/>
  <c r="U86" i="32" s="1"/>
  <c r="G86" i="29"/>
  <c r="AV87" i="1"/>
  <c r="D74" i="25"/>
  <c r="R74" i="25" s="1"/>
  <c r="S74" i="25" s="1"/>
  <c r="D62" i="25"/>
  <c r="R62" i="25" s="1"/>
  <c r="S62" i="25" s="1"/>
  <c r="X139" i="27"/>
  <c r="D62" i="30"/>
  <c r="N4" i="35"/>
  <c r="V10" i="17"/>
  <c r="N6" i="35"/>
  <c r="V12" i="17"/>
  <c r="N5" i="35"/>
  <c r="V11" i="17"/>
  <c r="N3" i="35"/>
  <c r="V9" i="17"/>
  <c r="S4" i="35"/>
  <c r="AG10" i="17"/>
  <c r="S3" i="35"/>
  <c r="AG9" i="17"/>
  <c r="I4" i="35"/>
  <c r="K10" i="17"/>
  <c r="I3" i="35"/>
  <c r="K9" i="17"/>
  <c r="I5" i="35"/>
  <c r="K11" i="17"/>
  <c r="I6" i="35"/>
  <c r="K12" i="17"/>
  <c r="V15" i="17"/>
  <c r="I8" i="35"/>
  <c r="N9" i="35"/>
  <c r="M21" i="35" s="1"/>
  <c r="N21" i="35" s="1"/>
  <c r="F21" i="35" s="1"/>
  <c r="L19" i="21"/>
  <c r="X136" i="27"/>
  <c r="X143" i="27"/>
  <c r="W136" i="27"/>
  <c r="W143" i="27"/>
  <c r="X146" i="27"/>
  <c r="W142" i="27"/>
  <c r="X142" i="27"/>
  <c r="X145" i="27"/>
  <c r="X144" i="27"/>
  <c r="X140" i="27"/>
  <c r="W146" i="27"/>
  <c r="W144" i="27"/>
  <c r="V142" i="25"/>
  <c r="U52" i="27"/>
  <c r="X137" i="27" s="1"/>
  <c r="W137" i="27"/>
  <c r="W145" i="27"/>
  <c r="W140" i="27"/>
  <c r="X138" i="27"/>
  <c r="CI62" i="1"/>
  <c r="D50" i="29"/>
  <c r="D50" i="32"/>
  <c r="AA9" i="17"/>
  <c r="R86" i="25"/>
  <c r="C11" i="9"/>
  <c r="E11" i="9" s="1"/>
  <c r="D62" i="31"/>
  <c r="D62" i="27"/>
  <c r="P10" i="17"/>
  <c r="CK62" i="1"/>
  <c r="D62" i="32"/>
  <c r="D62" i="29"/>
  <c r="AA10" i="17"/>
  <c r="D86" i="27"/>
  <c r="D86" i="31"/>
  <c r="P12" i="17"/>
  <c r="D74" i="27"/>
  <c r="D74" i="31"/>
  <c r="P11" i="17"/>
  <c r="D50" i="31"/>
  <c r="D50" i="27"/>
  <c r="P9" i="17"/>
  <c r="CK86" i="1"/>
  <c r="D86" i="32"/>
  <c r="D86" i="29"/>
  <c r="AA12" i="17"/>
  <c r="CK74" i="1"/>
  <c r="D74" i="29"/>
  <c r="D74" i="32"/>
  <c r="AA11" i="17"/>
  <c r="CI50" i="1"/>
  <c r="D50" i="30"/>
  <c r="E9" i="17"/>
  <c r="V138" i="25"/>
  <c r="U142" i="25"/>
  <c r="V145" i="25"/>
  <c r="CK50" i="1"/>
  <c r="V141" i="25"/>
  <c r="U137" i="25"/>
  <c r="V137" i="25"/>
  <c r="U141" i="25"/>
  <c r="V144" i="25"/>
  <c r="U138" i="25"/>
  <c r="AA14" i="17"/>
  <c r="W139" i="27"/>
  <c r="W138" i="27"/>
  <c r="U145" i="25"/>
  <c r="W141" i="27"/>
  <c r="X141" i="27"/>
  <c r="U144" i="25"/>
  <c r="U140" i="25"/>
  <c r="V140" i="25"/>
  <c r="V143" i="25"/>
  <c r="U143" i="25"/>
  <c r="V139" i="25"/>
  <c r="U139" i="25"/>
  <c r="S73" i="25"/>
  <c r="I9" i="35"/>
  <c r="S14" i="25"/>
  <c r="S2" i="25"/>
  <c r="C13" i="9"/>
  <c r="R63" i="25"/>
  <c r="M13" i="9"/>
  <c r="V55" i="17" l="1"/>
  <c r="K54" i="17"/>
  <c r="K55" i="17"/>
  <c r="V54" i="17"/>
  <c r="V53" i="17"/>
  <c r="K53" i="17"/>
  <c r="P86" i="29"/>
  <c r="U86" i="29" s="1"/>
  <c r="V86" i="29" s="1"/>
  <c r="I24" i="23"/>
  <c r="I4" i="23"/>
  <c r="R50" i="25"/>
  <c r="U152" i="25" s="1"/>
  <c r="U154" i="25"/>
  <c r="C10" i="9"/>
  <c r="E10" i="9" s="1"/>
  <c r="C9" i="9"/>
  <c r="E9" i="9" s="1"/>
  <c r="G87" i="32"/>
  <c r="P87" i="32" s="1"/>
  <c r="U87" i="32" s="1"/>
  <c r="G87" i="29"/>
  <c r="AV88" i="1"/>
  <c r="U153" i="25"/>
  <c r="D4" i="35"/>
  <c r="D3" i="35"/>
  <c r="N31" i="35"/>
  <c r="M23" i="35" s="1"/>
  <c r="N23" i="35" s="1"/>
  <c r="F23" i="35" s="1"/>
  <c r="V148" i="25"/>
  <c r="V154" i="25"/>
  <c r="V149" i="25"/>
  <c r="V74" i="29"/>
  <c r="M10" i="9"/>
  <c r="M11" i="9"/>
  <c r="T50" i="27"/>
  <c r="H8" i="9"/>
  <c r="J8" i="9" s="1"/>
  <c r="T74" i="27"/>
  <c r="H10" i="9"/>
  <c r="J10" i="9" s="1"/>
  <c r="T86" i="27"/>
  <c r="H11" i="9"/>
  <c r="J11" i="9" s="1"/>
  <c r="V62" i="29"/>
  <c r="M9" i="9"/>
  <c r="T62" i="27"/>
  <c r="H9" i="9"/>
  <c r="J9" i="9" s="1"/>
  <c r="S86" i="25"/>
  <c r="V155" i="25" s="1"/>
  <c r="U155" i="25"/>
  <c r="V50" i="29"/>
  <c r="M8" i="9"/>
  <c r="O8" i="9" s="1"/>
  <c r="W157" i="27"/>
  <c r="U110" i="27"/>
  <c r="S63" i="25"/>
  <c r="V153" i="25" s="1"/>
  <c r="U136" i="25"/>
  <c r="J13" i="9"/>
  <c r="E30" i="35"/>
  <c r="F30" i="35" s="1"/>
  <c r="E38" i="35"/>
  <c r="F38" i="35" s="1"/>
  <c r="P87" i="29" l="1"/>
  <c r="U87" i="29" s="1"/>
  <c r="V87" i="29" s="1"/>
  <c r="W87" i="29" s="1"/>
  <c r="U135" i="25"/>
  <c r="S50" i="25"/>
  <c r="V152" i="25" s="1"/>
  <c r="W50" i="29"/>
  <c r="Y152" i="29"/>
  <c r="W74" i="29"/>
  <c r="Z154" i="29" s="1"/>
  <c r="Y154" i="29"/>
  <c r="W86" i="29"/>
  <c r="W62" i="29"/>
  <c r="Z153" i="29" s="1"/>
  <c r="Y153" i="29"/>
  <c r="C14" i="9"/>
  <c r="G88" i="32"/>
  <c r="P88" i="32" s="1"/>
  <c r="U88" i="32" s="1"/>
  <c r="G88" i="29"/>
  <c r="AV89" i="1"/>
  <c r="E40" i="35"/>
  <c r="F40" i="35" s="1"/>
  <c r="E32" i="35"/>
  <c r="F32" i="35" s="1"/>
  <c r="W135" i="27"/>
  <c r="M14" i="9"/>
  <c r="J16" i="9"/>
  <c r="H14" i="9"/>
  <c r="J14" i="9" s="1"/>
  <c r="U62" i="27"/>
  <c r="X153" i="27" s="1"/>
  <c r="W153" i="27"/>
  <c r="U86" i="27"/>
  <c r="X155" i="27" s="1"/>
  <c r="W155" i="27"/>
  <c r="U74" i="27"/>
  <c r="X154" i="27" s="1"/>
  <c r="W154" i="27"/>
  <c r="U50" i="27"/>
  <c r="X152" i="27" s="1"/>
  <c r="W152" i="27"/>
  <c r="V136" i="25"/>
  <c r="X157" i="27"/>
  <c r="V135" i="25" l="1"/>
  <c r="P88" i="29"/>
  <c r="U88" i="29" s="1"/>
  <c r="V88" i="29" s="1"/>
  <c r="Z152" i="29"/>
  <c r="G89" i="32"/>
  <c r="P89" i="32" s="1"/>
  <c r="U89" i="32" s="1"/>
  <c r="G89" i="29"/>
  <c r="AV90" i="1"/>
  <c r="X135" i="27"/>
  <c r="U133" i="27"/>
  <c r="J17" i="9" s="1"/>
  <c r="P89" i="29" l="1"/>
  <c r="U89" i="29" s="1"/>
  <c r="V89" i="29" s="1"/>
  <c r="W89" i="29" s="1"/>
  <c r="G90" i="32"/>
  <c r="P90" i="32" s="1"/>
  <c r="U90" i="32" s="1"/>
  <c r="G90" i="29"/>
  <c r="AV91" i="1"/>
  <c r="W88" i="29"/>
  <c r="C48" i="18"/>
  <c r="F11" i="41"/>
  <c r="H37" i="23"/>
  <c r="J9" i="35"/>
  <c r="P90" i="29" l="1"/>
  <c r="U90" i="29" s="1"/>
  <c r="V90" i="29" s="1"/>
  <c r="C49" i="18"/>
  <c r="D48" i="18"/>
  <c r="H43" i="23"/>
  <c r="F12" i="41"/>
  <c r="F16" i="41" s="1"/>
  <c r="J10" i="35"/>
  <c r="E10" i="35" s="1"/>
  <c r="G11" i="41"/>
  <c r="I37" i="23"/>
  <c r="G91" i="32"/>
  <c r="P91" i="32" s="1"/>
  <c r="U91" i="32" s="1"/>
  <c r="G91" i="29"/>
  <c r="AV92" i="1"/>
  <c r="L20" i="35"/>
  <c r="N20" i="35" s="1"/>
  <c r="E9" i="35"/>
  <c r="P91" i="29" l="1"/>
  <c r="U91" i="29" s="1"/>
  <c r="V91" i="29" s="1"/>
  <c r="W91" i="29" s="1"/>
  <c r="C50" i="18"/>
  <c r="D49" i="18"/>
  <c r="F15" i="41"/>
  <c r="F17" i="41" s="1"/>
  <c r="F19" i="41" s="1"/>
  <c r="F34" i="41" s="1"/>
  <c r="G92" i="32"/>
  <c r="P92" i="32" s="1"/>
  <c r="U92" i="32" s="1"/>
  <c r="G92" i="29"/>
  <c r="AV93" i="1"/>
  <c r="E47" i="23"/>
  <c r="I43" i="23"/>
  <c r="W90" i="29"/>
  <c r="G12" i="41"/>
  <c r="G16" i="41" s="1"/>
  <c r="F20" i="35"/>
  <c r="E37" i="35" s="1"/>
  <c r="F37" i="35" s="1"/>
  <c r="N26" i="35"/>
  <c r="F26" i="35" s="1"/>
  <c r="P92" i="29" l="1"/>
  <c r="U92" i="29" s="1"/>
  <c r="V92" i="29" s="1"/>
  <c r="C51" i="18"/>
  <c r="D50" i="18"/>
  <c r="D8" i="42"/>
  <c r="D11" i="42" s="1"/>
  <c r="E53" i="23"/>
  <c r="G15" i="41"/>
  <c r="G17" i="41" s="1"/>
  <c r="G19" i="41" s="1"/>
  <c r="F37" i="41"/>
  <c r="D46" i="41" s="1"/>
  <c r="G35" i="41"/>
  <c r="G93" i="32"/>
  <c r="P93" i="32" s="1"/>
  <c r="U93" i="32" s="1"/>
  <c r="G93" i="29"/>
  <c r="AV94" i="1"/>
  <c r="E29" i="35"/>
  <c r="F29" i="35" s="1"/>
  <c r="E35" i="35"/>
  <c r="F35" i="35" s="1"/>
  <c r="E43" i="35"/>
  <c r="F43" i="35" s="1"/>
  <c r="G34" i="41" l="1"/>
  <c r="G36" i="41" s="1"/>
  <c r="G37" i="41" s="1"/>
  <c r="E46" i="41" s="1"/>
  <c r="E48" i="41" s="1"/>
  <c r="J19" i="41"/>
  <c r="P93" i="29"/>
  <c r="U93" i="29" s="1"/>
  <c r="V93" i="29" s="1"/>
  <c r="W93" i="29" s="1"/>
  <c r="C52" i="18"/>
  <c r="D51" i="18"/>
  <c r="D12" i="42"/>
  <c r="D15" i="42" s="1"/>
  <c r="W92" i="29"/>
  <c r="G94" i="32"/>
  <c r="P94" i="32" s="1"/>
  <c r="U94" i="32" s="1"/>
  <c r="G94" i="29"/>
  <c r="AV95" i="1"/>
  <c r="D48" i="41"/>
  <c r="H35" i="41" l="1"/>
  <c r="E8" i="42"/>
  <c r="E11" i="42" s="1"/>
  <c r="P94" i="29"/>
  <c r="U94" i="29" s="1"/>
  <c r="V94" i="29" s="1"/>
  <c r="W94" i="29" s="1"/>
  <c r="C53" i="18"/>
  <c r="D52" i="18"/>
  <c r="J58" i="17"/>
  <c r="K58" i="17" s="1"/>
  <c r="J15" i="17"/>
  <c r="K15" i="17" s="1"/>
  <c r="I3" i="23" s="1"/>
  <c r="F46" i="41"/>
  <c r="G95" i="32"/>
  <c r="P95" i="32" s="1"/>
  <c r="U95" i="32" s="1"/>
  <c r="G95" i="29"/>
  <c r="AV96" i="1"/>
  <c r="F48" i="41"/>
  <c r="E12" i="42" l="1"/>
  <c r="J59" i="17" s="1"/>
  <c r="K59" i="17" s="1"/>
  <c r="P95" i="29"/>
  <c r="U95" i="29" s="1"/>
  <c r="V95" i="29" s="1"/>
  <c r="W95" i="29" s="1"/>
  <c r="C54" i="18"/>
  <c r="D53" i="18"/>
  <c r="G96" i="32"/>
  <c r="P96" i="32" s="1"/>
  <c r="U96" i="32" s="1"/>
  <c r="G96" i="29"/>
  <c r="AV97" i="1"/>
  <c r="J16" i="17" l="1"/>
  <c r="K16" i="17" s="1"/>
  <c r="J3" i="23" s="1"/>
  <c r="C13" i="23" s="1"/>
  <c r="E15" i="42"/>
  <c r="P96" i="29"/>
  <c r="U96" i="29" s="1"/>
  <c r="V96" i="29" s="1"/>
  <c r="W96" i="29" s="1"/>
  <c r="C55" i="18"/>
  <c r="D54" i="18"/>
  <c r="G97" i="32"/>
  <c r="P97" i="32" s="1"/>
  <c r="U97" i="32" s="1"/>
  <c r="G97" i="29"/>
  <c r="AV98" i="1"/>
  <c r="E13" i="23" l="1"/>
  <c r="C47" i="23" s="1"/>
  <c r="P97" i="29"/>
  <c r="U97" i="29" s="1"/>
  <c r="V97" i="29" s="1"/>
  <c r="W97" i="29" s="1"/>
  <c r="C56" i="18"/>
  <c r="D55" i="18"/>
  <c r="G98" i="32"/>
  <c r="P98" i="32" s="1"/>
  <c r="U98" i="32" s="1"/>
  <c r="G98" i="29"/>
  <c r="AV99" i="1"/>
  <c r="F3" i="36" l="1"/>
  <c r="G3" i="36" s="1"/>
  <c r="P98" i="29"/>
  <c r="U98" i="29" s="1"/>
  <c r="V98" i="29" s="1"/>
  <c r="C57" i="18"/>
  <c r="D56" i="18"/>
  <c r="G99" i="32"/>
  <c r="P99" i="32" s="1"/>
  <c r="U99" i="32" s="1"/>
  <c r="G99" i="29"/>
  <c r="AV100" i="1"/>
  <c r="P99" i="29" l="1"/>
  <c r="U99" i="29" s="1"/>
  <c r="V99" i="29" s="1"/>
  <c r="W99" i="29" s="1"/>
  <c r="C58" i="18"/>
  <c r="D57" i="18"/>
  <c r="W98" i="29"/>
  <c r="G100" i="32"/>
  <c r="P100" i="32" s="1"/>
  <c r="U100" i="32" s="1"/>
  <c r="G100" i="29"/>
  <c r="AV101" i="1"/>
  <c r="P100" i="29" l="1"/>
  <c r="U100" i="29" s="1"/>
  <c r="V100" i="29" s="1"/>
  <c r="C59" i="18"/>
  <c r="C19" i="18" s="1"/>
  <c r="D58" i="18"/>
  <c r="G101" i="32"/>
  <c r="P101" i="32" s="1"/>
  <c r="U101" i="32" s="1"/>
  <c r="G101" i="29"/>
  <c r="AV102" i="1"/>
  <c r="P101" i="29" l="1"/>
  <c r="U101" i="29" s="1"/>
  <c r="V101" i="29" s="1"/>
  <c r="W101" i="29" s="1"/>
  <c r="D59" i="18"/>
  <c r="W100" i="29"/>
  <c r="G102" i="32"/>
  <c r="P102" i="32" s="1"/>
  <c r="U102" i="32" s="1"/>
  <c r="G102" i="29"/>
  <c r="AV103" i="1"/>
  <c r="P102" i="29" l="1"/>
  <c r="U102" i="29" s="1"/>
  <c r="V102" i="29" s="1"/>
  <c r="D19" i="18"/>
  <c r="C21" i="18"/>
  <c r="G103" i="32"/>
  <c r="P103" i="32" s="1"/>
  <c r="U103" i="32" s="1"/>
  <c r="G103" i="29"/>
  <c r="AV104" i="1"/>
  <c r="P103" i="29" l="1"/>
  <c r="U103" i="29" s="1"/>
  <c r="V103" i="29" s="1"/>
  <c r="W103" i="29" s="1"/>
  <c r="G104" i="32"/>
  <c r="P104" i="32" s="1"/>
  <c r="U104" i="32" s="1"/>
  <c r="G104" i="29"/>
  <c r="AV105" i="1"/>
  <c r="W102" i="29"/>
  <c r="P104" i="29" l="1"/>
  <c r="U104" i="29" s="1"/>
  <c r="V104" i="29" s="1"/>
  <c r="G105" i="32"/>
  <c r="P105" i="32" s="1"/>
  <c r="U105" i="32" s="1"/>
  <c r="G105" i="29"/>
  <c r="AV106" i="1"/>
  <c r="P105" i="29" l="1"/>
  <c r="U105" i="29" s="1"/>
  <c r="V105" i="29" s="1"/>
  <c r="W105" i="29" s="1"/>
  <c r="G106" i="32"/>
  <c r="P106" i="32" s="1"/>
  <c r="U106" i="32" s="1"/>
  <c r="G106" i="29"/>
  <c r="AV107" i="1"/>
  <c r="W104" i="29"/>
  <c r="P106" i="29" l="1"/>
  <c r="U106" i="29" s="1"/>
  <c r="V106" i="29" s="1"/>
  <c r="G107" i="32"/>
  <c r="P107" i="32" s="1"/>
  <c r="U107" i="32" s="1"/>
  <c r="G107" i="29"/>
  <c r="AV108" i="1"/>
  <c r="P107" i="29" l="1"/>
  <c r="U107" i="29" s="1"/>
  <c r="V107" i="29" s="1"/>
  <c r="W107" i="29" s="1"/>
  <c r="W106" i="29"/>
  <c r="G108" i="32"/>
  <c r="P108" i="32" s="1"/>
  <c r="U108" i="32" s="1"/>
  <c r="G108" i="29"/>
  <c r="AV109" i="1"/>
  <c r="P108" i="29" l="1"/>
  <c r="U108" i="29" s="1"/>
  <c r="V108" i="29" s="1"/>
  <c r="W108" i="29" s="1"/>
  <c r="G109" i="32"/>
  <c r="P109" i="32" s="1"/>
  <c r="U109" i="32" s="1"/>
  <c r="G109" i="29"/>
  <c r="AV110" i="1"/>
  <c r="P109" i="29" l="1"/>
  <c r="U109" i="29" s="1"/>
  <c r="V109" i="29" s="1"/>
  <c r="W109" i="29" s="1"/>
  <c r="G110" i="32"/>
  <c r="P110" i="32" s="1"/>
  <c r="U110" i="32" s="1"/>
  <c r="G110" i="29"/>
  <c r="AV111" i="1"/>
  <c r="P110" i="29" l="1"/>
  <c r="U110" i="29" s="1"/>
  <c r="V110" i="29" s="1"/>
  <c r="G111" i="32"/>
  <c r="P111" i="32" s="1"/>
  <c r="U111" i="32" s="1"/>
  <c r="G111" i="29"/>
  <c r="AV112" i="1"/>
  <c r="P111" i="29" l="1"/>
  <c r="U111" i="29" s="1"/>
  <c r="V111" i="29" s="1"/>
  <c r="W111" i="29" s="1"/>
  <c r="W110" i="29"/>
  <c r="G112" i="32"/>
  <c r="P112" i="32" s="1"/>
  <c r="U112" i="32" s="1"/>
  <c r="G112" i="29"/>
  <c r="AV113" i="1"/>
  <c r="P112" i="29" l="1"/>
  <c r="U112" i="29" s="1"/>
  <c r="V112" i="29" s="1"/>
  <c r="G113" i="32"/>
  <c r="P113" i="32" s="1"/>
  <c r="U113" i="32" s="1"/>
  <c r="G113" i="29"/>
  <c r="AV114" i="1"/>
  <c r="P113" i="29" l="1"/>
  <c r="U113" i="29" s="1"/>
  <c r="V113" i="29" s="1"/>
  <c r="W113" i="29" s="1"/>
  <c r="G114" i="32"/>
  <c r="P114" i="32" s="1"/>
  <c r="U114" i="32" s="1"/>
  <c r="G114" i="29"/>
  <c r="AV115" i="1"/>
  <c r="W112" i="29"/>
  <c r="P114" i="29" l="1"/>
  <c r="U114" i="29" s="1"/>
  <c r="V114" i="29" s="1"/>
  <c r="G115" i="32"/>
  <c r="P115" i="32" s="1"/>
  <c r="U115" i="32" s="1"/>
  <c r="G115" i="29"/>
  <c r="AV116" i="1"/>
  <c r="P115" i="29" l="1"/>
  <c r="U115" i="29" s="1"/>
  <c r="V115" i="29" s="1"/>
  <c r="W115" i="29" s="1"/>
  <c r="G116" i="32"/>
  <c r="P116" i="32" s="1"/>
  <c r="U116" i="32" s="1"/>
  <c r="G116" i="29"/>
  <c r="AV117" i="1"/>
  <c r="W114" i="29"/>
  <c r="P116" i="29" l="1"/>
  <c r="U116" i="29" s="1"/>
  <c r="V116" i="29" s="1"/>
  <c r="G117" i="29"/>
  <c r="G117" i="32"/>
  <c r="P117" i="32" s="1"/>
  <c r="U117" i="32" s="1"/>
  <c r="AV118" i="1"/>
  <c r="I118" i="45" s="1"/>
  <c r="P117" i="29" l="1"/>
  <c r="U117" i="29" s="1"/>
  <c r="V117" i="29" s="1"/>
  <c r="W117" i="29" s="1"/>
  <c r="W116" i="29"/>
  <c r="G118" i="29"/>
  <c r="G118" i="32"/>
  <c r="P118" i="32" s="1"/>
  <c r="U118" i="32" s="1"/>
  <c r="AV119" i="1"/>
  <c r="I119" i="45" s="1"/>
  <c r="P118" i="29" l="1"/>
  <c r="U118" i="29" s="1"/>
  <c r="V118" i="29" s="1"/>
  <c r="G119" i="29"/>
  <c r="G119" i="32"/>
  <c r="P119" i="32" s="1"/>
  <c r="U119" i="32" s="1"/>
  <c r="AV120" i="1"/>
  <c r="I120" i="45" s="1"/>
  <c r="P119" i="29" l="1"/>
  <c r="U119" i="29" s="1"/>
  <c r="V119" i="29" s="1"/>
  <c r="W119" i="29" s="1"/>
  <c r="W118" i="29"/>
  <c r="G120" i="32"/>
  <c r="P120" i="32" s="1"/>
  <c r="U120" i="32" s="1"/>
  <c r="G120" i="29"/>
  <c r="AV121" i="1"/>
  <c r="AV122" i="1" l="1"/>
  <c r="I121" i="45"/>
  <c r="I122" i="45" s="1"/>
  <c r="P120" i="29"/>
  <c r="U120" i="29" s="1"/>
  <c r="V120" i="29" s="1"/>
  <c r="W120" i="29" s="1"/>
  <c r="G121" i="32"/>
  <c r="P121" i="32" s="1"/>
  <c r="U121" i="32" s="1"/>
  <c r="G121" i="29"/>
  <c r="I123" i="45" l="1"/>
  <c r="R122" i="45"/>
  <c r="W122" i="45" s="1"/>
  <c r="AV123" i="1"/>
  <c r="G122" i="29"/>
  <c r="P122" i="29" s="1"/>
  <c r="U122" i="29" s="1"/>
  <c r="V122" i="29" s="1"/>
  <c r="P121" i="29"/>
  <c r="U121" i="29" s="1"/>
  <c r="N9" i="9"/>
  <c r="N10" i="9"/>
  <c r="O10" i="9" s="1"/>
  <c r="N11" i="9"/>
  <c r="O11" i="9" s="1"/>
  <c r="N12" i="9"/>
  <c r="O12" i="9" s="1"/>
  <c r="G122" i="32"/>
  <c r="P122" i="32" s="1"/>
  <c r="U122" i="32" s="1"/>
  <c r="D13" i="9"/>
  <c r="R121" i="25"/>
  <c r="W122" i="29" l="1"/>
  <c r="Z135" i="29" s="1"/>
  <c r="Y135" i="29"/>
  <c r="AV124" i="1"/>
  <c r="G123" i="29"/>
  <c r="P123" i="29" s="1"/>
  <c r="U123" i="29" s="1"/>
  <c r="V123" i="29" s="1"/>
  <c r="W123" i="29" s="1"/>
  <c r="I124" i="45"/>
  <c r="R123" i="45"/>
  <c r="W123" i="45" s="1"/>
  <c r="V121" i="29"/>
  <c r="Y146" i="29" s="1"/>
  <c r="N13" i="9"/>
  <c r="O13" i="9" s="1"/>
  <c r="Y136" i="29"/>
  <c r="Y155" i="29"/>
  <c r="Y156" i="29"/>
  <c r="Y157" i="29"/>
  <c r="S121" i="25"/>
  <c r="U146" i="25"/>
  <c r="U157" i="25"/>
  <c r="G123" i="32"/>
  <c r="P123" i="32" s="1"/>
  <c r="U123" i="32" s="1"/>
  <c r="D14" i="9"/>
  <c r="E14" i="9" s="1"/>
  <c r="E13" i="9"/>
  <c r="E16" i="9" s="1"/>
  <c r="O9" i="9"/>
  <c r="W121" i="29" l="1"/>
  <c r="O16" i="9"/>
  <c r="I125" i="45"/>
  <c r="R124" i="45"/>
  <c r="W124" i="45" s="1"/>
  <c r="AV125" i="1"/>
  <c r="G124" i="29"/>
  <c r="P124" i="29" s="1"/>
  <c r="U124" i="29" s="1"/>
  <c r="V124" i="29" s="1"/>
  <c r="N14" i="9"/>
  <c r="O14" i="9" s="1"/>
  <c r="W133" i="29"/>
  <c r="G124" i="32"/>
  <c r="P124" i="32" s="1"/>
  <c r="U124" i="32" s="1"/>
  <c r="V146" i="25"/>
  <c r="E17" i="9"/>
  <c r="V157" i="25"/>
  <c r="W124" i="29" l="1"/>
  <c r="Y137" i="29"/>
  <c r="AV126" i="1"/>
  <c r="G125" i="29"/>
  <c r="P125" i="29" s="1"/>
  <c r="U125" i="29" s="1"/>
  <c r="V125" i="29" s="1"/>
  <c r="I126" i="45"/>
  <c r="R125" i="45"/>
  <c r="W125" i="45" s="1"/>
  <c r="O17" i="9"/>
  <c r="Z136" i="29"/>
  <c r="Z137" i="29"/>
  <c r="Z155" i="29"/>
  <c r="Z146" i="29"/>
  <c r="Z156" i="29"/>
  <c r="Z157" i="29"/>
  <c r="G125" i="32"/>
  <c r="P125" i="32" s="1"/>
  <c r="U125" i="32" s="1"/>
  <c r="R126" i="45" l="1"/>
  <c r="W126" i="45" s="1"/>
  <c r="I127" i="45"/>
  <c r="W125" i="29"/>
  <c r="Z138" i="29" s="1"/>
  <c r="Y138" i="29"/>
  <c r="AV127" i="1"/>
  <c r="G126" i="29"/>
  <c r="P126" i="29" s="1"/>
  <c r="U126" i="29" s="1"/>
  <c r="V126" i="29" s="1"/>
  <c r="G126" i="32"/>
  <c r="P126" i="32" s="1"/>
  <c r="U126" i="32" s="1"/>
  <c r="W126" i="29" l="1"/>
  <c r="Z139" i="29" s="1"/>
  <c r="Y139" i="29"/>
  <c r="AV128" i="1"/>
  <c r="G127" i="29"/>
  <c r="P127" i="29" s="1"/>
  <c r="U127" i="29" s="1"/>
  <c r="V127" i="29" s="1"/>
  <c r="R127" i="45"/>
  <c r="W127" i="45" s="1"/>
  <c r="I128" i="45"/>
  <c r="G127" i="32"/>
  <c r="P127" i="32" s="1"/>
  <c r="U127" i="32" s="1"/>
  <c r="R128" i="45" l="1"/>
  <c r="W128" i="45" s="1"/>
  <c r="I129" i="45"/>
  <c r="W127" i="29"/>
  <c r="Z140" i="29" s="1"/>
  <c r="Y140" i="29"/>
  <c r="AV129" i="1"/>
  <c r="G128" i="29"/>
  <c r="P128" i="29" s="1"/>
  <c r="U128" i="29" s="1"/>
  <c r="V128" i="29" s="1"/>
  <c r="G128" i="32"/>
  <c r="P128" i="32" s="1"/>
  <c r="U128" i="32" s="1"/>
  <c r="W128" i="29" l="1"/>
  <c r="Z141" i="29" s="1"/>
  <c r="Y141" i="29"/>
  <c r="AV130" i="1"/>
  <c r="G129" i="29"/>
  <c r="P129" i="29" s="1"/>
  <c r="U129" i="29" s="1"/>
  <c r="V129" i="29" s="1"/>
  <c r="R129" i="45"/>
  <c r="W129" i="45" s="1"/>
  <c r="I130" i="45"/>
  <c r="G129" i="32"/>
  <c r="P129" i="32" s="1"/>
  <c r="U129" i="32" s="1"/>
  <c r="I131" i="45" l="1"/>
  <c r="R130" i="45"/>
  <c r="W130" i="45" s="1"/>
  <c r="W129" i="29"/>
  <c r="Z142" i="29" s="1"/>
  <c r="Y142" i="29"/>
  <c r="AV131" i="1"/>
  <c r="G130" i="29"/>
  <c r="P130" i="29" s="1"/>
  <c r="U130" i="29" s="1"/>
  <c r="V130" i="29" s="1"/>
  <c r="G130" i="32"/>
  <c r="P130" i="32" s="1"/>
  <c r="U130" i="32" s="1"/>
  <c r="W130" i="29" l="1"/>
  <c r="Z143" i="29" s="1"/>
  <c r="Y143" i="29"/>
  <c r="AV132" i="1"/>
  <c r="G131" i="29"/>
  <c r="P131" i="29" s="1"/>
  <c r="U131" i="29" s="1"/>
  <c r="V131" i="29" s="1"/>
  <c r="R131" i="45"/>
  <c r="W131" i="45" s="1"/>
  <c r="I132" i="45"/>
  <c r="G131" i="32"/>
  <c r="P131" i="32" s="1"/>
  <c r="U131" i="32" s="1"/>
  <c r="R132" i="45" l="1"/>
  <c r="W132" i="45" s="1"/>
  <c r="I133" i="45"/>
  <c r="W131" i="29"/>
  <c r="Z144" i="29" s="1"/>
  <c r="Y144" i="29"/>
  <c r="AV133" i="1"/>
  <c r="G132" i="29"/>
  <c r="P132" i="29" s="1"/>
  <c r="U132" i="29" s="1"/>
  <c r="V132" i="29" s="1"/>
  <c r="G132" i="32"/>
  <c r="P132" i="32" s="1"/>
  <c r="U132" i="32" s="1"/>
  <c r="W132" i="29" l="1"/>
  <c r="Z145" i="29" s="1"/>
  <c r="Y145" i="29"/>
  <c r="R133" i="45"/>
  <c r="W133" i="45" s="1"/>
  <c r="I134" i="45"/>
  <c r="G133" i="32"/>
  <c r="P133" i="32" s="1"/>
  <c r="U133" i="32" s="1"/>
  <c r="R134" i="45" l="1"/>
  <c r="W134" i="45" s="1"/>
  <c r="I135" i="45"/>
  <c r="G134" i="32"/>
  <c r="P134" i="32" s="1"/>
  <c r="U134" i="32" s="1"/>
  <c r="R135" i="45" l="1"/>
  <c r="W135" i="45" s="1"/>
  <c r="I136" i="45"/>
  <c r="G135" i="32"/>
  <c r="P135" i="32" s="1"/>
  <c r="U135" i="32" s="1"/>
  <c r="I137" i="45" l="1"/>
  <c r="R136" i="45"/>
  <c r="W136" i="45" s="1"/>
  <c r="G136" i="32"/>
  <c r="P136" i="32" s="1"/>
  <c r="U136" i="32" s="1"/>
  <c r="I138" i="45" l="1"/>
  <c r="R137" i="45"/>
  <c r="W137" i="45" s="1"/>
  <c r="G137" i="32"/>
  <c r="P137" i="32" s="1"/>
  <c r="U137" i="32" s="1"/>
  <c r="R138" i="45" l="1"/>
  <c r="W138" i="45" s="1"/>
  <c r="I139" i="45"/>
  <c r="G138" i="32"/>
  <c r="P138" i="32" s="1"/>
  <c r="U138" i="32" s="1"/>
  <c r="I140" i="45" l="1"/>
  <c r="R139" i="45"/>
  <c r="W139" i="45" s="1"/>
  <c r="G139" i="32"/>
  <c r="P139" i="32" s="1"/>
  <c r="U139" i="32" s="1"/>
  <c r="I141" i="45" l="1"/>
  <c r="R140" i="45"/>
  <c r="W140" i="45" s="1"/>
  <c r="G140" i="32"/>
  <c r="P140" i="32" s="1"/>
  <c r="U140" i="32" s="1"/>
  <c r="I142" i="45" l="1"/>
  <c r="R141" i="45"/>
  <c r="W141" i="45" s="1"/>
  <c r="G141" i="32"/>
  <c r="P141" i="32" s="1"/>
  <c r="U141" i="32" s="1"/>
  <c r="I143" i="45" l="1"/>
  <c r="R142" i="45"/>
  <c r="W142" i="45" s="1"/>
  <c r="G142" i="32"/>
  <c r="P142" i="32" s="1"/>
  <c r="U142" i="32" s="1"/>
  <c r="I144" i="45" l="1"/>
  <c r="R143" i="45"/>
  <c r="W143" i="45" s="1"/>
  <c r="G143" i="32"/>
  <c r="P143" i="32" s="1"/>
  <c r="U143" i="32" s="1"/>
  <c r="I145" i="45" l="1"/>
  <c r="R145" i="45" s="1"/>
  <c r="W145" i="45" s="1"/>
  <c r="R144" i="45"/>
  <c r="W144" i="45" s="1"/>
  <c r="G144" i="32"/>
  <c r="P144" i="32" s="1"/>
  <c r="U144" i="32" s="1"/>
  <c r="AC59" i="17" l="1"/>
  <c r="AC58" i="17"/>
  <c r="G145" i="32"/>
  <c r="P145" i="32" s="1"/>
  <c r="U145" i="32" s="1"/>
  <c r="AC15" i="17" s="1"/>
  <c r="AE15" i="17" s="1"/>
  <c r="AE48" i="17" l="1"/>
  <c r="AG48" i="17" s="1"/>
  <c r="AE49" i="17"/>
  <c r="AG49" i="17" s="1"/>
  <c r="AE50" i="17"/>
  <c r="AG50" i="17" s="1"/>
  <c r="AE51" i="17"/>
  <c r="AG51" i="17" s="1"/>
  <c r="AE52" i="17"/>
  <c r="AG52" i="17" s="1"/>
  <c r="AE53" i="17"/>
  <c r="AE54" i="17"/>
  <c r="AE55" i="17"/>
  <c r="AE56" i="17"/>
  <c r="AE57" i="17"/>
  <c r="AE58" i="17"/>
  <c r="AG58" i="17" s="1"/>
  <c r="AE59" i="17"/>
  <c r="AG59" i="17" s="1"/>
  <c r="AC11" i="17"/>
  <c r="AE11" i="17" s="1"/>
  <c r="AC12" i="17"/>
  <c r="AE12" i="17" s="1"/>
  <c r="AC13" i="17"/>
  <c r="AE13" i="17" s="1"/>
  <c r="AC14" i="17"/>
  <c r="AE14" i="17" s="1"/>
  <c r="AC16" i="17"/>
  <c r="AE16" i="17" s="1"/>
  <c r="AG54" i="17" l="1"/>
  <c r="AG57" i="17"/>
  <c r="C18" i="21" s="1"/>
  <c r="D18" i="21" s="1"/>
  <c r="AG55" i="17"/>
  <c r="AG56" i="17"/>
  <c r="AG53" i="17"/>
  <c r="S10" i="35"/>
  <c r="C20" i="21"/>
  <c r="D20" i="21" s="1"/>
  <c r="AG16" i="17"/>
  <c r="H20" i="38"/>
  <c r="AG15" i="17"/>
  <c r="C19" i="21"/>
  <c r="D19" i="21" s="1"/>
  <c r="S9" i="35"/>
  <c r="C20" i="38"/>
  <c r="E20" i="38" s="1"/>
  <c r="AG14" i="17"/>
  <c r="S8" i="35"/>
  <c r="D8" i="35" s="1"/>
  <c r="AG13" i="17"/>
  <c r="S7" i="35"/>
  <c r="D7" i="35" s="1"/>
  <c r="S6" i="35"/>
  <c r="D6" i="35" s="1"/>
  <c r="AG12" i="17"/>
  <c r="AG11" i="17"/>
  <c r="S5" i="35"/>
  <c r="D5" i="35" s="1"/>
  <c r="H5" i="23" l="1"/>
  <c r="H9" i="23" s="1"/>
  <c r="H23" i="23"/>
  <c r="G18" i="21"/>
  <c r="I5" i="23"/>
  <c r="J5" i="23"/>
  <c r="C22" i="38"/>
  <c r="F20" i="38"/>
  <c r="F22" i="38" s="1"/>
  <c r="G19" i="21"/>
  <c r="K20" i="38"/>
  <c r="K22" i="38" s="1"/>
  <c r="G20" i="21"/>
  <c r="H22" i="38"/>
  <c r="J20" i="38"/>
  <c r="H26" i="23" l="1"/>
  <c r="L20" i="38"/>
  <c r="O20" i="38" s="1"/>
  <c r="O22" i="38" s="1"/>
  <c r="J23" i="23"/>
  <c r="I23" i="23"/>
  <c r="C15" i="23"/>
  <c r="G20" i="38"/>
  <c r="E22" i="38"/>
  <c r="J22" i="38"/>
  <c r="E15" i="23" l="1"/>
  <c r="I26" i="23"/>
  <c r="J26" i="23"/>
  <c r="C30" i="23"/>
  <c r="C33" i="23" s="1"/>
  <c r="L22" i="38"/>
  <c r="N20" i="38"/>
  <c r="N22" i="38" s="1"/>
  <c r="G22" i="38"/>
  <c r="C49" i="23" l="1"/>
  <c r="D30" i="23"/>
  <c r="D33" i="23" s="1"/>
  <c r="E30" i="23" l="1"/>
  <c r="F5" i="36" l="1"/>
  <c r="G5" i="36" s="1"/>
  <c r="D49" i="23"/>
  <c r="E33" i="23"/>
  <c r="D53" i="23" l="1"/>
  <c r="C53" i="23" l="1"/>
  <c r="C52" i="23"/>
  <c r="E34" i="35"/>
  <c r="F34" i="35"/>
  <c r="M25" i="35"/>
  <c r="N25" i="35"/>
  <c r="F25" i="35"/>
  <c r="E42" i="35"/>
  <c r="F42" i="35"/>
  <c r="J9" i="23"/>
  <c r="I9" i="23"/>
  <c r="I8" i="23"/>
  <c r="E19" i="23"/>
  <c r="AY15" i="17"/>
  <c r="AH9" i="35"/>
  <c r="D9" i="35"/>
  <c r="AH10" i="35"/>
  <c r="D10" i="35"/>
  <c r="C19" i="23"/>
  <c r="AX15" i="17"/>
  <c r="AX16" i="17"/>
  <c r="AY16" i="17"/>
  <c r="J8" i="23"/>
  <c r="C18" i="23"/>
  <c r="E18" i="23"/>
  <c r="F6" i="36"/>
  <c r="G6" i="36"/>
</calcChain>
</file>

<file path=xl/sharedStrings.xml><?xml version="1.0" encoding="utf-8"?>
<sst xmlns="http://schemas.openxmlformats.org/spreadsheetml/2006/main" count="1817" uniqueCount="493">
  <si>
    <t>Date</t>
  </si>
  <si>
    <t>Year</t>
  </si>
  <si>
    <t>Month</t>
  </si>
  <si>
    <t>Residential_kWh</t>
  </si>
  <si>
    <t>Res_CDM</t>
  </si>
  <si>
    <t>Res_NoCDM</t>
  </si>
  <si>
    <t>Residential_Customers</t>
  </si>
  <si>
    <t>GS_lt_50_kWh</t>
  </si>
  <si>
    <t>GS_lt_50_CDM</t>
  </si>
  <si>
    <t>GS_lt_50_NoCDM</t>
  </si>
  <si>
    <t>GS_lt_50_Customers</t>
  </si>
  <si>
    <t>GS_gt_50_kWh</t>
  </si>
  <si>
    <t>GS_gt_50_CDM</t>
  </si>
  <si>
    <t>GS_gt_50_NoCDM</t>
  </si>
  <si>
    <t>GS_gt_50_kW</t>
  </si>
  <si>
    <t>GS_gt_50_Customers</t>
  </si>
  <si>
    <t>Streetlights_kWh</t>
  </si>
  <si>
    <t>Streetlights_kW</t>
  </si>
  <si>
    <t>Streetlights_Connections</t>
  </si>
  <si>
    <t>Sentinel_kWh</t>
  </si>
  <si>
    <t>Sentinel_kW</t>
  </si>
  <si>
    <t>Sentinel_Connections</t>
  </si>
  <si>
    <t>USL_kWh</t>
  </si>
  <si>
    <t>USL_Connections</t>
  </si>
  <si>
    <t>HDD20</t>
  </si>
  <si>
    <t>CDD20</t>
  </si>
  <si>
    <t>HDD18</t>
  </si>
  <si>
    <t>CDD18</t>
  </si>
  <si>
    <t>HDD16</t>
  </si>
  <si>
    <t>CDD16</t>
  </si>
  <si>
    <t>HDD14</t>
  </si>
  <si>
    <t>CDD14</t>
  </si>
  <si>
    <t>HDD12</t>
  </si>
  <si>
    <t>CDD12</t>
  </si>
  <si>
    <t>HDD10</t>
  </si>
  <si>
    <t>CDD10</t>
  </si>
  <si>
    <t>HDD8</t>
  </si>
  <si>
    <t>CDD8</t>
  </si>
  <si>
    <t>Avg. Temp</t>
  </si>
  <si>
    <t>OntFTEsAdj</t>
  </si>
  <si>
    <t>OntFTEs</t>
  </si>
  <si>
    <t>GSFTEsAdj</t>
  </si>
  <si>
    <t>GSFTEs</t>
  </si>
  <si>
    <t>GDP</t>
  </si>
  <si>
    <t>GDPMine</t>
  </si>
  <si>
    <t>OEAGDP</t>
  </si>
  <si>
    <t>OEAMining</t>
  </si>
  <si>
    <t>Trend</t>
  </si>
  <si>
    <t>Jan</t>
  </si>
  <si>
    <t>Feb</t>
  </si>
  <si>
    <t>Mar</t>
  </si>
  <si>
    <t>Apr</t>
  </si>
  <si>
    <t>May</t>
  </si>
  <si>
    <t>Jun</t>
  </si>
  <si>
    <t>Jul</t>
  </si>
  <si>
    <t>Aug</t>
  </si>
  <si>
    <t>Sep</t>
  </si>
  <si>
    <t>Oct</t>
  </si>
  <si>
    <t>Nov</t>
  </si>
  <si>
    <t>Dec</t>
  </si>
  <si>
    <t>Spring</t>
  </si>
  <si>
    <t>Fall</t>
  </si>
  <si>
    <t>Shoulder</t>
  </si>
  <si>
    <t>SpringA</t>
  </si>
  <si>
    <t>FallA</t>
  </si>
  <si>
    <t>ShoulderA</t>
  </si>
  <si>
    <t>MonthDays</t>
  </si>
  <si>
    <t>PeakDays</t>
  </si>
  <si>
    <t>COVID</t>
  </si>
  <si>
    <t>COVID_AM</t>
  </si>
  <si>
    <t>COVID_WFH</t>
  </si>
  <si>
    <t>COVID2020</t>
  </si>
  <si>
    <t>COVIDHDD20</t>
  </si>
  <si>
    <t>COVIDCDD20</t>
  </si>
  <si>
    <t>COVIDHDD18</t>
  </si>
  <si>
    <t>COVIDCDD18</t>
  </si>
  <si>
    <t>COVIDHDD16</t>
  </si>
  <si>
    <t>COVIDCDD16</t>
  </si>
  <si>
    <t>COVIDHDD14</t>
  </si>
  <si>
    <t>COVIDCDD14</t>
  </si>
  <si>
    <t>COVIDHDD12</t>
  </si>
  <si>
    <t>COVIDCDD12</t>
  </si>
  <si>
    <t>COVIDHDD10</t>
  </si>
  <si>
    <t>COVIDCDD10</t>
  </si>
  <si>
    <t>COVIDHDD8</t>
  </si>
  <si>
    <t>COVIDCDD8</t>
  </si>
  <si>
    <t>ResAvg</t>
  </si>
  <si>
    <t>GSlt50Avg</t>
  </si>
  <si>
    <t>GSgt50Avg</t>
  </si>
  <si>
    <t>Implementation Year</t>
  </si>
  <si>
    <t>Savings Year</t>
  </si>
  <si>
    <t>Residential</t>
  </si>
  <si>
    <t>GS&lt;50 kW</t>
  </si>
  <si>
    <t>GS 50 to 4,999</t>
  </si>
  <si>
    <t>USL</t>
  </si>
  <si>
    <t>Sentinel Lighting</t>
  </si>
  <si>
    <t>Street Lighting</t>
  </si>
  <si>
    <t>Total</t>
  </si>
  <si>
    <t>Persisting</t>
  </si>
  <si>
    <t>to</t>
  </si>
  <si>
    <t>Incremental CDM (accounting for lost persistence)</t>
  </si>
  <si>
    <t>TD</t>
  </si>
  <si>
    <t>BMO</t>
  </si>
  <si>
    <t>Scotia</t>
  </si>
  <si>
    <t>RBC</t>
  </si>
  <si>
    <t>Average</t>
  </si>
  <si>
    <t>FTE</t>
  </si>
  <si>
    <t>10-yr Average</t>
  </si>
  <si>
    <t>10 Year Average</t>
  </si>
  <si>
    <t>Sudbury Airport</t>
  </si>
  <si>
    <t>January</t>
  </si>
  <si>
    <t>February</t>
  </si>
  <si>
    <t>March</t>
  </si>
  <si>
    <t>April</t>
  </si>
  <si>
    <t>June</t>
  </si>
  <si>
    <t>July</t>
  </si>
  <si>
    <t>August</t>
  </si>
  <si>
    <t>September</t>
  </si>
  <si>
    <t>October</t>
  </si>
  <si>
    <t>November</t>
  </si>
  <si>
    <t>December</t>
  </si>
  <si>
    <t xml:space="preserve">2nd Yr </t>
  </si>
  <si>
    <t>Persistence</t>
  </si>
  <si>
    <t>2019-&gt;2020</t>
  </si>
  <si>
    <t>Audit Funding</t>
  </si>
  <si>
    <t>2nd year persistence</t>
  </si>
  <si>
    <t>HPNC</t>
  </si>
  <si>
    <t>kWh</t>
  </si>
  <si>
    <t>Retrofit</t>
  </si>
  <si>
    <t>Small Business Lighting</t>
  </si>
  <si>
    <t>kW</t>
  </si>
  <si>
    <t>GS&lt;50</t>
  </si>
  <si>
    <t>GS&gt;50</t>
  </si>
  <si>
    <t>IESO Report Reference Tables</t>
  </si>
  <si>
    <t>const</t>
  </si>
  <si>
    <t>Predicted</t>
  </si>
  <si>
    <t>Diff</t>
  </si>
  <si>
    <t>Model Error</t>
  </si>
  <si>
    <t>Dependent variable: Res_NoCDM</t>
  </si>
  <si>
    <t>coefficient</t>
  </si>
  <si>
    <t>std. error</t>
  </si>
  <si>
    <t>t-ratio</t>
  </si>
  <si>
    <t>p-value</t>
  </si>
  <si>
    <t>Statistics based on the rho-differenced data</t>
  </si>
  <si>
    <t>Sum squared resid</t>
  </si>
  <si>
    <t>S.E. of regression</t>
  </si>
  <si>
    <t>R-squared</t>
  </si>
  <si>
    <t>Adjusted R-squared</t>
  </si>
  <si>
    <t>P-value(F)</t>
  </si>
  <si>
    <t>rho</t>
  </si>
  <si>
    <t>Durbin-Watson</t>
  </si>
  <si>
    <t>Statistics based on the original data</t>
  </si>
  <si>
    <t>Mean dependent var</t>
  </si>
  <si>
    <t>S.D. dependent var</t>
  </si>
  <si>
    <t>Dependent variable: GS_lt_50_NoCDM</t>
  </si>
  <si>
    <t>Dependent variable: GS_gt_50_NoCDM</t>
  </si>
  <si>
    <t>Res kWh</t>
  </si>
  <si>
    <t>Absolute</t>
  </si>
  <si>
    <t>GS&lt;50 kWh</t>
  </si>
  <si>
    <t>GS&gt;50 kWh</t>
  </si>
  <si>
    <t>CDM Added Back</t>
  </si>
  <si>
    <t>Error (%)</t>
  </si>
  <si>
    <t>Mean Absolute Percentage Error (Annual)</t>
  </si>
  <si>
    <t>Mean Absolute Percentage Error (Monthly)</t>
  </si>
  <si>
    <t>Normalized</t>
  </si>
  <si>
    <t>Statscan New zero-emission vehicle registrations, quarterly 20-10-0025-01</t>
  </si>
  <si>
    <t>Quarterly Increase</t>
  </si>
  <si>
    <t>Cumulative</t>
  </si>
  <si>
    <t>Table: 20-10-0024-01</t>
  </si>
  <si>
    <t>Geography</t>
  </si>
  <si>
    <t>Ontario</t>
  </si>
  <si>
    <t>Greater Sudbury / Grand Sudbury</t>
  </si>
  <si>
    <t>Sudbury, Unorganized, North Part</t>
  </si>
  <si>
    <t>West Nipissing / Nipissing Ouest</t>
  </si>
  <si>
    <t>GSH Total (Calc)</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</si>
  <si>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</si>
  <si>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</si>
  <si>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</si>
  <si>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</si>
  <si>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</si>
  <si>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</si>
  <si>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</si>
  <si>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</si>
  <si>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</si>
  <si>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</si>
  <si>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</si>
  <si>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</si>
  <si>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</si>
  <si>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</si>
  <si>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</si>
  <si>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</si>
  <si>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</si>
  <si>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</si>
  <si>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</si>
  <si>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</si>
  <si>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</si>
  <si>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</si>
  <si>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</si>
  <si>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</si>
  <si>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</si>
  <si>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</si>
  <si>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</si>
  <si>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</si>
  <si>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</si>
  <si>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</si>
  <si>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</si>
  <si>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</si>
  <si>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</si>
  <si>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</si>
  <si>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</si>
  <si>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</si>
  <si>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</si>
  <si>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</si>
  <si>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</si>
  <si>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</si>
  <si>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</si>
  <si>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</si>
  <si>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Avg. Distance</t>
  </si>
  <si>
    <t>Avg. Efficiency</t>
  </si>
  <si>
    <t>BEV</t>
  </si>
  <si>
    <t>PHEV</t>
  </si>
  <si>
    <t>km</t>
  </si>
  <si>
    <t>kWh/ 100 km</t>
  </si>
  <si>
    <t>kWh/100km</t>
  </si>
  <si>
    <t>% Share</t>
  </si>
  <si>
    <t>Passenger</t>
  </si>
  <si>
    <t>Van</t>
  </si>
  <si>
    <t>Pick-Up Truck</t>
  </si>
  <si>
    <t>2-21-050-EV-Charging-Performance-Requirements-in-GTHA.pdf (cleanairpartnership.org)</t>
  </si>
  <si>
    <t>Total EVs</t>
  </si>
  <si>
    <t>GSH</t>
  </si>
  <si>
    <t>New</t>
  </si>
  <si>
    <t>Passenger + SUV EVs</t>
  </si>
  <si>
    <t>kWh/EV</t>
  </si>
  <si>
    <t>New kWh</t>
  </si>
  <si>
    <t>Cumulative kWh</t>
  </si>
  <si>
    <t>Van EVs</t>
  </si>
  <si>
    <t>Pickup Trucks</t>
  </si>
  <si>
    <t>EVs</t>
  </si>
  <si>
    <t>Passenger EV</t>
  </si>
  <si>
    <t>Multi-purpose vehicles (SUV) EV</t>
  </si>
  <si>
    <t>Van EV</t>
  </si>
  <si>
    <t>Pick-Up Truck EV</t>
  </si>
  <si>
    <t>All Vehicles</t>
  </si>
  <si>
    <t>All Passenger</t>
  </si>
  <si>
    <t>All Multi-purpose vehicles (SUV)</t>
  </si>
  <si>
    <t>All Van</t>
  </si>
  <si>
    <t>All Pick-Up Truck</t>
  </si>
  <si>
    <t>GSH % of ON EVs</t>
  </si>
  <si>
    <t>ON EVs as % of All Vehicles</t>
  </si>
  <si>
    <t>Passenger EV as % of EV</t>
  </si>
  <si>
    <t>Multi-Purpose EV as % of EV</t>
  </si>
  <si>
    <t>Van EV as % of EV</t>
  </si>
  <si>
    <t>Pickup Truck EV as % of EV</t>
  </si>
  <si>
    <t>New Incremental kWh</t>
  </si>
  <si>
    <t>Passenger/SUV</t>
  </si>
  <si>
    <t>Pick-up Truck</t>
  </si>
  <si>
    <t>EV kWh by Class</t>
  </si>
  <si>
    <t>New Incremental kW</t>
  </si>
  <si>
    <t>Load Factor</t>
  </si>
  <si>
    <t>GSH EVs</t>
  </si>
  <si>
    <t>A</t>
  </si>
  <si>
    <t>ON EVs</t>
  </si>
  <si>
    <t>B</t>
  </si>
  <si>
    <t>C = A / B</t>
  </si>
  <si>
    <t>ON Passenger EVs</t>
  </si>
  <si>
    <t>D</t>
  </si>
  <si>
    <t>ON Multi-Purpose Vehicles EVs</t>
  </si>
  <si>
    <t>E</t>
  </si>
  <si>
    <t>ON Vans EVs</t>
  </si>
  <si>
    <t>F</t>
  </si>
  <si>
    <t>ON Pickup Truck EVs</t>
  </si>
  <si>
    <t xml:space="preserve">G </t>
  </si>
  <si>
    <t>H = D / B</t>
  </si>
  <si>
    <t>I = E / B</t>
  </si>
  <si>
    <t>J = F / B</t>
  </si>
  <si>
    <t>K = G / B</t>
  </si>
  <si>
    <t>New Vehicles in GSH</t>
  </si>
  <si>
    <t>L = A</t>
  </si>
  <si>
    <t>Passenger &amp; Multi-Purpose EVs</t>
  </si>
  <si>
    <t>M = L * (H + I)</t>
  </si>
  <si>
    <t>N = L * J</t>
  </si>
  <si>
    <t>Pickup Truck Evs</t>
  </si>
  <si>
    <t>O = L * K</t>
  </si>
  <si>
    <t xml:space="preserve">Basis of Forecast </t>
  </si>
  <si>
    <t>All Vehicles in Ontario</t>
  </si>
  <si>
    <t>P</t>
  </si>
  <si>
    <t>Average 2017-2023</t>
  </si>
  <si>
    <t>New EV Target</t>
  </si>
  <si>
    <t>Q</t>
  </si>
  <si>
    <t>Trajectory to 2026 Target</t>
  </si>
  <si>
    <t>R</t>
  </si>
  <si>
    <t>Trajectory to GSH share of population in 2026</t>
  </si>
  <si>
    <t>Total New GSH EVs</t>
  </si>
  <si>
    <t>S = P * Q * R</t>
  </si>
  <si>
    <t>Total vehicles times share of EVs times GSH share of EVs</t>
  </si>
  <si>
    <t>T = S * (H + I)</t>
  </si>
  <si>
    <t>Total GSH EVs times 2023 share of vehicle type</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</si>
  <si>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</si>
  <si>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</si>
  <si>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</si>
  <si>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</si>
  <si>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</si>
  <si>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</si>
  <si>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</si>
  <si>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</si>
  <si>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</si>
  <si>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</si>
  <si>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</si>
  <si>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J</t>
  </si>
  <si>
    <t>K = ( Jt-1 + I) * 6,000</t>
  </si>
  <si>
    <t>L = K - Kt-1</t>
  </si>
  <si>
    <t>2024 Incremental</t>
  </si>
  <si>
    <t>2025 Incremental</t>
  </si>
  <si>
    <t>2025 Incremental +  2024 Full</t>
  </si>
  <si>
    <t>Small Business</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</si>
  <si>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</si>
  <si>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</si>
  <si>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</si>
  <si>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</si>
  <si>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</si>
  <si>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</si>
  <si>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</si>
  <si>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</si>
  <si>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</si>
  <si>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</si>
  <si>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</si>
  <si>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</si>
  <si>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</si>
  <si>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</si>
  <si>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</si>
  <si>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</si>
  <si>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</si>
  <si>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</si>
  <si>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</si>
  <si>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</si>
  <si>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</si>
  <si>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</si>
  <si>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</si>
  <si>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</si>
  <si>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</si>
  <si>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</si>
  <si>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Seasonal Adjustment</t>
  </si>
  <si>
    <t>Total kWh</t>
  </si>
  <si>
    <t>Residential kWh</t>
  </si>
  <si>
    <t xml:space="preserve">  Winter</t>
  </si>
  <si>
    <t xml:space="preserve">  Summer</t>
  </si>
  <si>
    <t>Seasonally Adjusted kWh</t>
  </si>
  <si>
    <t>GS &lt; 50 kWh</t>
  </si>
  <si>
    <t>GS &lt; 50</t>
  </si>
  <si>
    <t>Heating</t>
  </si>
  <si>
    <t>Loads are incremental to loads forecasted based on 10-year consumption</t>
  </si>
  <si>
    <t>Figures are added in 'Normalized Annual Summary' and 'kW Forecast'</t>
  </si>
  <si>
    <t>Street Light</t>
  </si>
  <si>
    <t>Sentinel</t>
  </si>
  <si>
    <t>Actual</t>
  </si>
  <si>
    <t>Cumulative Persisting CDM</t>
  </si>
  <si>
    <t>Actual No CDM</t>
  </si>
  <si>
    <t>Normalized No CDM</t>
  </si>
  <si>
    <t>Additional Loads</t>
  </si>
  <si>
    <t>Total Inc'l Additional Loads</t>
  </si>
  <si>
    <t>Lamps / Devices</t>
  </si>
  <si>
    <t>Average per Device</t>
  </si>
  <si>
    <t>Normal Forecast</t>
  </si>
  <si>
    <t>Connections</t>
  </si>
  <si>
    <t>Average per Customer</t>
  </si>
  <si>
    <t>C = A + B</t>
  </si>
  <si>
    <t>E = B</t>
  </si>
  <si>
    <t>F = D - E</t>
  </si>
  <si>
    <t>G</t>
  </si>
  <si>
    <t>H = F + G</t>
  </si>
  <si>
    <t>D = B * C</t>
  </si>
  <si>
    <t xml:space="preserve">Weather </t>
  </si>
  <si>
    <t>Normal</t>
  </si>
  <si>
    <t>Percent of Prior Year</t>
  </si>
  <si>
    <t>GS &gt; 50</t>
  </si>
  <si>
    <t>Sentinel Light</t>
  </si>
  <si>
    <t>Customers</t>
  </si>
  <si>
    <t>Street Lights</t>
  </si>
  <si>
    <t>C = B / A</t>
  </si>
  <si>
    <t>Only 11 months billed in 2016</t>
  </si>
  <si>
    <t>kWh Normalized</t>
  </si>
  <si>
    <t>kW Normalized</t>
  </si>
  <si>
    <t>Add'l Loads</t>
  </si>
  <si>
    <t>H = E + G</t>
  </si>
  <si>
    <t>E = D * G</t>
  </si>
  <si>
    <t>*Note: No clear trend in kW/kWh ratio so average is used</t>
  </si>
  <si>
    <t>*Note: No clear trend in kW/kWh ratio since 2011 so average from 2011-2019 is used</t>
  </si>
  <si>
    <t>In year energy savings (GWh)</t>
  </si>
  <si>
    <t>In year energy savings (kWh)</t>
  </si>
  <si>
    <t>GSU Share</t>
  </si>
  <si>
    <t>% of provincial kWh</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</si>
  <si>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</si>
  <si>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</si>
  <si>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</si>
  <si>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</si>
  <si>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</si>
  <si>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</si>
  <si>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</si>
  <si>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</si>
  <si>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</si>
  <si>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</si>
  <si>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</si>
  <si>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</si>
  <si>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</si>
  <si>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</si>
  <si>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5-Year Avg.</t>
  </si>
  <si>
    <t>Province</t>
  </si>
  <si>
    <t>Cummulative</t>
  </si>
  <si>
    <t>w/ 1/2 Year Adj.</t>
  </si>
  <si>
    <t>GSH % Share</t>
  </si>
  <si>
    <t>OEB Open Data (RRR): Section 2.1.5.4 Demand and Revenue</t>
  </si>
  <si>
    <t>Low-Income Measure</t>
  </si>
  <si>
    <t>Greater Sudbury</t>
  </si>
  <si>
    <t>GSH %</t>
  </si>
  <si>
    <t>[Census Family Low Income Measure (CFLIM-AT) Table 11-10-0020-01)</t>
  </si>
  <si>
    <t>GS&lt; 50</t>
  </si>
  <si>
    <t>Total CDM</t>
  </si>
  <si>
    <t>CDM</t>
  </si>
  <si>
    <t>*Allocations based on LRAMVA allocations in 2015-2019 period</t>
  </si>
  <si>
    <t>2023-2025 Forecasted kWh Savings by Rate Class</t>
  </si>
  <si>
    <t>Rate Class</t>
  </si>
  <si>
    <t>CDM Adj Weight</t>
  </si>
  <si>
    <t>Amount</t>
  </si>
  <si>
    <t>Total Cumulative (with half-year)</t>
  </si>
  <si>
    <t>C = A * B</t>
  </si>
  <si>
    <t>F = D * E</t>
  </si>
  <si>
    <t>H</t>
  </si>
  <si>
    <t>I = G * H</t>
  </si>
  <si>
    <t>TOTAL</t>
  </si>
  <si>
    <t>2024-2025 kW Forcasted Savings by Rate Class</t>
  </si>
  <si>
    <t>2024 Forecast</t>
  </si>
  <si>
    <t>2025 Forecast</t>
  </si>
  <si>
    <t>Weather-Normal Forecast</t>
  </si>
  <si>
    <t>% Savings</t>
  </si>
  <si>
    <t>E = C * D</t>
  </si>
  <si>
    <t>2019 Actual</t>
  </si>
  <si>
    <t>2020 Actual</t>
  </si>
  <si>
    <t>2021 Actual</t>
  </si>
  <si>
    <t>2022 Actual</t>
  </si>
  <si>
    <t>2023 Actual</t>
  </si>
  <si>
    <t>2023 Normal</t>
  </si>
  <si>
    <t>CDM Adjusted</t>
  </si>
  <si>
    <t>2025 Weather Normal Forecast</t>
  </si>
  <si>
    <t>CDM Adjustment</t>
  </si>
  <si>
    <t>2025 CDM Adjusted Forecast</t>
  </si>
  <si>
    <t>Customers / Connections</t>
  </si>
  <si>
    <t>Summary</t>
  </si>
  <si>
    <t>HDD12 Norm</t>
  </si>
  <si>
    <t>CDD18 Norm</t>
  </si>
  <si>
    <t>Weather Normalized</t>
  </si>
  <si>
    <t>HDD10 Norm</t>
  </si>
  <si>
    <t>CDD16 Norm</t>
  </si>
  <si>
    <t>Total System</t>
  </si>
  <si>
    <t>Stentinel Light</t>
  </si>
  <si>
    <t>Actual kWh</t>
  </si>
  <si>
    <t>Normalized kWh</t>
  </si>
  <si>
    <t>Adjustment</t>
  </si>
  <si>
    <t>Fixed</t>
  </si>
  <si>
    <t>Var</t>
  </si>
  <si>
    <t>Billing Unit</t>
  </si>
  <si>
    <t>Principal</t>
  </si>
  <si>
    <t>Carrying Charges</t>
  </si>
  <si>
    <t>Total LRAMVA</t>
  </si>
  <si>
    <t>Load Forecast</t>
  </si>
  <si>
    <t>Proposed Rate Rider</t>
  </si>
  <si>
    <t>E = C / D</t>
  </si>
  <si>
    <t>GS &lt; 50 kW</t>
  </si>
  <si>
    <t>Target</t>
  </si>
  <si>
    <t>Carrying</t>
  </si>
  <si>
    <t>Total Check</t>
  </si>
  <si>
    <t>Updated Data</t>
  </si>
  <si>
    <t>Latest Figures as of Jan. 20, 2025</t>
  </si>
  <si>
    <t>Monthly Averages</t>
  </si>
  <si>
    <t>(Check)</t>
  </si>
  <si>
    <t>CDM Implementation over 12 months</t>
  </si>
  <si>
    <t>CDM Implementation over 6 months</t>
  </si>
  <si>
    <t>CDM Start</t>
  </si>
  <si>
    <t>CDM End</t>
  </si>
  <si>
    <t>Months of CDM</t>
  </si>
  <si>
    <t>Total CDM-months</t>
  </si>
  <si>
    <t>Full Year of CDM</t>
  </si>
  <si>
    <t>CDM in Implementation year</t>
  </si>
  <si>
    <t>Savings not yet realized (Adj. weight)</t>
  </si>
  <si>
    <t>Model 1: Prais-Winsten, using observations 2014:01-2024:11 (T = 131)</t>
  </si>
  <si>
    <t>F(5, 125)</t>
  </si>
  <si>
    <t>Model 2: Prais-Winsten, using observations 2014:01-2024:11 (T = 131)</t>
  </si>
  <si>
    <t>F(6, 124)</t>
  </si>
  <si>
    <t>Model 3: Prais-Winsten, using observations 2014:01-2024:11 (T = 131)</t>
  </si>
  <si>
    <t>F(7, 123)</t>
  </si>
  <si>
    <t>rho = 0.345531</t>
  </si>
  <si>
    <t>rho = 0.526473</t>
  </si>
  <si>
    <t>rho = 0.514086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</si>
</sst>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quot;$&quot;#,##0_);[Red]\(&quot;$&quot;#,##0\)"/>
    <numFmt numFmtId="165" formatCode="_(&quot;$&quot;* #,##0.00_);_(&quot;$&quot;* \(#,##0.00\);_(&quot;$&quot;* &quot;-&quot;??_);_(@_)"/>
    <numFmt numFmtId="166" formatCode="_(* #,##0.00_);_(* \(#,##0.00\);_(* &quot;-&quot;??_);_(@_)"/>
    <numFmt numFmtId="167" formatCode="_(* #,##0_);_(* \(#,##0\);_(* &quot;-&quot;??_);_(@_)"/>
    <numFmt numFmtId="168" formatCode="0.0"/>
    <numFmt numFmtId="169" formatCode="_(* #,##0.0_);_(* \(#,##0.0\);_(* &quot;-&quot;??_);_(@_)"/>
    <numFmt numFmtId="170" formatCode="0.0%"/>
    <numFmt numFmtId="171" formatCode="0.000000"/>
    <numFmt numFmtId="172" formatCode="_-* #,##0_-;\-* #,##0_-;_-* &quot;-&quot;??_-;_-@_-"/>
    <numFmt numFmtId="173" formatCode="_-* #,##0.000000_-;\-* #,##0.000000_-;_-* &quot;-&quot;??_-;_-@_-"/>
    <numFmt numFmtId="174" formatCode="0_);\(0\)"/>
    <numFmt numFmtId="175" formatCode="_(&quot;$&quot;* #,##0_);_(&quot;$&quot;* \(#,##0\);_(&quot;$&quot;* &quot;-&quot;??_);_(@_)"/>
    <numFmt numFmtId="176" formatCode="&quot;$&quot;#,##0.0000_);[Red]\(&quot;$&quot;#,##0.0000\)"/>
    <numFmt numFmtId="177" formatCode="_-* #,##0.0_-;\-* #,##0.0_-;_-* &quot;-&quot;??_-;_-@_-"/>
    <numFmt numFmtId="178" formatCode="_(* #,##0.000_);_(* \(#,##0.000\);_(* &quot;-&quot;??_);_(@_)"/>
    <numFmt numFmtId="179" formatCode="0.000%"/>
    <numFmt numFmtId="180" formatCode="_(* #,##0_);_(* \(#,##0\);_(* &quot;-&quot;?_);_(@_)"/>
    <numFmt numFmtId="181" formatCode="_-* #,##0.000_-;\-* #,##0.000_-;_-* &quot;-&quot;??_-;_-@_-"/>
    <numFmt numFmtId="182" formatCode="0.0000"/>
    <numFmt numFmtId="183" formatCode="0.000E+00"/>
    <numFmt numFmtId="184" formatCode="#,##0.000"/>
    <numFmt numFmtId="185" formatCode="0.000"/>
  </numFmts>
  <fonts count="45"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b/>
      <sz val="11"/>
      <color theme="1"/>
      <name val="Calibri"/>
      <family val="2"/>
      <scheme val="minor"/>
    </font>
    <font>
      <sz val="10"/>
      <color rgb="FFC00000"/>
      <name val="Times New Roman"/>
      <family val="1"/>
    </font>
    <font>
      <i/>
      <sz val="10"/>
      <color rgb="FFC00000"/>
      <name val="Times New Roman"/>
      <family val="1"/>
    </font>
    <font>
      <b/>
      <sz val="11"/>
      <name val="Arial"/>
      <family val="2"/>
    </font>
    <font>
      <b/>
      <sz val="9"/>
      <color theme="0"/>
      <name val="Arial"/>
      <family val="2"/>
    </font>
    <font>
      <sz val="10"/>
      <color rgb="FFFF0000"/>
      <name val="Arial"/>
      <family val="2"/>
    </font>
    <font>
      <b/>
      <sz val="10"/>
      <name val="Arial"/>
      <family val="2"/>
    </font>
    <font>
      <b/>
      <sz val="10"/>
      <name val="Times New Roman"/>
      <family val="1"/>
    </font>
    <font>
      <b/>
      <sz val="12"/>
      <name val="Arial"/>
      <family val="2"/>
    </font>
    <font>
      <sz val="10"/>
      <color rgb="FFFF0000"/>
      <name val="Times New Roman"/>
      <family val="1"/>
    </font>
    <font>
      <sz val="10"/>
      <color rgb="FF000000"/>
      <name val="Times New Roman"/>
      <family val="1"/>
    </font>
    <font>
      <sz val="10"/>
      <color theme="1"/>
      <name val="Times New Roman"/>
      <family val="1"/>
    </font>
    <font>
      <sz val="8"/>
      <name val="Times New Roman"/>
      <family val="1"/>
    </font>
    <font>
      <b/>
      <sz val="11"/>
      <color rgb="FF000000"/>
      <name val="Arial"/>
      <family val="2"/>
    </font>
    <font>
      <sz val="11"/>
      <color rgb="FF000000"/>
      <name val="Arial"/>
      <family val="2"/>
    </font>
    <font>
      <sz val="11"/>
      <name val="Arial"/>
      <family val="2"/>
    </font>
    <font>
      <i/>
      <sz val="10"/>
      <name val="Times New Roman"/>
      <family val="1"/>
    </font>
    <font>
      <sz val="11"/>
      <name val="Calibri"/>
      <family val="2"/>
      <scheme val="minor"/>
    </font>
    <font>
      <b/>
      <sz val="11"/>
      <color theme="1"/>
      <name val="Arial"/>
      <family val="2"/>
    </font>
    <font>
      <b/>
      <sz val="10"/>
      <color theme="1"/>
      <name val="Times New Roman"/>
      <family val="1"/>
    </font>
    <font>
      <sz val="11"/>
      <color theme="1"/>
      <name val="Arial"/>
      <family val="2"/>
    </font>
    <font>
      <b/>
      <sz val="12"/>
      <color theme="1"/>
      <name val="Arial"/>
      <family val="2"/>
    </font>
    <font>
      <b/>
      <sz val="10"/>
      <color theme="1"/>
      <name val="Arial"/>
      <family val="2"/>
    </font>
    <font>
      <sz val="11"/>
      <color indexed="8"/>
      <name val="Calibri"/>
      <family val="2"/>
    </font>
    <font>
      <sz val="10"/>
      <color theme="1"/>
      <name val="Arial"/>
      <family val="2"/>
    </font>
    <font>
      <sz val="10"/>
      <color rgb="FF000000"/>
      <name val="Arial"/>
      <family val="2"/>
    </font>
    <font>
      <u/>
      <sz val="11"/>
      <color theme="10"/>
      <name val="Calibri"/>
      <family val="2"/>
      <scheme val="minor"/>
    </font>
    <font>
      <sz val="10"/>
      <color theme="4"/>
      <name val="Times New Roman"/>
      <family val="1"/>
    </font>
    <font>
      <u/>
      <sz val="11"/>
      <color theme="10"/>
      <name val="Arial"/>
      <family val="2"/>
    </font>
    <font>
      <i/>
      <sz val="11"/>
      <color theme="1"/>
      <name val="Arial"/>
      <family val="2"/>
    </font>
    <font>
      <b/>
      <i/>
      <sz val="11"/>
      <color theme="1"/>
      <name val="Arial"/>
      <family val="2"/>
    </font>
    <font>
      <sz val="11"/>
      <color theme="1"/>
      <name val="Arial"/>
      <family val="2"/>
    </font>
    <font>
      <sz val="11"/>
      <color rgb="FF000000"/>
      <name val="Arial"/>
      <family val="2"/>
    </font>
    <font>
      <b/>
      <sz val="11"/>
      <color rgb="FF000000"/>
      <name val="Arial"/>
      <family val="2"/>
    </font>
    <font>
      <sz val="10"/>
      <name val="Arial"/>
      <family val="2"/>
    </font>
    <font>
      <b/>
      <sz val="10"/>
      <color rgb="FF000000"/>
      <name val="Arial"/>
      <family val="2"/>
    </font>
    <font>
      <sz val="11"/>
      <color rgb="FFFF0000"/>
      <name val="Calibri"/>
      <family val="2"/>
      <scheme val="minor"/>
    </font>
    <font>
      <i/>
      <sz val="10"/>
      <color rgb="FFFF0000"/>
      <name val="Arial"/>
      <family val="2"/>
    </font>
  </fonts>
  <fills count="1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rgb="FFC9A4E4"/>
        <bgColor indexed="64"/>
      </patternFill>
    </fill>
    <fill>
      <patternFill patternType="solid">
        <fgColor theme="8" tint="0.79998168889431442"/>
        <bgColor indexed="64"/>
      </patternFill>
    </fill>
    <fill>
      <patternFill patternType="solid">
        <fgColor rgb="FFD9E2F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DDEBF7"/>
        <bgColor indexed="64"/>
      </patternFill>
    </fill>
  </fills>
  <borders count="59">
    <border>
      <left/>
      <right/>
      <top/>
      <bottom/>
      <diagonal/>
    </border>
    <border>
      <left style="thin">
        <color theme="0"/>
      </left>
      <right/>
      <top style="thin">
        <color theme="0"/>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thin">
        <color indexed="64"/>
      </bottom>
      <diagonal/>
    </border>
    <border>
      <left/>
      <right style="medium">
        <color rgb="FF000000"/>
      </right>
      <top style="medium">
        <color indexed="64"/>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top/>
      <bottom/>
      <diagonal/>
    </border>
  </borders>
  <cellStyleXfs count="20">
    <xf numFmtId="0" fontId="0" fillId="0" borderId="0"/>
    <xf numFmtId="166" fontId="5" fillId="0" borderId="0" applyFont="0" applyFill="0" applyBorder="0" applyAlignment="0" applyProtection="0"/>
    <xf numFmtId="0" fontId="4" fillId="0" borderId="0"/>
    <xf numFmtId="9" fontId="5" fillId="0" borderId="0" applyFont="0" applyFill="0" applyBorder="0" applyAlignment="0" applyProtection="0"/>
    <xf numFmtId="0" fontId="6" fillId="0" borderId="0"/>
    <xf numFmtId="0" fontId="3"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2" fillId="0" borderId="0"/>
    <xf numFmtId="0" fontId="1" fillId="0" borderId="0"/>
    <xf numFmtId="166" fontId="30"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166" fontId="5" fillId="0" borderId="0" applyFont="0" applyFill="0" applyBorder="0" applyAlignment="0" applyProtection="0"/>
  </cellStyleXfs>
  <cellXfs count="509">
    <xf numFmtId="0" fontId="0" fillId="0" borderId="0" xfId="0"/>
    <xf numFmtId="0" fontId="6" fillId="0" borderId="0" xfId="0" applyFont="1"/>
    <xf numFmtId="166" fontId="6" fillId="0" borderId="0" xfId="1" applyFont="1"/>
    <xf numFmtId="0" fontId="6" fillId="0" borderId="0" xfId="1" applyNumberFormat="1" applyFont="1"/>
    <xf numFmtId="3" fontId="6" fillId="0" borderId="0" xfId="0" applyNumberFormat="1" applyFont="1"/>
    <xf numFmtId="166" fontId="6" fillId="2" borderId="0" xfId="1" applyFont="1" applyFill="1"/>
    <xf numFmtId="0" fontId="6" fillId="3" borderId="0" xfId="0" applyFont="1" applyFill="1"/>
    <xf numFmtId="167" fontId="6" fillId="0" borderId="0" xfId="1" quotePrefix="1" applyNumberFormat="1" applyFont="1"/>
    <xf numFmtId="167" fontId="6" fillId="0" borderId="0" xfId="1" applyNumberFormat="1" applyFont="1"/>
    <xf numFmtId="167" fontId="6" fillId="0" borderId="0" xfId="1" applyNumberFormat="1" applyFont="1" applyFill="1"/>
    <xf numFmtId="2" fontId="0" fillId="0" borderId="0" xfId="0" applyNumberFormat="1"/>
    <xf numFmtId="0" fontId="8" fillId="0" borderId="0" xfId="0" applyFont="1"/>
    <xf numFmtId="0" fontId="9" fillId="0" borderId="0" xfId="0" applyFont="1"/>
    <xf numFmtId="2" fontId="9" fillId="0" borderId="0" xfId="0" applyNumberFormat="1" applyFont="1"/>
    <xf numFmtId="168" fontId="9" fillId="0" borderId="0" xfId="0" applyNumberFormat="1" applyFont="1"/>
    <xf numFmtId="0" fontId="10" fillId="0" borderId="0" xfId="0" applyFont="1"/>
    <xf numFmtId="0" fontId="0" fillId="0" borderId="0" xfId="0" applyAlignment="1">
      <alignment horizontal="center"/>
    </xf>
    <xf numFmtId="167" fontId="0" fillId="0" borderId="0" xfId="1" applyNumberFormat="1" applyFont="1"/>
    <xf numFmtId="167" fontId="0" fillId="0" borderId="0" xfId="0" applyNumberFormat="1"/>
    <xf numFmtId="0" fontId="6" fillId="0" borderId="0" xfId="4"/>
    <xf numFmtId="0" fontId="11" fillId="4" borderId="1" xfId="0" applyFont="1" applyFill="1" applyBorder="1" applyAlignment="1" applyProtection="1">
      <alignment horizontal="center" vertical="center" wrapText="1"/>
      <protection locked="0"/>
    </xf>
    <xf numFmtId="168" fontId="0" fillId="0" borderId="0" xfId="0" applyNumberFormat="1"/>
    <xf numFmtId="171" fontId="0" fillId="0" borderId="0" xfId="0" applyNumberFormat="1"/>
    <xf numFmtId="0" fontId="6" fillId="6" borderId="0" xfId="0" applyFont="1" applyFill="1"/>
    <xf numFmtId="0" fontId="6" fillId="7" borderId="0" xfId="0" applyFont="1" applyFill="1"/>
    <xf numFmtId="0" fontId="6" fillId="8" borderId="0" xfId="0" applyFont="1" applyFill="1"/>
    <xf numFmtId="11" fontId="0" fillId="0" borderId="0" xfId="0" applyNumberFormat="1"/>
    <xf numFmtId="166" fontId="0" fillId="0" borderId="0" xfId="0" applyNumberFormat="1"/>
    <xf numFmtId="14" fontId="0" fillId="0" borderId="0" xfId="0" applyNumberFormat="1"/>
    <xf numFmtId="170" fontId="0" fillId="0" borderId="0" xfId="3" applyNumberFormat="1" applyFont="1"/>
    <xf numFmtId="10" fontId="0" fillId="0" borderId="0" xfId="3" applyNumberFormat="1" applyFont="1"/>
    <xf numFmtId="9" fontId="0" fillId="0" borderId="0" xfId="3" applyFont="1"/>
    <xf numFmtId="170" fontId="0" fillId="0" borderId="0" xfId="0" applyNumberFormat="1"/>
    <xf numFmtId="167" fontId="8" fillId="0" borderId="0" xfId="0" applyNumberFormat="1" applyFont="1"/>
    <xf numFmtId="0" fontId="6" fillId="5" borderId="0" xfId="4" applyFill="1" applyAlignment="1">
      <alignment horizontal="right" wrapText="1"/>
    </xf>
    <xf numFmtId="0" fontId="6" fillId="5" borderId="0" xfId="4" applyFill="1" applyAlignment="1">
      <alignment horizontal="right"/>
    </xf>
    <xf numFmtId="0" fontId="6" fillId="5" borderId="0" xfId="4" applyFill="1"/>
    <xf numFmtId="3" fontId="6" fillId="5" borderId="0" xfId="4" applyNumberFormat="1" applyFill="1"/>
    <xf numFmtId="3" fontId="12" fillId="5" borderId="0" xfId="4" applyNumberFormat="1" applyFont="1" applyFill="1"/>
    <xf numFmtId="0" fontId="12" fillId="5" borderId="0" xfId="4" applyFont="1" applyFill="1"/>
    <xf numFmtId="0" fontId="6" fillId="0" borderId="0" xfId="4" applyAlignment="1">
      <alignment horizontal="right"/>
    </xf>
    <xf numFmtId="3" fontId="6" fillId="0" borderId="0" xfId="4" applyNumberFormat="1"/>
    <xf numFmtId="10" fontId="6" fillId="0" borderId="0" xfId="7" applyNumberFormat="1" applyFont="1"/>
    <xf numFmtId="170" fontId="6" fillId="0" borderId="0" xfId="4" applyNumberFormat="1"/>
    <xf numFmtId="0" fontId="12" fillId="0" borderId="0" xfId="4" applyFont="1"/>
    <xf numFmtId="3" fontId="12" fillId="0" borderId="0" xfId="4" applyNumberFormat="1" applyFont="1"/>
    <xf numFmtId="10" fontId="12" fillId="0" borderId="0" xfId="7" applyNumberFormat="1" applyFont="1"/>
    <xf numFmtId="0" fontId="6" fillId="0" borderId="0" xfId="4" applyAlignment="1">
      <alignment horizontal="center"/>
    </xf>
    <xf numFmtId="3" fontId="0" fillId="0" borderId="0" xfId="0" applyNumberFormat="1"/>
    <xf numFmtId="0" fontId="13" fillId="0" borderId="0" xfId="4" applyFont="1" applyAlignment="1">
      <alignment horizontal="center"/>
    </xf>
    <xf numFmtId="171" fontId="6" fillId="0" borderId="0" xfId="4" applyNumberFormat="1"/>
    <xf numFmtId="172" fontId="0" fillId="0" borderId="0" xfId="8" applyNumberFormat="1" applyFont="1"/>
    <xf numFmtId="173" fontId="12" fillId="0" borderId="0" xfId="8" applyNumberFormat="1" applyFont="1"/>
    <xf numFmtId="167" fontId="12" fillId="0" borderId="0" xfId="1" applyNumberFormat="1" applyFont="1"/>
    <xf numFmtId="0" fontId="15" fillId="5" borderId="0" xfId="4" applyFont="1" applyFill="1"/>
    <xf numFmtId="0" fontId="13" fillId="9" borderId="19" xfId="4" applyFont="1" applyFill="1" applyBorder="1"/>
    <xf numFmtId="0" fontId="13" fillId="9" borderId="5" xfId="4" applyFont="1" applyFill="1" applyBorder="1" applyAlignment="1">
      <alignment vertical="center"/>
    </xf>
    <xf numFmtId="0" fontId="13" fillId="9" borderId="20" xfId="4" applyFont="1" applyFill="1" applyBorder="1" applyAlignment="1">
      <alignment vertical="center"/>
    </xf>
    <xf numFmtId="0" fontId="13" fillId="5" borderId="21" xfId="4" applyFont="1" applyFill="1" applyBorder="1" applyAlignment="1">
      <alignment horizontal="center"/>
    </xf>
    <xf numFmtId="3" fontId="6" fillId="5" borderId="22" xfId="4" applyNumberFormat="1" applyFill="1" applyBorder="1"/>
    <xf numFmtId="0" fontId="13" fillId="5" borderId="23" xfId="4" applyFont="1" applyFill="1" applyBorder="1" applyAlignment="1">
      <alignment horizontal="center"/>
    </xf>
    <xf numFmtId="0" fontId="13" fillId="9" borderId="24" xfId="4" applyFont="1" applyFill="1" applyBorder="1" applyAlignment="1">
      <alignment horizontal="center"/>
    </xf>
    <xf numFmtId="3" fontId="6" fillId="9" borderId="3" xfId="4" applyNumberFormat="1" applyFill="1" applyBorder="1"/>
    <xf numFmtId="3" fontId="6" fillId="9" borderId="25" xfId="4" applyNumberFormat="1" applyFill="1" applyBorder="1"/>
    <xf numFmtId="0" fontId="13" fillId="9" borderId="5" xfId="4" applyFont="1" applyFill="1" applyBorder="1" applyAlignment="1">
      <alignment horizontal="center" vertical="center" wrapText="1"/>
    </xf>
    <xf numFmtId="0" fontId="13" fillId="9" borderId="20" xfId="4" applyFont="1" applyFill="1" applyBorder="1" applyAlignment="1">
      <alignment horizontal="center" vertical="center" wrapText="1"/>
    </xf>
    <xf numFmtId="167" fontId="6" fillId="0" borderId="0" xfId="0" applyNumberFormat="1" applyFont="1"/>
    <xf numFmtId="0" fontId="0" fillId="0" borderId="0" xfId="0" applyAlignment="1">
      <alignment horizontal="right"/>
    </xf>
    <xf numFmtId="0" fontId="16" fillId="0" borderId="0" xfId="0" applyFont="1"/>
    <xf numFmtId="0" fontId="14" fillId="0" borderId="0" xfId="0" applyFont="1"/>
    <xf numFmtId="167" fontId="14" fillId="0" borderId="0" xfId="1" applyNumberFormat="1" applyFont="1"/>
    <xf numFmtId="167" fontId="14" fillId="0" borderId="0" xfId="0" applyNumberFormat="1" applyFont="1"/>
    <xf numFmtId="9" fontId="0" fillId="0" borderId="0" xfId="0" applyNumberFormat="1"/>
    <xf numFmtId="0" fontId="14" fillId="0" borderId="0" xfId="0" applyFont="1" applyAlignment="1">
      <alignment horizontal="center"/>
    </xf>
    <xf numFmtId="0" fontId="14" fillId="0" borderId="0" xfId="0" applyFont="1" applyAlignment="1">
      <alignment horizontal="right"/>
    </xf>
    <xf numFmtId="0" fontId="13" fillId="9" borderId="19" xfId="4" applyFont="1" applyFill="1" applyBorder="1" applyAlignment="1">
      <alignment horizontal="center"/>
    </xf>
    <xf numFmtId="166" fontId="0" fillId="0" borderId="0" xfId="1" applyFont="1"/>
    <xf numFmtId="175" fontId="0" fillId="0" borderId="0" xfId="10" applyNumberFormat="1" applyFont="1"/>
    <xf numFmtId="167" fontId="17" fillId="0" borderId="0" xfId="1" applyNumberFormat="1" applyFont="1" applyBorder="1" applyAlignment="1">
      <alignment horizontal="right" vertical="center"/>
    </xf>
    <xf numFmtId="175" fontId="0" fillId="0" borderId="0" xfId="0" applyNumberFormat="1"/>
    <xf numFmtId="3" fontId="6" fillId="6" borderId="0" xfId="4" applyNumberFormat="1" applyFill="1"/>
    <xf numFmtId="0" fontId="0" fillId="6" borderId="0" xfId="0" applyFill="1"/>
    <xf numFmtId="10" fontId="0" fillId="0" borderId="0" xfId="0" applyNumberFormat="1"/>
    <xf numFmtId="0" fontId="20" fillId="10" borderId="27" xfId="0" applyFont="1" applyFill="1" applyBorder="1" applyAlignment="1">
      <alignment horizontal="center" vertical="center" wrapText="1"/>
    </xf>
    <xf numFmtId="0" fontId="20" fillId="10" borderId="28" xfId="0"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22" fillId="10" borderId="25" xfId="0" applyFont="1" applyFill="1" applyBorder="1" applyAlignment="1">
      <alignment horizontal="center" vertical="center" wrapText="1"/>
    </xf>
    <xf numFmtId="0" fontId="21" fillId="10" borderId="25" xfId="0" applyFont="1" applyFill="1" applyBorder="1" applyAlignment="1">
      <alignment horizontal="center" vertical="center" wrapText="1"/>
    </xf>
    <xf numFmtId="0" fontId="21" fillId="0" borderId="29" xfId="0" applyFont="1" applyBorder="1" applyAlignment="1">
      <alignment vertical="center" wrapText="1"/>
    </xf>
    <xf numFmtId="0" fontId="21" fillId="0" borderId="25" xfId="0" applyFont="1" applyBorder="1" applyAlignment="1">
      <alignment vertical="center" wrapText="1"/>
    </xf>
    <xf numFmtId="164" fontId="21" fillId="0" borderId="25" xfId="0" applyNumberFormat="1" applyFont="1" applyBorder="1" applyAlignment="1">
      <alignment horizontal="right" vertical="center" wrapText="1"/>
    </xf>
    <xf numFmtId="3" fontId="21" fillId="0" borderId="25" xfId="0" applyNumberFormat="1" applyFont="1" applyBorder="1" applyAlignment="1">
      <alignment horizontal="right" vertical="center" wrapText="1"/>
    </xf>
    <xf numFmtId="0" fontId="20" fillId="0" borderId="29" xfId="0" applyFont="1" applyBorder="1" applyAlignment="1">
      <alignment vertical="center" wrapText="1"/>
    </xf>
    <xf numFmtId="164" fontId="20" fillId="0" borderId="25" xfId="0" applyNumberFormat="1" applyFont="1" applyBorder="1" applyAlignment="1">
      <alignment horizontal="right" vertical="center" wrapText="1"/>
    </xf>
    <xf numFmtId="0" fontId="21" fillId="0" borderId="25" xfId="0" applyFont="1" applyBorder="1" applyAlignment="1">
      <alignment horizontal="right" vertical="center" wrapText="1"/>
    </xf>
    <xf numFmtId="176" fontId="21" fillId="0" borderId="25" xfId="0" applyNumberFormat="1" applyFont="1" applyBorder="1" applyAlignment="1">
      <alignment horizontal="right" vertical="center" wrapText="1"/>
    </xf>
    <xf numFmtId="0" fontId="21" fillId="0" borderId="0" xfId="0" applyFont="1" applyAlignment="1">
      <alignment vertical="center" wrapText="1"/>
    </xf>
    <xf numFmtId="0" fontId="6" fillId="5" borderId="0" xfId="4" applyFill="1" applyAlignment="1">
      <alignment horizontal="center"/>
    </xf>
    <xf numFmtId="169" fontId="0" fillId="0" borderId="0" xfId="1" applyNumberFormat="1" applyFont="1"/>
    <xf numFmtId="169" fontId="0" fillId="0" borderId="0" xfId="0" applyNumberFormat="1"/>
    <xf numFmtId="167" fontId="23" fillId="0" borderId="0" xfId="1" applyNumberFormat="1" applyFont="1"/>
    <xf numFmtId="17" fontId="6" fillId="0" borderId="0" xfId="0" applyNumberFormat="1" applyFont="1"/>
    <xf numFmtId="167" fontId="6" fillId="2" borderId="0" xfId="1" applyNumberFormat="1" applyFont="1" applyFill="1"/>
    <xf numFmtId="0" fontId="0" fillId="0" borderId="0" xfId="0" applyAlignment="1">
      <alignment wrapText="1"/>
    </xf>
    <xf numFmtId="0" fontId="0" fillId="0" borderId="0" xfId="0" applyAlignment="1">
      <alignment horizontal="center" vertical="center" wrapText="1"/>
    </xf>
    <xf numFmtId="172" fontId="0" fillId="0" borderId="0" xfId="1" applyNumberFormat="1" applyFont="1"/>
    <xf numFmtId="0" fontId="24" fillId="0" borderId="0" xfId="0" applyFont="1"/>
    <xf numFmtId="167" fontId="24" fillId="0" borderId="0" xfId="1" applyNumberFormat="1" applyFont="1"/>
    <xf numFmtId="0" fontId="6" fillId="2" borderId="0" xfId="0" applyFont="1" applyFill="1"/>
    <xf numFmtId="166" fontId="6" fillId="11" borderId="0" xfId="1" applyFont="1" applyFill="1"/>
    <xf numFmtId="166" fontId="6" fillId="12" borderId="0" xfId="1" applyFont="1" applyFill="1"/>
    <xf numFmtId="167" fontId="6" fillId="12" borderId="0" xfId="1" applyNumberFormat="1" applyFont="1" applyFill="1"/>
    <xf numFmtId="167" fontId="6" fillId="13" borderId="0" xfId="1" applyNumberFormat="1" applyFont="1" applyFill="1"/>
    <xf numFmtId="166" fontId="6" fillId="13" borderId="0" xfId="1" applyFont="1" applyFill="1"/>
    <xf numFmtId="166" fontId="6" fillId="14" borderId="0" xfId="1" applyFont="1" applyFill="1"/>
    <xf numFmtId="167" fontId="0" fillId="0" borderId="0" xfId="1" applyNumberFormat="1" applyFont="1" applyFill="1"/>
    <xf numFmtId="17" fontId="8" fillId="0" borderId="0" xfId="0" applyNumberFormat="1" applyFont="1"/>
    <xf numFmtId="167" fontId="8" fillId="0" borderId="0" xfId="1" applyNumberFormat="1" applyFont="1" applyFill="1"/>
    <xf numFmtId="15" fontId="0" fillId="0" borderId="0" xfId="0" applyNumberFormat="1" applyAlignment="1">
      <alignment horizontal="center"/>
    </xf>
    <xf numFmtId="4" fontId="0" fillId="0" borderId="0" xfId="0" applyNumberFormat="1"/>
    <xf numFmtId="0" fontId="26" fillId="0" borderId="0" xfId="0" applyFont="1" applyAlignment="1">
      <alignment horizontal="center"/>
    </xf>
    <xf numFmtId="170" fontId="0" fillId="0" borderId="0" xfId="0" applyNumberFormat="1" applyAlignment="1">
      <alignment horizontal="center"/>
    </xf>
    <xf numFmtId="0" fontId="0" fillId="0" borderId="0" xfId="4" applyFont="1" applyAlignment="1">
      <alignment horizontal="center"/>
    </xf>
    <xf numFmtId="4" fontId="0" fillId="0" borderId="0" xfId="0" applyNumberFormat="1" applyAlignment="1">
      <alignment horizontal="center"/>
    </xf>
    <xf numFmtId="170" fontId="0" fillId="0" borderId="0" xfId="4" applyNumberFormat="1" applyFont="1" applyAlignment="1">
      <alignment horizontal="center"/>
    </xf>
    <xf numFmtId="167" fontId="0" fillId="0" borderId="0" xfId="0" applyNumberFormat="1" applyAlignment="1">
      <alignment horizontal="center"/>
    </xf>
    <xf numFmtId="172" fontId="0" fillId="0" borderId="0" xfId="0" applyNumberFormat="1"/>
    <xf numFmtId="0" fontId="27" fillId="0" borderId="0" xfId="12" applyFont="1"/>
    <xf numFmtId="0" fontId="28" fillId="0" borderId="0" xfId="12" applyFont="1"/>
    <xf numFmtId="0" fontId="6" fillId="0" borderId="0" xfId="12" applyFont="1"/>
    <xf numFmtId="0" fontId="29" fillId="0" borderId="0" xfId="12" applyFont="1"/>
    <xf numFmtId="0" fontId="29" fillId="0" borderId="0" xfId="12" applyFont="1" applyAlignment="1">
      <alignment horizontal="center"/>
    </xf>
    <xf numFmtId="0" fontId="6" fillId="0" borderId="0" xfId="12" applyFont="1" applyAlignment="1">
      <alignment horizontal="center"/>
    </xf>
    <xf numFmtId="1" fontId="6" fillId="0" borderId="0" xfId="12" applyNumberFormat="1" applyFont="1"/>
    <xf numFmtId="1" fontId="27" fillId="0" borderId="0" xfId="13" applyNumberFormat="1" applyFont="1"/>
    <xf numFmtId="10" fontId="6" fillId="0" borderId="0" xfId="12" applyNumberFormat="1" applyFont="1" applyAlignment="1">
      <alignment horizontal="center"/>
    </xf>
    <xf numFmtId="10" fontId="27" fillId="0" borderId="0" xfId="12" applyNumberFormat="1" applyFont="1"/>
    <xf numFmtId="10" fontId="6" fillId="0" borderId="0" xfId="12" applyNumberFormat="1" applyFont="1"/>
    <xf numFmtId="167" fontId="27" fillId="0" borderId="0" xfId="14" applyNumberFormat="1" applyFont="1"/>
    <xf numFmtId="0" fontId="6" fillId="15" borderId="0" xfId="12" applyFont="1" applyFill="1"/>
    <xf numFmtId="1" fontId="6" fillId="15" borderId="0" xfId="12" applyNumberFormat="1" applyFont="1" applyFill="1"/>
    <xf numFmtId="0" fontId="13" fillId="0" borderId="0" xfId="12" applyFont="1"/>
    <xf numFmtId="169" fontId="13" fillId="0" borderId="0" xfId="13" applyNumberFormat="1" applyFont="1"/>
    <xf numFmtId="167" fontId="13" fillId="0" borderId="0" xfId="12" applyNumberFormat="1" applyFont="1"/>
    <xf numFmtId="178" fontId="13" fillId="0" borderId="0" xfId="13" applyNumberFormat="1" applyFont="1"/>
    <xf numFmtId="0" fontId="6" fillId="0" borderId="30" xfId="12" applyFont="1" applyBorder="1"/>
    <xf numFmtId="0" fontId="6" fillId="0" borderId="31" xfId="12" applyFont="1" applyBorder="1"/>
    <xf numFmtId="0" fontId="6" fillId="0" borderId="32" xfId="12" applyFont="1" applyBorder="1"/>
    <xf numFmtId="0" fontId="27" fillId="0" borderId="30" xfId="12" applyFont="1" applyBorder="1"/>
    <xf numFmtId="0" fontId="27" fillId="0" borderId="31" xfId="12" applyFont="1" applyBorder="1"/>
    <xf numFmtId="167" fontId="27" fillId="0" borderId="31" xfId="14" applyNumberFormat="1" applyFont="1" applyBorder="1"/>
    <xf numFmtId="167" fontId="27" fillId="0" borderId="32" xfId="14" applyNumberFormat="1" applyFont="1" applyBorder="1"/>
    <xf numFmtId="0" fontId="27" fillId="0" borderId="33" xfId="12" applyFont="1" applyBorder="1"/>
    <xf numFmtId="167" fontId="27" fillId="0" borderId="0" xfId="14" applyNumberFormat="1" applyFont="1" applyBorder="1"/>
    <xf numFmtId="167" fontId="27" fillId="0" borderId="34" xfId="14" applyNumberFormat="1" applyFont="1" applyBorder="1"/>
    <xf numFmtId="0" fontId="13" fillId="0" borderId="33" xfId="12" applyFont="1" applyBorder="1"/>
    <xf numFmtId="0" fontId="13" fillId="0" borderId="0" xfId="14" applyNumberFormat="1" applyFont="1" applyBorder="1"/>
    <xf numFmtId="0" fontId="13" fillId="0" borderId="34" xfId="12" applyFont="1" applyBorder="1" applyAlignment="1">
      <alignment horizontal="center"/>
    </xf>
    <xf numFmtId="0" fontId="6" fillId="0" borderId="33" xfId="12" applyFont="1" applyBorder="1"/>
    <xf numFmtId="167" fontId="6" fillId="0" borderId="0" xfId="14" applyNumberFormat="1" applyFont="1" applyBorder="1" applyAlignment="1">
      <alignment vertical="top" wrapText="1"/>
    </xf>
    <xf numFmtId="167" fontId="13" fillId="0" borderId="34" xfId="12" applyNumberFormat="1" applyFont="1" applyBorder="1"/>
    <xf numFmtId="0" fontId="6" fillId="0" borderId="33" xfId="12" applyFont="1" applyBorder="1" applyAlignment="1">
      <alignment horizontal="right"/>
    </xf>
    <xf numFmtId="167" fontId="31" fillId="0" borderId="0" xfId="14" applyNumberFormat="1" applyFont="1" applyBorder="1"/>
    <xf numFmtId="0" fontId="27" fillId="0" borderId="33" xfId="12" applyFont="1" applyBorder="1" applyAlignment="1">
      <alignment horizontal="right"/>
    </xf>
    <xf numFmtId="10" fontId="6" fillId="0" borderId="0" xfId="15" applyNumberFormat="1" applyFont="1" applyBorder="1"/>
    <xf numFmtId="10" fontId="13" fillId="0" borderId="34" xfId="15" applyNumberFormat="1" applyFont="1" applyBorder="1"/>
    <xf numFmtId="10" fontId="13" fillId="0" borderId="0" xfId="15" applyNumberFormat="1" applyFont="1"/>
    <xf numFmtId="0" fontId="13" fillId="0" borderId="34" xfId="12" applyFont="1" applyBorder="1"/>
    <xf numFmtId="0" fontId="6" fillId="0" borderId="34" xfId="12" applyFont="1" applyBorder="1"/>
    <xf numFmtId="0" fontId="6" fillId="0" borderId="33" xfId="12" applyFont="1" applyBorder="1" applyAlignment="1">
      <alignment horizontal="center"/>
    </xf>
    <xf numFmtId="0" fontId="27" fillId="0" borderId="34" xfId="12" applyFont="1" applyBorder="1"/>
    <xf numFmtId="172" fontId="27" fillId="0" borderId="0" xfId="16" applyNumberFormat="1" applyFont="1" applyBorder="1"/>
    <xf numFmtId="172" fontId="27" fillId="0" borderId="34" xfId="12" applyNumberFormat="1" applyFont="1" applyBorder="1"/>
    <xf numFmtId="167" fontId="13" fillId="0" borderId="33" xfId="12" applyNumberFormat="1" applyFont="1" applyBorder="1"/>
    <xf numFmtId="10" fontId="13" fillId="0" borderId="33" xfId="15" applyNumberFormat="1" applyFont="1" applyBorder="1"/>
    <xf numFmtId="167" fontId="27" fillId="0" borderId="0" xfId="12" applyNumberFormat="1" applyFont="1"/>
    <xf numFmtId="167" fontId="27" fillId="0" borderId="34" xfId="12" applyNumberFormat="1" applyFont="1" applyBorder="1"/>
    <xf numFmtId="0" fontId="25" fillId="0" borderId="0" xfId="12" applyFont="1"/>
    <xf numFmtId="172" fontId="31" fillId="0" borderId="0" xfId="16" applyNumberFormat="1" applyFont="1" applyBorder="1"/>
    <xf numFmtId="10" fontId="13" fillId="0" borderId="0" xfId="15" applyNumberFormat="1" applyFont="1" applyFill="1" applyBorder="1"/>
    <xf numFmtId="0" fontId="6" fillId="0" borderId="35" xfId="12" applyFont="1" applyBorder="1"/>
    <xf numFmtId="0" fontId="6" fillId="0" borderId="9" xfId="12" applyFont="1" applyBorder="1"/>
    <xf numFmtId="0" fontId="6" fillId="0" borderId="36" xfId="12" applyFont="1" applyBorder="1"/>
    <xf numFmtId="0" fontId="27" fillId="0" borderId="35" xfId="12" applyFont="1" applyBorder="1"/>
    <xf numFmtId="0" fontId="13" fillId="0" borderId="9" xfId="12" applyFont="1" applyBorder="1"/>
    <xf numFmtId="167" fontId="13" fillId="0" borderId="9" xfId="12" applyNumberFormat="1" applyFont="1" applyBorder="1"/>
    <xf numFmtId="167" fontId="13" fillId="0" borderId="36" xfId="12" applyNumberFormat="1" applyFont="1" applyBorder="1"/>
    <xf numFmtId="0" fontId="27" fillId="0" borderId="32" xfId="12" applyFont="1" applyBorder="1"/>
    <xf numFmtId="0" fontId="29" fillId="0" borderId="31" xfId="12" applyFont="1" applyBorder="1"/>
    <xf numFmtId="170" fontId="27" fillId="0" borderId="0" xfId="17" applyNumberFormat="1" applyFont="1" applyFill="1" applyBorder="1"/>
    <xf numFmtId="9" fontId="27" fillId="0" borderId="34" xfId="15" applyFont="1" applyBorder="1"/>
    <xf numFmtId="168" fontId="31" fillId="0" borderId="0" xfId="12" applyNumberFormat="1" applyFont="1" applyAlignment="1">
      <alignment horizontal="center"/>
    </xf>
    <xf numFmtId="167" fontId="6" fillId="0" borderId="0" xfId="14" applyNumberFormat="1" applyFont="1" applyBorder="1"/>
    <xf numFmtId="0" fontId="6" fillId="15" borderId="33" xfId="12" applyFont="1" applyFill="1" applyBorder="1"/>
    <xf numFmtId="167" fontId="6" fillId="15" borderId="0" xfId="14" applyNumberFormat="1" applyFont="1" applyFill="1" applyBorder="1"/>
    <xf numFmtId="9" fontId="27" fillId="0" borderId="0" xfId="12" applyNumberFormat="1" applyFont="1"/>
    <xf numFmtId="0" fontId="27" fillId="0" borderId="9" xfId="12" applyFont="1" applyBorder="1"/>
    <xf numFmtId="0" fontId="27" fillId="0" borderId="36" xfId="12" applyFont="1" applyBorder="1"/>
    <xf numFmtId="172" fontId="27" fillId="0" borderId="0" xfId="16" applyNumberFormat="1" applyFont="1"/>
    <xf numFmtId="10" fontId="27" fillId="0" borderId="0" xfId="17" applyNumberFormat="1" applyFont="1"/>
    <xf numFmtId="167" fontId="27" fillId="0" borderId="9" xfId="12" applyNumberFormat="1" applyFont="1" applyBorder="1"/>
    <xf numFmtId="10" fontId="25" fillId="0" borderId="0" xfId="17" applyNumberFormat="1" applyFont="1"/>
    <xf numFmtId="167" fontId="33" fillId="0" borderId="0" xfId="18" applyNumberFormat="1"/>
    <xf numFmtId="167" fontId="27" fillId="0" borderId="0" xfId="13" applyNumberFormat="1" applyFont="1"/>
    <xf numFmtId="3" fontId="27" fillId="0" borderId="0" xfId="12" applyNumberFormat="1" applyFont="1"/>
    <xf numFmtId="0" fontId="1" fillId="0" borderId="0" xfId="12"/>
    <xf numFmtId="17" fontId="0" fillId="0" borderId="0" xfId="0" applyNumberFormat="1"/>
    <xf numFmtId="167" fontId="0" fillId="0" borderId="0" xfId="13" applyNumberFormat="1" applyFont="1" applyFill="1"/>
    <xf numFmtId="17" fontId="0" fillId="0" borderId="0" xfId="4" applyNumberFormat="1" applyFont="1" applyAlignment="1">
      <alignment horizontal="center"/>
    </xf>
    <xf numFmtId="10" fontId="0" fillId="0" borderId="0" xfId="4" applyNumberFormat="1" applyFont="1" applyAlignment="1">
      <alignment horizontal="center"/>
    </xf>
    <xf numFmtId="167" fontId="18" fillId="0" borderId="0" xfId="13" applyNumberFormat="1" applyFont="1" applyFill="1"/>
    <xf numFmtId="167" fontId="8" fillId="0" borderId="0" xfId="13" applyNumberFormat="1" applyFont="1" applyFill="1"/>
    <xf numFmtId="167" fontId="32" fillId="0" borderId="0" xfId="1" applyNumberFormat="1" applyFont="1" applyAlignment="1">
      <alignment horizontal="right" vertical="center"/>
    </xf>
    <xf numFmtId="167" fontId="27" fillId="0" borderId="0" xfId="1" applyNumberFormat="1" applyFont="1"/>
    <xf numFmtId="2" fontId="0" fillId="0" borderId="0" xfId="1" applyNumberFormat="1" applyFont="1"/>
    <xf numFmtId="2" fontId="34" fillId="0" borderId="0" xfId="0" applyNumberFormat="1" applyFont="1"/>
    <xf numFmtId="169" fontId="34" fillId="0" borderId="0" xfId="1" applyNumberFormat="1" applyFont="1"/>
    <xf numFmtId="2" fontId="34" fillId="0" borderId="0" xfId="1" applyNumberFormat="1" applyFont="1"/>
    <xf numFmtId="0" fontId="1" fillId="0" borderId="30" xfId="12" applyBorder="1"/>
    <xf numFmtId="0" fontId="1" fillId="0" borderId="31" xfId="12" applyBorder="1"/>
    <xf numFmtId="0" fontId="1" fillId="0" borderId="32" xfId="12" applyBorder="1"/>
    <xf numFmtId="0" fontId="1" fillId="0" borderId="30" xfId="12" applyBorder="1" applyAlignment="1">
      <alignment wrapText="1"/>
    </xf>
    <xf numFmtId="0" fontId="1" fillId="0" borderId="31" xfId="12" applyBorder="1" applyAlignment="1">
      <alignment wrapText="1"/>
    </xf>
    <xf numFmtId="0" fontId="1" fillId="0" borderId="31" xfId="12" applyBorder="1" applyAlignment="1">
      <alignment vertical="center" wrapText="1"/>
    </xf>
    <xf numFmtId="0" fontId="1" fillId="0" borderId="32" xfId="12" applyBorder="1" applyAlignment="1">
      <alignment horizontal="center" vertical="center" wrapText="1"/>
    </xf>
    <xf numFmtId="0" fontId="1" fillId="0" borderId="0" xfId="12" applyAlignment="1">
      <alignment wrapText="1"/>
    </xf>
    <xf numFmtId="0" fontId="1" fillId="0" borderId="32" xfId="12" applyBorder="1" applyAlignment="1">
      <alignment wrapText="1"/>
    </xf>
    <xf numFmtId="0" fontId="1" fillId="0" borderId="30" xfId="12" applyBorder="1" applyAlignment="1">
      <alignment vertical="center" wrapText="1"/>
    </xf>
    <xf numFmtId="0" fontId="1" fillId="0" borderId="33" xfId="12" applyBorder="1"/>
    <xf numFmtId="3" fontId="1" fillId="0" borderId="0" xfId="12" applyNumberFormat="1"/>
    <xf numFmtId="0" fontId="1" fillId="0" borderId="34" xfId="12" applyBorder="1"/>
    <xf numFmtId="17" fontId="1" fillId="0" borderId="33" xfId="12" applyNumberFormat="1" applyBorder="1"/>
    <xf numFmtId="1" fontId="1" fillId="0" borderId="0" xfId="12" applyNumberFormat="1"/>
    <xf numFmtId="17" fontId="1" fillId="0" borderId="34" xfId="12" applyNumberFormat="1" applyBorder="1"/>
    <xf numFmtId="167" fontId="0" fillId="0" borderId="33" xfId="13" applyNumberFormat="1" applyFont="1" applyBorder="1"/>
    <xf numFmtId="167" fontId="0" fillId="0" borderId="0" xfId="13" applyNumberFormat="1" applyFont="1" applyBorder="1"/>
    <xf numFmtId="167" fontId="0" fillId="0" borderId="34" xfId="13" applyNumberFormat="1" applyFont="1" applyBorder="1"/>
    <xf numFmtId="0" fontId="1" fillId="0" borderId="35" xfId="12" applyBorder="1"/>
    <xf numFmtId="0" fontId="1" fillId="0" borderId="9" xfId="12" applyBorder="1"/>
    <xf numFmtId="3" fontId="1" fillId="0" borderId="9" xfId="12" applyNumberFormat="1" applyBorder="1"/>
    <xf numFmtId="0" fontId="1" fillId="0" borderId="36" xfId="12" applyBorder="1"/>
    <xf numFmtId="0" fontId="7" fillId="0" borderId="0" xfId="12" applyFont="1"/>
    <xf numFmtId="167" fontId="7" fillId="0" borderId="0" xfId="13" applyNumberFormat="1" applyFont="1" applyFill="1"/>
    <xf numFmtId="17" fontId="1" fillId="0" borderId="35" xfId="12" applyNumberFormat="1" applyBorder="1"/>
    <xf numFmtId="1" fontId="1" fillId="0" borderId="9" xfId="12" applyNumberFormat="1" applyBorder="1"/>
    <xf numFmtId="17" fontId="1" fillId="0" borderId="36" xfId="12" applyNumberFormat="1" applyBorder="1"/>
    <xf numFmtId="167" fontId="0" fillId="0" borderId="35" xfId="13" applyNumberFormat="1" applyFont="1" applyBorder="1"/>
    <xf numFmtId="167" fontId="0" fillId="0" borderId="9" xfId="13" applyNumberFormat="1" applyFont="1" applyBorder="1"/>
    <xf numFmtId="167" fontId="0" fillId="0" borderId="36" xfId="13" applyNumberFormat="1" applyFont="1" applyBorder="1"/>
    <xf numFmtId="0" fontId="6" fillId="5" borderId="0" xfId="4" applyFill="1" applyAlignment="1">
      <alignment horizontal="center" wrapText="1"/>
    </xf>
    <xf numFmtId="0" fontId="13" fillId="9" borderId="19" xfId="4" applyFont="1" applyFill="1" applyBorder="1" applyAlignment="1">
      <alignment horizontal="center" vertical="center"/>
    </xf>
    <xf numFmtId="181" fontId="0" fillId="0" borderId="0" xfId="1" applyNumberFormat="1" applyFont="1"/>
    <xf numFmtId="182" fontId="0" fillId="0" borderId="0" xfId="0" applyNumberFormat="1"/>
    <xf numFmtId="1" fontId="0" fillId="0" borderId="0" xfId="0" applyNumberFormat="1"/>
    <xf numFmtId="183" fontId="0" fillId="0" borderId="0" xfId="0" applyNumberFormat="1"/>
    <xf numFmtId="0" fontId="27" fillId="0" borderId="0" xfId="5" applyFont="1"/>
    <xf numFmtId="0" fontId="27" fillId="0" borderId="0" xfId="5" applyFont="1" applyAlignment="1">
      <alignment horizontal="right"/>
    </xf>
    <xf numFmtId="3" fontId="27" fillId="0" borderId="0" xfId="5" applyNumberFormat="1" applyFont="1"/>
    <xf numFmtId="170" fontId="27" fillId="0" borderId="0" xfId="5" applyNumberFormat="1" applyFont="1"/>
    <xf numFmtId="0" fontId="22" fillId="0" borderId="0" xfId="0" applyFont="1"/>
    <xf numFmtId="0" fontId="22" fillId="0" borderId="0" xfId="5" applyFont="1" applyAlignment="1">
      <alignment horizontal="right"/>
    </xf>
    <xf numFmtId="170" fontId="22" fillId="0" borderId="0" xfId="6" applyNumberFormat="1" applyFont="1"/>
    <xf numFmtId="171" fontId="6" fillId="0" borderId="0" xfId="4" applyNumberFormat="1" applyAlignment="1">
      <alignment horizontal="center"/>
    </xf>
    <xf numFmtId="0" fontId="0" fillId="0" borderId="31" xfId="0" applyBorder="1" applyAlignment="1">
      <alignment wrapText="1"/>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167" fontId="6" fillId="0" borderId="0" xfId="13" applyNumberFormat="1" applyFont="1"/>
    <xf numFmtId="166" fontId="6" fillId="0" borderId="0" xfId="13" applyFont="1"/>
    <xf numFmtId="167" fontId="27" fillId="0" borderId="0" xfId="12" applyNumberFormat="1" applyFont="1" applyAlignment="1">
      <alignment horizontal="left"/>
    </xf>
    <xf numFmtId="170" fontId="6" fillId="0" borderId="0" xfId="17" applyNumberFormat="1" applyFont="1" applyBorder="1"/>
    <xf numFmtId="170" fontId="6" fillId="0" borderId="34" xfId="17" applyNumberFormat="1" applyFont="1" applyBorder="1"/>
    <xf numFmtId="170" fontId="6" fillId="0" borderId="9" xfId="17" applyNumberFormat="1" applyFont="1" applyBorder="1"/>
    <xf numFmtId="170" fontId="6" fillId="0" borderId="36" xfId="17" applyNumberFormat="1" applyFont="1" applyBorder="1"/>
    <xf numFmtId="0" fontId="35" fillId="0" borderId="0" xfId="18" applyFont="1"/>
    <xf numFmtId="10" fontId="6" fillId="0" borderId="0" xfId="17" applyNumberFormat="1" applyFont="1"/>
    <xf numFmtId="0" fontId="27" fillId="0" borderId="0" xfId="12" applyFont="1" applyAlignment="1">
      <alignment horizontal="left"/>
    </xf>
    <xf numFmtId="0" fontId="27" fillId="0" borderId="12" xfId="12" applyFont="1" applyBorder="1"/>
    <xf numFmtId="0" fontId="27" fillId="0" borderId="0" xfId="12" applyFont="1" applyAlignment="1">
      <alignment horizontal="center"/>
    </xf>
    <xf numFmtId="0" fontId="25" fillId="0" borderId="0" xfId="12" applyFont="1" applyAlignment="1">
      <alignment vertical="center"/>
    </xf>
    <xf numFmtId="169" fontId="6" fillId="0" borderId="0" xfId="13" applyNumberFormat="1" applyFont="1"/>
    <xf numFmtId="169" fontId="6" fillId="16" borderId="0" xfId="13" applyNumberFormat="1" applyFont="1" applyFill="1"/>
    <xf numFmtId="167" fontId="6" fillId="16" borderId="0" xfId="13" applyNumberFormat="1" applyFont="1" applyFill="1"/>
    <xf numFmtId="10" fontId="27" fillId="0" borderId="0" xfId="12" applyNumberFormat="1" applyFont="1" applyAlignment="1">
      <alignment horizontal="left"/>
    </xf>
    <xf numFmtId="43" fontId="27" fillId="0" borderId="0" xfId="12" applyNumberFormat="1" applyFont="1"/>
    <xf numFmtId="0" fontId="25" fillId="0" borderId="31" xfId="12" applyFont="1" applyBorder="1" applyAlignment="1">
      <alignment vertical="center"/>
    </xf>
    <xf numFmtId="167" fontId="6" fillId="0" borderId="31" xfId="13" applyNumberFormat="1" applyFont="1" applyBorder="1"/>
    <xf numFmtId="169" fontId="6" fillId="0" borderId="31" xfId="13" applyNumberFormat="1" applyFont="1" applyBorder="1"/>
    <xf numFmtId="167" fontId="27" fillId="14" borderId="31" xfId="12" applyNumberFormat="1" applyFont="1" applyFill="1" applyBorder="1"/>
    <xf numFmtId="167" fontId="27" fillId="14" borderId="32" xfId="12" applyNumberFormat="1" applyFont="1" applyFill="1" applyBorder="1"/>
    <xf numFmtId="167" fontId="6" fillId="0" borderId="0" xfId="13" applyNumberFormat="1" applyFont="1" applyBorder="1"/>
    <xf numFmtId="167" fontId="6" fillId="0" borderId="0" xfId="13" applyNumberFormat="1" applyFont="1" applyFill="1" applyBorder="1"/>
    <xf numFmtId="167" fontId="6" fillId="0" borderId="34" xfId="13" applyNumberFormat="1" applyFont="1" applyFill="1" applyBorder="1"/>
    <xf numFmtId="167" fontId="6" fillId="0" borderId="34" xfId="13" applyNumberFormat="1" applyFont="1" applyBorder="1"/>
    <xf numFmtId="0" fontId="25" fillId="0" borderId="9" xfId="12" applyFont="1" applyBorder="1" applyAlignment="1">
      <alignment vertical="center"/>
    </xf>
    <xf numFmtId="167" fontId="6" fillId="0" borderId="9" xfId="13" applyNumberFormat="1" applyFont="1" applyBorder="1"/>
    <xf numFmtId="167" fontId="6" fillId="0" borderId="36" xfId="13" applyNumberFormat="1" applyFont="1" applyBorder="1"/>
    <xf numFmtId="169" fontId="27" fillId="0" borderId="0" xfId="12" applyNumberFormat="1" applyFont="1"/>
    <xf numFmtId="166" fontId="27" fillId="0" borderId="0" xfId="12" applyNumberFormat="1" applyFont="1"/>
    <xf numFmtId="9" fontId="27" fillId="0" borderId="0" xfId="12" applyNumberFormat="1" applyFont="1" applyAlignment="1">
      <alignment horizontal="left"/>
    </xf>
    <xf numFmtId="169" fontId="27" fillId="0" borderId="34" xfId="12" applyNumberFormat="1" applyFont="1" applyBorder="1"/>
    <xf numFmtId="166" fontId="27" fillId="0" borderId="31" xfId="12" applyNumberFormat="1" applyFont="1" applyBorder="1"/>
    <xf numFmtId="169" fontId="27" fillId="0" borderId="31" xfId="12" applyNumberFormat="1" applyFont="1" applyBorder="1"/>
    <xf numFmtId="170" fontId="6" fillId="0" borderId="0" xfId="17" applyNumberFormat="1" applyFont="1"/>
    <xf numFmtId="170" fontId="6" fillId="0" borderId="0" xfId="17" applyNumberFormat="1" applyFont="1" applyFill="1"/>
    <xf numFmtId="170" fontId="27" fillId="0" borderId="0" xfId="12" applyNumberFormat="1" applyFont="1"/>
    <xf numFmtId="179" fontId="6" fillId="0" borderId="0" xfId="17" applyNumberFormat="1" applyFont="1" applyAlignment="1">
      <alignment horizontal="center"/>
    </xf>
    <xf numFmtId="167" fontId="25" fillId="0" borderId="0" xfId="12" applyNumberFormat="1" applyFont="1"/>
    <xf numFmtId="9" fontId="6" fillId="0" borderId="0" xfId="17" applyFont="1"/>
    <xf numFmtId="0" fontId="27" fillId="0" borderId="13" xfId="12" applyFont="1" applyBorder="1"/>
    <xf numFmtId="43" fontId="27" fillId="0" borderId="32" xfId="12" applyNumberFormat="1" applyFont="1" applyBorder="1"/>
    <xf numFmtId="167" fontId="27" fillId="0" borderId="33" xfId="12" applyNumberFormat="1" applyFont="1" applyBorder="1"/>
    <xf numFmtId="10" fontId="27" fillId="0" borderId="12" xfId="12" applyNumberFormat="1" applyFont="1" applyBorder="1"/>
    <xf numFmtId="167" fontId="27" fillId="0" borderId="35" xfId="12" applyNumberFormat="1" applyFont="1" applyBorder="1"/>
    <xf numFmtId="167" fontId="27" fillId="0" borderId="36" xfId="12" applyNumberFormat="1" applyFont="1" applyBorder="1"/>
    <xf numFmtId="170" fontId="6" fillId="0" borderId="30" xfId="17" applyNumberFormat="1" applyFont="1" applyBorder="1"/>
    <xf numFmtId="170" fontId="6" fillId="0" borderId="31" xfId="17" applyNumberFormat="1" applyFont="1" applyBorder="1"/>
    <xf numFmtId="170" fontId="6" fillId="0" borderId="32" xfId="17" applyNumberFormat="1" applyFont="1" applyBorder="1"/>
    <xf numFmtId="170" fontId="6" fillId="0" borderId="33" xfId="17" applyNumberFormat="1" applyFont="1" applyBorder="1"/>
    <xf numFmtId="170" fontId="6" fillId="0" borderId="35" xfId="17" applyNumberFormat="1" applyFont="1" applyBorder="1"/>
    <xf numFmtId="167" fontId="27" fillId="0" borderId="12" xfId="12" applyNumberFormat="1" applyFont="1" applyBorder="1"/>
    <xf numFmtId="0" fontId="25" fillId="0" borderId="35" xfId="12" applyFont="1" applyBorder="1"/>
    <xf numFmtId="167" fontId="25" fillId="0" borderId="12" xfId="12" applyNumberFormat="1" applyFont="1" applyBorder="1"/>
    <xf numFmtId="169" fontId="27" fillId="0" borderId="12" xfId="12" applyNumberFormat="1" applyFont="1" applyBorder="1"/>
    <xf numFmtId="166" fontId="27" fillId="0" borderId="12" xfId="12" applyNumberFormat="1" applyFont="1" applyBorder="1"/>
    <xf numFmtId="0" fontId="36" fillId="0" borderId="12" xfId="12" applyFont="1" applyBorder="1"/>
    <xf numFmtId="167" fontId="36" fillId="0" borderId="12" xfId="12" applyNumberFormat="1" applyFont="1" applyBorder="1"/>
    <xf numFmtId="170" fontId="36" fillId="0" borderId="12" xfId="12" applyNumberFormat="1" applyFont="1" applyBorder="1"/>
    <xf numFmtId="170" fontId="27" fillId="0" borderId="12" xfId="12" applyNumberFormat="1" applyFont="1" applyBorder="1"/>
    <xf numFmtId="10" fontId="36" fillId="0" borderId="12" xfId="12" applyNumberFormat="1" applyFont="1" applyBorder="1"/>
    <xf numFmtId="172" fontId="27" fillId="0" borderId="12" xfId="12" applyNumberFormat="1" applyFont="1" applyBorder="1"/>
    <xf numFmtId="177" fontId="27" fillId="0" borderId="12" xfId="12" applyNumberFormat="1" applyFont="1" applyBorder="1"/>
    <xf numFmtId="167" fontId="37" fillId="0" borderId="12" xfId="12" applyNumberFormat="1" applyFont="1" applyBorder="1"/>
    <xf numFmtId="169" fontId="36" fillId="0" borderId="12" xfId="12" applyNumberFormat="1" applyFont="1" applyBorder="1"/>
    <xf numFmtId="172" fontId="27" fillId="0" borderId="0" xfId="12" applyNumberFormat="1" applyFont="1"/>
    <xf numFmtId="172" fontId="6" fillId="0" borderId="0" xfId="13" applyNumberFormat="1" applyFont="1"/>
    <xf numFmtId="9" fontId="6" fillId="0" borderId="0" xfId="17" applyFont="1" applyAlignment="1">
      <alignment horizontal="center"/>
    </xf>
    <xf numFmtId="172" fontId="25" fillId="0" borderId="0" xfId="12" applyNumberFormat="1" applyFont="1"/>
    <xf numFmtId="9" fontId="27" fillId="0" borderId="0" xfId="12" applyNumberFormat="1" applyFont="1" applyAlignment="1">
      <alignment horizontal="center"/>
    </xf>
    <xf numFmtId="0" fontId="27" fillId="0" borderId="0" xfId="12" quotePrefix="1" applyFont="1"/>
    <xf numFmtId="168" fontId="27" fillId="0" borderId="0" xfId="12" applyNumberFormat="1" applyFont="1"/>
    <xf numFmtId="180" fontId="27" fillId="0" borderId="0" xfId="12" applyNumberFormat="1" applyFont="1"/>
    <xf numFmtId="167" fontId="25" fillId="0" borderId="0" xfId="13" applyNumberFormat="1" applyFont="1"/>
    <xf numFmtId="167" fontId="25" fillId="0" borderId="0" xfId="13" applyNumberFormat="1" applyFont="1" applyFill="1"/>
    <xf numFmtId="169" fontId="25" fillId="0" borderId="0" xfId="13" applyNumberFormat="1" applyFont="1"/>
    <xf numFmtId="170" fontId="25" fillId="0" borderId="0" xfId="12" applyNumberFormat="1" applyFont="1"/>
    <xf numFmtId="167" fontId="6" fillId="0" borderId="0" xfId="13" applyNumberFormat="1" applyFont="1" applyFill="1"/>
    <xf numFmtId="0" fontId="6" fillId="0" borderId="0" xfId="13" applyNumberFormat="1" applyFont="1"/>
    <xf numFmtId="0" fontId="27" fillId="0" borderId="0" xfId="12" applyFont="1" applyAlignment="1">
      <alignment vertical="center"/>
    </xf>
    <xf numFmtId="0" fontId="27" fillId="5" borderId="0" xfId="12" applyFont="1" applyFill="1"/>
    <xf numFmtId="0" fontId="27" fillId="5" borderId="33" xfId="12" applyFont="1" applyFill="1" applyBorder="1"/>
    <xf numFmtId="0" fontId="27" fillId="5" borderId="34" xfId="12" applyFont="1" applyFill="1" applyBorder="1"/>
    <xf numFmtId="0" fontId="27" fillId="5" borderId="30" xfId="12" applyFont="1" applyFill="1" applyBorder="1"/>
    <xf numFmtId="0" fontId="27" fillId="5" borderId="31" xfId="12" applyFont="1" applyFill="1" applyBorder="1"/>
    <xf numFmtId="167" fontId="6" fillId="5" borderId="30" xfId="13" applyNumberFormat="1" applyFont="1" applyFill="1" applyBorder="1"/>
    <xf numFmtId="167" fontId="6" fillId="5" borderId="32" xfId="13" applyNumberFormat="1" applyFont="1" applyFill="1" applyBorder="1"/>
    <xf numFmtId="167" fontId="6" fillId="5" borderId="0" xfId="13" applyNumberFormat="1" applyFont="1" applyFill="1" applyBorder="1"/>
    <xf numFmtId="167" fontId="6" fillId="5" borderId="33" xfId="13" applyNumberFormat="1" applyFont="1" applyFill="1" applyBorder="1"/>
    <xf numFmtId="167" fontId="6" fillId="5" borderId="34" xfId="13" applyNumberFormat="1" applyFont="1" applyFill="1" applyBorder="1"/>
    <xf numFmtId="0" fontId="27" fillId="5" borderId="35" xfId="12" applyFont="1" applyFill="1" applyBorder="1"/>
    <xf numFmtId="0" fontId="25" fillId="5" borderId="9" xfId="12" applyFont="1" applyFill="1" applyBorder="1"/>
    <xf numFmtId="167" fontId="25" fillId="5" borderId="35" xfId="12" applyNumberFormat="1" applyFont="1" applyFill="1" applyBorder="1"/>
    <xf numFmtId="167" fontId="25" fillId="5" borderId="36" xfId="12" applyNumberFormat="1" applyFont="1" applyFill="1" applyBorder="1"/>
    <xf numFmtId="167" fontId="25" fillId="5" borderId="0" xfId="12" applyNumberFormat="1" applyFont="1" applyFill="1"/>
    <xf numFmtId="0" fontId="25" fillId="5" borderId="33" xfId="12" applyFont="1" applyFill="1" applyBorder="1"/>
    <xf numFmtId="10" fontId="27" fillId="0" borderId="0" xfId="3" applyNumberFormat="1" applyFont="1"/>
    <xf numFmtId="0" fontId="6" fillId="0" borderId="0" xfId="4" applyAlignment="1">
      <alignment wrapText="1"/>
    </xf>
    <xf numFmtId="0" fontId="13" fillId="17" borderId="5" xfId="4" applyFont="1" applyFill="1" applyBorder="1" applyAlignment="1">
      <alignment vertical="center"/>
    </xf>
    <xf numFmtId="0" fontId="38" fillId="0" borderId="0" xfId="12" applyFont="1"/>
    <xf numFmtId="0" fontId="39" fillId="17" borderId="11" xfId="12" applyFont="1" applyFill="1" applyBorder="1" applyAlignment="1">
      <alignment horizontal="center" vertical="center"/>
    </xf>
    <xf numFmtId="0" fontId="40" fillId="17" borderId="12" xfId="12" applyFont="1" applyFill="1" applyBorder="1" applyAlignment="1">
      <alignment horizontal="center" vertical="center"/>
    </xf>
    <xf numFmtId="0" fontId="40" fillId="17" borderId="12" xfId="12" applyFont="1" applyFill="1" applyBorder="1" applyAlignment="1">
      <alignment horizontal="center" vertical="center" wrapText="1"/>
    </xf>
    <xf numFmtId="0" fontId="40" fillId="17" borderId="15" xfId="12" applyFont="1" applyFill="1" applyBorder="1" applyAlignment="1">
      <alignment horizontal="center" vertical="center"/>
    </xf>
    <xf numFmtId="0" fontId="40" fillId="17" borderId="12" xfId="12" applyFont="1" applyFill="1" applyBorder="1" applyAlignment="1">
      <alignment horizontal="center"/>
    </xf>
    <xf numFmtId="0" fontId="40" fillId="17" borderId="15" xfId="12" applyFont="1" applyFill="1" applyBorder="1" applyAlignment="1">
      <alignment horizontal="center"/>
    </xf>
    <xf numFmtId="0" fontId="40" fillId="17" borderId="41" xfId="12" applyFont="1" applyFill="1" applyBorder="1" applyAlignment="1">
      <alignment horizontal="center" vertical="center" wrapText="1"/>
    </xf>
    <xf numFmtId="0" fontId="40" fillId="17" borderId="42" xfId="12" applyFont="1" applyFill="1" applyBorder="1" applyAlignment="1">
      <alignment horizontal="center" vertical="center"/>
    </xf>
    <xf numFmtId="0" fontId="38" fillId="0" borderId="11" xfId="12" applyFont="1" applyBorder="1" applyAlignment="1">
      <alignment vertical="center" wrapText="1"/>
    </xf>
    <xf numFmtId="167" fontId="38" fillId="0" borderId="12" xfId="13" applyNumberFormat="1" applyFont="1" applyFill="1" applyBorder="1" applyAlignment="1">
      <alignment horizontal="right" vertical="center"/>
    </xf>
    <xf numFmtId="0" fontId="41" fillId="0" borderId="12" xfId="4" applyFont="1" applyBorder="1" applyAlignment="1">
      <alignment horizontal="right" vertical="center"/>
    </xf>
    <xf numFmtId="167" fontId="38" fillId="0" borderId="12" xfId="13" applyNumberFormat="1" applyFont="1" applyBorder="1" applyAlignment="1">
      <alignment horizontal="right" vertical="center"/>
    </xf>
    <xf numFmtId="169" fontId="41" fillId="0" borderId="12" xfId="13" applyNumberFormat="1" applyFont="1" applyBorder="1" applyAlignment="1">
      <alignment vertical="center"/>
    </xf>
    <xf numFmtId="167" fontId="38" fillId="0" borderId="15" xfId="13" applyNumberFormat="1" applyFont="1" applyBorder="1" applyAlignment="1">
      <alignment vertical="center"/>
    </xf>
    <xf numFmtId="167" fontId="38" fillId="0" borderId="43" xfId="13" applyNumberFormat="1" applyFont="1" applyFill="1" applyBorder="1" applyAlignment="1">
      <alignment horizontal="right" vertical="center"/>
    </xf>
    <xf numFmtId="167" fontId="38" fillId="0" borderId="44" xfId="13" applyNumberFormat="1" applyFont="1" applyFill="1" applyBorder="1" applyAlignment="1">
      <alignment horizontal="right" vertical="center"/>
    </xf>
    <xf numFmtId="172" fontId="41" fillId="0" borderId="0" xfId="16" applyNumberFormat="1" applyFont="1"/>
    <xf numFmtId="0" fontId="38" fillId="0" borderId="21" xfId="12" applyFont="1" applyBorder="1" applyAlignment="1">
      <alignment vertical="center" wrapText="1"/>
    </xf>
    <xf numFmtId="0" fontId="42" fillId="17" borderId="16" xfId="12" applyFont="1" applyFill="1" applyBorder="1" applyAlignment="1">
      <alignment wrapText="1"/>
    </xf>
    <xf numFmtId="167" fontId="42" fillId="17" borderId="17" xfId="12" applyNumberFormat="1" applyFont="1" applyFill="1" applyBorder="1"/>
    <xf numFmtId="0" fontId="42" fillId="17" borderId="17" xfId="4" applyFont="1" applyFill="1" applyBorder="1"/>
    <xf numFmtId="167" fontId="42" fillId="17" borderId="17" xfId="13" applyNumberFormat="1" applyFont="1" applyFill="1" applyBorder="1"/>
    <xf numFmtId="169" fontId="42" fillId="17" borderId="17" xfId="13" applyNumberFormat="1" applyFont="1" applyFill="1" applyBorder="1"/>
    <xf numFmtId="167" fontId="42" fillId="17" borderId="18" xfId="13" applyNumberFormat="1" applyFont="1" applyFill="1" applyBorder="1" applyAlignment="1">
      <alignment vertical="top"/>
    </xf>
    <xf numFmtId="0" fontId="41" fillId="0" borderId="0" xfId="4" applyFont="1"/>
    <xf numFmtId="0" fontId="39" fillId="17" borderId="50" xfId="12" applyFont="1" applyFill="1" applyBorder="1" applyAlignment="1">
      <alignment vertical="center"/>
    </xf>
    <xf numFmtId="0" fontId="39" fillId="17" borderId="52" xfId="12" applyFont="1" applyFill="1" applyBorder="1" applyAlignment="1">
      <alignment vertical="center" wrapText="1"/>
    </xf>
    <xf numFmtId="0" fontId="40" fillId="17" borderId="11" xfId="12" applyFont="1" applyFill="1" applyBorder="1" applyAlignment="1">
      <alignment horizontal="center" vertical="center" wrapText="1"/>
    </xf>
    <xf numFmtId="0" fontId="40" fillId="17" borderId="15" xfId="12" applyFont="1" applyFill="1" applyBorder="1" applyAlignment="1">
      <alignment horizontal="center" vertical="center" wrapText="1"/>
    </xf>
    <xf numFmtId="0" fontId="40" fillId="17" borderId="44" xfId="12" applyFont="1" applyFill="1" applyBorder="1" applyAlignment="1">
      <alignment horizontal="center" vertical="center" wrapText="1"/>
    </xf>
    <xf numFmtId="0" fontId="38" fillId="0" borderId="52" xfId="12" applyFont="1" applyBorder="1" applyAlignment="1">
      <alignment vertical="center" wrapText="1"/>
    </xf>
    <xf numFmtId="167" fontId="38" fillId="0" borderId="11" xfId="12" applyNumberFormat="1" applyFont="1" applyBorder="1" applyAlignment="1">
      <alignment vertical="top"/>
    </xf>
    <xf numFmtId="167" fontId="41" fillId="0" borderId="12" xfId="4" applyNumberFormat="1" applyFont="1" applyBorder="1"/>
    <xf numFmtId="170" fontId="41" fillId="0" borderId="12" xfId="17" applyNumberFormat="1" applyFont="1" applyBorder="1" applyAlignment="1">
      <alignment vertical="top"/>
    </xf>
    <xf numFmtId="167" fontId="38" fillId="0" borderId="12" xfId="12" applyNumberFormat="1" applyFont="1" applyBorder="1" applyAlignment="1">
      <alignment vertical="top"/>
    </xf>
    <xf numFmtId="167" fontId="38" fillId="0" borderId="15" xfId="12" applyNumberFormat="1" applyFont="1" applyBorder="1" applyAlignment="1">
      <alignment vertical="top"/>
    </xf>
    <xf numFmtId="167" fontId="38" fillId="0" borderId="44" xfId="12" applyNumberFormat="1" applyFont="1" applyBorder="1" applyAlignment="1">
      <alignment vertical="top"/>
    </xf>
    <xf numFmtId="167" fontId="38" fillId="0" borderId="0" xfId="12" applyNumberFormat="1" applyFont="1"/>
    <xf numFmtId="0" fontId="38" fillId="0" borderId="53" xfId="12" applyFont="1" applyBorder="1" applyAlignment="1">
      <alignment vertical="center" wrapText="1"/>
    </xf>
    <xf numFmtId="167" fontId="38" fillId="0" borderId="21" xfId="12" applyNumberFormat="1" applyFont="1" applyBorder="1" applyAlignment="1">
      <alignment vertical="top"/>
    </xf>
    <xf numFmtId="167" fontId="38" fillId="0" borderId="37" xfId="12" applyNumberFormat="1" applyFont="1" applyBorder="1" applyAlignment="1">
      <alignment vertical="top"/>
    </xf>
    <xf numFmtId="167" fontId="38" fillId="0" borderId="38" xfId="12" applyNumberFormat="1" applyFont="1" applyBorder="1" applyAlignment="1">
      <alignment vertical="top"/>
    </xf>
    <xf numFmtId="167" fontId="38" fillId="0" borderId="54" xfId="12" applyNumberFormat="1" applyFont="1" applyBorder="1" applyAlignment="1">
      <alignment vertical="top"/>
    </xf>
    <xf numFmtId="0" fontId="40" fillId="17" borderId="55" xfId="12" applyFont="1" applyFill="1" applyBorder="1" applyAlignment="1">
      <alignment wrapText="1"/>
    </xf>
    <xf numFmtId="167" fontId="40" fillId="17" borderId="56" xfId="12" applyNumberFormat="1" applyFont="1" applyFill="1" applyBorder="1"/>
    <xf numFmtId="167" fontId="40" fillId="17" borderId="57" xfId="12" applyNumberFormat="1" applyFont="1" applyFill="1" applyBorder="1"/>
    <xf numFmtId="170" fontId="40" fillId="17" borderId="57" xfId="17" applyNumberFormat="1" applyFont="1" applyFill="1" applyBorder="1"/>
    <xf numFmtId="167" fontId="40" fillId="17" borderId="57" xfId="13" applyNumberFormat="1" applyFont="1" applyFill="1" applyBorder="1"/>
    <xf numFmtId="167" fontId="40" fillId="17" borderId="46" xfId="13" applyNumberFormat="1" applyFont="1" applyFill="1" applyBorder="1"/>
    <xf numFmtId="167" fontId="42" fillId="17" borderId="45" xfId="13" applyNumberFormat="1" applyFont="1" applyFill="1" applyBorder="1"/>
    <xf numFmtId="167" fontId="42" fillId="17" borderId="46" xfId="13" applyNumberFormat="1" applyFont="1" applyFill="1" applyBorder="1"/>
    <xf numFmtId="4" fontId="6" fillId="0" borderId="0" xfId="0" applyNumberFormat="1" applyFont="1"/>
    <xf numFmtId="167" fontId="0" fillId="7" borderId="0" xfId="13" applyNumberFormat="1" applyFont="1" applyFill="1"/>
    <xf numFmtId="167" fontId="0" fillId="7" borderId="0" xfId="1" applyNumberFormat="1" applyFont="1" applyFill="1"/>
    <xf numFmtId="15" fontId="26" fillId="7" borderId="0" xfId="0" applyNumberFormat="1" applyFont="1" applyFill="1" applyAlignment="1">
      <alignment horizontal="center" vertical="center"/>
    </xf>
    <xf numFmtId="170" fontId="0" fillId="7" borderId="0" xfId="0" applyNumberFormat="1" applyFill="1" applyAlignment="1">
      <alignment horizontal="center"/>
    </xf>
    <xf numFmtId="170" fontId="0" fillId="7" borderId="0" xfId="3" applyNumberFormat="1" applyFont="1" applyFill="1" applyAlignment="1">
      <alignment horizontal="center"/>
    </xf>
    <xf numFmtId="0" fontId="0" fillId="7" borderId="0" xfId="0" applyFill="1" applyAlignment="1">
      <alignment horizontal="center"/>
    </xf>
    <xf numFmtId="167" fontId="14" fillId="7" borderId="0" xfId="13" applyNumberFormat="1" applyFont="1" applyFill="1"/>
    <xf numFmtId="0" fontId="43" fillId="0" borderId="58" xfId="0" applyFont="1" applyBorder="1"/>
    <xf numFmtId="184" fontId="44" fillId="0" borderId="0" xfId="4" applyNumberFormat="1" applyFont="1" applyAlignment="1">
      <alignment horizontal="center"/>
    </xf>
    <xf numFmtId="0" fontId="43" fillId="0" borderId="0" xfId="0" applyFont="1"/>
    <xf numFmtId="169" fontId="16" fillId="0" borderId="0" xfId="1" applyNumberFormat="1" applyFont="1"/>
    <xf numFmtId="10" fontId="16" fillId="0" borderId="0" xfId="3" applyNumberFormat="1" applyFont="1"/>
    <xf numFmtId="0" fontId="31" fillId="0" borderId="0" xfId="4" applyFont="1"/>
    <xf numFmtId="3" fontId="31" fillId="0" borderId="0" xfId="4" applyNumberFormat="1" applyFont="1"/>
    <xf numFmtId="10" fontId="31" fillId="0" borderId="0" xfId="7" applyNumberFormat="1" applyFont="1"/>
    <xf numFmtId="0" fontId="18" fillId="0" borderId="0" xfId="0" applyFont="1"/>
    <xf numFmtId="0" fontId="25" fillId="0" borderId="33" xfId="0" applyFont="1" applyBorder="1"/>
    <xf numFmtId="0" fontId="25" fillId="0" borderId="0" xfId="0" applyFont="1"/>
    <xf numFmtId="0" fontId="25" fillId="0" borderId="34" xfId="0" applyFont="1" applyBorder="1"/>
    <xf numFmtId="0" fontId="6" fillId="0" borderId="33" xfId="0" applyFont="1" applyBorder="1"/>
    <xf numFmtId="172" fontId="6" fillId="0" borderId="0" xfId="1" applyNumberFormat="1" applyFont="1" applyBorder="1"/>
    <xf numFmtId="177" fontId="6" fillId="0" borderId="34" xfId="0" applyNumberFormat="1" applyFont="1" applyBorder="1"/>
    <xf numFmtId="0" fontId="6" fillId="0" borderId="34" xfId="0" applyFont="1" applyBorder="1"/>
    <xf numFmtId="177" fontId="6" fillId="0" borderId="36" xfId="0" applyNumberFormat="1" applyFont="1" applyBorder="1"/>
    <xf numFmtId="172" fontId="6" fillId="0" borderId="34" xfId="1" applyNumberFormat="1" applyFont="1" applyBorder="1" applyAlignment="1"/>
    <xf numFmtId="172" fontId="6" fillId="0" borderId="34" xfId="1" applyNumberFormat="1" applyFont="1" applyBorder="1"/>
    <xf numFmtId="172" fontId="6" fillId="0" borderId="0" xfId="0" applyNumberFormat="1" applyFont="1"/>
    <xf numFmtId="172" fontId="6" fillId="0" borderId="34" xfId="0" applyNumberFormat="1" applyFont="1" applyBorder="1"/>
    <xf numFmtId="2" fontId="6" fillId="0" borderId="34" xfId="0" applyNumberFormat="1" applyFont="1" applyBorder="1"/>
    <xf numFmtId="185" fontId="6" fillId="0" borderId="34" xfId="0" applyNumberFormat="1" applyFont="1" applyBorder="1"/>
    <xf numFmtId="0" fontId="6" fillId="0" borderId="35" xfId="0" applyFont="1" applyBorder="1"/>
    <xf numFmtId="0" fontId="6" fillId="0" borderId="9" xfId="0" applyFont="1" applyBorder="1"/>
    <xf numFmtId="2" fontId="6" fillId="0" borderId="36" xfId="0" applyNumberFormat="1" applyFont="1" applyBorder="1"/>
    <xf numFmtId="185" fontId="6" fillId="0" borderId="36" xfId="0" applyNumberFormat="1" applyFont="1" applyBorder="1"/>
    <xf numFmtId="185" fontId="41" fillId="0" borderId="12" xfId="4" applyNumberFormat="1" applyFont="1" applyBorder="1" applyAlignment="1">
      <alignment horizontal="right" vertical="center"/>
    </xf>
    <xf numFmtId="167" fontId="6" fillId="5" borderId="0" xfId="1" applyNumberFormat="1" applyFont="1" applyFill="1"/>
    <xf numFmtId="167" fontId="6" fillId="7" borderId="0" xfId="13" applyNumberFormat="1" applyFont="1" applyFill="1"/>
    <xf numFmtId="167" fontId="6" fillId="7" borderId="30" xfId="13" applyNumberFormat="1" applyFont="1" applyFill="1" applyBorder="1"/>
    <xf numFmtId="167" fontId="6" fillId="7" borderId="33" xfId="13" applyNumberFormat="1" applyFont="1" applyFill="1" applyBorder="1"/>
    <xf numFmtId="167" fontId="0" fillId="0" borderId="0" xfId="19" applyNumberFormat="1" applyFont="1"/>
    <xf numFmtId="0" fontId="27" fillId="0" borderId="0" xfId="5" applyFont="1" applyAlignment="1">
      <alignment horizontal="center"/>
    </xf>
    <xf numFmtId="0" fontId="27" fillId="0" borderId="0" xfId="5" applyFont="1"/>
    <xf numFmtId="0" fontId="1" fillId="0" borderId="0" xfId="12" applyAlignment="1">
      <alignment horizontal="center"/>
    </xf>
    <xf numFmtId="0" fontId="1" fillId="0" borderId="30" xfId="12" applyBorder="1" applyAlignment="1">
      <alignment horizontal="center"/>
    </xf>
    <xf numFmtId="0" fontId="1" fillId="0" borderId="31" xfId="12" applyBorder="1" applyAlignment="1">
      <alignment horizontal="center"/>
    </xf>
    <xf numFmtId="0" fontId="1" fillId="0" borderId="32" xfId="12" applyBorder="1" applyAlignment="1">
      <alignment horizontal="center"/>
    </xf>
    <xf numFmtId="0" fontId="27" fillId="0" borderId="0" xfId="12" applyFont="1" applyAlignment="1">
      <alignment horizontal="center" vertical="center" wrapText="1"/>
    </xf>
    <xf numFmtId="167" fontId="25" fillId="0" borderId="33" xfId="12" applyNumberFormat="1" applyFont="1" applyBorder="1" applyAlignment="1">
      <alignment horizontal="center"/>
    </xf>
    <xf numFmtId="167" fontId="25" fillId="0" borderId="0" xfId="12" applyNumberFormat="1" applyFont="1" applyAlignment="1">
      <alignment horizontal="center"/>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0" fontId="27" fillId="0" borderId="0" xfId="12" applyFont="1" applyAlignment="1">
      <alignment horizontal="center"/>
    </xf>
    <xf numFmtId="0" fontId="27" fillId="0" borderId="30" xfId="12" applyFont="1" applyBorder="1" applyAlignment="1">
      <alignment horizontal="center" vertical="center" wrapText="1"/>
    </xf>
    <xf numFmtId="0" fontId="27" fillId="0" borderId="33" xfId="12" applyFont="1" applyBorder="1" applyAlignment="1">
      <alignment horizontal="center" vertical="center" wrapText="1"/>
    </xf>
    <xf numFmtId="0" fontId="27" fillId="0" borderId="35" xfId="12" applyFont="1" applyBorder="1" applyAlignment="1">
      <alignment horizontal="center" vertical="center" wrapText="1"/>
    </xf>
    <xf numFmtId="10" fontId="6" fillId="0" borderId="0" xfId="17" applyNumberFormat="1" applyFont="1" applyAlignment="1">
      <alignment horizontal="center" vertical="center"/>
    </xf>
    <xf numFmtId="0" fontId="27" fillId="5" borderId="30" xfId="12" applyFont="1" applyFill="1" applyBorder="1" applyAlignment="1">
      <alignment horizontal="center"/>
    </xf>
    <xf numFmtId="0" fontId="27" fillId="5" borderId="32" xfId="12" applyFont="1" applyFill="1" applyBorder="1" applyAlignment="1">
      <alignment horizontal="center"/>
    </xf>
    <xf numFmtId="0" fontId="6" fillId="5" borderId="0" xfId="4" applyFill="1" applyAlignment="1">
      <alignment horizontal="center"/>
    </xf>
    <xf numFmtId="0" fontId="6" fillId="0" borderId="0" xfId="4" applyAlignment="1">
      <alignment horizontal="center" wrapText="1"/>
    </xf>
    <xf numFmtId="0" fontId="6" fillId="0" borderId="0" xfId="4" applyAlignment="1">
      <alignment horizontal="center"/>
    </xf>
    <xf numFmtId="0" fontId="0" fillId="0" borderId="0" xfId="0" applyAlignment="1">
      <alignment horizontal="center"/>
    </xf>
    <xf numFmtId="0" fontId="40" fillId="17" borderId="39" xfId="12" applyFont="1" applyFill="1" applyBorder="1" applyAlignment="1">
      <alignment horizontal="center" vertical="center" wrapText="1"/>
    </xf>
    <xf numFmtId="0" fontId="40" fillId="17" borderId="40" xfId="12" applyFont="1" applyFill="1" applyBorder="1" applyAlignment="1">
      <alignment horizontal="center" vertical="center" wrapText="1"/>
    </xf>
    <xf numFmtId="0" fontId="40" fillId="17" borderId="47" xfId="12" applyFont="1" applyFill="1" applyBorder="1" applyAlignment="1">
      <alignment horizontal="center"/>
    </xf>
    <xf numFmtId="0" fontId="40" fillId="17" borderId="48" xfId="12" applyFont="1" applyFill="1" applyBorder="1" applyAlignment="1">
      <alignment horizontal="center"/>
    </xf>
    <xf numFmtId="0" fontId="40" fillId="17" borderId="49" xfId="12" applyFont="1" applyFill="1" applyBorder="1" applyAlignment="1">
      <alignment horizontal="center"/>
    </xf>
    <xf numFmtId="0" fontId="40" fillId="17" borderId="19" xfId="12" applyFont="1" applyFill="1" applyBorder="1" applyAlignment="1">
      <alignment horizontal="center"/>
    </xf>
    <xf numFmtId="0" fontId="40" fillId="17" borderId="5" xfId="12" applyFont="1" applyFill="1" applyBorder="1" applyAlignment="1">
      <alignment horizontal="center"/>
    </xf>
    <xf numFmtId="0" fontId="40" fillId="17" borderId="20" xfId="12" applyFont="1" applyFill="1" applyBorder="1" applyAlignment="1">
      <alignment horizontal="center"/>
    </xf>
    <xf numFmtId="0" fontId="40" fillId="17" borderId="51" xfId="12" applyFont="1" applyFill="1" applyBorder="1" applyAlignment="1">
      <alignment horizontal="center"/>
    </xf>
    <xf numFmtId="0" fontId="25" fillId="17" borderId="30" xfId="0" applyFont="1" applyFill="1" applyBorder="1" applyAlignment="1">
      <alignment horizontal="center"/>
    </xf>
    <xf numFmtId="0" fontId="25" fillId="17" borderId="31" xfId="0" applyFont="1" applyFill="1" applyBorder="1" applyAlignment="1">
      <alignment horizontal="center"/>
    </xf>
    <xf numFmtId="0" fontId="25" fillId="17" borderId="32" xfId="0" applyFont="1" applyFill="1" applyBorder="1" applyAlignment="1">
      <alignment horizontal="center"/>
    </xf>
    <xf numFmtId="0" fontId="39" fillId="17" borderId="6" xfId="12" applyFont="1" applyFill="1" applyBorder="1" applyAlignment="1">
      <alignment horizontal="center"/>
    </xf>
    <xf numFmtId="0" fontId="39" fillId="17" borderId="2" xfId="12" applyFont="1" applyFill="1" applyBorder="1" applyAlignment="1">
      <alignment horizontal="center"/>
    </xf>
    <xf numFmtId="0" fontId="39" fillId="17" borderId="7" xfId="12" applyFont="1" applyFill="1" applyBorder="1" applyAlignment="1">
      <alignment horizontal="center"/>
    </xf>
    <xf numFmtId="0" fontId="40" fillId="17" borderId="8" xfId="12" applyFont="1" applyFill="1" applyBorder="1" applyAlignment="1">
      <alignment horizontal="center"/>
    </xf>
    <xf numFmtId="0" fontId="40" fillId="17" borderId="9" xfId="12" applyFont="1" applyFill="1" applyBorder="1" applyAlignment="1">
      <alignment horizontal="center"/>
    </xf>
    <xf numFmtId="0" fontId="40" fillId="17" borderId="10" xfId="12" applyFont="1" applyFill="1" applyBorder="1" applyAlignment="1">
      <alignment horizontal="center"/>
    </xf>
    <xf numFmtId="0" fontId="39" fillId="17" borderId="11" xfId="12" applyFont="1" applyFill="1" applyBorder="1" applyAlignment="1">
      <alignment horizontal="center" vertical="center"/>
    </xf>
    <xf numFmtId="0" fontId="40" fillId="17" borderId="13" xfId="12" applyFont="1" applyFill="1" applyBorder="1" applyAlignment="1">
      <alignment horizontal="center" vertical="center"/>
    </xf>
    <xf numFmtId="0" fontId="40" fillId="17" borderId="4" xfId="12" applyFont="1" applyFill="1" applyBorder="1" applyAlignment="1">
      <alignment horizontal="center" vertical="center"/>
    </xf>
    <xf numFmtId="0" fontId="40" fillId="17" borderId="14" xfId="12" applyFont="1" applyFill="1" applyBorder="1" applyAlignment="1">
      <alignment horizontal="center" vertical="center"/>
    </xf>
    <xf numFmtId="174" fontId="40" fillId="17" borderId="13" xfId="12" applyNumberFormat="1" applyFont="1" applyFill="1" applyBorder="1" applyAlignment="1">
      <alignment horizontal="center" vertical="center" wrapText="1"/>
    </xf>
    <xf numFmtId="174" fontId="40" fillId="17" borderId="4" xfId="12" applyNumberFormat="1" applyFont="1" applyFill="1" applyBorder="1" applyAlignment="1">
      <alignment horizontal="center" vertical="center" wrapText="1"/>
    </xf>
    <xf numFmtId="174" fontId="40" fillId="17" borderId="26" xfId="12" applyNumberFormat="1" applyFont="1" applyFill="1" applyBorder="1" applyAlignment="1">
      <alignment horizontal="center" vertical="center" wrapText="1"/>
    </xf>
  </cellXfs>
  <cellStyles count="20">
    <cellStyle name="Comma" xfId="1" builtinId="3"/>
    <cellStyle name="Comma 2 3" xfId="13" xr:uid="{5EEC36CA-E8F5-47D5-A267-7B064D6FACA5}"/>
    <cellStyle name="Comma 3" xfId="19" xr:uid="{207F85A9-0325-406C-9B4A-55870DA266A0}"/>
    <cellStyle name="Comma 44" xfId="14" xr:uid="{37D417BD-CD56-472D-ADC6-0B02156AF8A1}"/>
    <cellStyle name="Comma 5 14" xfId="8" xr:uid="{002851DA-EB34-4FC1-9C8B-49990C851CB2}"/>
    <cellStyle name="Comma 8" xfId="16" xr:uid="{6D8BC5E7-6E87-4D40-89B9-5A90AFA4386B}"/>
    <cellStyle name="Currency" xfId="10" builtinId="4"/>
    <cellStyle name="Hyperlink" xfId="18" builtinId="8"/>
    <cellStyle name="Normal" xfId="0" builtinId="0"/>
    <cellStyle name="Normal 14" xfId="12" xr:uid="{53DBC5C3-AF83-4C4D-9B8C-4047BAFA7670}"/>
    <cellStyle name="Normal 2 2 2 2 2" xfId="4" xr:uid="{2540A714-001A-4DB5-A8D4-717ADFCC4C6A}"/>
    <cellStyle name="Normal 3" xfId="5" xr:uid="{D71B6391-4F3D-4943-8EEF-08518E69975F}"/>
    <cellStyle name="Normal 67" xfId="2" xr:uid="{B45B8227-F340-4CE2-8962-26BA30A16BDA}"/>
    <cellStyle name="Normal 67 2" xfId="11" xr:uid="{2247606D-5C9E-4423-BCDC-645BA337D89F}"/>
    <cellStyle name="Percent" xfId="3" builtinId="5"/>
    <cellStyle name="Percent 10 2" xfId="15" xr:uid="{8B6AFB73-439A-4912-817E-94E517781CB1}"/>
    <cellStyle name="Percent 2 21" xfId="9" xr:uid="{3C5DAFE3-81C6-4526-AF2F-9F846FABFE30}"/>
    <cellStyle name="Percent 3" xfId="6" xr:uid="{6CF5DBCF-3E30-4AE1-86CC-DE113BDC33B7}"/>
    <cellStyle name="Percent 43" xfId="17" xr:uid="{7C13DE46-0881-4C01-B910-C1083092CC05}"/>
    <cellStyle name="Percent 5 3" xfId="7" xr:uid="{F726A8FE-B23F-4F9C-AB0D-27182C5E535F}"/>
  </cellStyles>
  <dxfs count="0"/>
  <tableStyles count="0" defaultTableStyle="TableStyleMedium2" defaultPivotStyle="PivotStyleLight16"/>
  <colors>
    <mruColors>
      <color rgb="FFDDEBF7"/>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Residential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Residential</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Weather!$DU$2:$DU$76</c:f>
              <c:numCache>
                <c:formatCode>_(* #,##0_);_(* \(#,##0\);_(* "-"??_);_(@_)</c:formatCode>
                <c:ptCount val="75"/>
                <c:pt idx="0">
                  <c:v>49640365.235135742</c:v>
                </c:pt>
                <c:pt idx="1">
                  <c:v>42750019.905124813</c:v>
                </c:pt>
                <c:pt idx="2">
                  <c:v>41025103.627203047</c:v>
                </c:pt>
                <c:pt idx="3">
                  <c:v>33587027.926572323</c:v>
                </c:pt>
                <c:pt idx="4">
                  <c:v>27231928.804067481</c:v>
                </c:pt>
                <c:pt idx="5">
                  <c:v>24474897.388553303</c:v>
                </c:pt>
                <c:pt idx="6">
                  <c:v>24815427.961209074</c:v>
                </c:pt>
                <c:pt idx="7">
                  <c:v>24906971.037229616</c:v>
                </c:pt>
                <c:pt idx="8">
                  <c:v>25204006.662983</c:v>
                </c:pt>
                <c:pt idx="9">
                  <c:v>29865057.783578724</c:v>
                </c:pt>
                <c:pt idx="10">
                  <c:v>35545780.43213661</c:v>
                </c:pt>
                <c:pt idx="11">
                  <c:v>42013064.965675682</c:v>
                </c:pt>
                <c:pt idx="12">
                  <c:v>47258923.534219489</c:v>
                </c:pt>
                <c:pt idx="13">
                  <c:v>41892378.734094054</c:v>
                </c:pt>
                <c:pt idx="14">
                  <c:v>39082279.742133871</c:v>
                </c:pt>
                <c:pt idx="15">
                  <c:v>31178246.266066507</c:v>
                </c:pt>
                <c:pt idx="16">
                  <c:v>25431453.950545076</c:v>
                </c:pt>
                <c:pt idx="17">
                  <c:v>23725336.020671904</c:v>
                </c:pt>
                <c:pt idx="18">
                  <c:v>25279867.837755114</c:v>
                </c:pt>
                <c:pt idx="19">
                  <c:v>25418920.777273819</c:v>
                </c:pt>
                <c:pt idx="20">
                  <c:v>24809548.609589469</c:v>
                </c:pt>
                <c:pt idx="21">
                  <c:v>27598891.626087241</c:v>
                </c:pt>
                <c:pt idx="22">
                  <c:v>30873804.899003249</c:v>
                </c:pt>
                <c:pt idx="23">
                  <c:v>36217478.92820438</c:v>
                </c:pt>
                <c:pt idx="24">
                  <c:v>40778117.276427858</c:v>
                </c:pt>
                <c:pt idx="25">
                  <c:v>37652898.882360131</c:v>
                </c:pt>
                <c:pt idx="26">
                  <c:v>35688324.077527039</c:v>
                </c:pt>
                <c:pt idx="27">
                  <c:v>29828586.608667668</c:v>
                </c:pt>
                <c:pt idx="28">
                  <c:v>25352577.294581693</c:v>
                </c:pt>
                <c:pt idx="29">
                  <c:v>24398256.259960722</c:v>
                </c:pt>
                <c:pt idx="30">
                  <c:v>26721353.036009789</c:v>
                </c:pt>
                <c:pt idx="31">
                  <c:v>26103940.427887958</c:v>
                </c:pt>
                <c:pt idx="32">
                  <c:v>23999753.941075258</c:v>
                </c:pt>
                <c:pt idx="33">
                  <c:v>25456939.670759201</c:v>
                </c:pt>
                <c:pt idx="34">
                  <c:v>29282879.755700186</c:v>
                </c:pt>
                <c:pt idx="35">
                  <c:v>38455175.443020679</c:v>
                </c:pt>
                <c:pt idx="36">
                  <c:v>39117690.458507761</c:v>
                </c:pt>
                <c:pt idx="37">
                  <c:v>34287533.653769821</c:v>
                </c:pt>
                <c:pt idx="38">
                  <c:v>35434684.916161954</c:v>
                </c:pt>
                <c:pt idx="39">
                  <c:v>28044671.776101463</c:v>
                </c:pt>
                <c:pt idx="40">
                  <c:v>24140842.502162836</c:v>
                </c:pt>
                <c:pt idx="41">
                  <c:v>22388593.985149544</c:v>
                </c:pt>
                <c:pt idx="42">
                  <c:v>24383196.475797318</c:v>
                </c:pt>
                <c:pt idx="43">
                  <c:v>23477321.5141256</c:v>
                </c:pt>
                <c:pt idx="44">
                  <c:v>22873843.004820667</c:v>
                </c:pt>
                <c:pt idx="45">
                  <c:v>25361040.630483497</c:v>
                </c:pt>
                <c:pt idx="46">
                  <c:v>32002528.745849546</c:v>
                </c:pt>
                <c:pt idx="47">
                  <c:v>42913193.252782822</c:v>
                </c:pt>
                <c:pt idx="48">
                  <c:v>44075191.910210773</c:v>
                </c:pt>
                <c:pt idx="49">
                  <c:v>36005143.998726979</c:v>
                </c:pt>
                <c:pt idx="50">
                  <c:v>35111666.164224617</c:v>
                </c:pt>
                <c:pt idx="51">
                  <c:v>30256123.129029866</c:v>
                </c:pt>
                <c:pt idx="52">
                  <c:v>24509975.943597607</c:v>
                </c:pt>
                <c:pt idx="53">
                  <c:v>24651522.048257262</c:v>
                </c:pt>
                <c:pt idx="54">
                  <c:v>28368231.729427487</c:v>
                </c:pt>
                <c:pt idx="55">
                  <c:v>27163035.407404374</c:v>
                </c:pt>
                <c:pt idx="56">
                  <c:v>24017120.038987961</c:v>
                </c:pt>
                <c:pt idx="57">
                  <c:v>28236185.529971309</c:v>
                </c:pt>
                <c:pt idx="58">
                  <c:v>33882452.992128767</c:v>
                </c:pt>
                <c:pt idx="59">
                  <c:v>39584700.53548865</c:v>
                </c:pt>
                <c:pt idx="60">
                  <c:v>44747347.009999998</c:v>
                </c:pt>
                <c:pt idx="61">
                  <c:v>38656470.649999999</c:v>
                </c:pt>
                <c:pt idx="62">
                  <c:v>36433117.420000002</c:v>
                </c:pt>
                <c:pt idx="63">
                  <c:v>30202595.469999999</c:v>
                </c:pt>
                <c:pt idx="64">
                  <c:v>24943162.420000002</c:v>
                </c:pt>
                <c:pt idx="65">
                  <c:v>23898986.699999999</c:v>
                </c:pt>
                <c:pt idx="66">
                  <c:v>28029405.460000001</c:v>
                </c:pt>
                <c:pt idx="67">
                  <c:v>25462979.010000002</c:v>
                </c:pt>
                <c:pt idx="68">
                  <c:v>22569548.68</c:v>
                </c:pt>
                <c:pt idx="69">
                  <c:v>25983390.649999999</c:v>
                </c:pt>
                <c:pt idx="70">
                  <c:v>34907954.280000001</c:v>
                </c:pt>
                <c:pt idx="71">
                  <c:v>39300927.240000002</c:v>
                </c:pt>
                <c:pt idx="72">
                  <c:v>39499664.759999998</c:v>
                </c:pt>
                <c:pt idx="73">
                  <c:v>36204649.509999998</c:v>
                </c:pt>
                <c:pt idx="74">
                  <c:v>35229796.780000001</c:v>
                </c:pt>
              </c:numCache>
            </c:numRef>
          </c:yVal>
          <c:smooth val="0"/>
          <c:extLst>
            <c:ext xmlns:c16="http://schemas.microsoft.com/office/drawing/2014/chart" uri="{C3380CC4-5D6E-409C-BE32-E72D297353CC}">
              <c16:uniqueId val="{00000000-5096-49D9-8B9F-E163CB3B1CC0}"/>
            </c:ext>
          </c:extLst>
        </c:ser>
        <c:ser>
          <c:idx val="1"/>
          <c:order val="1"/>
          <c:tx>
            <c:v>Residential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Weather!$DU$76:$DU$97</c:f>
              <c:numCache>
                <c:formatCode>_(* #,##0_);_(* \(#,##0\);_(* "-"??_);_(@_)</c:formatCode>
                <c:ptCount val="22"/>
                <c:pt idx="0">
                  <c:v>35229796.780000001</c:v>
                </c:pt>
                <c:pt idx="1">
                  <c:v>30715476.789999999</c:v>
                </c:pt>
                <c:pt idx="2">
                  <c:v>28122246.469999999</c:v>
                </c:pt>
                <c:pt idx="3">
                  <c:v>27953695.18</c:v>
                </c:pt>
                <c:pt idx="4">
                  <c:v>31771169.710000001</c:v>
                </c:pt>
                <c:pt idx="5">
                  <c:v>28093845.960000001</c:v>
                </c:pt>
                <c:pt idx="6">
                  <c:v>24347210.300000001</c:v>
                </c:pt>
                <c:pt idx="7">
                  <c:v>28584859.530000001</c:v>
                </c:pt>
                <c:pt idx="8">
                  <c:v>32218200.129999999</c:v>
                </c:pt>
                <c:pt idx="9">
                  <c:v>39247109.909999996</c:v>
                </c:pt>
                <c:pt idx="10">
                  <c:v>40926076.990000002</c:v>
                </c:pt>
                <c:pt idx="11">
                  <c:v>38627481.899999999</c:v>
                </c:pt>
                <c:pt idx="12">
                  <c:v>35126326.270000003</c:v>
                </c:pt>
                <c:pt idx="13">
                  <c:v>28382573.879999999</c:v>
                </c:pt>
                <c:pt idx="14">
                  <c:v>26543869.199999999</c:v>
                </c:pt>
                <c:pt idx="15">
                  <c:v>26200755.329999998</c:v>
                </c:pt>
                <c:pt idx="16">
                  <c:v>28359937.969999999</c:v>
                </c:pt>
                <c:pt idx="17">
                  <c:v>29210808.18</c:v>
                </c:pt>
                <c:pt idx="18">
                  <c:v>24321041.890000001</c:v>
                </c:pt>
                <c:pt idx="19">
                  <c:v>25748657.5</c:v>
                </c:pt>
                <c:pt idx="20">
                  <c:v>31347883.41</c:v>
                </c:pt>
                <c:pt idx="21">
                  <c:v>39792860.049999997</c:v>
                </c:pt>
              </c:numCache>
            </c:numRef>
          </c:yVal>
          <c:smooth val="0"/>
          <c:extLst>
            <c:ext xmlns:c16="http://schemas.microsoft.com/office/drawing/2014/chart" uri="{C3380CC4-5D6E-409C-BE32-E72D297353CC}">
              <c16:uniqueId val="{00000079-5096-49D9-8B9F-E163CB3B1CC0}"/>
            </c:ext>
          </c:extLst>
        </c:ser>
        <c:ser>
          <c:idx val="2"/>
          <c:order val="2"/>
          <c:tx>
            <c:v>Residential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Weather!$DU$105:$DU$121</c:f>
              <c:numCache>
                <c:formatCode>_(* #,##0_);_(* \(#,##0\);_(* "-"??_);_(@_)</c:formatCode>
                <c:ptCount val="17"/>
                <c:pt idx="0">
                  <c:v>27579285.030000001</c:v>
                </c:pt>
                <c:pt idx="1">
                  <c:v>24715324.91</c:v>
                </c:pt>
                <c:pt idx="2">
                  <c:v>26112434.460000001</c:v>
                </c:pt>
                <c:pt idx="3">
                  <c:v>31093528.149999999</c:v>
                </c:pt>
                <c:pt idx="4">
                  <c:v>38121462.399999999</c:v>
                </c:pt>
                <c:pt idx="5">
                  <c:v>39889002.07</c:v>
                </c:pt>
                <c:pt idx="6">
                  <c:v>36008276.280000001</c:v>
                </c:pt>
                <c:pt idx="7">
                  <c:v>36118655.640000001</c:v>
                </c:pt>
                <c:pt idx="8">
                  <c:v>29575071.25</c:v>
                </c:pt>
                <c:pt idx="9">
                  <c:v>26447363.559999999</c:v>
                </c:pt>
                <c:pt idx="10">
                  <c:v>27292789.420000002</c:v>
                </c:pt>
                <c:pt idx="11">
                  <c:v>29163370.149999999</c:v>
                </c:pt>
                <c:pt idx="12">
                  <c:v>26293508.239999998</c:v>
                </c:pt>
                <c:pt idx="13">
                  <c:v>24195404.620000001</c:v>
                </c:pt>
                <c:pt idx="14">
                  <c:v>26754851.23</c:v>
                </c:pt>
                <c:pt idx="15">
                  <c:v>33284311.859999999</c:v>
                </c:pt>
                <c:pt idx="16">
                  <c:v>37318007.649999999</c:v>
                </c:pt>
              </c:numCache>
            </c:numRef>
          </c:yVal>
          <c:smooth val="0"/>
          <c:extLst>
            <c:ext xmlns:c16="http://schemas.microsoft.com/office/drawing/2014/chart" uri="{C3380CC4-5D6E-409C-BE32-E72D297353CC}">
              <c16:uniqueId val="{0000007A-5096-49D9-8B9F-E163CB3B1CC0}"/>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Normalized'!$D$1</c:f>
              <c:strCache>
                <c:ptCount val="1"/>
                <c:pt idx="0">
                  <c:v> Res_NoCDM </c:v>
                </c:pt>
              </c:strCache>
            </c:strRef>
          </c:tx>
          <c:spPr>
            <a:ln w="28575" cap="rnd">
              <a:solidFill>
                <a:schemeClr val="accent1"/>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48603336.169453375</c:v>
                </c:pt>
                <c:pt idx="97">
                  <c:v>41341771.798382699</c:v>
                </c:pt>
                <c:pt idx="98">
                  <c:v>39077708.027312025</c:v>
                </c:pt>
                <c:pt idx="99">
                  <c:v>31812872.776241343</c:v>
                </c:pt>
                <c:pt idx="100">
                  <c:v>27326711.455170669</c:v>
                </c:pt>
                <c:pt idx="101">
                  <c:v>26661606.264099989</c:v>
                </c:pt>
                <c:pt idx="102">
                  <c:v>29470184.383029308</c:v>
                </c:pt>
                <c:pt idx="103">
                  <c:v>29185319.021958631</c:v>
                </c:pt>
                <c:pt idx="104">
                  <c:v>26321435.78088795</c:v>
                </c:pt>
                <c:pt idx="105">
                  <c:v>27718622.209817275</c:v>
                </c:pt>
                <c:pt idx="106">
                  <c:v>32699792.778746594</c:v>
                </c:pt>
                <c:pt idx="107">
                  <c:v>39727803.907675914</c:v>
                </c:pt>
                <c:pt idx="108">
                  <c:v>41500301.622316256</c:v>
                </c:pt>
                <c:pt idx="109">
                  <c:v>37620293.28281647</c:v>
                </c:pt>
                <c:pt idx="110">
                  <c:v>37731390.093316682</c:v>
                </c:pt>
                <c:pt idx="111">
                  <c:v>31188523.153816897</c:v>
                </c:pt>
                <c:pt idx="112">
                  <c:v>28061532.914317109</c:v>
                </c:pt>
                <c:pt idx="113">
                  <c:v>28907676.224817328</c:v>
                </c:pt>
                <c:pt idx="114">
                  <c:v>30778974.405317537</c:v>
                </c:pt>
                <c:pt idx="115">
                  <c:v>27909829.945817754</c:v>
                </c:pt>
                <c:pt idx="116">
                  <c:v>25812443.776317969</c:v>
                </c:pt>
                <c:pt idx="117">
                  <c:v>28372607.836818181</c:v>
                </c:pt>
                <c:pt idx="118">
                  <c:v>34902785.917318396</c:v>
                </c:pt>
                <c:pt idx="119">
                  <c:v>38937199.157818608</c:v>
                </c:pt>
              </c:numCache>
            </c:numRef>
          </c:val>
          <c:smooth val="0"/>
          <c:extLst>
            <c:ext xmlns:c16="http://schemas.microsoft.com/office/drawing/2014/chart" uri="{C3380CC4-5D6E-409C-BE32-E72D297353CC}">
              <c16:uniqueId val="{00000000-7438-4CD4-B010-5BB721AD1E7C}"/>
            </c:ext>
          </c:extLst>
        </c:ser>
        <c:ser>
          <c:idx val="1"/>
          <c:order val="1"/>
          <c:tx>
            <c:strRef>
              <c:f>'Res Normalized'!$Q$1</c:f>
              <c:strCache>
                <c:ptCount val="1"/>
                <c:pt idx="0">
                  <c:v>Normalized</c:v>
                </c:pt>
              </c:strCache>
            </c:strRef>
          </c:tx>
          <c:spPr>
            <a:ln w="28575" cap="rnd">
              <a:solidFill>
                <a:schemeClr val="accent2"/>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Normalized'!$Q$2:$Q$145</c:f>
              <c:numCache>
                <c:formatCode>_(* #,##0_);_(* \(#,##0\);_(* "-"??_);_(@_)</c:formatCode>
                <c:ptCount val="144"/>
                <c:pt idx="0">
                  <c:v>43663657.734727219</c:v>
                </c:pt>
                <c:pt idx="1">
                  <c:v>39188513.583062813</c:v>
                </c:pt>
                <c:pt idx="2">
                  <c:v>37581511.264704593</c:v>
                </c:pt>
                <c:pt idx="3">
                  <c:v>30706685.235440429</c:v>
                </c:pt>
                <c:pt idx="4">
                  <c:v>26724810.801272634</c:v>
                </c:pt>
                <c:pt idx="5">
                  <c:v>26009855.538701817</c:v>
                </c:pt>
                <c:pt idx="6">
                  <c:v>28443063.734520316</c:v>
                </c:pt>
                <c:pt idx="7">
                  <c:v>27346023.113547914</c:v>
                </c:pt>
                <c:pt idx="8">
                  <c:v>24686718.505161889</c:v>
                </c:pt>
                <c:pt idx="9">
                  <c:v>28775798.163096398</c:v>
                </c:pt>
                <c:pt idx="10">
                  <c:v>33193642.713048466</c:v>
                </c:pt>
                <c:pt idx="11">
                  <c:v>39717160.991287403</c:v>
                </c:pt>
                <c:pt idx="12">
                  <c:v>43663657.734727219</c:v>
                </c:pt>
                <c:pt idx="13">
                  <c:v>39188513.583062813</c:v>
                </c:pt>
                <c:pt idx="14">
                  <c:v>37581511.264704593</c:v>
                </c:pt>
                <c:pt idx="15">
                  <c:v>30706685.235440429</c:v>
                </c:pt>
                <c:pt idx="16">
                  <c:v>26724810.801272634</c:v>
                </c:pt>
                <c:pt idx="17">
                  <c:v>26009855.538701817</c:v>
                </c:pt>
                <c:pt idx="18">
                  <c:v>28443063.734520316</c:v>
                </c:pt>
                <c:pt idx="19">
                  <c:v>27346023.113547914</c:v>
                </c:pt>
                <c:pt idx="20">
                  <c:v>24686718.505161889</c:v>
                </c:pt>
                <c:pt idx="21">
                  <c:v>28775798.163096398</c:v>
                </c:pt>
                <c:pt idx="22">
                  <c:v>33193642.713048466</c:v>
                </c:pt>
                <c:pt idx="23">
                  <c:v>39717160.991287403</c:v>
                </c:pt>
                <c:pt idx="24">
                  <c:v>43663657.734727219</c:v>
                </c:pt>
                <c:pt idx="25">
                  <c:v>40073202.308875881</c:v>
                </c:pt>
                <c:pt idx="26">
                  <c:v>37581511.264704593</c:v>
                </c:pt>
                <c:pt idx="27">
                  <c:v>30706685.235440429</c:v>
                </c:pt>
                <c:pt idx="28">
                  <c:v>26724810.801272634</c:v>
                </c:pt>
                <c:pt idx="29">
                  <c:v>26009855.538701817</c:v>
                </c:pt>
                <c:pt idx="30">
                  <c:v>28443063.734520316</c:v>
                </c:pt>
                <c:pt idx="31">
                  <c:v>27346023.113547914</c:v>
                </c:pt>
                <c:pt idx="32">
                  <c:v>24686718.505161889</c:v>
                </c:pt>
                <c:pt idx="33">
                  <c:v>28775798.163096398</c:v>
                </c:pt>
                <c:pt idx="34">
                  <c:v>33193642.713048466</c:v>
                </c:pt>
                <c:pt idx="35">
                  <c:v>39717160.991287403</c:v>
                </c:pt>
                <c:pt idx="36">
                  <c:v>43663657.734727219</c:v>
                </c:pt>
                <c:pt idx="37">
                  <c:v>39188513.583062813</c:v>
                </c:pt>
                <c:pt idx="38">
                  <c:v>37581511.264704593</c:v>
                </c:pt>
                <c:pt idx="39">
                  <c:v>30706685.235440429</c:v>
                </c:pt>
                <c:pt idx="40">
                  <c:v>26724810.801272634</c:v>
                </c:pt>
                <c:pt idx="41">
                  <c:v>26009855.538701817</c:v>
                </c:pt>
                <c:pt idx="42">
                  <c:v>28443063.734520316</c:v>
                </c:pt>
                <c:pt idx="43">
                  <c:v>27346023.113547914</c:v>
                </c:pt>
                <c:pt idx="44">
                  <c:v>24686718.505161889</c:v>
                </c:pt>
                <c:pt idx="45">
                  <c:v>28775798.163096398</c:v>
                </c:pt>
                <c:pt idx="46">
                  <c:v>33193642.713048466</c:v>
                </c:pt>
                <c:pt idx="47">
                  <c:v>39717160.991287403</c:v>
                </c:pt>
                <c:pt idx="48">
                  <c:v>43663657.734727219</c:v>
                </c:pt>
                <c:pt idx="49">
                  <c:v>39188513.583062813</c:v>
                </c:pt>
                <c:pt idx="50">
                  <c:v>37581511.264704593</c:v>
                </c:pt>
                <c:pt idx="51">
                  <c:v>30706685.235440429</c:v>
                </c:pt>
                <c:pt idx="52">
                  <c:v>26724810.801272634</c:v>
                </c:pt>
                <c:pt idx="53">
                  <c:v>26009855.538701817</c:v>
                </c:pt>
                <c:pt idx="54">
                  <c:v>28443063.734520316</c:v>
                </c:pt>
                <c:pt idx="55">
                  <c:v>27346023.113547914</c:v>
                </c:pt>
                <c:pt idx="56">
                  <c:v>24686718.505161889</c:v>
                </c:pt>
                <c:pt idx="57">
                  <c:v>28775798.163096398</c:v>
                </c:pt>
                <c:pt idx="58">
                  <c:v>33193642.713048466</c:v>
                </c:pt>
                <c:pt idx="59">
                  <c:v>39717160.991287403</c:v>
                </c:pt>
                <c:pt idx="60">
                  <c:v>43663657.734727219</c:v>
                </c:pt>
                <c:pt idx="61">
                  <c:v>39188513.583062813</c:v>
                </c:pt>
                <c:pt idx="62">
                  <c:v>37581511.264704593</c:v>
                </c:pt>
                <c:pt idx="63">
                  <c:v>30706685.235440429</c:v>
                </c:pt>
                <c:pt idx="64">
                  <c:v>26724810.801272634</c:v>
                </c:pt>
                <c:pt idx="65">
                  <c:v>26009855.538701817</c:v>
                </c:pt>
                <c:pt idx="66">
                  <c:v>28443063.734520316</c:v>
                </c:pt>
                <c:pt idx="67">
                  <c:v>27346023.113547914</c:v>
                </c:pt>
                <c:pt idx="68">
                  <c:v>24686718.505161889</c:v>
                </c:pt>
                <c:pt idx="69">
                  <c:v>28775798.163096398</c:v>
                </c:pt>
                <c:pt idx="70">
                  <c:v>33193642.713048466</c:v>
                </c:pt>
                <c:pt idx="71">
                  <c:v>39717160.991287403</c:v>
                </c:pt>
                <c:pt idx="72">
                  <c:v>43663657.734727219</c:v>
                </c:pt>
                <c:pt idx="73">
                  <c:v>40073202.308875881</c:v>
                </c:pt>
                <c:pt idx="74">
                  <c:v>38633437.614023618</c:v>
                </c:pt>
                <c:pt idx="75">
                  <c:v>32810537.934078477</c:v>
                </c:pt>
                <c:pt idx="76">
                  <c:v>28828663.499910682</c:v>
                </c:pt>
                <c:pt idx="77">
                  <c:v>28113708.237339869</c:v>
                </c:pt>
                <c:pt idx="78">
                  <c:v>30546916.433158368</c:v>
                </c:pt>
                <c:pt idx="79">
                  <c:v>29449875.812185965</c:v>
                </c:pt>
                <c:pt idx="80">
                  <c:v>26790571.203799941</c:v>
                </c:pt>
                <c:pt idx="81">
                  <c:v>30879650.86173445</c:v>
                </c:pt>
                <c:pt idx="82">
                  <c:v>35297495.411686517</c:v>
                </c:pt>
                <c:pt idx="83">
                  <c:v>41821013.689925455</c:v>
                </c:pt>
                <c:pt idx="84">
                  <c:v>45241547.258705758</c:v>
                </c:pt>
                <c:pt idx="85">
                  <c:v>40766403.107041351</c:v>
                </c:pt>
                <c:pt idx="86">
                  <c:v>39159400.788683131</c:v>
                </c:pt>
                <c:pt idx="87">
                  <c:v>32284574.759418968</c:v>
                </c:pt>
                <c:pt idx="88">
                  <c:v>28302700.325251173</c:v>
                </c:pt>
                <c:pt idx="89">
                  <c:v>27587745.062680356</c:v>
                </c:pt>
                <c:pt idx="90">
                  <c:v>30020953.258498855</c:v>
                </c:pt>
                <c:pt idx="91">
                  <c:v>28923912.637526453</c:v>
                </c:pt>
                <c:pt idx="92">
                  <c:v>26264608.029140428</c:v>
                </c:pt>
                <c:pt idx="93">
                  <c:v>30353687.687074937</c:v>
                </c:pt>
                <c:pt idx="94">
                  <c:v>34771532.237027004</c:v>
                </c:pt>
                <c:pt idx="95">
                  <c:v>41295050.515265942</c:v>
                </c:pt>
                <c:pt idx="96">
                  <c:v>44715584.084046245</c:v>
                </c:pt>
                <c:pt idx="97">
                  <c:v>40240439.932381839</c:v>
                </c:pt>
                <c:pt idx="98">
                  <c:v>38633437.614023618</c:v>
                </c:pt>
                <c:pt idx="99">
                  <c:v>31758611.584759455</c:v>
                </c:pt>
                <c:pt idx="100">
                  <c:v>27776737.15059166</c:v>
                </c:pt>
                <c:pt idx="101">
                  <c:v>27061781.888020843</c:v>
                </c:pt>
                <c:pt idx="102">
                  <c:v>29494990.083839342</c:v>
                </c:pt>
                <c:pt idx="103">
                  <c:v>28397949.46286694</c:v>
                </c:pt>
                <c:pt idx="104">
                  <c:v>25738644.854480915</c:v>
                </c:pt>
                <c:pt idx="105">
                  <c:v>29827724.512415424</c:v>
                </c:pt>
                <c:pt idx="106">
                  <c:v>34245569.062367491</c:v>
                </c:pt>
                <c:pt idx="107">
                  <c:v>40769087.340606429</c:v>
                </c:pt>
                <c:pt idx="108">
                  <c:v>44189620.909386732</c:v>
                </c:pt>
                <c:pt idx="109">
                  <c:v>39714476.757722326</c:v>
                </c:pt>
                <c:pt idx="110">
                  <c:v>38107474.439364105</c:v>
                </c:pt>
                <c:pt idx="111">
                  <c:v>31232648.410099942</c:v>
                </c:pt>
                <c:pt idx="112">
                  <c:v>27250773.975932147</c:v>
                </c:pt>
                <c:pt idx="113">
                  <c:v>26535818.71336133</c:v>
                </c:pt>
                <c:pt idx="114">
                  <c:v>28969026.909179829</c:v>
                </c:pt>
                <c:pt idx="115">
                  <c:v>27871986.288207427</c:v>
                </c:pt>
                <c:pt idx="116">
                  <c:v>25212681.679821402</c:v>
                </c:pt>
                <c:pt idx="117">
                  <c:v>29301761.337755911</c:v>
                </c:pt>
                <c:pt idx="118">
                  <c:v>33719605.887707978</c:v>
                </c:pt>
                <c:pt idx="119">
                  <c:v>40243124.165946916</c:v>
                </c:pt>
                <c:pt idx="120">
                  <c:v>44189620.909386732</c:v>
                </c:pt>
                <c:pt idx="121">
                  <c:v>40599165.483535394</c:v>
                </c:pt>
                <c:pt idx="122">
                  <c:v>38107474.439364105</c:v>
                </c:pt>
                <c:pt idx="123">
                  <c:v>31232648.410099942</c:v>
                </c:pt>
                <c:pt idx="124">
                  <c:v>27250773.975932147</c:v>
                </c:pt>
                <c:pt idx="125">
                  <c:v>26535818.71336133</c:v>
                </c:pt>
                <c:pt idx="126">
                  <c:v>28969026.909179829</c:v>
                </c:pt>
                <c:pt idx="127">
                  <c:v>27871986.288207427</c:v>
                </c:pt>
                <c:pt idx="128">
                  <c:v>25212681.679821402</c:v>
                </c:pt>
                <c:pt idx="129">
                  <c:v>29301761.337755911</c:v>
                </c:pt>
                <c:pt idx="130">
                  <c:v>33719605.887707978</c:v>
                </c:pt>
                <c:pt idx="131">
                  <c:v>40243124.165946916</c:v>
                </c:pt>
                <c:pt idx="132">
                  <c:v>43663657.734727219</c:v>
                </c:pt>
                <c:pt idx="133">
                  <c:v>39188513.583062813</c:v>
                </c:pt>
                <c:pt idx="134">
                  <c:v>37581511.264704593</c:v>
                </c:pt>
                <c:pt idx="135">
                  <c:v>30706685.235440429</c:v>
                </c:pt>
                <c:pt idx="136">
                  <c:v>26724810.801272634</c:v>
                </c:pt>
                <c:pt idx="137">
                  <c:v>26009855.538701817</c:v>
                </c:pt>
                <c:pt idx="138">
                  <c:v>28443063.734520316</c:v>
                </c:pt>
                <c:pt idx="139">
                  <c:v>27346023.113547914</c:v>
                </c:pt>
                <c:pt idx="140">
                  <c:v>24686718.505161889</c:v>
                </c:pt>
                <c:pt idx="141">
                  <c:v>28775798.163096398</c:v>
                </c:pt>
                <c:pt idx="142">
                  <c:v>33193642.713048466</c:v>
                </c:pt>
                <c:pt idx="143">
                  <c:v>39717160.991287403</c:v>
                </c:pt>
              </c:numCache>
            </c:numRef>
          </c:val>
          <c:smooth val="0"/>
          <c:extLst>
            <c:ext xmlns:c16="http://schemas.microsoft.com/office/drawing/2014/chart" uri="{C3380CC4-5D6E-409C-BE32-E72D297353CC}">
              <c16:uniqueId val="{00000001-7438-4CD4-B010-5BB721AD1E7C}"/>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Normalized'!$D$1</c:f>
              <c:strCache>
                <c:ptCount val="1"/>
                <c:pt idx="0">
                  <c:v> GS_lt_50_NoCDM </c:v>
                </c:pt>
              </c:strCache>
            </c:strRef>
          </c:tx>
          <c:spPr>
            <a:ln w="28575" cap="rnd">
              <a:solidFill>
                <a:schemeClr val="accent1"/>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13471487.177465362</c:v>
                </c:pt>
                <c:pt idx="25">
                  <c:v>12695119.535019068</c:v>
                </c:pt>
                <c:pt idx="26">
                  <c:v>12739482.624929575</c:v>
                </c:pt>
                <c:pt idx="27">
                  <c:v>11306329.364432665</c:v>
                </c:pt>
                <c:pt idx="28">
                  <c:v>10692228.025868321</c:v>
                </c:pt>
                <c:pt idx="29">
                  <c:v>10467768.008548845</c:v>
                </c:pt>
                <c:pt idx="30">
                  <c:v>11133217.218561364</c:v>
                </c:pt>
                <c:pt idx="31">
                  <c:v>11008415.885954833</c:v>
                </c:pt>
                <c:pt idx="32">
                  <c:v>10163034.278752638</c:v>
                </c:pt>
                <c:pt idx="33">
                  <c:v>10408644.305427104</c:v>
                </c:pt>
                <c:pt idx="34">
                  <c:v>11035358.439422198</c:v>
                </c:pt>
                <c:pt idx="35">
                  <c:v>12855220.796200017</c:v>
                </c:pt>
                <c:pt idx="36">
                  <c:v>13238747.565795455</c:v>
                </c:pt>
                <c:pt idx="37">
                  <c:v>11972000.088172954</c:v>
                </c:pt>
                <c:pt idx="38">
                  <c:v>12634058.046692308</c:v>
                </c:pt>
                <c:pt idx="39">
                  <c:v>10680362.785959138</c:v>
                </c:pt>
                <c:pt idx="40">
                  <c:v>10162413.65849488</c:v>
                </c:pt>
                <c:pt idx="41">
                  <c:v>9870806.2378251255</c:v>
                </c:pt>
                <c:pt idx="42">
                  <c:v>10728417.303016009</c:v>
                </c:pt>
                <c:pt idx="43">
                  <c:v>10430002.785010062</c:v>
                </c:pt>
                <c:pt idx="44">
                  <c:v>10138877.280987848</c:v>
                </c:pt>
                <c:pt idx="45">
                  <c:v>10563594.710277392</c:v>
                </c:pt>
                <c:pt idx="46">
                  <c:v>11794734.034078825</c:v>
                </c:pt>
                <c:pt idx="47">
                  <c:v>13979384.236354139</c:v>
                </c:pt>
                <c:pt idx="48">
                  <c:v>14589181.282457083</c:v>
                </c:pt>
                <c:pt idx="49">
                  <c:v>12602065.043304538</c:v>
                </c:pt>
                <c:pt idx="50">
                  <c:v>12838873.521702431</c:v>
                </c:pt>
                <c:pt idx="51">
                  <c:v>11595715.426247839</c:v>
                </c:pt>
                <c:pt idx="52">
                  <c:v>10804557.02921702</c:v>
                </c:pt>
                <c:pt idx="53">
                  <c:v>10810056.585985513</c:v>
                </c:pt>
                <c:pt idx="54">
                  <c:v>11738903.733938437</c:v>
                </c:pt>
                <c:pt idx="55">
                  <c:v>11370146.661835445</c:v>
                </c:pt>
                <c:pt idx="56">
                  <c:v>10317381.425097212</c:v>
                </c:pt>
                <c:pt idx="57">
                  <c:v>11056318.15399784</c:v>
                </c:pt>
                <c:pt idx="58">
                  <c:v>12321410.335647583</c:v>
                </c:pt>
                <c:pt idx="59">
                  <c:v>13389120.972104926</c:v>
                </c:pt>
                <c:pt idx="60">
                  <c:v>14598104.020437693</c:v>
                </c:pt>
                <c:pt idx="61">
                  <c:v>13158513.120282056</c:v>
                </c:pt>
                <c:pt idx="62">
                  <c:v>13238045.840126414</c:v>
                </c:pt>
                <c:pt idx="63">
                  <c:v>11407805.629970776</c:v>
                </c:pt>
                <c:pt idx="64">
                  <c:v>10585959.389815135</c:v>
                </c:pt>
                <c:pt idx="65">
                  <c:v>10472059.739659496</c:v>
                </c:pt>
                <c:pt idx="66">
                  <c:v>11553369.669503855</c:v>
                </c:pt>
                <c:pt idx="67">
                  <c:v>10886899.519348213</c:v>
                </c:pt>
                <c:pt idx="68">
                  <c:v>9932795.2991925739</c:v>
                </c:pt>
                <c:pt idx="69">
                  <c:v>10612642.599036934</c:v>
                </c:pt>
                <c:pt idx="70">
                  <c:v>12470141.758881295</c:v>
                </c:pt>
                <c:pt idx="71">
                  <c:v>13238227.838725653</c:v>
                </c:pt>
                <c:pt idx="72">
                  <c:v>13652816.710556209</c:v>
                </c:pt>
                <c:pt idx="73">
                  <c:v>12733582.995352812</c:v>
                </c:pt>
                <c:pt idx="74">
                  <c:v>12050222.340149418</c:v>
                </c:pt>
                <c:pt idx="75">
                  <c:v>9716740.3149460237</c:v>
                </c:pt>
                <c:pt idx="76">
                  <c:v>9694699.8497426268</c:v>
                </c:pt>
                <c:pt idx="77">
                  <c:v>10225668.464539232</c:v>
                </c:pt>
                <c:pt idx="78">
                  <c:v>11343101.809335835</c:v>
                </c:pt>
                <c:pt idx="79">
                  <c:v>10780735.944132442</c:v>
                </c:pt>
                <c:pt idx="80">
                  <c:v>9813085.9189290442</c:v>
                </c:pt>
                <c:pt idx="81">
                  <c:v>10753151.84372565</c:v>
                </c:pt>
                <c:pt idx="82">
                  <c:v>11644677.878522255</c:v>
                </c:pt>
                <c:pt idx="83">
                  <c:v>12844408.32331886</c:v>
                </c:pt>
                <c:pt idx="84">
                  <c:v>13020901.047661725</c:v>
                </c:pt>
                <c:pt idx="85">
                  <c:v>12441382.271758284</c:v>
                </c:pt>
                <c:pt idx="86">
                  <c:v>12206975.695854843</c:v>
                </c:pt>
                <c:pt idx="87">
                  <c:v>10295742.099951401</c:v>
                </c:pt>
                <c:pt idx="88">
                  <c:v>9972226.6940479614</c:v>
                </c:pt>
                <c:pt idx="89">
                  <c:v>9973847.388144521</c:v>
                </c:pt>
                <c:pt idx="90">
                  <c:v>10877601.992241079</c:v>
                </c:pt>
                <c:pt idx="91">
                  <c:v>11280808.316337638</c:v>
                </c:pt>
                <c:pt idx="92">
                  <c:v>10087037.710434197</c:v>
                </c:pt>
                <c:pt idx="93">
                  <c:v>10403500.194530755</c:v>
                </c:pt>
                <c:pt idx="94">
                  <c:v>11423218.038627313</c:v>
                </c:pt>
                <c:pt idx="95">
                  <c:v>13132583.892723873</c:v>
                </c:pt>
                <c:pt idx="96">
                  <c:v>14636954.815922895</c:v>
                </c:pt>
                <c:pt idx="97">
                  <c:v>13076799.903353576</c:v>
                </c:pt>
                <c:pt idx="98">
                  <c:v>13153699.890784256</c:v>
                </c:pt>
                <c:pt idx="99">
                  <c:v>11319018.888214933</c:v>
                </c:pt>
                <c:pt idx="100">
                  <c:v>10617832.325645614</c:v>
                </c:pt>
                <c:pt idx="101">
                  <c:v>10329832.053076293</c:v>
                </c:pt>
                <c:pt idx="102">
                  <c:v>11056407.640506973</c:v>
                </c:pt>
                <c:pt idx="103">
                  <c:v>10980512.797937652</c:v>
                </c:pt>
                <c:pt idx="104">
                  <c:v>10141321.345368331</c:v>
                </c:pt>
                <c:pt idx="105">
                  <c:v>10351131.972799011</c:v>
                </c:pt>
                <c:pt idx="106">
                  <c:v>11539971.930229692</c:v>
                </c:pt>
                <c:pt idx="107">
                  <c:v>12864921.17766037</c:v>
                </c:pt>
                <c:pt idx="108">
                  <c:v>13563555.004914708</c:v>
                </c:pt>
                <c:pt idx="109">
                  <c:v>12492374.263997788</c:v>
                </c:pt>
                <c:pt idx="110">
                  <c:v>12918705.583080864</c:v>
                </c:pt>
                <c:pt idx="111">
                  <c:v>11912469.672163939</c:v>
                </c:pt>
                <c:pt idx="112">
                  <c:v>11505991.091247017</c:v>
                </c:pt>
                <c:pt idx="113">
                  <c:v>11524708.840330094</c:v>
                </c:pt>
                <c:pt idx="114">
                  <c:v>12011604.23941317</c:v>
                </c:pt>
                <c:pt idx="115">
                  <c:v>11359569.388496248</c:v>
                </c:pt>
                <c:pt idx="116">
                  <c:v>10706905.087579323</c:v>
                </c:pt>
                <c:pt idx="117">
                  <c:v>11160124.0266624</c:v>
                </c:pt>
                <c:pt idx="118">
                  <c:v>12633492.375745479</c:v>
                </c:pt>
                <c:pt idx="119">
                  <c:v>13324894.874828555</c:v>
                </c:pt>
                <c:pt idx="120">
                  <c:v>14484747.985415813</c:v>
                </c:pt>
                <c:pt idx="121">
                  <c:v>13071633.130821705</c:v>
                </c:pt>
                <c:pt idx="122">
                  <c:v>13279822.796227597</c:v>
                </c:pt>
                <c:pt idx="123">
                  <c:v>11838242.501633488</c:v>
                </c:pt>
                <c:pt idx="124">
                  <c:v>11390251.437039379</c:v>
                </c:pt>
                <c:pt idx="125">
                  <c:v>11344853.062445268</c:v>
                </c:pt>
                <c:pt idx="126">
                  <c:v>12387904.277851159</c:v>
                </c:pt>
                <c:pt idx="127">
                  <c:v>12019540.413257049</c:v>
                </c:pt>
                <c:pt idx="128">
                  <c:v>11055971.86866294</c:v>
                </c:pt>
                <c:pt idx="129">
                  <c:v>11254804.474068832</c:v>
                </c:pt>
                <c:pt idx="130">
                  <c:v>12302255.959474724</c:v>
                </c:pt>
              </c:numCache>
            </c:numRef>
          </c:val>
          <c:smooth val="0"/>
          <c:extLst>
            <c:ext xmlns:c16="http://schemas.microsoft.com/office/drawing/2014/chart" uri="{C3380CC4-5D6E-409C-BE32-E72D297353CC}">
              <c16:uniqueId val="{00000000-1283-4DA0-A797-43D6348CF459}"/>
            </c:ext>
          </c:extLst>
        </c:ser>
        <c:ser>
          <c:idx val="1"/>
          <c:order val="1"/>
          <c:tx>
            <c:strRef>
              <c:f>'GS&lt;50 Normalized'!$S$1</c:f>
              <c:strCache>
                <c:ptCount val="1"/>
                <c:pt idx="0">
                  <c:v>Normalized</c:v>
                </c:pt>
              </c:strCache>
            </c:strRef>
          </c:tx>
          <c:spPr>
            <a:ln w="28575" cap="rnd">
              <a:solidFill>
                <a:schemeClr val="accent2"/>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Normalized'!$S$2:$S$146</c:f>
              <c:numCache>
                <c:formatCode>_(* #,##0_);_(* \(#,##0\);_(* "-"??_);_(@_)</c:formatCode>
                <c:ptCount val="145"/>
                <c:pt idx="0">
                  <c:v>13815879.93885247</c:v>
                </c:pt>
                <c:pt idx="1">
                  <c:v>12551306.222166818</c:v>
                </c:pt>
                <c:pt idx="2">
                  <c:v>12762108.747034442</c:v>
                </c:pt>
                <c:pt idx="3">
                  <c:v>11267014.179839207</c:v>
                </c:pt>
                <c:pt idx="4">
                  <c:v>10751545.662816171</c:v>
                </c:pt>
                <c:pt idx="5">
                  <c:v>10459447.885015439</c:v>
                </c:pt>
                <c:pt idx="6">
                  <c:v>11173582.872676052</c:v>
                </c:pt>
                <c:pt idx="7">
                  <c:v>10919435.703600992</c:v>
                </c:pt>
                <c:pt idx="8">
                  <c:v>10054864.319759306</c:v>
                </c:pt>
                <c:pt idx="9">
                  <c:v>10813056.575374968</c:v>
                </c:pt>
                <c:pt idx="10">
                  <c:v>11849129.027273729</c:v>
                </c:pt>
                <c:pt idx="11">
                  <c:v>13052832.430520436</c:v>
                </c:pt>
                <c:pt idx="12">
                  <c:v>13837494.878504843</c:v>
                </c:pt>
                <c:pt idx="13">
                  <c:v>12579026.144774439</c:v>
                </c:pt>
                <c:pt idx="14">
                  <c:v>12793623.659046676</c:v>
                </c:pt>
                <c:pt idx="15">
                  <c:v>11296879.096458133</c:v>
                </c:pt>
                <c:pt idx="16">
                  <c:v>10783335.574060626</c:v>
                </c:pt>
                <c:pt idx="17">
                  <c:v>10489532.801020142</c:v>
                </c:pt>
                <c:pt idx="18">
                  <c:v>11203337.78960209</c:v>
                </c:pt>
                <c:pt idx="19">
                  <c:v>10948255.623137487</c:v>
                </c:pt>
                <c:pt idx="20">
                  <c:v>10074939.263711253</c:v>
                </c:pt>
                <c:pt idx="21">
                  <c:v>10831701.52331938</c:v>
                </c:pt>
                <c:pt idx="22">
                  <c:v>11864033.98565997</c:v>
                </c:pt>
                <c:pt idx="23">
                  <c:v>13074392.370326364</c:v>
                </c:pt>
                <c:pt idx="24">
                  <c:v>13871319.784067713</c:v>
                </c:pt>
                <c:pt idx="25">
                  <c:v>12915205.108179612</c:v>
                </c:pt>
                <c:pt idx="26">
                  <c:v>12829648.558467295</c:v>
                </c:pt>
                <c:pt idx="27">
                  <c:v>11328394.008470368</c:v>
                </c:pt>
                <c:pt idx="28">
                  <c:v>10819415.473327687</c:v>
                </c:pt>
                <c:pt idx="29">
                  <c:v>10528087.693377169</c:v>
                </c:pt>
                <c:pt idx="30">
                  <c:v>11238207.692247391</c:v>
                </c:pt>
                <c:pt idx="31">
                  <c:v>10973225.553422924</c:v>
                </c:pt>
                <c:pt idx="32">
                  <c:v>10099359.195532253</c:v>
                </c:pt>
                <c:pt idx="33">
                  <c:v>10863436.434717391</c:v>
                </c:pt>
                <c:pt idx="34">
                  <c:v>11910893.854829997</c:v>
                </c:pt>
                <c:pt idx="35">
                  <c:v>13128072.220455408</c:v>
                </c:pt>
                <c:pt idx="36">
                  <c:v>13932534.613159543</c:v>
                </c:pt>
                <c:pt idx="37">
                  <c:v>12677915.8686802</c:v>
                </c:pt>
                <c:pt idx="38">
                  <c:v>12894933.37619596</c:v>
                </c:pt>
                <c:pt idx="39">
                  <c:v>11394338.824356357</c:v>
                </c:pt>
                <c:pt idx="40">
                  <c:v>10885250.289520789</c:v>
                </c:pt>
                <c:pt idx="41">
                  <c:v>10595627.504810024</c:v>
                </c:pt>
                <c:pt idx="42">
                  <c:v>11318782.467287403</c:v>
                </c:pt>
                <c:pt idx="43">
                  <c:v>11067330.290688083</c:v>
                </c:pt>
                <c:pt idx="44">
                  <c:v>10206773.895636786</c:v>
                </c:pt>
                <c:pt idx="45">
                  <c:v>10970521.135743262</c:v>
                </c:pt>
                <c:pt idx="46">
                  <c:v>12022323.543724919</c:v>
                </c:pt>
                <c:pt idx="47">
                  <c:v>13241866.902747409</c:v>
                </c:pt>
                <c:pt idx="48">
                  <c:v>14034174.329387488</c:v>
                </c:pt>
                <c:pt idx="49">
                  <c:v>12764595.62667546</c:v>
                </c:pt>
                <c:pt idx="50">
                  <c:v>12970888.1641347</c:v>
                </c:pt>
                <c:pt idx="51">
                  <c:v>11475738.597093023</c:v>
                </c:pt>
                <c:pt idx="52">
                  <c:v>10963680.070549496</c:v>
                </c:pt>
                <c:pt idx="53">
                  <c:v>10673342.287834963</c:v>
                </c:pt>
                <c:pt idx="54">
                  <c:v>11401117.237413611</c:v>
                </c:pt>
                <c:pt idx="55">
                  <c:v>11145870.071409676</c:v>
                </c:pt>
                <c:pt idx="56">
                  <c:v>10278823.694478024</c:v>
                </c:pt>
                <c:pt idx="57">
                  <c:v>11028490.973894915</c:v>
                </c:pt>
                <c:pt idx="58">
                  <c:v>12078918.385715479</c:v>
                </c:pt>
                <c:pt idx="59">
                  <c:v>13299011.743202407</c:v>
                </c:pt>
                <c:pt idx="60">
                  <c:v>14101329.141895238</c:v>
                </c:pt>
                <c:pt idx="61">
                  <c:v>12851660.383595826</c:v>
                </c:pt>
                <c:pt idx="62">
                  <c:v>13065927.898789402</c:v>
                </c:pt>
                <c:pt idx="63">
                  <c:v>11576058.31700632</c:v>
                </c:pt>
                <c:pt idx="64">
                  <c:v>11068619.777564062</c:v>
                </c:pt>
                <c:pt idx="65">
                  <c:v>10781471.985943263</c:v>
                </c:pt>
                <c:pt idx="66">
                  <c:v>11491426.985274155</c:v>
                </c:pt>
                <c:pt idx="67">
                  <c:v>11235959.819884446</c:v>
                </c:pt>
                <c:pt idx="68">
                  <c:v>10378208.417001778</c:v>
                </c:pt>
                <c:pt idx="69">
                  <c:v>11144320.650505332</c:v>
                </c:pt>
                <c:pt idx="70">
                  <c:v>12188588.079524204</c:v>
                </c:pt>
                <c:pt idx="71">
                  <c:v>13399716.462040808</c:v>
                </c:pt>
                <c:pt idx="72">
                  <c:v>14201538.862115646</c:v>
                </c:pt>
                <c:pt idx="73">
                  <c:v>13240639.199586945</c:v>
                </c:pt>
                <c:pt idx="74">
                  <c:v>12471980.590157321</c:v>
                </c:pt>
                <c:pt idx="75">
                  <c:v>10164094.325330552</c:v>
                </c:pt>
                <c:pt idx="76">
                  <c:v>9424941.4328210149</c:v>
                </c:pt>
                <c:pt idx="77">
                  <c:v>9658591.1540621854</c:v>
                </c:pt>
                <c:pt idx="78">
                  <c:v>10458965.900946509</c:v>
                </c:pt>
                <c:pt idx="79">
                  <c:v>10327578.389133772</c:v>
                </c:pt>
                <c:pt idx="80">
                  <c:v>9548366.7669726964</c:v>
                </c:pt>
                <c:pt idx="81">
                  <c:v>10376353.827725405</c:v>
                </c:pt>
                <c:pt idx="82">
                  <c:v>11466821.127756979</c:v>
                </c:pt>
                <c:pt idx="83">
                  <c:v>12684879.490925491</c:v>
                </c:pt>
                <c:pt idx="84">
                  <c:v>13447816.999564636</c:v>
                </c:pt>
                <c:pt idx="85">
                  <c:v>12173618.309751339</c:v>
                </c:pt>
                <c:pt idx="86">
                  <c:v>12402295.784713162</c:v>
                </c:pt>
                <c:pt idx="87">
                  <c:v>10929146.156248961</c:v>
                </c:pt>
                <c:pt idx="88">
                  <c:v>10404052.666098278</c:v>
                </c:pt>
                <c:pt idx="89">
                  <c:v>10095564.934057329</c:v>
                </c:pt>
                <c:pt idx="90">
                  <c:v>10832909.856917178</c:v>
                </c:pt>
                <c:pt idx="91">
                  <c:v>10615942.584038055</c:v>
                </c:pt>
                <c:pt idx="92">
                  <c:v>9783601.1102123726</c:v>
                </c:pt>
                <c:pt idx="93">
                  <c:v>10571273.283521855</c:v>
                </c:pt>
                <c:pt idx="94">
                  <c:v>11651015.613496909</c:v>
                </c:pt>
                <c:pt idx="95">
                  <c:v>12890688.916317791</c:v>
                </c:pt>
                <c:pt idx="96">
                  <c:v>13972682.51762012</c:v>
                </c:pt>
                <c:pt idx="97">
                  <c:v>12725598.752103563</c:v>
                </c:pt>
                <c:pt idx="98">
                  <c:v>12943221.257930202</c:v>
                </c:pt>
                <c:pt idx="99">
                  <c:v>11486076.584781118</c:v>
                </c:pt>
                <c:pt idx="100">
                  <c:v>10976328.051788226</c:v>
                </c:pt>
                <c:pt idx="101">
                  <c:v>10676255.29625316</c:v>
                </c:pt>
                <c:pt idx="102">
                  <c:v>11378180.318003271</c:v>
                </c:pt>
                <c:pt idx="103">
                  <c:v>11105333.201137356</c:v>
                </c:pt>
                <c:pt idx="104">
                  <c:v>10225306.860444991</c:v>
                </c:pt>
                <c:pt idx="105">
                  <c:v>10980804.123584913</c:v>
                </c:pt>
                <c:pt idx="106">
                  <c:v>12029636.539858609</c:v>
                </c:pt>
                <c:pt idx="107">
                  <c:v>13258804.872008748</c:v>
                </c:pt>
                <c:pt idx="108">
                  <c:v>14369288.39376891</c:v>
                </c:pt>
                <c:pt idx="109">
                  <c:v>13127814.612589609</c:v>
                </c:pt>
                <c:pt idx="110">
                  <c:v>13354347.093540128</c:v>
                </c:pt>
                <c:pt idx="111">
                  <c:v>11865137.50991437</c:v>
                </c:pt>
                <c:pt idx="112">
                  <c:v>11352308.985520631</c:v>
                </c:pt>
                <c:pt idx="113">
                  <c:v>11062136.202345429</c:v>
                </c:pt>
                <c:pt idx="114">
                  <c:v>11770276.206743678</c:v>
                </c:pt>
                <c:pt idx="115">
                  <c:v>11509309.056709602</c:v>
                </c:pt>
                <c:pt idx="116">
                  <c:v>10633022.705575408</c:v>
                </c:pt>
                <c:pt idx="117">
                  <c:v>11389619.965644201</c:v>
                </c:pt>
                <c:pt idx="118">
                  <c:v>12436637.386985259</c:v>
                </c:pt>
                <c:pt idx="119">
                  <c:v>13644135.77963658</c:v>
                </c:pt>
                <c:pt idx="120">
                  <c:v>14439853.196756169</c:v>
                </c:pt>
                <c:pt idx="121">
                  <c:v>13478238.536223698</c:v>
                </c:pt>
                <c:pt idx="122">
                  <c:v>13403626.955953676</c:v>
                </c:pt>
                <c:pt idx="123">
                  <c:v>11917607.363421652</c:v>
                </c:pt>
                <c:pt idx="124">
                  <c:v>11416768.805552639</c:v>
                </c:pt>
                <c:pt idx="125">
                  <c:v>11128851.016081629</c:v>
                </c:pt>
                <c:pt idx="126">
                  <c:v>11843151.003281571</c:v>
                </c:pt>
                <c:pt idx="127">
                  <c:v>11579103.861846648</c:v>
                </c:pt>
                <c:pt idx="128">
                  <c:v>10718382.467256019</c:v>
                </c:pt>
                <c:pt idx="129">
                  <c:v>11478884.716422318</c:v>
                </c:pt>
                <c:pt idx="130">
                  <c:v>12525682.138377599</c:v>
                </c:pt>
                <c:pt idx="131">
                  <c:v>13731640.535328496</c:v>
                </c:pt>
                <c:pt idx="132">
                  <c:v>14497459.994671408</c:v>
                </c:pt>
                <c:pt idx="133">
                  <c:v>13236676.812402809</c:v>
                </c:pt>
                <c:pt idx="134">
                  <c:v>13460985.979560688</c:v>
                </c:pt>
                <c:pt idx="135">
                  <c:v>11975287.764881395</c:v>
                </c:pt>
                <c:pt idx="136">
                  <c:v>11475067.185287021</c:v>
                </c:pt>
                <c:pt idx="137">
                  <c:v>11187824.945179919</c:v>
                </c:pt>
                <c:pt idx="138">
                  <c:v>11902539.589972163</c:v>
                </c:pt>
                <c:pt idx="139">
                  <c:v>11638476.416082</c:v>
                </c:pt>
                <c:pt idx="140">
                  <c:v>10777583.036971541</c:v>
                </c:pt>
                <c:pt idx="141">
                  <c:v>11537982.532674721</c:v>
                </c:pt>
                <c:pt idx="142">
                  <c:v>12584719.468548875</c:v>
                </c:pt>
                <c:pt idx="143">
                  <c:v>13790649.444329124</c:v>
                </c:pt>
              </c:numCache>
            </c:numRef>
          </c:val>
          <c:smooth val="0"/>
          <c:extLst>
            <c:ext xmlns:c16="http://schemas.microsoft.com/office/drawing/2014/chart" uri="{C3380CC4-5D6E-409C-BE32-E72D297353CC}">
              <c16:uniqueId val="{00000001-1283-4DA0-A797-43D6348CF45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Normalized'!$D$1</c:f>
              <c:strCache>
                <c:ptCount val="1"/>
                <c:pt idx="0">
                  <c:v> GS_gt_50_NoCDM </c:v>
                </c:pt>
              </c:strCache>
            </c:strRef>
          </c:tx>
          <c:spPr>
            <a:ln w="28575" cap="rnd">
              <a:solidFill>
                <a:schemeClr val="accent1"/>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35247496.219310194</c:v>
                </c:pt>
                <c:pt idx="25">
                  <c:v>32459358.879751384</c:v>
                </c:pt>
                <c:pt idx="26">
                  <c:v>32394729.877224918</c:v>
                </c:pt>
                <c:pt idx="27">
                  <c:v>28940353.581118435</c:v>
                </c:pt>
                <c:pt idx="28">
                  <c:v>27378681.483578455</c:v>
                </c:pt>
                <c:pt idx="29">
                  <c:v>27434328.919874996</c:v>
                </c:pt>
                <c:pt idx="30">
                  <c:v>29318170.811119556</c:v>
                </c:pt>
                <c:pt idx="31">
                  <c:v>29867205.248904526</c:v>
                </c:pt>
                <c:pt idx="32">
                  <c:v>27630000.897851404</c:v>
                </c:pt>
                <c:pt idx="33">
                  <c:v>28269122.016322847</c:v>
                </c:pt>
                <c:pt idx="34">
                  <c:v>29625054.663851045</c:v>
                </c:pt>
                <c:pt idx="35">
                  <c:v>33235343.950073261</c:v>
                </c:pt>
                <c:pt idx="36">
                  <c:v>33771797.658702679</c:v>
                </c:pt>
                <c:pt idx="37">
                  <c:v>30821664.603979621</c:v>
                </c:pt>
                <c:pt idx="38">
                  <c:v>33517131.703601539</c:v>
                </c:pt>
                <c:pt idx="39">
                  <c:v>28201638.7495308</c:v>
                </c:pt>
                <c:pt idx="40">
                  <c:v>27372200.623789527</c:v>
                </c:pt>
                <c:pt idx="41">
                  <c:v>26996934.5106472</c:v>
                </c:pt>
                <c:pt idx="42">
                  <c:v>30033693.283745877</c:v>
                </c:pt>
                <c:pt idx="43">
                  <c:v>29810611.990313642</c:v>
                </c:pt>
                <c:pt idx="44">
                  <c:v>29229664.98879686</c:v>
                </c:pt>
                <c:pt idx="45">
                  <c:v>29788281.584134679</c:v>
                </c:pt>
                <c:pt idx="46">
                  <c:v>32403452.509253845</c:v>
                </c:pt>
                <c:pt idx="47">
                  <c:v>36193918.154773518</c:v>
                </c:pt>
                <c:pt idx="48">
                  <c:v>36876641.478447691</c:v>
                </c:pt>
                <c:pt idx="49">
                  <c:v>32450817.161034416</c:v>
                </c:pt>
                <c:pt idx="50">
                  <c:v>33530319.642503735</c:v>
                </c:pt>
                <c:pt idx="51">
                  <c:v>30439204.974459674</c:v>
                </c:pt>
                <c:pt idx="52">
                  <c:v>29126243.549783867</c:v>
                </c:pt>
                <c:pt idx="53">
                  <c:v>28885481.971341256</c:v>
                </c:pt>
                <c:pt idx="54">
                  <c:v>31490270.204440821</c:v>
                </c:pt>
                <c:pt idx="55">
                  <c:v>30971325.496937919</c:v>
                </c:pt>
                <c:pt idx="56">
                  <c:v>28654541.758361634</c:v>
                </c:pt>
                <c:pt idx="57">
                  <c:v>30351483.101155873</c:v>
                </c:pt>
                <c:pt idx="58">
                  <c:v>32438945.153162286</c:v>
                </c:pt>
                <c:pt idx="59">
                  <c:v>34215750.076040141</c:v>
                </c:pt>
                <c:pt idx="60">
                  <c:v>36281125.86679174</c:v>
                </c:pt>
                <c:pt idx="61">
                  <c:v>32472484.106644373</c:v>
                </c:pt>
                <c:pt idx="62">
                  <c:v>33332897.506497011</c:v>
                </c:pt>
                <c:pt idx="63">
                  <c:v>29146608.456349649</c:v>
                </c:pt>
                <c:pt idx="64">
                  <c:v>27939346.306202278</c:v>
                </c:pt>
                <c:pt idx="65">
                  <c:v>27453255.636054914</c:v>
                </c:pt>
                <c:pt idx="66">
                  <c:v>30266965.175907552</c:v>
                </c:pt>
                <c:pt idx="67">
                  <c:v>29172056.525760185</c:v>
                </c:pt>
                <c:pt idx="68">
                  <c:v>27183202.695612822</c:v>
                </c:pt>
                <c:pt idx="69">
                  <c:v>29031687.915465459</c:v>
                </c:pt>
                <c:pt idx="70">
                  <c:v>31785880.245318092</c:v>
                </c:pt>
                <c:pt idx="71">
                  <c:v>33913799.495170727</c:v>
                </c:pt>
                <c:pt idx="72">
                  <c:v>33896121.025919832</c:v>
                </c:pt>
                <c:pt idx="73">
                  <c:v>32095520.527711645</c:v>
                </c:pt>
                <c:pt idx="74">
                  <c:v>31020737.220503461</c:v>
                </c:pt>
                <c:pt idx="75">
                  <c:v>25567063.165295273</c:v>
                </c:pt>
                <c:pt idx="76">
                  <c:v>25132119.509087089</c:v>
                </c:pt>
                <c:pt idx="77">
                  <c:v>25159228.287878901</c:v>
                </c:pt>
                <c:pt idx="78">
                  <c:v>28751793.768670712</c:v>
                </c:pt>
                <c:pt idx="79">
                  <c:v>27133108.955462527</c:v>
                </c:pt>
                <c:pt idx="80">
                  <c:v>25201907.553254344</c:v>
                </c:pt>
                <c:pt idx="81">
                  <c:v>27569490.543046154</c:v>
                </c:pt>
                <c:pt idx="82">
                  <c:v>28808277.152837969</c:v>
                </c:pt>
                <c:pt idx="83">
                  <c:v>31609940.130629782</c:v>
                </c:pt>
                <c:pt idx="84">
                  <c:v>31503025.928263903</c:v>
                </c:pt>
                <c:pt idx="85">
                  <c:v>29705320.387662452</c:v>
                </c:pt>
                <c:pt idx="86">
                  <c:v>29854564.017060999</c:v>
                </c:pt>
                <c:pt idx="87">
                  <c:v>25770865.557459541</c:v>
                </c:pt>
                <c:pt idx="88">
                  <c:v>26003773.763858087</c:v>
                </c:pt>
                <c:pt idx="89">
                  <c:v>26043272.149256632</c:v>
                </c:pt>
                <c:pt idx="90">
                  <c:v>27770526.577655174</c:v>
                </c:pt>
                <c:pt idx="91">
                  <c:v>28869023.053053726</c:v>
                </c:pt>
                <c:pt idx="92">
                  <c:v>26337465.956452273</c:v>
                </c:pt>
                <c:pt idx="93">
                  <c:v>27573316.757850815</c:v>
                </c:pt>
                <c:pt idx="94">
                  <c:v>29449934.302249361</c:v>
                </c:pt>
                <c:pt idx="95">
                  <c:v>32434889.370647911</c:v>
                </c:pt>
                <c:pt idx="96">
                  <c:v>35303574.279932499</c:v>
                </c:pt>
                <c:pt idx="97">
                  <c:v>31372467.215929374</c:v>
                </c:pt>
                <c:pt idx="98">
                  <c:v>32474633.647926256</c:v>
                </c:pt>
                <c:pt idx="99">
                  <c:v>28569435.47692313</c:v>
                </c:pt>
                <c:pt idx="100">
                  <c:v>28694219.856920011</c:v>
                </c:pt>
                <c:pt idx="101">
                  <c:v>26890122.734916892</c:v>
                </c:pt>
                <c:pt idx="102">
                  <c:v>28327082.735913772</c:v>
                </c:pt>
                <c:pt idx="103">
                  <c:v>28533100.437910646</c:v>
                </c:pt>
                <c:pt idx="104">
                  <c:v>27419851.763907529</c:v>
                </c:pt>
                <c:pt idx="105">
                  <c:v>27803839.531904407</c:v>
                </c:pt>
                <c:pt idx="106">
                  <c:v>29585222.576901283</c:v>
                </c:pt>
                <c:pt idx="107">
                  <c:v>32431814.966898166</c:v>
                </c:pt>
                <c:pt idx="108">
                  <c:v>33325468.746121921</c:v>
                </c:pt>
                <c:pt idx="109">
                  <c:v>30837156.259682801</c:v>
                </c:pt>
                <c:pt idx="110">
                  <c:v>32391742.110243682</c:v>
                </c:pt>
                <c:pt idx="111">
                  <c:v>27702269.425804559</c:v>
                </c:pt>
                <c:pt idx="112">
                  <c:v>27191589.291365437</c:v>
                </c:pt>
                <c:pt idx="113">
                  <c:v>27669678.449926317</c:v>
                </c:pt>
                <c:pt idx="114">
                  <c:v>28849666.375487197</c:v>
                </c:pt>
                <c:pt idx="115">
                  <c:v>27410213.500048079</c:v>
                </c:pt>
                <c:pt idx="116">
                  <c:v>26672181.881608956</c:v>
                </c:pt>
                <c:pt idx="117">
                  <c:v>28075910.169169836</c:v>
                </c:pt>
                <c:pt idx="118">
                  <c:v>30125834.330730714</c:v>
                </c:pt>
                <c:pt idx="119">
                  <c:v>31326096.943291593</c:v>
                </c:pt>
                <c:pt idx="120">
                  <c:v>33487909.795723487</c:v>
                </c:pt>
                <c:pt idx="121">
                  <c:v>30402072.506792381</c:v>
                </c:pt>
                <c:pt idx="122">
                  <c:v>30560769.37786128</c:v>
                </c:pt>
                <c:pt idx="123">
                  <c:v>27840160.598930176</c:v>
                </c:pt>
                <c:pt idx="124">
                  <c:v>26873110.719999075</c:v>
                </c:pt>
                <c:pt idx="125">
                  <c:v>26966104.141067971</c:v>
                </c:pt>
                <c:pt idx="126">
                  <c:v>29325088.142136868</c:v>
                </c:pt>
                <c:pt idx="127">
                  <c:v>28897756.003205769</c:v>
                </c:pt>
                <c:pt idx="128">
                  <c:v>27520933.564274665</c:v>
                </c:pt>
                <c:pt idx="129">
                  <c:v>27977111.705343559</c:v>
                </c:pt>
                <c:pt idx="130">
                  <c:v>28979419.546412461</c:v>
                </c:pt>
              </c:numCache>
            </c:numRef>
          </c:val>
          <c:smooth val="0"/>
          <c:extLst>
            <c:ext xmlns:c16="http://schemas.microsoft.com/office/drawing/2014/chart" uri="{C3380CC4-5D6E-409C-BE32-E72D297353CC}">
              <c16:uniqueId val="{00000000-49B6-42A2-8253-9FEE7C6E45F8}"/>
            </c:ext>
          </c:extLst>
        </c:ser>
        <c:ser>
          <c:idx val="1"/>
          <c:order val="1"/>
          <c:tx>
            <c:strRef>
              <c:f>'GS&gt;50 Normalized'!$U$1</c:f>
              <c:strCache>
                <c:ptCount val="1"/>
                <c:pt idx="0">
                  <c:v>Normalized</c:v>
                </c:pt>
              </c:strCache>
            </c:strRef>
          </c:tx>
          <c:spPr>
            <a:ln w="28575" cap="rnd">
              <a:solidFill>
                <a:schemeClr val="accent2"/>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Normalized'!$U$2:$U$146</c:f>
              <c:numCache>
                <c:formatCode>_(* #,##0_);_(* \(#,##0\);_(* "-"??_);_(@_)</c:formatCode>
                <c:ptCount val="145"/>
                <c:pt idx="0">
                  <c:v>35846418.792822592</c:v>
                </c:pt>
                <c:pt idx="1">
                  <c:v>32538954.982317068</c:v>
                </c:pt>
                <c:pt idx="2">
                  <c:v>33454836.436595298</c:v>
                </c:pt>
                <c:pt idx="3">
                  <c:v>29948414.292731106</c:v>
                </c:pt>
                <c:pt idx="4">
                  <c:v>28967984.687661253</c:v>
                </c:pt>
                <c:pt idx="5">
                  <c:v>28307075.215287752</c:v>
                </c:pt>
                <c:pt idx="6">
                  <c:v>30321386.677066676</c:v>
                </c:pt>
                <c:pt idx="7">
                  <c:v>29638246.475772426</c:v>
                </c:pt>
                <c:pt idx="8">
                  <c:v>28259649.431686144</c:v>
                </c:pt>
                <c:pt idx="9">
                  <c:v>29968577.814231221</c:v>
                </c:pt>
                <c:pt idx="10">
                  <c:v>31451059.611719437</c:v>
                </c:pt>
                <c:pt idx="11">
                  <c:v>33901033.755354695</c:v>
                </c:pt>
                <c:pt idx="12">
                  <c:v>35748408.682793677</c:v>
                </c:pt>
                <c:pt idx="13">
                  <c:v>32440944.872288153</c:v>
                </c:pt>
                <c:pt idx="14">
                  <c:v>33356826.326566383</c:v>
                </c:pt>
                <c:pt idx="15">
                  <c:v>29820224.505856615</c:v>
                </c:pt>
                <c:pt idx="16">
                  <c:v>28839794.900786757</c:v>
                </c:pt>
                <c:pt idx="17">
                  <c:v>28178885.428413264</c:v>
                </c:pt>
                <c:pt idx="18">
                  <c:v>30183460.960543133</c:v>
                </c:pt>
                <c:pt idx="19">
                  <c:v>29500320.75924889</c:v>
                </c:pt>
                <c:pt idx="20">
                  <c:v>28121723.715162605</c:v>
                </c:pt>
                <c:pt idx="21">
                  <c:v>29892358.453924697</c:v>
                </c:pt>
                <c:pt idx="22">
                  <c:v>31374840.251412917</c:v>
                </c:pt>
                <c:pt idx="23">
                  <c:v>33824814.395048171</c:v>
                </c:pt>
                <c:pt idx="24">
                  <c:v>35738550.510217644</c:v>
                </c:pt>
                <c:pt idx="25">
                  <c:v>33258068.495950282</c:v>
                </c:pt>
                <c:pt idx="26">
                  <c:v>33346968.153990358</c:v>
                </c:pt>
                <c:pt idx="27">
                  <c:v>29677473.451170757</c:v>
                </c:pt>
                <c:pt idx="28">
                  <c:v>28697043.846100904</c:v>
                </c:pt>
                <c:pt idx="29">
                  <c:v>28036134.373727404</c:v>
                </c:pt>
                <c:pt idx="30">
                  <c:v>30029780.429666311</c:v>
                </c:pt>
                <c:pt idx="31">
                  <c:v>29346640.228372063</c:v>
                </c:pt>
                <c:pt idx="32">
                  <c:v>27968043.184285779</c:v>
                </c:pt>
                <c:pt idx="33">
                  <c:v>29590865.709164109</c:v>
                </c:pt>
                <c:pt idx="34">
                  <c:v>31073347.506652329</c:v>
                </c:pt>
                <c:pt idx="35">
                  <c:v>33523321.650287583</c:v>
                </c:pt>
                <c:pt idx="36">
                  <c:v>35536275.584419988</c:v>
                </c:pt>
                <c:pt idx="37">
                  <c:v>32228811.773914464</c:v>
                </c:pt>
                <c:pt idx="38">
                  <c:v>33144693.228192694</c:v>
                </c:pt>
                <c:pt idx="39">
                  <c:v>29655884.421154186</c:v>
                </c:pt>
                <c:pt idx="40">
                  <c:v>28675454.816084333</c:v>
                </c:pt>
                <c:pt idx="41">
                  <c:v>28014545.343710836</c:v>
                </c:pt>
                <c:pt idx="42">
                  <c:v>29913423.804221667</c:v>
                </c:pt>
                <c:pt idx="43">
                  <c:v>29230283.602927417</c:v>
                </c:pt>
                <c:pt idx="44">
                  <c:v>27851686.558841135</c:v>
                </c:pt>
                <c:pt idx="45">
                  <c:v>29604418.099474501</c:v>
                </c:pt>
                <c:pt idx="46">
                  <c:v>31086899.896962721</c:v>
                </c:pt>
                <c:pt idx="47">
                  <c:v>33536874.040597975</c:v>
                </c:pt>
                <c:pt idx="48">
                  <c:v>35493287.969973363</c:v>
                </c:pt>
                <c:pt idx="49">
                  <c:v>32185824.159467839</c:v>
                </c:pt>
                <c:pt idx="50">
                  <c:v>33101705.613746069</c:v>
                </c:pt>
                <c:pt idx="51">
                  <c:v>29570184.89117188</c:v>
                </c:pt>
                <c:pt idx="52">
                  <c:v>28589755.286102027</c:v>
                </c:pt>
                <c:pt idx="53">
                  <c:v>27928845.813728534</c:v>
                </c:pt>
                <c:pt idx="54">
                  <c:v>29978247.543839768</c:v>
                </c:pt>
                <c:pt idx="55">
                  <c:v>29295107.342545517</c:v>
                </c:pt>
                <c:pt idx="56">
                  <c:v>27916510.298459236</c:v>
                </c:pt>
                <c:pt idx="57">
                  <c:v>29653879.190031663</c:v>
                </c:pt>
                <c:pt idx="58">
                  <c:v>31136360.987519879</c:v>
                </c:pt>
                <c:pt idx="59">
                  <c:v>33586335.131155141</c:v>
                </c:pt>
                <c:pt idx="60">
                  <c:v>35424860.763519064</c:v>
                </c:pt>
                <c:pt idx="61">
                  <c:v>32117396.953013536</c:v>
                </c:pt>
                <c:pt idx="62">
                  <c:v>33033278.40729177</c:v>
                </c:pt>
                <c:pt idx="63">
                  <c:v>29509754.44654841</c:v>
                </c:pt>
                <c:pt idx="64">
                  <c:v>28529324.841478556</c:v>
                </c:pt>
                <c:pt idx="65">
                  <c:v>27868415.369105063</c:v>
                </c:pt>
                <c:pt idx="66">
                  <c:v>29823578.074399639</c:v>
                </c:pt>
                <c:pt idx="67">
                  <c:v>29140437.873105392</c:v>
                </c:pt>
                <c:pt idx="68">
                  <c:v>27761840.829019111</c:v>
                </c:pt>
                <c:pt idx="69">
                  <c:v>29423470.66717457</c:v>
                </c:pt>
                <c:pt idx="70">
                  <c:v>30905952.464662787</c:v>
                </c:pt>
                <c:pt idx="71">
                  <c:v>33355926.608298041</c:v>
                </c:pt>
                <c:pt idx="72">
                  <c:v>34983654.870694838</c:v>
                </c:pt>
                <c:pt idx="73">
                  <c:v>32503172.856427476</c:v>
                </c:pt>
                <c:pt idx="74">
                  <c:v>31626019.824287184</c:v>
                </c:pt>
                <c:pt idx="75">
                  <c:v>25440021.372009486</c:v>
                </c:pt>
                <c:pt idx="76">
                  <c:v>24459591.766939633</c:v>
                </c:pt>
                <c:pt idx="77">
                  <c:v>24764734.984746493</c:v>
                </c:pt>
                <c:pt idx="78">
                  <c:v>27861763.666691445</c:v>
                </c:pt>
                <c:pt idx="79">
                  <c:v>27178623.465397194</c:v>
                </c:pt>
                <c:pt idx="80">
                  <c:v>25800026.421310913</c:v>
                </c:pt>
                <c:pt idx="81">
                  <c:v>27761816.164093185</c:v>
                </c:pt>
                <c:pt idx="82">
                  <c:v>29244297.961581405</c:v>
                </c:pt>
                <c:pt idx="83">
                  <c:v>31694272.10521666</c:v>
                </c:pt>
                <c:pt idx="84">
                  <c:v>33730807.108884335</c:v>
                </c:pt>
                <c:pt idx="85">
                  <c:v>30423343.29837881</c:v>
                </c:pt>
                <c:pt idx="86">
                  <c:v>31339224.752657037</c:v>
                </c:pt>
                <c:pt idx="87">
                  <c:v>27611570.231916398</c:v>
                </c:pt>
                <c:pt idx="88">
                  <c:v>26631140.626846544</c:v>
                </c:pt>
                <c:pt idx="89">
                  <c:v>25970231.154473048</c:v>
                </c:pt>
                <c:pt idx="90">
                  <c:v>28152662.172013186</c:v>
                </c:pt>
                <c:pt idx="91">
                  <c:v>27469521.970718935</c:v>
                </c:pt>
                <c:pt idx="92">
                  <c:v>26090924.926632654</c:v>
                </c:pt>
                <c:pt idx="93">
                  <c:v>28055766.738429252</c:v>
                </c:pt>
                <c:pt idx="94">
                  <c:v>29538248.535917472</c:v>
                </c:pt>
                <c:pt idx="95">
                  <c:v>31988222.679552723</c:v>
                </c:pt>
                <c:pt idx="96">
                  <c:v>34407457.916130155</c:v>
                </c:pt>
                <c:pt idx="97">
                  <c:v>31099994.105624631</c:v>
                </c:pt>
                <c:pt idx="98">
                  <c:v>32015875.559902862</c:v>
                </c:pt>
                <c:pt idx="99">
                  <c:v>28500825.779607106</c:v>
                </c:pt>
                <c:pt idx="100">
                  <c:v>27520396.174537249</c:v>
                </c:pt>
                <c:pt idx="101">
                  <c:v>26859486.702163756</c:v>
                </c:pt>
                <c:pt idx="102">
                  <c:v>28774426.888995789</c:v>
                </c:pt>
                <c:pt idx="103">
                  <c:v>28091286.687701538</c:v>
                </c:pt>
                <c:pt idx="104">
                  <c:v>26712689.643615257</c:v>
                </c:pt>
                <c:pt idx="105">
                  <c:v>28340218.152001709</c:v>
                </c:pt>
                <c:pt idx="106">
                  <c:v>29822699.949489925</c:v>
                </c:pt>
                <c:pt idx="107">
                  <c:v>32272674.093125179</c:v>
                </c:pt>
                <c:pt idx="108">
                  <c:v>34722736.931813791</c:v>
                </c:pt>
                <c:pt idx="109">
                  <c:v>31415273.121308271</c:v>
                </c:pt>
                <c:pt idx="110">
                  <c:v>32331154.575586505</c:v>
                </c:pt>
                <c:pt idx="111">
                  <c:v>28789539.85940069</c:v>
                </c:pt>
                <c:pt idx="112">
                  <c:v>27809110.254330836</c:v>
                </c:pt>
                <c:pt idx="113">
                  <c:v>27148200.781957336</c:v>
                </c:pt>
                <c:pt idx="114">
                  <c:v>29077463.527292356</c:v>
                </c:pt>
                <c:pt idx="115">
                  <c:v>28394323.325998105</c:v>
                </c:pt>
                <c:pt idx="116">
                  <c:v>27015726.281911824</c:v>
                </c:pt>
                <c:pt idx="117">
                  <c:v>28691422.918596998</c:v>
                </c:pt>
                <c:pt idx="118">
                  <c:v>30173904.716085218</c:v>
                </c:pt>
                <c:pt idx="119">
                  <c:v>32623878.859720472</c:v>
                </c:pt>
                <c:pt idx="120">
                  <c:v>34526071.674763136</c:v>
                </c:pt>
                <c:pt idx="121">
                  <c:v>32045589.660495773</c:v>
                </c:pt>
                <c:pt idx="122">
                  <c:v>32134489.318535842</c:v>
                </c:pt>
                <c:pt idx="123">
                  <c:v>28556863.598113954</c:v>
                </c:pt>
                <c:pt idx="124">
                  <c:v>27576433.993044101</c:v>
                </c:pt>
                <c:pt idx="125">
                  <c:v>26915524.520670608</c:v>
                </c:pt>
                <c:pt idx="126">
                  <c:v>28819756.88995517</c:v>
                </c:pt>
                <c:pt idx="127">
                  <c:v>28136616.68866092</c:v>
                </c:pt>
                <c:pt idx="128">
                  <c:v>26758019.644574638</c:v>
                </c:pt>
                <c:pt idx="129">
                  <c:v>28260413.323373713</c:v>
                </c:pt>
                <c:pt idx="130">
                  <c:v>29742895.120861929</c:v>
                </c:pt>
                <c:pt idx="131">
                  <c:v>32192869.264497187</c:v>
                </c:pt>
                <c:pt idx="132">
                  <c:v>34095062.07953985</c:v>
                </c:pt>
                <c:pt idx="133">
                  <c:v>30787598.269034326</c:v>
                </c:pt>
                <c:pt idx="134">
                  <c:v>31703479.723312557</c:v>
                </c:pt>
                <c:pt idx="135">
                  <c:v>28125854.002890669</c:v>
                </c:pt>
                <c:pt idx="136">
                  <c:v>27145424.397820815</c:v>
                </c:pt>
                <c:pt idx="137">
                  <c:v>26484514.925447315</c:v>
                </c:pt>
                <c:pt idx="138">
                  <c:v>28388747.294731885</c:v>
                </c:pt>
                <c:pt idx="139">
                  <c:v>27705607.093437634</c:v>
                </c:pt>
                <c:pt idx="140">
                  <c:v>26327010.049351353</c:v>
                </c:pt>
                <c:pt idx="141">
                  <c:v>27829403.728150424</c:v>
                </c:pt>
                <c:pt idx="142">
                  <c:v>29311885.525638644</c:v>
                </c:pt>
                <c:pt idx="143">
                  <c:v>31761859.669273902</c:v>
                </c:pt>
              </c:numCache>
            </c:numRef>
          </c:val>
          <c:smooth val="0"/>
          <c:extLst>
            <c:ext xmlns:c16="http://schemas.microsoft.com/office/drawing/2014/chart" uri="{C3380CC4-5D6E-409C-BE32-E72D297353CC}">
              <c16:uniqueId val="{00000001-49B6-42A2-8253-9FEE7C6E45F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3-00AF-413B-B25C-86E35B66934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399947164.57277584</c:v>
                </c:pt>
                <c:pt idx="9">
                  <c:v>391723558.33080918</c:v>
                </c:pt>
              </c:numCache>
            </c:numRef>
          </c:val>
          <c:smooth val="0"/>
          <c:extLst>
            <c:ext xmlns:c16="http://schemas.microsoft.com/office/drawing/2014/chart" uri="{C3380CC4-5D6E-409C-BE32-E72D297353CC}">
              <c16:uniqueId val="{00000004-00AF-413B-B25C-86E35B66934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383965054.82814872</c:v>
                </c:pt>
                <c:pt idx="1">
                  <c:v>381408967.09772551</c:v>
                </c:pt>
                <c:pt idx="2">
                  <c:v>377959971.95783854</c:v>
                </c:pt>
                <c:pt idx="3">
                  <c:v>370632782.47604549</c:v>
                </c:pt>
                <c:pt idx="4">
                  <c:v>367270078.30465817</c:v>
                </c:pt>
                <c:pt idx="5">
                  <c:v>366465236.30704725</c:v>
                </c:pt>
                <c:pt idx="6">
                  <c:v>387672048.10758847</c:v>
                </c:pt>
                <c:pt idx="7">
                  <c:v>385713084.6965127</c:v>
                </c:pt>
                <c:pt idx="8">
                  <c:v>379389533.48762441</c:v>
                </c:pt>
                <c:pt idx="9">
                  <c:v>372724953.8369568</c:v>
                </c:pt>
                <c:pt idx="10">
                  <c:v>373363044.99273604</c:v>
                </c:pt>
                <c:pt idx="11">
                  <c:v>366725387.94221771</c:v>
                </c:pt>
              </c:numCache>
            </c:numRef>
          </c:val>
          <c:smooth val="0"/>
          <c:extLst>
            <c:ext xmlns:c16="http://schemas.microsoft.com/office/drawing/2014/chart" uri="{C3380CC4-5D6E-409C-BE32-E72D297353CC}">
              <c16:uniqueId val="{00000006-00AF-413B-B25C-86E35B66934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386037441.37857193</c:v>
                </c:pt>
                <c:pt idx="1">
                  <c:v>386037441.37857193</c:v>
                </c:pt>
                <c:pt idx="2">
                  <c:v>386922130.10438496</c:v>
                </c:pt>
                <c:pt idx="3">
                  <c:v>386037441.37857193</c:v>
                </c:pt>
                <c:pt idx="4">
                  <c:v>386037441.37857193</c:v>
                </c:pt>
                <c:pt idx="5">
                  <c:v>386037441.37857193</c:v>
                </c:pt>
                <c:pt idx="6">
                  <c:v>406908730.7414465</c:v>
                </c:pt>
                <c:pt idx="7">
                  <c:v>404972115.6663143</c:v>
                </c:pt>
                <c:pt idx="8">
                  <c:v>398660557.57040018</c:v>
                </c:pt>
                <c:pt idx="9">
                  <c:v>392348999.47448605</c:v>
                </c:pt>
                <c:pt idx="10">
                  <c:v>393233688.20029908</c:v>
                </c:pt>
                <c:pt idx="11">
                  <c:v>386037441.37857193</c:v>
                </c:pt>
              </c:numCache>
            </c:numRef>
          </c:val>
          <c:smooth val="0"/>
          <c:extLst>
            <c:ext xmlns:c16="http://schemas.microsoft.com/office/drawing/2014/chart" uri="{C3380CC4-5D6E-409C-BE32-E72D297353CC}">
              <c16:uniqueId val="{00000007-00AF-413B-B25C-86E35B66934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EFA6-48F8-8B9D-6F948D1408E0}"/>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137976305.66058198</c:v>
                </c:pt>
                <c:pt idx="3">
                  <c:v>136193398.73266414</c:v>
                </c:pt>
                <c:pt idx="4">
                  <c:v>143433730.17153588</c:v>
                </c:pt>
                <c:pt idx="5">
                  <c:v>142154564.4249801</c:v>
                </c:pt>
                <c:pt idx="6">
                  <c:v>135252892.39325041</c:v>
                </c:pt>
                <c:pt idx="7">
                  <c:v>135115825.34231359</c:v>
                </c:pt>
                <c:pt idx="8">
                  <c:v>140068404.7414996</c:v>
                </c:pt>
                <c:pt idx="9">
                  <c:v>145114394.44845957</c:v>
                </c:pt>
              </c:numCache>
            </c:numRef>
          </c:val>
          <c:smooth val="0"/>
          <c:extLst>
            <c:ext xmlns:c16="http://schemas.microsoft.com/office/drawing/2014/chart" uri="{C3380CC4-5D6E-409C-BE32-E72D297353CC}">
              <c16:uniqueId val="{00000001-EFA6-48F8-8B9D-6F948D1408E0}"/>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139002543.12494352</c:v>
                </c:pt>
                <c:pt idx="1">
                  <c:v>138346866.32960841</c:v>
                </c:pt>
                <c:pt idx="2">
                  <c:v>138001756.66106507</c:v>
                </c:pt>
                <c:pt idx="3">
                  <c:v>137442113.40998527</c:v>
                </c:pt>
                <c:pt idx="4">
                  <c:v>136786943.00252929</c:v>
                </c:pt>
                <c:pt idx="5">
                  <c:v>137077012.72404474</c:v>
                </c:pt>
                <c:pt idx="6">
                  <c:v>127456775.08428411</c:v>
                </c:pt>
                <c:pt idx="7">
                  <c:v>128810523.31262428</c:v>
                </c:pt>
                <c:pt idx="8">
                  <c:v>134272078.27401471</c:v>
                </c:pt>
                <c:pt idx="9">
                  <c:v>137950865.501084</c:v>
                </c:pt>
                <c:pt idx="10">
                  <c:v>138932473.24284768</c:v>
                </c:pt>
                <c:pt idx="11">
                  <c:v>139896867.73434111</c:v>
                </c:pt>
              </c:numCache>
            </c:numRef>
          </c:val>
          <c:smooth val="0"/>
          <c:extLst>
            <c:ext xmlns:c16="http://schemas.microsoft.com/office/drawing/2014/chart" uri="{C3380CC4-5D6E-409C-BE32-E72D297353CC}">
              <c16:uniqueId val="{00000002-EFA6-48F8-8B9D-6F948D1408E0}"/>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139470203.56493002</c:v>
                </c:pt>
                <c:pt idx="1">
                  <c:v>139776552.7096214</c:v>
                </c:pt>
                <c:pt idx="2">
                  <c:v>140505265.57709521</c:v>
                </c:pt>
                <c:pt idx="3">
                  <c:v>141208198.71255073</c:v>
                </c:pt>
                <c:pt idx="4">
                  <c:v>142114651.18178925</c:v>
                </c:pt>
                <c:pt idx="5">
                  <c:v>143283287.91902483</c:v>
                </c:pt>
                <c:pt idx="6">
                  <c:v>134024751.06753452</c:v>
                </c:pt>
                <c:pt idx="7">
                  <c:v>135797926.21493787</c:v>
                </c:pt>
                <c:pt idx="8">
                  <c:v>141758228.3755143</c:v>
                </c:pt>
                <c:pt idx="9">
                  <c:v>146514033.89897379</c:v>
                </c:pt>
                <c:pt idx="10">
                  <c:v>147661790.59650213</c:v>
                </c:pt>
                <c:pt idx="11">
                  <c:v>148065253.17056164</c:v>
                </c:pt>
              </c:numCache>
            </c:numRef>
          </c:val>
          <c:smooth val="0"/>
          <c:extLst>
            <c:ext xmlns:c16="http://schemas.microsoft.com/office/drawing/2014/chart" uri="{C3380CC4-5D6E-409C-BE32-E72D297353CC}">
              <c16:uniqueId val="{00000003-EFA6-48F8-8B9D-6F948D1408E0}"/>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8F85-4837-A4D9-674BE04211DC}"/>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361799846.54898095</c:v>
                </c:pt>
                <c:pt idx="3">
                  <c:v>368140990.36126989</c:v>
                </c:pt>
                <c:pt idx="4">
                  <c:v>379431024.56766933</c:v>
                </c:pt>
                <c:pt idx="5">
                  <c:v>367979309.9317748</c:v>
                </c:pt>
                <c:pt idx="6">
                  <c:v>341945307.8402977</c:v>
                </c:pt>
                <c:pt idx="7">
                  <c:v>341315977.82147092</c:v>
                </c:pt>
                <c:pt idx="8">
                  <c:v>357405365.22598392</c:v>
                </c:pt>
                <c:pt idx="9">
                  <c:v>351577807.48348111</c:v>
                </c:pt>
              </c:numCache>
            </c:numRef>
          </c:val>
          <c:smooth val="0"/>
          <c:extLst>
            <c:ext xmlns:c16="http://schemas.microsoft.com/office/drawing/2014/chart" uri="{C3380CC4-5D6E-409C-BE32-E72D297353CC}">
              <c16:uniqueId val="{00000001-8F85-4837-A4D9-674BE04211DC}"/>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370767347.49962419</c:v>
                </c:pt>
                <c:pt idx="1">
                  <c:v>364834058.93492228</c:v>
                </c:pt>
                <c:pt idx="2">
                  <c:v>358710907.34278589</c:v>
                </c:pt>
                <c:pt idx="3">
                  <c:v>352705647.71737313</c:v>
                </c:pt>
                <c:pt idx="4">
                  <c:v>349559599.23297721</c:v>
                </c:pt>
                <c:pt idx="5">
                  <c:v>346445903.5658412</c:v>
                </c:pt>
                <c:pt idx="6">
                  <c:v>321324669.42809826</c:v>
                </c:pt>
                <c:pt idx="7">
                  <c:v>322731567.08694953</c:v>
                </c:pt>
                <c:pt idx="8">
                  <c:v>328570663.31591117</c:v>
                </c:pt>
                <c:pt idx="9">
                  <c:v>330486855.58152127</c:v>
                </c:pt>
                <c:pt idx="10">
                  <c:v>326877742.54030108</c:v>
                </c:pt>
                <c:pt idx="11">
                  <c:v>324225617.09121335</c:v>
                </c:pt>
              </c:numCache>
            </c:numRef>
          </c:val>
          <c:smooth val="0"/>
          <c:extLst>
            <c:ext xmlns:c16="http://schemas.microsoft.com/office/drawing/2014/chart" uri="{C3380CC4-5D6E-409C-BE32-E72D297353CC}">
              <c16:uniqueId val="{00000002-8F85-4837-A4D9-674BE04211DC}"/>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372603638.17324567</c:v>
                </c:pt>
                <c:pt idx="1">
                  <c:v>371282603.25204527</c:v>
                </c:pt>
                <c:pt idx="2">
                  <c:v>370286237.53958553</c:v>
                </c:pt>
                <c:pt idx="3">
                  <c:v>368479251.17050189</c:v>
                </c:pt>
                <c:pt idx="4">
                  <c:v>368436044.22774088</c:v>
                </c:pt>
                <c:pt idx="5">
                  <c:v>366894237.297616</c:v>
                </c:pt>
                <c:pt idx="6">
                  <c:v>343317995.45939595</c:v>
                </c:pt>
                <c:pt idx="7">
                  <c:v>347001664.19642037</c:v>
                </c:pt>
                <c:pt idx="8">
                  <c:v>354418031.65289515</c:v>
                </c:pt>
                <c:pt idx="9">
                  <c:v>358192735.15400237</c:v>
                </c:pt>
                <c:pt idx="10">
                  <c:v>355665543.69754696</c:v>
                </c:pt>
                <c:pt idx="11">
                  <c:v>349666446.75862938</c:v>
                </c:pt>
              </c:numCache>
            </c:numRef>
          </c:val>
          <c:smooth val="0"/>
          <c:extLst>
            <c:ext xmlns:c16="http://schemas.microsoft.com/office/drawing/2014/chart" uri="{C3380CC4-5D6E-409C-BE32-E72D297353CC}">
              <c16:uniqueId val="{00000003-8F85-4837-A4D9-674BE04211DC}"/>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Street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3"/>
          <c:order val="0"/>
          <c:tx>
            <c:strRef>
              <c:f>'Normalized Annual Summary'!$AM$3</c:f>
              <c:strCache>
                <c:ptCount val="1"/>
                <c:pt idx="0">
                  <c:v>Normal Forecast</c:v>
                </c:pt>
              </c:strCache>
            </c:strRef>
          </c:tx>
          <c:spPr>
            <a:ln w="28575" cap="rnd">
              <a:solidFill>
                <a:schemeClr val="accent1"/>
              </a:solidFill>
              <a:round/>
            </a:ln>
            <a:effectLst/>
          </c:spPr>
          <c:marker>
            <c:symbol val="none"/>
          </c:marker>
          <c:val>
            <c:numRef>
              <c:f>'Normalized Annual Summary'!$AM$5:$AM$16</c:f>
              <c:numCache>
                <c:formatCode>#,##0</c:formatCode>
                <c:ptCount val="12"/>
                <c:pt idx="0">
                  <c:v>7654362.5332068307</c:v>
                </c:pt>
                <c:pt idx="1">
                  <c:v>7541643.8330170782</c:v>
                </c:pt>
                <c:pt idx="2">
                  <c:v>7520842.1252371911</c:v>
                </c:pt>
                <c:pt idx="3">
                  <c:v>7471832.7229601499</c:v>
                </c:pt>
                <c:pt idx="4">
                  <c:v>7471085.0094876671</c:v>
                </c:pt>
                <c:pt idx="5">
                  <c:v>7481251.9100000011</c:v>
                </c:pt>
                <c:pt idx="6">
                  <c:v>6391575.9499999993</c:v>
                </c:pt>
                <c:pt idx="7">
                  <c:v>3586468.2300000004</c:v>
                </c:pt>
                <c:pt idx="8">
                  <c:v>3599100.4</c:v>
                </c:pt>
                <c:pt idx="9">
                  <c:v>3626510.8</c:v>
                </c:pt>
                <c:pt idx="10">
                  <c:v>3641255.4245348559</c:v>
                </c:pt>
                <c:pt idx="11">
                  <c:v>3660141.1244483674</c:v>
                </c:pt>
              </c:numCache>
            </c:numRef>
          </c:val>
          <c:smooth val="0"/>
          <c:extLst>
            <c:ext xmlns:c16="http://schemas.microsoft.com/office/drawing/2014/chart" uri="{C3380CC4-5D6E-409C-BE32-E72D297353CC}">
              <c16:uniqueId val="{00000003-66A0-4677-913D-ED8663A4BF46}"/>
            </c:ext>
          </c:extLst>
        </c:ser>
        <c:ser>
          <c:idx val="1"/>
          <c:order val="1"/>
          <c:tx>
            <c:strRef>
              <c:f>'Normalized Annual Summary'!$AJ$3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Summary'!$AJ$5:$AJ$16</c:f>
              <c:numCache>
                <c:formatCode>#,##0</c:formatCode>
                <c:ptCount val="12"/>
                <c:pt idx="0">
                  <c:v>7654362.5332068307</c:v>
                </c:pt>
                <c:pt idx="1">
                  <c:v>7541643.8330170782</c:v>
                </c:pt>
                <c:pt idx="2">
                  <c:v>7520842.1252371911</c:v>
                </c:pt>
                <c:pt idx="3">
                  <c:v>7471832.7229601499</c:v>
                </c:pt>
                <c:pt idx="4">
                  <c:v>7471085.0094876662</c:v>
                </c:pt>
                <c:pt idx="5">
                  <c:v>7481251.9100000011</c:v>
                </c:pt>
                <c:pt idx="6">
                  <c:v>6391575.9499999993</c:v>
                </c:pt>
                <c:pt idx="7">
                  <c:v>3586468.2300000004</c:v>
                </c:pt>
                <c:pt idx="8">
                  <c:v>3599100.4</c:v>
                </c:pt>
                <c:pt idx="9">
                  <c:v>3626510.8</c:v>
                </c:pt>
              </c:numCache>
            </c:numRef>
          </c:val>
          <c:smooth val="0"/>
          <c:extLst>
            <c:ext xmlns:c16="http://schemas.microsoft.com/office/drawing/2014/chart" uri="{C3380CC4-5D6E-409C-BE32-E72D297353CC}">
              <c16:uniqueId val="{00000000-66A0-4677-913D-ED8663A4BF4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Sentinel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30581726417144"/>
          <c:y val="3.6666600554023945E-2"/>
          <c:w val="0.80746657644356967"/>
          <c:h val="0.78182257217847784"/>
        </c:manualLayout>
      </c:layout>
      <c:lineChart>
        <c:grouping val="standard"/>
        <c:varyColors val="0"/>
        <c:ser>
          <c:idx val="3"/>
          <c:order val="0"/>
          <c:tx>
            <c:strRef>
              <c:f>'Normalized Annual Summary'!$AS$3</c:f>
              <c:strCache>
                <c:ptCount val="1"/>
                <c:pt idx="0">
                  <c:v>Normal Forecast</c:v>
                </c:pt>
              </c:strCache>
            </c:strRef>
          </c:tx>
          <c:spPr>
            <a:ln w="28575" cap="rnd">
              <a:solidFill>
                <a:schemeClr val="accent1"/>
              </a:solidFill>
              <a:round/>
            </a:ln>
            <a:effectLst/>
          </c:spPr>
          <c:marker>
            <c:symbol val="none"/>
          </c:marker>
          <c:val>
            <c:numRef>
              <c:f>'Normalized Annual Summary'!$AS$5:$AS$16</c:f>
              <c:numCache>
                <c:formatCode>#,##0</c:formatCode>
                <c:ptCount val="12"/>
                <c:pt idx="0">
                  <c:v>438853.51043643302</c:v>
                </c:pt>
                <c:pt idx="1">
                  <c:v>428604.18406072113</c:v>
                </c:pt>
                <c:pt idx="2">
                  <c:v>426192.6280834917</c:v>
                </c:pt>
                <c:pt idx="3">
                  <c:v>412947.67552182189</c:v>
                </c:pt>
                <c:pt idx="4">
                  <c:v>403671.29981024697</c:v>
                </c:pt>
                <c:pt idx="5">
                  <c:v>372541.78</c:v>
                </c:pt>
                <c:pt idx="6">
                  <c:v>363324.20000000007</c:v>
                </c:pt>
                <c:pt idx="7">
                  <c:v>360262.31</c:v>
                </c:pt>
                <c:pt idx="8">
                  <c:v>348723.78</c:v>
                </c:pt>
                <c:pt idx="9">
                  <c:v>324715.26</c:v>
                </c:pt>
                <c:pt idx="10">
                  <c:v>322077.82119445776</c:v>
                </c:pt>
                <c:pt idx="11">
                  <c:v>316426.92026372469</c:v>
                </c:pt>
              </c:numCache>
            </c:numRef>
          </c:val>
          <c:smooth val="0"/>
          <c:extLst>
            <c:ext xmlns:c16="http://schemas.microsoft.com/office/drawing/2014/chart" uri="{C3380CC4-5D6E-409C-BE32-E72D297353CC}">
              <c16:uniqueId val="{00000003-5336-44D9-AF94-5C8B78ECE5E1}"/>
            </c:ext>
          </c:extLst>
        </c:ser>
        <c:ser>
          <c:idx val="1"/>
          <c:order val="1"/>
          <c:tx>
            <c:strRef>
              <c:f>'Normalized Annual Summary'!$AP$3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Summary'!$AP$5:$AP$16</c:f>
              <c:numCache>
                <c:formatCode>#,##0</c:formatCode>
                <c:ptCount val="12"/>
                <c:pt idx="0">
                  <c:v>438853.51043643302</c:v>
                </c:pt>
                <c:pt idx="1">
                  <c:v>428604.18406072113</c:v>
                </c:pt>
                <c:pt idx="2">
                  <c:v>426192.62808349164</c:v>
                </c:pt>
                <c:pt idx="3">
                  <c:v>412947.67552182189</c:v>
                </c:pt>
                <c:pt idx="4">
                  <c:v>403671.29981024703</c:v>
                </c:pt>
                <c:pt idx="5">
                  <c:v>372541.78</c:v>
                </c:pt>
                <c:pt idx="6">
                  <c:v>363324.2</c:v>
                </c:pt>
                <c:pt idx="7">
                  <c:v>360262.31</c:v>
                </c:pt>
                <c:pt idx="8">
                  <c:v>348723.78</c:v>
                </c:pt>
                <c:pt idx="9">
                  <c:v>324715.26</c:v>
                </c:pt>
              </c:numCache>
            </c:numRef>
          </c:val>
          <c:smooth val="0"/>
          <c:extLst>
            <c:ext xmlns:c16="http://schemas.microsoft.com/office/drawing/2014/chart" uri="{C3380CC4-5D6E-409C-BE32-E72D297353CC}">
              <c16:uniqueId val="{00000000-5336-44D9-AF94-5C8B78ECE5E1}"/>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strRef>
              <c:f>'Normalized Annual Summary'!$AY$3</c:f>
              <c:strCache>
                <c:ptCount val="1"/>
                <c:pt idx="0">
                  <c:v>Normal Forecast</c:v>
                </c:pt>
              </c:strCache>
            </c:strRef>
          </c:tx>
          <c:spPr>
            <a:ln w="28575" cap="rnd">
              <a:solidFill>
                <a:schemeClr val="accent5"/>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Summary'!$AY$5:$AY$16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pt idx="10">
                  <c:v>892259.62674432981</c:v>
                </c:pt>
                <c:pt idx="11">
                  <c:v>856205.19446467783</c:v>
                </c:pt>
              </c:numCache>
            </c:numRef>
          </c:val>
          <c:smooth val="0"/>
          <c:extLst>
            <c:ext xmlns:c16="http://schemas.microsoft.com/office/drawing/2014/chart" uri="{C3380CC4-5D6E-409C-BE32-E72D297353CC}">
              <c16:uniqueId val="{00000004-60EE-4F02-A8D5-009B4FFE6986}"/>
            </c:ext>
          </c:extLst>
        </c:ser>
        <c:ser>
          <c:idx val="1"/>
          <c:order val="1"/>
          <c:tx>
            <c:strRef>
              <c:f>'Normalized Annual Summary'!$AV$3</c:f>
              <c:strCache>
                <c:ptCount val="1"/>
                <c:pt idx="0">
                  <c:v>Actual</c:v>
                </c:pt>
              </c:strCache>
            </c:strRef>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Summary'!$AV$5:$AV$16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numCache>
            </c:numRef>
          </c:val>
          <c:smooth val="0"/>
          <c:extLst>
            <c:ext xmlns:c16="http://schemas.microsoft.com/office/drawing/2014/chart" uri="{C3380CC4-5D6E-409C-BE32-E72D297353CC}">
              <c16:uniqueId val="{00000001-60EE-4F02-A8D5-009B4FFE6986}"/>
            </c:ext>
          </c:extLst>
        </c:ser>
        <c:dLbls>
          <c:showLegendKey val="0"/>
          <c:showVal val="0"/>
          <c:showCatName val="0"/>
          <c:showSerName val="0"/>
          <c:showPercent val="0"/>
          <c:showBubbleSize val="0"/>
        </c:dLbls>
        <c:smooth val="0"/>
        <c:axId val="86636247"/>
        <c:axId val="86626735"/>
      </c:lineChart>
      <c:catAx>
        <c:axId val="86636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26735"/>
        <c:crosses val="autoZero"/>
        <c:auto val="1"/>
        <c:lblAlgn val="ctr"/>
        <c:lblOffset val="100"/>
        <c:noMultiLvlLbl val="0"/>
      </c:catAx>
      <c:valAx>
        <c:axId val="86626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36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0" i="0" baseline="0">
                <a:effectLst/>
              </a:rPr>
              <a:t>Average Per Connection</a:t>
            </a:r>
            <a:endParaRPr lang="en-US"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Summary'!$AX$3</c:f>
              <c:strCache>
                <c:ptCount val="1"/>
                <c:pt idx="0">
                  <c:v>Average per Customer</c:v>
                </c:pt>
              </c:strCache>
            </c:strRef>
          </c:tx>
          <c:spPr>
            <a:ln w="28575" cap="rnd">
              <a:solidFill>
                <a:schemeClr val="accent1"/>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Summary'!$AX$5:$AX$14</c:f>
              <c:numCache>
                <c:formatCode>#,##0</c:formatCode>
                <c:ptCount val="10"/>
                <c:pt idx="0">
                  <c:v>4053.8230587390613</c:v>
                </c:pt>
                <c:pt idx="1">
                  <c:v>3965.9286030967305</c:v>
                </c:pt>
                <c:pt idx="2">
                  <c:v>3922.2445126045841</c:v>
                </c:pt>
                <c:pt idx="3">
                  <c:v>3899.2225311345592</c:v>
                </c:pt>
                <c:pt idx="4">
                  <c:v>3885.6925160696255</c:v>
                </c:pt>
                <c:pt idx="5">
                  <c:v>3863.3287904599661</c:v>
                </c:pt>
                <c:pt idx="6">
                  <c:v>3697.7434367541769</c:v>
                </c:pt>
                <c:pt idx="7">
                  <c:v>3685.9701492537315</c:v>
                </c:pt>
                <c:pt idx="8">
                  <c:v>3625.6530612244901</c:v>
                </c:pt>
                <c:pt idx="9">
                  <c:v>3551.1848860353134</c:v>
                </c:pt>
              </c:numCache>
            </c:numRef>
          </c:val>
          <c:smooth val="0"/>
          <c:extLst>
            <c:ext xmlns:c16="http://schemas.microsoft.com/office/drawing/2014/chart" uri="{C3380CC4-5D6E-409C-BE32-E72D297353CC}">
              <c16:uniqueId val="{00000000-0610-4EB3-835B-98AB509F588D}"/>
            </c:ext>
          </c:extLst>
        </c:ser>
        <c:ser>
          <c:idx val="1"/>
          <c:order val="1"/>
          <c:tx>
            <c:v>Forecast Per Device</c:v>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Summary'!$AZ$5:$AZ$14,'Normalized Annual Summary'!$AX$15:$AX$16)</c:f>
              <c:numCache>
                <c:formatCode>General</c:formatCode>
                <c:ptCount val="12"/>
                <c:pt idx="10" formatCode="#,##0">
                  <c:v>3515.1396982705046</c:v>
                </c:pt>
                <c:pt idx="11" formatCode="#,##0">
                  <c:v>3465.1404242519202</c:v>
                </c:pt>
              </c:numCache>
            </c:numRef>
          </c:val>
          <c:smooth val="0"/>
          <c:extLst>
            <c:ext xmlns:c16="http://schemas.microsoft.com/office/drawing/2014/chart" uri="{C3380CC4-5D6E-409C-BE32-E72D297353CC}">
              <c16:uniqueId val="{00000001-0610-4EB3-835B-98AB509F588D}"/>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a:t>
                </a:r>
                <a:r>
                  <a:rPr lang="en-CA" baseline="0"/>
                  <a:t> Consumption per Connection</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&lt;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&lt;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Weather!$DV$2:$DV$76</c:f>
              <c:numCache>
                <c:formatCode>_(* #,##0_);_(* \(#,##0\);_(* "-"??_);_(@_)</c:formatCode>
                <c:ptCount val="75"/>
                <c:pt idx="0">
                  <c:v>15134987.594169056</c:v>
                </c:pt>
                <c:pt idx="1">
                  <c:v>13462387.242650717</c:v>
                </c:pt>
                <c:pt idx="2">
                  <c:v>13747064.365901466</c:v>
                </c:pt>
                <c:pt idx="3">
                  <c:v>11849699.51665595</c:v>
                </c:pt>
                <c:pt idx="4">
                  <c:v>11001148.955615092</c:v>
                </c:pt>
                <c:pt idx="5">
                  <c:v>10508919.920623412</c:v>
                </c:pt>
                <c:pt idx="6">
                  <c:v>10787172.324980062</c:v>
                </c:pt>
                <c:pt idx="7">
                  <c:v>10690684.239202976</c:v>
                </c:pt>
                <c:pt idx="8">
                  <c:v>10229284.221668828</c:v>
                </c:pt>
                <c:pt idx="9">
                  <c:v>11235665.648191687</c:v>
                </c:pt>
                <c:pt idx="10">
                  <c:v>12104165.456808859</c:v>
                </c:pt>
                <c:pt idx="11">
                  <c:v>13556675.9780323</c:v>
                </c:pt>
                <c:pt idx="12">
                  <c:v>14689139.738448234</c:v>
                </c:pt>
                <c:pt idx="13">
                  <c:v>13306886.801167568</c:v>
                </c:pt>
                <c:pt idx="14">
                  <c:v>13270254.565220349</c:v>
                </c:pt>
                <c:pt idx="15">
                  <c:v>11355959.214046992</c:v>
                </c:pt>
                <c:pt idx="16">
                  <c:v>10564990.77938907</c:v>
                </c:pt>
                <c:pt idx="17">
                  <c:v>10218771.283099867</c:v>
                </c:pt>
                <c:pt idx="18">
                  <c:v>10819001.617096173</c:v>
                </c:pt>
                <c:pt idx="19">
                  <c:v>10732614.700677432</c:v>
                </c:pt>
                <c:pt idx="20">
                  <c:v>10122299.862264432</c:v>
                </c:pt>
                <c:pt idx="21">
                  <c:v>10607777.225119881</c:v>
                </c:pt>
                <c:pt idx="22">
                  <c:v>10915111.018168477</c:v>
                </c:pt>
                <c:pt idx="23">
                  <c:v>12189773.504297856</c:v>
                </c:pt>
                <c:pt idx="24">
                  <c:v>13300720.562335251</c:v>
                </c:pt>
                <c:pt idx="25">
                  <c:v>12517469.442093974</c:v>
                </c:pt>
                <c:pt idx="26">
                  <c:v>12554949.054209501</c:v>
                </c:pt>
                <c:pt idx="27">
                  <c:v>11114912.315917607</c:v>
                </c:pt>
                <c:pt idx="28">
                  <c:v>10493927.499558283</c:v>
                </c:pt>
                <c:pt idx="29">
                  <c:v>10262584.004443824</c:v>
                </c:pt>
                <c:pt idx="30">
                  <c:v>10921149.736661363</c:v>
                </c:pt>
                <c:pt idx="31">
                  <c:v>10789464.926259849</c:v>
                </c:pt>
                <c:pt idx="32">
                  <c:v>9937199.841262674</c:v>
                </c:pt>
                <c:pt idx="33">
                  <c:v>10175926.390142158</c:v>
                </c:pt>
                <c:pt idx="34">
                  <c:v>10795757.04634227</c:v>
                </c:pt>
                <c:pt idx="35">
                  <c:v>12608735.925325107</c:v>
                </c:pt>
                <c:pt idx="36">
                  <c:v>12969421.034978746</c:v>
                </c:pt>
                <c:pt idx="37">
                  <c:v>11694580.118981019</c:v>
                </c:pt>
                <c:pt idx="38">
                  <c:v>12348544.639125146</c:v>
                </c:pt>
                <c:pt idx="39">
                  <c:v>10386755.94001675</c:v>
                </c:pt>
                <c:pt idx="40">
                  <c:v>9860713.3741772659</c:v>
                </c:pt>
                <c:pt idx="41">
                  <c:v>9561012.5151322857</c:v>
                </c:pt>
                <c:pt idx="42">
                  <c:v>10410530.141947942</c:v>
                </c:pt>
                <c:pt idx="43">
                  <c:v>10104022.185566768</c:v>
                </c:pt>
                <c:pt idx="44">
                  <c:v>9804803.2431693282</c:v>
                </c:pt>
                <c:pt idx="45">
                  <c:v>10221427.234083645</c:v>
                </c:pt>
                <c:pt idx="46">
                  <c:v>11444473.119509853</c:v>
                </c:pt>
                <c:pt idx="47">
                  <c:v>13621029.88340994</c:v>
                </c:pt>
                <c:pt idx="48">
                  <c:v>14200262.817658624</c:v>
                </c:pt>
                <c:pt idx="49">
                  <c:v>12203136.175450346</c:v>
                </c:pt>
                <c:pt idx="50">
                  <c:v>12429934.250792505</c:v>
                </c:pt>
                <c:pt idx="51">
                  <c:v>11176765.752282178</c:v>
                </c:pt>
                <c:pt idx="52">
                  <c:v>10375596.952195626</c:v>
                </c:pt>
                <c:pt idx="53">
                  <c:v>10371086.105908385</c:v>
                </c:pt>
                <c:pt idx="54">
                  <c:v>11289922.850805573</c:v>
                </c:pt>
                <c:pt idx="55">
                  <c:v>10911155.375646848</c:v>
                </c:pt>
                <c:pt idx="56">
                  <c:v>9848379.7358528804</c:v>
                </c:pt>
                <c:pt idx="57">
                  <c:v>10577306.061697775</c:v>
                </c:pt>
                <c:pt idx="58">
                  <c:v>11832387.840291785</c:v>
                </c:pt>
                <c:pt idx="59">
                  <c:v>12890088.073693393</c:v>
                </c:pt>
                <c:pt idx="60">
                  <c:v>14111889.539999999</c:v>
                </c:pt>
                <c:pt idx="61">
                  <c:v>12666666.800000001</c:v>
                </c:pt>
                <c:pt idx="62">
                  <c:v>12740567.68</c:v>
                </c:pt>
                <c:pt idx="63">
                  <c:v>10904695.630000001</c:v>
                </c:pt>
                <c:pt idx="64">
                  <c:v>10077217.550000001</c:v>
                </c:pt>
                <c:pt idx="65">
                  <c:v>9957686.0600000005</c:v>
                </c:pt>
                <c:pt idx="66">
                  <c:v>11033364.15</c:v>
                </c:pt>
                <c:pt idx="67">
                  <c:v>10361262.16</c:v>
                </c:pt>
                <c:pt idx="68">
                  <c:v>9401526.0999999996</c:v>
                </c:pt>
                <c:pt idx="69">
                  <c:v>10075741.560000001</c:v>
                </c:pt>
                <c:pt idx="70">
                  <c:v>11927608.880000001</c:v>
                </c:pt>
                <c:pt idx="71">
                  <c:v>12690063.119999999</c:v>
                </c:pt>
                <c:pt idx="72">
                  <c:v>13118237.65</c:v>
                </c:pt>
                <c:pt idx="73">
                  <c:v>12196685.34</c:v>
                </c:pt>
                <c:pt idx="74">
                  <c:v>11511006.09</c:v>
                </c:pt>
              </c:numCache>
            </c:numRef>
          </c:yVal>
          <c:smooth val="0"/>
          <c:extLst>
            <c:ext xmlns:c16="http://schemas.microsoft.com/office/drawing/2014/chart" uri="{C3380CC4-5D6E-409C-BE32-E72D297353CC}">
              <c16:uniqueId val="{00000000-332D-41F3-9C9C-E109814FDDDE}"/>
            </c:ext>
          </c:extLst>
        </c:ser>
        <c:ser>
          <c:idx val="1"/>
          <c:order val="1"/>
          <c:tx>
            <c:v>GS &lt;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Weather!$DV$76:$DV$97</c:f>
              <c:numCache>
                <c:formatCode>_(* #,##0_);_(* \(#,##0\);_(* "-"??_);_(@_)</c:formatCode>
                <c:ptCount val="22"/>
                <c:pt idx="0">
                  <c:v>11511006.09</c:v>
                </c:pt>
                <c:pt idx="1">
                  <c:v>9175205.4700000007</c:v>
                </c:pt>
                <c:pt idx="2">
                  <c:v>9150846.4100000001</c:v>
                </c:pt>
                <c:pt idx="3">
                  <c:v>9679496.4299999997</c:v>
                </c:pt>
                <c:pt idx="4">
                  <c:v>10794611.18</c:v>
                </c:pt>
                <c:pt idx="5">
                  <c:v>10229926.720000001</c:v>
                </c:pt>
                <c:pt idx="6">
                  <c:v>9259958.0999999996</c:v>
                </c:pt>
                <c:pt idx="7">
                  <c:v>10197705.43</c:v>
                </c:pt>
                <c:pt idx="8">
                  <c:v>11086912.869999999</c:v>
                </c:pt>
                <c:pt idx="9">
                  <c:v>12284324.720000001</c:v>
                </c:pt>
                <c:pt idx="10">
                  <c:v>12453404.960000001</c:v>
                </c:pt>
                <c:pt idx="11">
                  <c:v>11871197.550000001</c:v>
                </c:pt>
                <c:pt idx="12">
                  <c:v>11634102.34</c:v>
                </c:pt>
                <c:pt idx="13">
                  <c:v>9720180.1099999994</c:v>
                </c:pt>
                <c:pt idx="14">
                  <c:v>9393976.0700000003</c:v>
                </c:pt>
                <c:pt idx="15">
                  <c:v>9392908.1300000008</c:v>
                </c:pt>
                <c:pt idx="16">
                  <c:v>10293974.1</c:v>
                </c:pt>
                <c:pt idx="17">
                  <c:v>10694491.789999999</c:v>
                </c:pt>
                <c:pt idx="18">
                  <c:v>9498032.5500000007</c:v>
                </c:pt>
                <c:pt idx="19">
                  <c:v>9811806.4000000004</c:v>
                </c:pt>
                <c:pt idx="20">
                  <c:v>10828835.609999999</c:v>
                </c:pt>
                <c:pt idx="21">
                  <c:v>12535512.83</c:v>
                </c:pt>
              </c:numCache>
            </c:numRef>
          </c:yVal>
          <c:smooth val="0"/>
          <c:extLst>
            <c:ext xmlns:c16="http://schemas.microsoft.com/office/drawing/2014/chart" uri="{C3380CC4-5D6E-409C-BE32-E72D297353CC}">
              <c16:uniqueId val="{00000001-332D-41F3-9C9C-E109814FDDDE}"/>
            </c:ext>
          </c:extLst>
        </c:ser>
        <c:ser>
          <c:idx val="2"/>
          <c:order val="2"/>
          <c:tx>
            <c:v>GS &lt;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Weather!$DV$105:$DV$121</c:f>
              <c:numCache>
                <c:formatCode>_(* #,##0_);_(* \(#,##0\);_(* "-"??_);_(@_)</c:formatCode>
                <c:ptCount val="17"/>
                <c:pt idx="0">
                  <c:v>10351871.310000001</c:v>
                </c:pt>
                <c:pt idx="1">
                  <c:v>9509482.7599999998</c:v>
                </c:pt>
                <c:pt idx="2">
                  <c:v>9716096.2899999991</c:v>
                </c:pt>
                <c:pt idx="3">
                  <c:v>10901739.15</c:v>
                </c:pt>
                <c:pt idx="4">
                  <c:v>12223491.300000001</c:v>
                </c:pt>
                <c:pt idx="5">
                  <c:v>12905236.92</c:v>
                </c:pt>
                <c:pt idx="6">
                  <c:v>11829459.880000001</c:v>
                </c:pt>
                <c:pt idx="7">
                  <c:v>12251194.9</c:v>
                </c:pt>
                <c:pt idx="8">
                  <c:v>11240362.689999999</c:v>
                </c:pt>
                <c:pt idx="9">
                  <c:v>10829287.810000001</c:v>
                </c:pt>
                <c:pt idx="10">
                  <c:v>10843409.26</c:v>
                </c:pt>
                <c:pt idx="11">
                  <c:v>11325708.359999999</c:v>
                </c:pt>
                <c:pt idx="12">
                  <c:v>10669077.210000001</c:v>
                </c:pt>
                <c:pt idx="13">
                  <c:v>10011816.609999999</c:v>
                </c:pt>
                <c:pt idx="14">
                  <c:v>10460439.25</c:v>
                </c:pt>
                <c:pt idx="15">
                  <c:v>11929211.300000001</c:v>
                </c:pt>
                <c:pt idx="16">
                  <c:v>12616017.5</c:v>
                </c:pt>
              </c:numCache>
            </c:numRef>
          </c:yVal>
          <c:smooth val="0"/>
          <c:extLst>
            <c:ext xmlns:c16="http://schemas.microsoft.com/office/drawing/2014/chart" uri="{C3380CC4-5D6E-409C-BE32-E72D297353CC}">
              <c16:uniqueId val="{00000002-332D-41F3-9C9C-E109814FDDDE}"/>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Summary'!$AR$3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Summary'!$AR$5:$AR$14</c:f>
              <c:numCache>
                <c:formatCode>#,##0</c:formatCode>
                <c:ptCount val="10"/>
                <c:pt idx="0">
                  <c:v>1062.5992988775618</c:v>
                </c:pt>
                <c:pt idx="1">
                  <c:v>1059.5900718435628</c:v>
                </c:pt>
                <c:pt idx="2">
                  <c:v>1070.1635356773174</c:v>
                </c:pt>
                <c:pt idx="3">
                  <c:v>1076.7866376057937</c:v>
                </c:pt>
                <c:pt idx="4">
                  <c:v>1060.2003934609245</c:v>
                </c:pt>
                <c:pt idx="5">
                  <c:v>1017.1789215017066</c:v>
                </c:pt>
                <c:pt idx="6">
                  <c:v>1026.0979995293012</c:v>
                </c:pt>
                <c:pt idx="7">
                  <c:v>1022.9881022243255</c:v>
                </c:pt>
                <c:pt idx="8">
                  <c:v>994.93232524964344</c:v>
                </c:pt>
                <c:pt idx="9">
                  <c:v>930.86075489727671</c:v>
                </c:pt>
              </c:numCache>
            </c:numRef>
          </c:val>
          <c:smooth val="0"/>
          <c:extLst>
            <c:ext xmlns:c16="http://schemas.microsoft.com/office/drawing/2014/chart" uri="{C3380CC4-5D6E-409C-BE32-E72D297353CC}">
              <c16:uniqueId val="{00000000-F12B-41DF-9520-B3EC013DD5AE}"/>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Summary'!$AT$5:$AT$14,'Normalized Annual Summary'!$AR$15:$AR$16)</c:f>
              <c:numCache>
                <c:formatCode>General</c:formatCode>
                <c:ptCount val="12"/>
                <c:pt idx="10" formatCode="#,##0">
                  <c:v>930.86075489727671</c:v>
                </c:pt>
                <c:pt idx="11" formatCode="#,##0">
                  <c:v>930.86075489727671</c:v>
                </c:pt>
              </c:numCache>
            </c:numRef>
          </c:val>
          <c:smooth val="0"/>
          <c:extLst>
            <c:ext xmlns:c16="http://schemas.microsoft.com/office/drawing/2014/chart" uri="{C3380CC4-5D6E-409C-BE32-E72D297353CC}">
              <c16:uniqueId val="{00000001-F12B-41DF-9520-B3EC013DD5AE}"/>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min val="7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Summary'!$AL$3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Summary'!$AL$5:$AL$14</c:f>
              <c:numCache>
                <c:formatCode>#,##0</c:formatCode>
                <c:ptCount val="10"/>
                <c:pt idx="0">
                  <c:v>786.19171458574681</c:v>
                </c:pt>
                <c:pt idx="1">
                  <c:v>773.24418353031842</c:v>
                </c:pt>
                <c:pt idx="2">
                  <c:v>771.56626060396934</c:v>
                </c:pt>
                <c:pt idx="3">
                  <c:v>763.5421631413177</c:v>
                </c:pt>
                <c:pt idx="4">
                  <c:v>757.58207310950559</c:v>
                </c:pt>
                <c:pt idx="5">
                  <c:v>754.40561776791799</c:v>
                </c:pt>
                <c:pt idx="6">
                  <c:v>637.27233102073023</c:v>
                </c:pt>
                <c:pt idx="7">
                  <c:v>355.38028587235664</c:v>
                </c:pt>
                <c:pt idx="8">
                  <c:v>354.42239984243952</c:v>
                </c:pt>
                <c:pt idx="9">
                  <c:v>355.62743809757291</c:v>
                </c:pt>
              </c:numCache>
            </c:numRef>
          </c:val>
          <c:smooth val="0"/>
          <c:extLst>
            <c:ext xmlns:c16="http://schemas.microsoft.com/office/drawing/2014/chart" uri="{C3380CC4-5D6E-409C-BE32-E72D297353CC}">
              <c16:uniqueId val="{00000000-9E66-46FF-B22B-D6349DC40F28}"/>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Summary'!$AN$5:$AN$14,'Normalized Annual Summary'!$AL$15:$AL$16)</c:f>
              <c:numCache>
                <c:formatCode>General</c:formatCode>
                <c:ptCount val="12"/>
                <c:pt idx="10" formatCode="#,##0">
                  <c:v>355.14337460412298</c:v>
                </c:pt>
                <c:pt idx="11" formatCode="#,##0">
                  <c:v>355.14337460412298</c:v>
                </c:pt>
              </c:numCache>
            </c:numRef>
          </c:val>
          <c:smooth val="0"/>
          <c:extLst>
            <c:ext xmlns:c16="http://schemas.microsoft.com/office/drawing/2014/chart" uri="{C3380CC4-5D6E-409C-BE32-E72D297353CC}">
              <c16:uniqueId val="{00000001-9E66-46FF-B22B-D6349DC40F28}"/>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0-F72E-4C6F-8CD2-DD18F7D6472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399947164.57277584</c:v>
                </c:pt>
                <c:pt idx="9">
                  <c:v>391723558.33080918</c:v>
                </c:pt>
              </c:numCache>
            </c:numRef>
          </c:val>
          <c:smooth val="0"/>
          <c:extLst>
            <c:ext xmlns:c16="http://schemas.microsoft.com/office/drawing/2014/chart" uri="{C3380CC4-5D6E-409C-BE32-E72D297353CC}">
              <c16:uniqueId val="{00000001-F72E-4C6F-8CD2-DD18F7D6472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383965054.82814872</c:v>
                </c:pt>
                <c:pt idx="1">
                  <c:v>381408967.09772551</c:v>
                </c:pt>
                <c:pt idx="2">
                  <c:v>377959971.95783854</c:v>
                </c:pt>
                <c:pt idx="3">
                  <c:v>370632782.47604549</c:v>
                </c:pt>
                <c:pt idx="4">
                  <c:v>367270078.30465817</c:v>
                </c:pt>
                <c:pt idx="5">
                  <c:v>366465236.30704725</c:v>
                </c:pt>
                <c:pt idx="6">
                  <c:v>387672048.10758847</c:v>
                </c:pt>
                <c:pt idx="7">
                  <c:v>385713084.6965127</c:v>
                </c:pt>
                <c:pt idx="8">
                  <c:v>379389533.48762441</c:v>
                </c:pt>
                <c:pt idx="9">
                  <c:v>372724953.8369568</c:v>
                </c:pt>
                <c:pt idx="10">
                  <c:v>373363044.99273604</c:v>
                </c:pt>
                <c:pt idx="11">
                  <c:v>366725387.94221771</c:v>
                </c:pt>
              </c:numCache>
            </c:numRef>
          </c:val>
          <c:smooth val="0"/>
          <c:extLst>
            <c:ext xmlns:c16="http://schemas.microsoft.com/office/drawing/2014/chart" uri="{C3380CC4-5D6E-409C-BE32-E72D297353CC}">
              <c16:uniqueId val="{00000002-F72E-4C6F-8CD2-DD18F7D6472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386037441.37857193</c:v>
                </c:pt>
                <c:pt idx="1">
                  <c:v>386037441.37857193</c:v>
                </c:pt>
                <c:pt idx="2">
                  <c:v>386922130.10438496</c:v>
                </c:pt>
                <c:pt idx="3">
                  <c:v>386037441.37857193</c:v>
                </c:pt>
                <c:pt idx="4">
                  <c:v>386037441.37857193</c:v>
                </c:pt>
                <c:pt idx="5">
                  <c:v>386037441.37857193</c:v>
                </c:pt>
                <c:pt idx="6">
                  <c:v>406908730.7414465</c:v>
                </c:pt>
                <c:pt idx="7">
                  <c:v>404972115.6663143</c:v>
                </c:pt>
                <c:pt idx="8">
                  <c:v>398660557.57040018</c:v>
                </c:pt>
                <c:pt idx="9">
                  <c:v>392348999.47448605</c:v>
                </c:pt>
                <c:pt idx="10">
                  <c:v>393233688.20029908</c:v>
                </c:pt>
                <c:pt idx="11">
                  <c:v>386037441.37857193</c:v>
                </c:pt>
              </c:numCache>
            </c:numRef>
          </c:val>
          <c:smooth val="0"/>
          <c:extLst>
            <c:ext xmlns:c16="http://schemas.microsoft.com/office/drawing/2014/chart" uri="{C3380CC4-5D6E-409C-BE32-E72D297353CC}">
              <c16:uniqueId val="{00000003-F72E-4C6F-8CD2-DD18F7D6472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AD83-4F76-AD05-73DB5715E786}"/>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137976305.66058198</c:v>
                </c:pt>
                <c:pt idx="3">
                  <c:v>136193398.73266414</c:v>
                </c:pt>
                <c:pt idx="4">
                  <c:v>143433730.17153588</c:v>
                </c:pt>
                <c:pt idx="5">
                  <c:v>142154564.4249801</c:v>
                </c:pt>
                <c:pt idx="6">
                  <c:v>135252892.39325041</c:v>
                </c:pt>
                <c:pt idx="7">
                  <c:v>135115825.34231359</c:v>
                </c:pt>
                <c:pt idx="8">
                  <c:v>140068404.7414996</c:v>
                </c:pt>
                <c:pt idx="9">
                  <c:v>145114394.44845957</c:v>
                </c:pt>
              </c:numCache>
            </c:numRef>
          </c:val>
          <c:smooth val="0"/>
          <c:extLst>
            <c:ext xmlns:c16="http://schemas.microsoft.com/office/drawing/2014/chart" uri="{C3380CC4-5D6E-409C-BE32-E72D297353CC}">
              <c16:uniqueId val="{00000001-AD83-4F76-AD05-73DB5715E786}"/>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139002543.12494352</c:v>
                </c:pt>
                <c:pt idx="1">
                  <c:v>138346866.32960841</c:v>
                </c:pt>
                <c:pt idx="2">
                  <c:v>138001756.66106507</c:v>
                </c:pt>
                <c:pt idx="3">
                  <c:v>137442113.40998527</c:v>
                </c:pt>
                <c:pt idx="4">
                  <c:v>136786943.00252929</c:v>
                </c:pt>
                <c:pt idx="5">
                  <c:v>137077012.72404474</c:v>
                </c:pt>
                <c:pt idx="6">
                  <c:v>127456775.08428411</c:v>
                </c:pt>
                <c:pt idx="7">
                  <c:v>128810523.31262428</c:v>
                </c:pt>
                <c:pt idx="8">
                  <c:v>134272078.27401471</c:v>
                </c:pt>
                <c:pt idx="9">
                  <c:v>137950865.501084</c:v>
                </c:pt>
                <c:pt idx="10">
                  <c:v>138932473.24284768</c:v>
                </c:pt>
                <c:pt idx="11">
                  <c:v>139896867.73434111</c:v>
                </c:pt>
              </c:numCache>
            </c:numRef>
          </c:val>
          <c:smooth val="0"/>
          <c:extLst>
            <c:ext xmlns:c16="http://schemas.microsoft.com/office/drawing/2014/chart" uri="{C3380CC4-5D6E-409C-BE32-E72D297353CC}">
              <c16:uniqueId val="{00000002-AD83-4F76-AD05-73DB5715E786}"/>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139470203.56493002</c:v>
                </c:pt>
                <c:pt idx="1">
                  <c:v>139776552.7096214</c:v>
                </c:pt>
                <c:pt idx="2">
                  <c:v>140505265.57709521</c:v>
                </c:pt>
                <c:pt idx="3">
                  <c:v>141208198.71255073</c:v>
                </c:pt>
                <c:pt idx="4">
                  <c:v>142114651.18178925</c:v>
                </c:pt>
                <c:pt idx="5">
                  <c:v>143283287.91902483</c:v>
                </c:pt>
                <c:pt idx="6">
                  <c:v>134024751.06753452</c:v>
                </c:pt>
                <c:pt idx="7">
                  <c:v>135797926.21493787</c:v>
                </c:pt>
                <c:pt idx="8">
                  <c:v>141758228.3755143</c:v>
                </c:pt>
                <c:pt idx="9">
                  <c:v>146514033.89897379</c:v>
                </c:pt>
                <c:pt idx="10">
                  <c:v>147661790.59650213</c:v>
                </c:pt>
                <c:pt idx="11">
                  <c:v>148065253.17056164</c:v>
                </c:pt>
              </c:numCache>
            </c:numRef>
          </c:val>
          <c:smooth val="0"/>
          <c:extLst>
            <c:ext xmlns:c16="http://schemas.microsoft.com/office/drawing/2014/chart" uri="{C3380CC4-5D6E-409C-BE32-E72D297353CC}">
              <c16:uniqueId val="{00000003-AD83-4F76-AD05-73DB5715E78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F34D-4417-A697-666DC3F9DAA6}"/>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361799846.54898095</c:v>
                </c:pt>
                <c:pt idx="3">
                  <c:v>368140990.36126989</c:v>
                </c:pt>
                <c:pt idx="4">
                  <c:v>379431024.56766933</c:v>
                </c:pt>
                <c:pt idx="5">
                  <c:v>367979309.9317748</c:v>
                </c:pt>
                <c:pt idx="6">
                  <c:v>341945307.8402977</c:v>
                </c:pt>
                <c:pt idx="7">
                  <c:v>341315977.82147092</c:v>
                </c:pt>
                <c:pt idx="8">
                  <c:v>357405365.22598392</c:v>
                </c:pt>
                <c:pt idx="9">
                  <c:v>351577807.48348111</c:v>
                </c:pt>
              </c:numCache>
            </c:numRef>
          </c:val>
          <c:smooth val="0"/>
          <c:extLst>
            <c:ext xmlns:c16="http://schemas.microsoft.com/office/drawing/2014/chart" uri="{C3380CC4-5D6E-409C-BE32-E72D297353CC}">
              <c16:uniqueId val="{00000001-F34D-4417-A697-666DC3F9DAA6}"/>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370767347.49962419</c:v>
                </c:pt>
                <c:pt idx="1">
                  <c:v>364834058.93492228</c:v>
                </c:pt>
                <c:pt idx="2">
                  <c:v>358710907.34278589</c:v>
                </c:pt>
                <c:pt idx="3">
                  <c:v>352705647.71737313</c:v>
                </c:pt>
                <c:pt idx="4">
                  <c:v>349559599.23297721</c:v>
                </c:pt>
                <c:pt idx="5">
                  <c:v>346445903.5658412</c:v>
                </c:pt>
                <c:pt idx="6">
                  <c:v>321324669.42809826</c:v>
                </c:pt>
                <c:pt idx="7">
                  <c:v>322731567.08694953</c:v>
                </c:pt>
                <c:pt idx="8">
                  <c:v>328570663.31591117</c:v>
                </c:pt>
                <c:pt idx="9">
                  <c:v>330486855.58152127</c:v>
                </c:pt>
                <c:pt idx="10">
                  <c:v>326877742.54030108</c:v>
                </c:pt>
                <c:pt idx="11">
                  <c:v>324225617.09121335</c:v>
                </c:pt>
              </c:numCache>
            </c:numRef>
          </c:val>
          <c:smooth val="0"/>
          <c:extLst>
            <c:ext xmlns:c16="http://schemas.microsoft.com/office/drawing/2014/chart" uri="{C3380CC4-5D6E-409C-BE32-E72D297353CC}">
              <c16:uniqueId val="{00000002-F34D-4417-A697-666DC3F9DAA6}"/>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372603638.17324567</c:v>
                </c:pt>
                <c:pt idx="1">
                  <c:v>371282603.25204527</c:v>
                </c:pt>
                <c:pt idx="2">
                  <c:v>370286237.53958553</c:v>
                </c:pt>
                <c:pt idx="3">
                  <c:v>368479251.17050189</c:v>
                </c:pt>
                <c:pt idx="4">
                  <c:v>368436044.22774088</c:v>
                </c:pt>
                <c:pt idx="5">
                  <c:v>366894237.297616</c:v>
                </c:pt>
                <c:pt idx="6">
                  <c:v>343317995.45939595</c:v>
                </c:pt>
                <c:pt idx="7">
                  <c:v>347001664.19642037</c:v>
                </c:pt>
                <c:pt idx="8">
                  <c:v>354418031.65289515</c:v>
                </c:pt>
                <c:pt idx="9">
                  <c:v>358192735.15400237</c:v>
                </c:pt>
                <c:pt idx="10">
                  <c:v>355665543.69754696</c:v>
                </c:pt>
                <c:pt idx="11">
                  <c:v>349666446.75862938</c:v>
                </c:pt>
              </c:numCache>
            </c:numRef>
          </c:val>
          <c:smooth val="0"/>
          <c:extLst>
            <c:ext xmlns:c16="http://schemas.microsoft.com/office/drawing/2014/chart" uri="{C3380CC4-5D6E-409C-BE32-E72D297353CC}">
              <c16:uniqueId val="{00000003-F34D-4417-A697-666DC3F9DAA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Weather Normalized'!$D$1</c:f>
              <c:strCache>
                <c:ptCount val="1"/>
                <c:pt idx="0">
                  <c:v> Res_NoCDM </c:v>
                </c:pt>
              </c:strCache>
            </c:strRef>
          </c:tx>
          <c:spPr>
            <a:ln w="28575" cap="rnd">
              <a:solidFill>
                <a:schemeClr val="accent1"/>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48603336.169453375</c:v>
                </c:pt>
                <c:pt idx="97">
                  <c:v>41341771.798382699</c:v>
                </c:pt>
                <c:pt idx="98">
                  <c:v>39077708.027312025</c:v>
                </c:pt>
                <c:pt idx="99">
                  <c:v>31812872.776241343</c:v>
                </c:pt>
                <c:pt idx="100">
                  <c:v>27326711.455170669</c:v>
                </c:pt>
                <c:pt idx="101">
                  <c:v>26661606.264099989</c:v>
                </c:pt>
                <c:pt idx="102">
                  <c:v>29470184.383029308</c:v>
                </c:pt>
                <c:pt idx="103">
                  <c:v>29185319.021958631</c:v>
                </c:pt>
                <c:pt idx="104">
                  <c:v>26321435.78088795</c:v>
                </c:pt>
                <c:pt idx="105">
                  <c:v>27718622.209817275</c:v>
                </c:pt>
                <c:pt idx="106">
                  <c:v>32699792.778746594</c:v>
                </c:pt>
                <c:pt idx="107">
                  <c:v>39727803.907675914</c:v>
                </c:pt>
                <c:pt idx="108">
                  <c:v>41500301.622316256</c:v>
                </c:pt>
                <c:pt idx="109">
                  <c:v>37620293.28281647</c:v>
                </c:pt>
                <c:pt idx="110">
                  <c:v>37731390.093316682</c:v>
                </c:pt>
                <c:pt idx="111">
                  <c:v>31188523.153816897</c:v>
                </c:pt>
                <c:pt idx="112">
                  <c:v>28061532.914317109</c:v>
                </c:pt>
                <c:pt idx="113">
                  <c:v>28907676.224817328</c:v>
                </c:pt>
                <c:pt idx="114">
                  <c:v>30778974.405317537</c:v>
                </c:pt>
                <c:pt idx="115">
                  <c:v>27909829.945817754</c:v>
                </c:pt>
                <c:pt idx="116">
                  <c:v>25812443.776317969</c:v>
                </c:pt>
                <c:pt idx="117">
                  <c:v>28372607.836818181</c:v>
                </c:pt>
                <c:pt idx="118">
                  <c:v>34902785.917318396</c:v>
                </c:pt>
                <c:pt idx="119">
                  <c:v>38937199.157818608</c:v>
                </c:pt>
              </c:numCache>
            </c:numRef>
          </c:val>
          <c:smooth val="0"/>
          <c:extLst>
            <c:ext xmlns:c16="http://schemas.microsoft.com/office/drawing/2014/chart" uri="{C3380CC4-5D6E-409C-BE32-E72D297353CC}">
              <c16:uniqueId val="{00000000-9CA8-4E5A-B5DA-4FB22655BA08}"/>
            </c:ext>
          </c:extLst>
        </c:ser>
        <c:ser>
          <c:idx val="1"/>
          <c:order val="1"/>
          <c:tx>
            <c:strRef>
              <c:f>'Res Weather Normalized'!$S$1</c:f>
              <c:strCache>
                <c:ptCount val="1"/>
                <c:pt idx="0">
                  <c:v>Weather Normalized</c:v>
                </c:pt>
              </c:strCache>
            </c:strRef>
          </c:tx>
          <c:spPr>
            <a:ln w="28575" cap="rnd">
              <a:solidFill>
                <a:schemeClr val="accent2"/>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Normalized'!$S$2:$S$145</c:f>
              <c:numCache>
                <c:formatCode>_(* #,##0_);_(* \(#,##0\);_(* "-"??_);_(@_)</c:formatCode>
                <c:ptCount val="144"/>
                <c:pt idx="0">
                  <c:v>47033445.656793833</c:v>
                </c:pt>
                <c:pt idx="1">
                  <c:v>41611948.033338852</c:v>
                </c:pt>
                <c:pt idx="2">
                  <c:v>37448882.560191028</c:v>
                </c:pt>
                <c:pt idx="3">
                  <c:v>33081091.719582491</c:v>
                </c:pt>
                <c:pt idx="4">
                  <c:v>27792555.255793408</c:v>
                </c:pt>
                <c:pt idx="5">
                  <c:v>24914463.268302329</c:v>
                </c:pt>
                <c:pt idx="6">
                  <c:v>27169931.517655622</c:v>
                </c:pt>
                <c:pt idx="7">
                  <c:v>25780788.066481747</c:v>
                </c:pt>
                <c:pt idx="8">
                  <c:v>25097274.140295837</c:v>
                </c:pt>
                <c:pt idx="9">
                  <c:v>29879399.014878787</c:v>
                </c:pt>
                <c:pt idx="10">
                  <c:v>33717534.290321499</c:v>
                </c:pt>
                <c:pt idx="11">
                  <c:v>42105584.968970433</c:v>
                </c:pt>
                <c:pt idx="12">
                  <c:v>45141606.420721345</c:v>
                </c:pt>
                <c:pt idx="13">
                  <c:v>37078030.442591019</c:v>
                </c:pt>
                <c:pt idx="14">
                  <c:v>38270422.354301907</c:v>
                </c:pt>
                <c:pt idx="15">
                  <c:v>32184289.553079467</c:v>
                </c:pt>
                <c:pt idx="16">
                  <c:v>26853654.53907926</c:v>
                </c:pt>
                <c:pt idx="17">
                  <c:v>25268656.869279753</c:v>
                </c:pt>
                <c:pt idx="18">
                  <c:v>25766151.780765951</c:v>
                </c:pt>
                <c:pt idx="19">
                  <c:v>26191563.842892379</c:v>
                </c:pt>
                <c:pt idx="20">
                  <c:v>24789905.805288061</c:v>
                </c:pt>
                <c:pt idx="21">
                  <c:v>27274191.530543875</c:v>
                </c:pt>
                <c:pt idx="22">
                  <c:v>33494176.35811843</c:v>
                </c:pt>
                <c:pt idx="23">
                  <c:v>40591423.796495192</c:v>
                </c:pt>
                <c:pt idx="24">
                  <c:v>42642596.550696202</c:v>
                </c:pt>
                <c:pt idx="25">
                  <c:v>38037080.093024552</c:v>
                </c:pt>
                <c:pt idx="26">
                  <c:v>38026272.295495301</c:v>
                </c:pt>
                <c:pt idx="27">
                  <c:v>29005986.896691918</c:v>
                </c:pt>
                <c:pt idx="28">
                  <c:v>26481830.924064953</c:v>
                </c:pt>
                <c:pt idx="29">
                  <c:v>24492544.842251297</c:v>
                </c:pt>
                <c:pt idx="30">
                  <c:v>26773355.915714134</c:v>
                </c:pt>
                <c:pt idx="31">
                  <c:v>25378297.857142583</c:v>
                </c:pt>
                <c:pt idx="32">
                  <c:v>25426639.695993945</c:v>
                </c:pt>
                <c:pt idx="33">
                  <c:v>26677165.383560877</c:v>
                </c:pt>
                <c:pt idx="34">
                  <c:v>32827849.979927979</c:v>
                </c:pt>
                <c:pt idx="35">
                  <c:v>38701455.142067514</c:v>
                </c:pt>
                <c:pt idx="36">
                  <c:v>43331746.148576312</c:v>
                </c:pt>
                <c:pt idx="37">
                  <c:v>38490880.436538614</c:v>
                </c:pt>
                <c:pt idx="38">
                  <c:v>35358219.822815545</c:v>
                </c:pt>
                <c:pt idx="39">
                  <c:v>30594742.42881665</c:v>
                </c:pt>
                <c:pt idx="40">
                  <c:v>25414270.600464858</c:v>
                </c:pt>
                <c:pt idx="41">
                  <c:v>24368406.789547861</c:v>
                </c:pt>
                <c:pt idx="42">
                  <c:v>26995125.075458236</c:v>
                </c:pt>
                <c:pt idx="43">
                  <c:v>26106785.962033011</c:v>
                </c:pt>
                <c:pt idx="44">
                  <c:v>23550410.566852089</c:v>
                </c:pt>
                <c:pt idx="45">
                  <c:v>28676458.043343026</c:v>
                </c:pt>
                <c:pt idx="46">
                  <c:v>32537149.434126023</c:v>
                </c:pt>
                <c:pt idx="47">
                  <c:v>39411899.516334251</c:v>
                </c:pt>
                <c:pt idx="48">
                  <c:v>45504932.695053674</c:v>
                </c:pt>
                <c:pt idx="49">
                  <c:v>39036693.922517918</c:v>
                </c:pt>
                <c:pt idx="50">
                  <c:v>36607965.388557814</c:v>
                </c:pt>
                <c:pt idx="51">
                  <c:v>29134713.481139731</c:v>
                </c:pt>
                <c:pt idx="52">
                  <c:v>26648506.894934259</c:v>
                </c:pt>
                <c:pt idx="53">
                  <c:v>26214759.42423686</c:v>
                </c:pt>
                <c:pt idx="54">
                  <c:v>28076025.910592772</c:v>
                </c:pt>
                <c:pt idx="55">
                  <c:v>27647800.841182243</c:v>
                </c:pt>
                <c:pt idx="56">
                  <c:v>24824717.119325388</c:v>
                </c:pt>
                <c:pt idx="57">
                  <c:v>27833767.621429801</c:v>
                </c:pt>
                <c:pt idx="58">
                  <c:v>32907689.044805959</c:v>
                </c:pt>
                <c:pt idx="59">
                  <c:v>40572596.11372418</c:v>
                </c:pt>
                <c:pt idx="60">
                  <c:v>43040167.357345141</c:v>
                </c:pt>
                <c:pt idx="61">
                  <c:v>39897035.977165222</c:v>
                </c:pt>
                <c:pt idx="62">
                  <c:v>37445613.540075004</c:v>
                </c:pt>
                <c:pt idx="63">
                  <c:v>31409741.490726702</c:v>
                </c:pt>
                <c:pt idx="64">
                  <c:v>26261633.639676552</c:v>
                </c:pt>
                <c:pt idx="65">
                  <c:v>25982165.892036244</c:v>
                </c:pt>
                <c:pt idx="66">
                  <c:v>28679000.504863203</c:v>
                </c:pt>
                <c:pt idx="67">
                  <c:v>27811881.888464589</c:v>
                </c:pt>
                <c:pt idx="68">
                  <c:v>24958023.329883758</c:v>
                </c:pt>
                <c:pt idx="69">
                  <c:v>27599344.341904741</c:v>
                </c:pt>
                <c:pt idx="70">
                  <c:v>34037745.209941484</c:v>
                </c:pt>
                <c:pt idx="71">
                  <c:v>40109706.186572023</c:v>
                </c:pt>
                <c:pt idx="72">
                  <c:v>43777703.174026042</c:v>
                </c:pt>
                <c:pt idx="73">
                  <c:v>38729615.474473074</c:v>
                </c:pt>
                <c:pt idx="74">
                  <c:v>38837205.087741196</c:v>
                </c:pt>
                <c:pt idx="75">
                  <c:v>32116228.945720527</c:v>
                </c:pt>
                <c:pt idx="76">
                  <c:v>27631665.281982061</c:v>
                </c:pt>
                <c:pt idx="77">
                  <c:v>28523008.454045214</c:v>
                </c:pt>
                <c:pt idx="78">
                  <c:v>31379906.600832328</c:v>
                </c:pt>
                <c:pt idx="79">
                  <c:v>29560908.059470639</c:v>
                </c:pt>
                <c:pt idx="80">
                  <c:v>26052997.232015651</c:v>
                </c:pt>
                <c:pt idx="81">
                  <c:v>28195227.525745984</c:v>
                </c:pt>
                <c:pt idx="82">
                  <c:v>35648326.426742926</c:v>
                </c:pt>
                <c:pt idx="83">
                  <c:v>40941098.142129131</c:v>
                </c:pt>
                <c:pt idx="84">
                  <c:v>44796401.555483848</c:v>
                </c:pt>
                <c:pt idx="85">
                  <c:v>40628476.16640947</c:v>
                </c:pt>
                <c:pt idx="86">
                  <c:v>38934084.248256087</c:v>
                </c:pt>
                <c:pt idx="87">
                  <c:v>32249639.856397457</c:v>
                </c:pt>
                <c:pt idx="88">
                  <c:v>27587178.287878592</c:v>
                </c:pt>
                <c:pt idx="89">
                  <c:v>27787449.159471814</c:v>
                </c:pt>
                <c:pt idx="90">
                  <c:v>30761886.044670574</c:v>
                </c:pt>
                <c:pt idx="91">
                  <c:v>29036498.988126256</c:v>
                </c:pt>
                <c:pt idx="92">
                  <c:v>26653890.040183805</c:v>
                </c:pt>
                <c:pt idx="93">
                  <c:v>29520157.974626716</c:v>
                </c:pt>
                <c:pt idx="94">
                  <c:v>33315709.346201848</c:v>
                </c:pt>
                <c:pt idx="95">
                  <c:v>41384214.856744662</c:v>
                </c:pt>
                <c:pt idx="96">
                  <c:v>44847970.307511605</c:v>
                </c:pt>
                <c:pt idx="97">
                  <c:v>40648896.066381738</c:v>
                </c:pt>
                <c:pt idx="98">
                  <c:v>39311182.835314244</c:v>
                </c:pt>
                <c:pt idx="99">
                  <c:v>32077421.923562892</c:v>
                </c:pt>
                <c:pt idx="100">
                  <c:v>27803295.277338792</c:v>
                </c:pt>
                <c:pt idx="101">
                  <c:v>26777186.634476505</c:v>
                </c:pt>
                <c:pt idx="102">
                  <c:v>30313330.435847122</c:v>
                </c:pt>
                <c:pt idx="103">
                  <c:v>29152275.201877691</c:v>
                </c:pt>
                <c:pt idx="104">
                  <c:v>26301329.118932363</c:v>
                </c:pt>
                <c:pt idx="105">
                  <c:v>28118059.276492894</c:v>
                </c:pt>
                <c:pt idx="106">
                  <c:v>34038994.173657238</c:v>
                </c:pt>
                <c:pt idx="107">
                  <c:v>40429618.863656588</c:v>
                </c:pt>
                <c:pt idx="108">
                  <c:v>44343354.105504423</c:v>
                </c:pt>
                <c:pt idx="109">
                  <c:v>39316350.035005122</c:v>
                </c:pt>
                <c:pt idx="110">
                  <c:v>38260368.644031264</c:v>
                </c:pt>
                <c:pt idx="111">
                  <c:v>32026116.466407862</c:v>
                </c:pt>
                <c:pt idx="112">
                  <c:v>27996440.565588873</c:v>
                </c:pt>
                <c:pt idx="113">
                  <c:v>27862869.706950802</c:v>
                </c:pt>
                <c:pt idx="114">
                  <c:v>31116676.147963814</c:v>
                </c:pt>
                <c:pt idx="115">
                  <c:v>29443266.866574243</c:v>
                </c:pt>
                <c:pt idx="116">
                  <c:v>25921317.255168494</c:v>
                </c:pt>
                <c:pt idx="117">
                  <c:v>28576489.200995348</c:v>
                </c:pt>
                <c:pt idx="118">
                  <c:v>34686351.349776074</c:v>
                </c:pt>
                <c:pt idx="119">
                  <c:v>41612833.403438374</c:v>
                </c:pt>
                <c:pt idx="120">
                  <c:v>44189620.909386732</c:v>
                </c:pt>
                <c:pt idx="121">
                  <c:v>40599165.483535394</c:v>
                </c:pt>
                <c:pt idx="122">
                  <c:v>38107474.439364105</c:v>
                </c:pt>
                <c:pt idx="123">
                  <c:v>31232648.410099942</c:v>
                </c:pt>
                <c:pt idx="124">
                  <c:v>27250773.975932147</c:v>
                </c:pt>
                <c:pt idx="125">
                  <c:v>26535818.71336133</c:v>
                </c:pt>
                <c:pt idx="126">
                  <c:v>28969026.909179829</c:v>
                </c:pt>
                <c:pt idx="127">
                  <c:v>27871986.288207427</c:v>
                </c:pt>
                <c:pt idx="128">
                  <c:v>25212681.679821402</c:v>
                </c:pt>
                <c:pt idx="129">
                  <c:v>29301761.337755911</c:v>
                </c:pt>
                <c:pt idx="130">
                  <c:v>33719605.887707978</c:v>
                </c:pt>
                <c:pt idx="131">
                  <c:v>40243124.165946916</c:v>
                </c:pt>
                <c:pt idx="132">
                  <c:v>43663657.734727219</c:v>
                </c:pt>
                <c:pt idx="133">
                  <c:v>39188513.583062813</c:v>
                </c:pt>
                <c:pt idx="134">
                  <c:v>37581511.264704593</c:v>
                </c:pt>
                <c:pt idx="135">
                  <c:v>30706685.235440429</c:v>
                </c:pt>
                <c:pt idx="136">
                  <c:v>26724810.801272634</c:v>
                </c:pt>
                <c:pt idx="137">
                  <c:v>26009855.538701817</c:v>
                </c:pt>
                <c:pt idx="138">
                  <c:v>28443063.734520316</c:v>
                </c:pt>
                <c:pt idx="139">
                  <c:v>27346023.113547914</c:v>
                </c:pt>
                <c:pt idx="140">
                  <c:v>24686718.505161889</c:v>
                </c:pt>
                <c:pt idx="141">
                  <c:v>28775798.163096398</c:v>
                </c:pt>
                <c:pt idx="142">
                  <c:v>33193642.713048466</c:v>
                </c:pt>
                <c:pt idx="143">
                  <c:v>39717160.991287403</c:v>
                </c:pt>
              </c:numCache>
            </c:numRef>
          </c:val>
          <c:smooth val="0"/>
          <c:extLst>
            <c:ext xmlns:c16="http://schemas.microsoft.com/office/drawing/2014/chart" uri="{C3380CC4-5D6E-409C-BE32-E72D297353CC}">
              <c16:uniqueId val="{00000001-9CA8-4E5A-B5DA-4FB22655BA08}"/>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Weather Normalized'!$D$1</c:f>
              <c:strCache>
                <c:ptCount val="1"/>
                <c:pt idx="0">
                  <c:v> GS_lt_50_NoCDM </c:v>
                </c:pt>
              </c:strCache>
            </c:strRef>
          </c:tx>
          <c:spPr>
            <a:ln w="28575" cap="rnd">
              <a:solidFill>
                <a:schemeClr val="accent1"/>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13471487.177465362</c:v>
                </c:pt>
                <c:pt idx="25">
                  <c:v>12695119.535019068</c:v>
                </c:pt>
                <c:pt idx="26">
                  <c:v>12739482.624929575</c:v>
                </c:pt>
                <c:pt idx="27">
                  <c:v>11306329.364432665</c:v>
                </c:pt>
                <c:pt idx="28">
                  <c:v>10692228.025868321</c:v>
                </c:pt>
                <c:pt idx="29">
                  <c:v>10467768.008548845</c:v>
                </c:pt>
                <c:pt idx="30">
                  <c:v>11133217.218561364</c:v>
                </c:pt>
                <c:pt idx="31">
                  <c:v>11008415.885954833</c:v>
                </c:pt>
                <c:pt idx="32">
                  <c:v>10163034.278752638</c:v>
                </c:pt>
                <c:pt idx="33">
                  <c:v>10408644.305427104</c:v>
                </c:pt>
                <c:pt idx="34">
                  <c:v>11035358.439422198</c:v>
                </c:pt>
                <c:pt idx="35">
                  <c:v>12855220.796200017</c:v>
                </c:pt>
                <c:pt idx="36">
                  <c:v>13238747.565795455</c:v>
                </c:pt>
                <c:pt idx="37">
                  <c:v>11972000.088172954</c:v>
                </c:pt>
                <c:pt idx="38">
                  <c:v>12634058.046692308</c:v>
                </c:pt>
                <c:pt idx="39">
                  <c:v>10680362.785959138</c:v>
                </c:pt>
                <c:pt idx="40">
                  <c:v>10162413.65849488</c:v>
                </c:pt>
                <c:pt idx="41">
                  <c:v>9870806.2378251255</c:v>
                </c:pt>
                <c:pt idx="42">
                  <c:v>10728417.303016009</c:v>
                </c:pt>
                <c:pt idx="43">
                  <c:v>10430002.785010062</c:v>
                </c:pt>
                <c:pt idx="44">
                  <c:v>10138877.280987848</c:v>
                </c:pt>
                <c:pt idx="45">
                  <c:v>10563594.710277392</c:v>
                </c:pt>
                <c:pt idx="46">
                  <c:v>11794734.034078825</c:v>
                </c:pt>
                <c:pt idx="47">
                  <c:v>13979384.236354139</c:v>
                </c:pt>
                <c:pt idx="48">
                  <c:v>14589181.282457083</c:v>
                </c:pt>
                <c:pt idx="49">
                  <c:v>12602065.043304538</c:v>
                </c:pt>
                <c:pt idx="50">
                  <c:v>12838873.521702431</c:v>
                </c:pt>
                <c:pt idx="51">
                  <c:v>11595715.426247839</c:v>
                </c:pt>
                <c:pt idx="52">
                  <c:v>10804557.02921702</c:v>
                </c:pt>
                <c:pt idx="53">
                  <c:v>10810056.585985513</c:v>
                </c:pt>
                <c:pt idx="54">
                  <c:v>11738903.733938437</c:v>
                </c:pt>
                <c:pt idx="55">
                  <c:v>11370146.661835445</c:v>
                </c:pt>
                <c:pt idx="56">
                  <c:v>10317381.425097212</c:v>
                </c:pt>
                <c:pt idx="57">
                  <c:v>11056318.15399784</c:v>
                </c:pt>
                <c:pt idx="58">
                  <c:v>12321410.335647583</c:v>
                </c:pt>
                <c:pt idx="59">
                  <c:v>13389120.972104926</c:v>
                </c:pt>
                <c:pt idx="60">
                  <c:v>14598104.020437693</c:v>
                </c:pt>
                <c:pt idx="61">
                  <c:v>13158513.120282056</c:v>
                </c:pt>
                <c:pt idx="62">
                  <c:v>13238045.840126414</c:v>
                </c:pt>
                <c:pt idx="63">
                  <c:v>11407805.629970776</c:v>
                </c:pt>
                <c:pt idx="64">
                  <c:v>10585959.389815135</c:v>
                </c:pt>
                <c:pt idx="65">
                  <c:v>10472059.739659496</c:v>
                </c:pt>
                <c:pt idx="66">
                  <c:v>11553369.669503855</c:v>
                </c:pt>
                <c:pt idx="67">
                  <c:v>10886899.519348213</c:v>
                </c:pt>
                <c:pt idx="68">
                  <c:v>9932795.2991925739</c:v>
                </c:pt>
                <c:pt idx="69">
                  <c:v>10612642.599036934</c:v>
                </c:pt>
                <c:pt idx="70">
                  <c:v>12470141.758881295</c:v>
                </c:pt>
                <c:pt idx="71">
                  <c:v>13238227.838725653</c:v>
                </c:pt>
                <c:pt idx="72">
                  <c:v>13652816.710556209</c:v>
                </c:pt>
                <c:pt idx="73">
                  <c:v>12733582.995352812</c:v>
                </c:pt>
                <c:pt idx="74">
                  <c:v>12050222.340149418</c:v>
                </c:pt>
                <c:pt idx="75">
                  <c:v>9716740.3149460237</c:v>
                </c:pt>
                <c:pt idx="76">
                  <c:v>9694699.8497426268</c:v>
                </c:pt>
                <c:pt idx="77">
                  <c:v>10225668.464539232</c:v>
                </c:pt>
                <c:pt idx="78">
                  <c:v>11343101.809335835</c:v>
                </c:pt>
                <c:pt idx="79">
                  <c:v>10780735.944132442</c:v>
                </c:pt>
                <c:pt idx="80">
                  <c:v>9813085.9189290442</c:v>
                </c:pt>
                <c:pt idx="81">
                  <c:v>10753151.84372565</c:v>
                </c:pt>
                <c:pt idx="82">
                  <c:v>11644677.878522255</c:v>
                </c:pt>
                <c:pt idx="83">
                  <c:v>12844408.32331886</c:v>
                </c:pt>
                <c:pt idx="84">
                  <c:v>13020901.047661725</c:v>
                </c:pt>
                <c:pt idx="85">
                  <c:v>12441382.271758284</c:v>
                </c:pt>
                <c:pt idx="86">
                  <c:v>12206975.695854843</c:v>
                </c:pt>
                <c:pt idx="87">
                  <c:v>10295742.099951401</c:v>
                </c:pt>
                <c:pt idx="88">
                  <c:v>9972226.6940479614</c:v>
                </c:pt>
                <c:pt idx="89">
                  <c:v>9973847.388144521</c:v>
                </c:pt>
                <c:pt idx="90">
                  <c:v>10877601.992241079</c:v>
                </c:pt>
                <c:pt idx="91">
                  <c:v>11280808.316337638</c:v>
                </c:pt>
                <c:pt idx="92">
                  <c:v>10087037.710434197</c:v>
                </c:pt>
                <c:pt idx="93">
                  <c:v>10403500.194530755</c:v>
                </c:pt>
                <c:pt idx="94">
                  <c:v>11423218.038627313</c:v>
                </c:pt>
                <c:pt idx="95">
                  <c:v>13132583.892723873</c:v>
                </c:pt>
                <c:pt idx="96">
                  <c:v>14636954.815922895</c:v>
                </c:pt>
                <c:pt idx="97">
                  <c:v>13076799.903353576</c:v>
                </c:pt>
                <c:pt idx="98">
                  <c:v>13153699.890784256</c:v>
                </c:pt>
                <c:pt idx="99">
                  <c:v>11319018.888214933</c:v>
                </c:pt>
                <c:pt idx="100">
                  <c:v>10617832.325645614</c:v>
                </c:pt>
                <c:pt idx="101">
                  <c:v>10329832.053076293</c:v>
                </c:pt>
                <c:pt idx="102">
                  <c:v>11056407.640506973</c:v>
                </c:pt>
                <c:pt idx="103">
                  <c:v>10980512.797937652</c:v>
                </c:pt>
                <c:pt idx="104">
                  <c:v>10141321.345368331</c:v>
                </c:pt>
                <c:pt idx="105">
                  <c:v>10351131.972799011</c:v>
                </c:pt>
                <c:pt idx="106">
                  <c:v>11539971.930229692</c:v>
                </c:pt>
                <c:pt idx="107">
                  <c:v>12864921.17766037</c:v>
                </c:pt>
                <c:pt idx="108">
                  <c:v>13563555.004914708</c:v>
                </c:pt>
                <c:pt idx="109">
                  <c:v>12492374.263997788</c:v>
                </c:pt>
                <c:pt idx="110">
                  <c:v>12918705.583080864</c:v>
                </c:pt>
                <c:pt idx="111">
                  <c:v>11912469.672163939</c:v>
                </c:pt>
                <c:pt idx="112">
                  <c:v>11505991.091247017</c:v>
                </c:pt>
                <c:pt idx="113">
                  <c:v>11524708.840330094</c:v>
                </c:pt>
                <c:pt idx="114">
                  <c:v>12011604.23941317</c:v>
                </c:pt>
                <c:pt idx="115">
                  <c:v>11359569.388496248</c:v>
                </c:pt>
                <c:pt idx="116">
                  <c:v>10706905.087579323</c:v>
                </c:pt>
                <c:pt idx="117">
                  <c:v>11160124.0266624</c:v>
                </c:pt>
                <c:pt idx="118">
                  <c:v>12633492.375745479</c:v>
                </c:pt>
                <c:pt idx="119">
                  <c:v>13324894.874828555</c:v>
                </c:pt>
              </c:numCache>
            </c:numRef>
          </c:val>
          <c:smooth val="0"/>
          <c:extLst>
            <c:ext xmlns:c16="http://schemas.microsoft.com/office/drawing/2014/chart" uri="{C3380CC4-5D6E-409C-BE32-E72D297353CC}">
              <c16:uniqueId val="{00000000-3ED6-4C83-B0C4-8ACBB33AC169}"/>
            </c:ext>
          </c:extLst>
        </c:ser>
        <c:ser>
          <c:idx val="1"/>
          <c:order val="1"/>
          <c:tx>
            <c:strRef>
              <c:f>'GS&lt;50 Weather Normalized'!$U$1</c:f>
              <c:strCache>
                <c:ptCount val="1"/>
                <c:pt idx="0">
                  <c:v>Weather Normalized</c:v>
                </c:pt>
              </c:strCache>
            </c:strRef>
          </c:tx>
          <c:spPr>
            <a:ln w="28575" cap="rnd">
              <a:solidFill>
                <a:schemeClr val="accent2"/>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Normalized'!$U$2:$U$146</c:f>
              <c:numCache>
                <c:formatCode>_(* #,##0_);_(* \(#,##0\);_(* "-"??_);_(@_)</c:formatCode>
                <c:ptCount val="145"/>
                <c:pt idx="0">
                  <c:v>14599198.367693404</c:v>
                </c:pt>
                <c:pt idx="1">
                  <c:v>13227770.474963835</c:v>
                </c:pt>
                <c:pt idx="2">
                  <c:v>13011855.474665964</c:v>
                </c:pt>
                <c:pt idx="3">
                  <c:v>11761984.001899201</c:v>
                </c:pt>
                <c:pt idx="4">
                  <c:v>11127894.592618121</c:v>
                </c:pt>
                <c:pt idx="5">
                  <c:v>10598043.891848953</c:v>
                </c:pt>
                <c:pt idx="6">
                  <c:v>11341406.738706969</c:v>
                </c:pt>
                <c:pt idx="7">
                  <c:v>10908809.258802751</c:v>
                </c:pt>
                <c:pt idx="8">
                  <c:v>10277024.422618652</c:v>
                </c:pt>
                <c:pt idx="9">
                  <c:v>11277448.321675671</c:v>
                </c:pt>
                <c:pt idx="10">
                  <c:v>11738192.166460466</c:v>
                </c:pt>
                <c:pt idx="11">
                  <c:v>13580526.56110925</c:v>
                </c:pt>
                <c:pt idx="12">
                  <c:v>14276659.85217627</c:v>
                </c:pt>
                <c:pt idx="13">
                  <c:v>12338825.141565107</c:v>
                </c:pt>
                <c:pt idx="14">
                  <c:v>13132622.267065415</c:v>
                </c:pt>
                <c:pt idx="15">
                  <c:v>11599541.03518278</c:v>
                </c:pt>
                <c:pt idx="16">
                  <c:v>10870443.081825016</c:v>
                </c:pt>
                <c:pt idx="17">
                  <c:v>10602261.706926679</c:v>
                </c:pt>
                <c:pt idx="18">
                  <c:v>10963046.534816412</c:v>
                </c:pt>
                <c:pt idx="19">
                  <c:v>10942872.136875229</c:v>
                </c:pt>
                <c:pt idx="20">
                  <c:v>10092805.451841218</c:v>
                </c:pt>
                <c:pt idx="21">
                  <c:v>10634970.080108572</c:v>
                </c:pt>
                <c:pt idx="22">
                  <c:v>11504334.355049292</c:v>
                </c:pt>
                <c:pt idx="23">
                  <c:v>13146885.494846929</c:v>
                </c:pt>
                <c:pt idx="24">
                  <c:v>13733533.601160582</c:v>
                </c:pt>
                <c:pt idx="25">
                  <c:v>12654339.625700254</c:v>
                </c:pt>
                <c:pt idx="26">
                  <c:v>13087729.89661189</c:v>
                </c:pt>
                <c:pt idx="27">
                  <c:v>11001553.030631095</c:v>
                </c:pt>
                <c:pt idx="28">
                  <c:v>10747123.838650012</c:v>
                </c:pt>
                <c:pt idx="29">
                  <c:v>10320825.401597282</c:v>
                </c:pt>
                <c:pt idx="30">
                  <c:v>10965817.447597191</c:v>
                </c:pt>
                <c:pt idx="31">
                  <c:v>10647057.185510449</c:v>
                </c:pt>
                <c:pt idx="32">
                  <c:v>10257395.878010523</c:v>
                </c:pt>
                <c:pt idx="33">
                  <c:v>10447798.633967567</c:v>
                </c:pt>
                <c:pt idx="34">
                  <c:v>11593358.396816988</c:v>
                </c:pt>
                <c:pt idx="35">
                  <c:v>12720454.764964141</c:v>
                </c:pt>
                <c:pt idx="36">
                  <c:v>13890030.42332988</c:v>
                </c:pt>
                <c:pt idx="37">
                  <c:v>12610495.482555171</c:v>
                </c:pt>
                <c:pt idx="38">
                  <c:v>12383310.833892494</c:v>
                </c:pt>
                <c:pt idx="39">
                  <c:v>10964655.81531151</c:v>
                </c:pt>
                <c:pt idx="40">
                  <c:v>10205038.660047067</c:v>
                </c:pt>
                <c:pt idx="41">
                  <c:v>10042560.233133024</c:v>
                </c:pt>
                <c:pt idx="42">
                  <c:v>11037256.750031145</c:v>
                </c:pt>
                <c:pt idx="43">
                  <c:v>10742526.756186064</c:v>
                </c:pt>
                <c:pt idx="44">
                  <c:v>9961895.9328993019</c:v>
                </c:pt>
                <c:pt idx="45">
                  <c:v>10876864.795111002</c:v>
                </c:pt>
                <c:pt idx="46">
                  <c:v>11608510.839773115</c:v>
                </c:pt>
                <c:pt idx="47">
                  <c:v>12945541.700976275</c:v>
                </c:pt>
                <c:pt idx="48">
                  <c:v>14585953.355236912</c:v>
                </c:pt>
                <c:pt idx="49">
                  <c:v>12922731.228106011</c:v>
                </c:pt>
                <c:pt idx="50">
                  <c:v>12840481.907300023</c:v>
                </c:pt>
                <c:pt idx="51">
                  <c:v>11066867.407368969</c:v>
                </c:pt>
                <c:pt idx="52">
                  <c:v>10876987.21577446</c:v>
                </c:pt>
                <c:pt idx="53">
                  <c:v>10817676.174406292</c:v>
                </c:pt>
                <c:pt idx="54">
                  <c:v>11297942.92484948</c:v>
                </c:pt>
                <c:pt idx="55">
                  <c:v>11103890.689108118</c:v>
                </c:pt>
                <c:pt idx="56">
                  <c:v>10160163.472620105</c:v>
                </c:pt>
                <c:pt idx="57">
                  <c:v>10692544.746196648</c:v>
                </c:pt>
                <c:pt idx="58">
                  <c:v>11784374.339368865</c:v>
                </c:pt>
                <c:pt idx="59">
                  <c:v>13245846.161179049</c:v>
                </c:pt>
                <c:pt idx="60">
                  <c:v>13915396.92215948</c:v>
                </c:pt>
                <c:pt idx="61">
                  <c:v>13080704.461013438</c:v>
                </c:pt>
                <c:pt idx="62">
                  <c:v>13114189.962274844</c:v>
                </c:pt>
                <c:pt idx="63">
                  <c:v>11336972.453270216</c:v>
                </c:pt>
                <c:pt idx="64">
                  <c:v>10606665.238125201</c:v>
                </c:pt>
                <c:pt idx="65">
                  <c:v>10604947.819500387</c:v>
                </c:pt>
                <c:pt idx="66">
                  <c:v>11320952.802124942</c:v>
                </c:pt>
                <c:pt idx="67">
                  <c:v>11050912.127278654</c:v>
                </c:pt>
                <c:pt idx="68">
                  <c:v>10087572.287841223</c:v>
                </c:pt>
                <c:pt idx="69">
                  <c:v>10639117.877121469</c:v>
                </c:pt>
                <c:pt idx="70">
                  <c:v>11956056.9350577</c:v>
                </c:pt>
                <c:pt idx="71">
                  <c:v>13062774.174974663</c:v>
                </c:pt>
                <c:pt idx="72">
                  <c:v>14202137.345124617</c:v>
                </c:pt>
                <c:pt idx="73">
                  <c:v>12929986.661125399</c:v>
                </c:pt>
                <c:pt idx="74">
                  <c:v>12462101.332063435</c:v>
                </c:pt>
                <c:pt idx="75">
                  <c:v>9687839.4346244372</c:v>
                </c:pt>
                <c:pt idx="76">
                  <c:v>9280043.7053087801</c:v>
                </c:pt>
                <c:pt idx="77">
                  <c:v>9988251.5395830143</c:v>
                </c:pt>
                <c:pt idx="78">
                  <c:v>10872306.1974694</c:v>
                </c:pt>
                <c:pt idx="79">
                  <c:v>10748997.596974423</c:v>
                </c:pt>
                <c:pt idx="80">
                  <c:v>9909183.844790088</c:v>
                </c:pt>
                <c:pt idx="81">
                  <c:v>10404410.971038824</c:v>
                </c:pt>
                <c:pt idx="82">
                  <c:v>12006879.334298955</c:v>
                </c:pt>
                <c:pt idx="83">
                  <c:v>12865604.465319052</c:v>
                </c:pt>
                <c:pt idx="84">
                  <c:v>13488342.113737825</c:v>
                </c:pt>
                <c:pt idx="85">
                  <c:v>12521152.349598568</c:v>
                </c:pt>
                <c:pt idx="86">
                  <c:v>12661452.235523343</c:v>
                </c:pt>
                <c:pt idx="87">
                  <c:v>10716100.49531753</c:v>
                </c:pt>
                <c:pt idx="88">
                  <c:v>9856209.4727935698</c:v>
                </c:pt>
                <c:pt idx="89">
                  <c:v>9964071.6917829234</c:v>
                </c:pt>
                <c:pt idx="90">
                  <c:v>11065839.778549081</c:v>
                </c:pt>
                <c:pt idx="91">
                  <c:v>10856790.652509101</c:v>
                </c:pt>
                <c:pt idx="92">
                  <c:v>10254954.451157875</c:v>
                </c:pt>
                <c:pt idx="93">
                  <c:v>10757865.646593502</c:v>
                </c:pt>
                <c:pt idx="94">
                  <c:v>11504565.385468595</c:v>
                </c:pt>
                <c:pt idx="95">
                  <c:v>13129623.472726304</c:v>
                </c:pt>
                <c:pt idx="96">
                  <c:v>13862346.459076131</c:v>
                </c:pt>
                <c:pt idx="97">
                  <c:v>12931822.314880153</c:v>
                </c:pt>
                <c:pt idx="98">
                  <c:v>13201858.058068175</c:v>
                </c:pt>
                <c:pt idx="99">
                  <c:v>11382587.94908935</c:v>
                </c:pt>
                <c:pt idx="100">
                  <c:v>10671011.059540175</c:v>
                </c:pt>
                <c:pt idx="101">
                  <c:v>10344426.856441319</c:v>
                </c:pt>
                <c:pt idx="102">
                  <c:v>11255555.031275162</c:v>
                </c:pt>
                <c:pt idx="103">
                  <c:v>10968987.019613232</c:v>
                </c:pt>
                <c:pt idx="104">
                  <c:v>10161676.068551224</c:v>
                </c:pt>
                <c:pt idx="105">
                  <c:v>10432569.243511815</c:v>
                </c:pt>
                <c:pt idx="106">
                  <c:v>11789889.03685906</c:v>
                </c:pt>
                <c:pt idx="107">
                  <c:v>13009682.500484342</c:v>
                </c:pt>
                <c:pt idx="108">
                  <c:v>14149983.143581547</c:v>
                </c:pt>
                <c:pt idx="109">
                  <c:v>12840154.807281774</c:v>
                </c:pt>
                <c:pt idx="110">
                  <c:v>13027816.444988826</c:v>
                </c:pt>
                <c:pt idx="111">
                  <c:v>12056941.88418919</c:v>
                </c:pt>
                <c:pt idx="112">
                  <c:v>11504996.184977092</c:v>
                </c:pt>
                <c:pt idx="113">
                  <c:v>11272903.113471417</c:v>
                </c:pt>
                <c:pt idx="114">
                  <c:v>12091367.906314198</c:v>
                </c:pt>
                <c:pt idx="115">
                  <c:v>11721406.035498083</c:v>
                </c:pt>
                <c:pt idx="116">
                  <c:v>10670374.495649511</c:v>
                </c:pt>
                <c:pt idx="117">
                  <c:v>11179148.896431018</c:v>
                </c:pt>
                <c:pt idx="118">
                  <c:v>12595473.665248508</c:v>
                </c:pt>
                <c:pt idx="119">
                  <c:v>13876790.142218243</c:v>
                </c:pt>
                <c:pt idx="120">
                  <c:v>14439853.196756169</c:v>
                </c:pt>
                <c:pt idx="121">
                  <c:v>13478238.536223698</c:v>
                </c:pt>
                <c:pt idx="122">
                  <c:v>13403626.955953676</c:v>
                </c:pt>
                <c:pt idx="123">
                  <c:v>11917607.363421652</c:v>
                </c:pt>
                <c:pt idx="124">
                  <c:v>11416768.805552639</c:v>
                </c:pt>
                <c:pt idx="125">
                  <c:v>11128851.016081629</c:v>
                </c:pt>
                <c:pt idx="126">
                  <c:v>11843151.003281571</c:v>
                </c:pt>
                <c:pt idx="127">
                  <c:v>11579103.861846648</c:v>
                </c:pt>
                <c:pt idx="128">
                  <c:v>10718382.467256019</c:v>
                </c:pt>
                <c:pt idx="129">
                  <c:v>11478884.716422318</c:v>
                </c:pt>
                <c:pt idx="130">
                  <c:v>12525682.138377599</c:v>
                </c:pt>
                <c:pt idx="131">
                  <c:v>13731640.535328496</c:v>
                </c:pt>
                <c:pt idx="132">
                  <c:v>14497459.994671408</c:v>
                </c:pt>
                <c:pt idx="133">
                  <c:v>13236676.812402809</c:v>
                </c:pt>
                <c:pt idx="134">
                  <c:v>13460985.979560688</c:v>
                </c:pt>
                <c:pt idx="135">
                  <c:v>11975287.764881395</c:v>
                </c:pt>
                <c:pt idx="136">
                  <c:v>11475067.185287021</c:v>
                </c:pt>
                <c:pt idx="137">
                  <c:v>11187824.945179919</c:v>
                </c:pt>
                <c:pt idx="138">
                  <c:v>11902539.589972163</c:v>
                </c:pt>
                <c:pt idx="139">
                  <c:v>11638476.416082</c:v>
                </c:pt>
                <c:pt idx="140">
                  <c:v>10777583.036971541</c:v>
                </c:pt>
                <c:pt idx="141">
                  <c:v>11537982.532674721</c:v>
                </c:pt>
                <c:pt idx="142">
                  <c:v>12584719.468548875</c:v>
                </c:pt>
                <c:pt idx="143">
                  <c:v>13790649.444329124</c:v>
                </c:pt>
              </c:numCache>
            </c:numRef>
          </c:val>
          <c:smooth val="0"/>
          <c:extLst>
            <c:ext xmlns:c16="http://schemas.microsoft.com/office/drawing/2014/chart" uri="{C3380CC4-5D6E-409C-BE32-E72D297353CC}">
              <c16:uniqueId val="{00000001-3ED6-4C83-B0C4-8ACBB33AC16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852065465252326E-2"/>
          <c:y val="4.5889423076923085E-2"/>
          <c:w val="0.90114793453474762"/>
          <c:h val="0.78054493488794674"/>
        </c:manualLayout>
      </c:layout>
      <c:lineChart>
        <c:grouping val="standard"/>
        <c:varyColors val="0"/>
        <c:ser>
          <c:idx val="0"/>
          <c:order val="0"/>
          <c:tx>
            <c:strRef>
              <c:f>'GS&gt;50 Weather Normalized'!$D$1</c:f>
              <c:strCache>
                <c:ptCount val="1"/>
                <c:pt idx="0">
                  <c:v> GS_gt_50_NoCDM </c:v>
                </c:pt>
              </c:strCache>
            </c:strRef>
          </c:tx>
          <c:spPr>
            <a:ln w="28575" cap="rnd">
              <a:solidFill>
                <a:schemeClr val="accent1"/>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35247496.219310194</c:v>
                </c:pt>
                <c:pt idx="25">
                  <c:v>32459358.879751384</c:v>
                </c:pt>
                <c:pt idx="26">
                  <c:v>32394729.877224918</c:v>
                </c:pt>
                <c:pt idx="27">
                  <c:v>28940353.581118435</c:v>
                </c:pt>
                <c:pt idx="28">
                  <c:v>27378681.483578455</c:v>
                </c:pt>
                <c:pt idx="29">
                  <c:v>27434328.919874996</c:v>
                </c:pt>
                <c:pt idx="30">
                  <c:v>29318170.811119556</c:v>
                </c:pt>
                <c:pt idx="31">
                  <c:v>29867205.248904526</c:v>
                </c:pt>
                <c:pt idx="32">
                  <c:v>27630000.897851404</c:v>
                </c:pt>
                <c:pt idx="33">
                  <c:v>28269122.016322847</c:v>
                </c:pt>
                <c:pt idx="34">
                  <c:v>29625054.663851045</c:v>
                </c:pt>
                <c:pt idx="35">
                  <c:v>33235343.950073261</c:v>
                </c:pt>
                <c:pt idx="36">
                  <c:v>33771797.658702679</c:v>
                </c:pt>
                <c:pt idx="37">
                  <c:v>30821664.603979621</c:v>
                </c:pt>
                <c:pt idx="38">
                  <c:v>33517131.703601539</c:v>
                </c:pt>
                <c:pt idx="39">
                  <c:v>28201638.7495308</c:v>
                </c:pt>
                <c:pt idx="40">
                  <c:v>27372200.623789527</c:v>
                </c:pt>
                <c:pt idx="41">
                  <c:v>26996934.5106472</c:v>
                </c:pt>
                <c:pt idx="42">
                  <c:v>30033693.283745877</c:v>
                </c:pt>
                <c:pt idx="43">
                  <c:v>29810611.990313642</c:v>
                </c:pt>
                <c:pt idx="44">
                  <c:v>29229664.98879686</c:v>
                </c:pt>
                <c:pt idx="45">
                  <c:v>29788281.584134679</c:v>
                </c:pt>
                <c:pt idx="46">
                  <c:v>32403452.509253845</c:v>
                </c:pt>
                <c:pt idx="47">
                  <c:v>36193918.154773518</c:v>
                </c:pt>
                <c:pt idx="48">
                  <c:v>36876641.478447691</c:v>
                </c:pt>
                <c:pt idx="49">
                  <c:v>32450817.161034416</c:v>
                </c:pt>
                <c:pt idx="50">
                  <c:v>33530319.642503735</c:v>
                </c:pt>
                <c:pt idx="51">
                  <c:v>30439204.974459674</c:v>
                </c:pt>
                <c:pt idx="52">
                  <c:v>29126243.549783867</c:v>
                </c:pt>
                <c:pt idx="53">
                  <c:v>28885481.971341256</c:v>
                </c:pt>
                <c:pt idx="54">
                  <c:v>31490270.204440821</c:v>
                </c:pt>
                <c:pt idx="55">
                  <c:v>30971325.496937919</c:v>
                </c:pt>
                <c:pt idx="56">
                  <c:v>28654541.758361634</c:v>
                </c:pt>
                <c:pt idx="57">
                  <c:v>30351483.101155873</c:v>
                </c:pt>
                <c:pt idx="58">
                  <c:v>32438945.153162286</c:v>
                </c:pt>
                <c:pt idx="59">
                  <c:v>34215750.076040141</c:v>
                </c:pt>
                <c:pt idx="60">
                  <c:v>36281125.86679174</c:v>
                </c:pt>
                <c:pt idx="61">
                  <c:v>32472484.106644373</c:v>
                </c:pt>
                <c:pt idx="62">
                  <c:v>33332897.506497011</c:v>
                </c:pt>
                <c:pt idx="63">
                  <c:v>29146608.456349649</c:v>
                </c:pt>
                <c:pt idx="64">
                  <c:v>27939346.306202278</c:v>
                </c:pt>
                <c:pt idx="65">
                  <c:v>27453255.636054914</c:v>
                </c:pt>
                <c:pt idx="66">
                  <c:v>30266965.175907552</c:v>
                </c:pt>
                <c:pt idx="67">
                  <c:v>29172056.525760185</c:v>
                </c:pt>
                <c:pt idx="68">
                  <c:v>27183202.695612822</c:v>
                </c:pt>
                <c:pt idx="69">
                  <c:v>29031687.915465459</c:v>
                </c:pt>
                <c:pt idx="70">
                  <c:v>31785880.245318092</c:v>
                </c:pt>
                <c:pt idx="71">
                  <c:v>33913799.495170727</c:v>
                </c:pt>
                <c:pt idx="72">
                  <c:v>33896121.025919832</c:v>
                </c:pt>
                <c:pt idx="73">
                  <c:v>32095520.527711645</c:v>
                </c:pt>
                <c:pt idx="74">
                  <c:v>31020737.220503461</c:v>
                </c:pt>
                <c:pt idx="75">
                  <c:v>25567063.165295273</c:v>
                </c:pt>
                <c:pt idx="76">
                  <c:v>25132119.509087089</c:v>
                </c:pt>
                <c:pt idx="77">
                  <c:v>25159228.287878901</c:v>
                </c:pt>
                <c:pt idx="78">
                  <c:v>28751793.768670712</c:v>
                </c:pt>
                <c:pt idx="79">
                  <c:v>27133108.955462527</c:v>
                </c:pt>
                <c:pt idx="80">
                  <c:v>25201907.553254344</c:v>
                </c:pt>
                <c:pt idx="81">
                  <c:v>27569490.543046154</c:v>
                </c:pt>
                <c:pt idx="82">
                  <c:v>28808277.152837969</c:v>
                </c:pt>
                <c:pt idx="83">
                  <c:v>31609940.130629782</c:v>
                </c:pt>
                <c:pt idx="84">
                  <c:v>31503025.928263903</c:v>
                </c:pt>
                <c:pt idx="85">
                  <c:v>29705320.387662452</c:v>
                </c:pt>
                <c:pt idx="86">
                  <c:v>29854564.017060999</c:v>
                </c:pt>
                <c:pt idx="87">
                  <c:v>25770865.557459541</c:v>
                </c:pt>
                <c:pt idx="88">
                  <c:v>26003773.763858087</c:v>
                </c:pt>
                <c:pt idx="89">
                  <c:v>26043272.149256632</c:v>
                </c:pt>
                <c:pt idx="90">
                  <c:v>27770526.577655174</c:v>
                </c:pt>
                <c:pt idx="91">
                  <c:v>28869023.053053726</c:v>
                </c:pt>
                <c:pt idx="92">
                  <c:v>26337465.956452273</c:v>
                </c:pt>
                <c:pt idx="93">
                  <c:v>27573316.757850815</c:v>
                </c:pt>
                <c:pt idx="94">
                  <c:v>29449934.302249361</c:v>
                </c:pt>
                <c:pt idx="95">
                  <c:v>32434889.370647911</c:v>
                </c:pt>
                <c:pt idx="96">
                  <c:v>35303574.279932499</c:v>
                </c:pt>
                <c:pt idx="97">
                  <c:v>31372467.215929374</c:v>
                </c:pt>
                <c:pt idx="98">
                  <c:v>32474633.647926256</c:v>
                </c:pt>
                <c:pt idx="99">
                  <c:v>28569435.47692313</c:v>
                </c:pt>
                <c:pt idx="100">
                  <c:v>28694219.856920011</c:v>
                </c:pt>
                <c:pt idx="101">
                  <c:v>26890122.734916892</c:v>
                </c:pt>
                <c:pt idx="102">
                  <c:v>28327082.735913772</c:v>
                </c:pt>
                <c:pt idx="103">
                  <c:v>28533100.437910646</c:v>
                </c:pt>
                <c:pt idx="104">
                  <c:v>27419851.763907529</c:v>
                </c:pt>
                <c:pt idx="105">
                  <c:v>27803839.531904407</c:v>
                </c:pt>
                <c:pt idx="106">
                  <c:v>29585222.576901283</c:v>
                </c:pt>
                <c:pt idx="107">
                  <c:v>32431814.966898166</c:v>
                </c:pt>
                <c:pt idx="108">
                  <c:v>33325468.746121921</c:v>
                </c:pt>
                <c:pt idx="109">
                  <c:v>30837156.259682801</c:v>
                </c:pt>
                <c:pt idx="110">
                  <c:v>32391742.110243682</c:v>
                </c:pt>
                <c:pt idx="111">
                  <c:v>27702269.425804559</c:v>
                </c:pt>
                <c:pt idx="112">
                  <c:v>27191589.291365437</c:v>
                </c:pt>
                <c:pt idx="113">
                  <c:v>27669678.449926317</c:v>
                </c:pt>
                <c:pt idx="114">
                  <c:v>28849666.375487197</c:v>
                </c:pt>
                <c:pt idx="115">
                  <c:v>27410213.500048079</c:v>
                </c:pt>
                <c:pt idx="116">
                  <c:v>26672181.881608956</c:v>
                </c:pt>
                <c:pt idx="117">
                  <c:v>28075910.169169836</c:v>
                </c:pt>
                <c:pt idx="118">
                  <c:v>30125834.330730714</c:v>
                </c:pt>
                <c:pt idx="119">
                  <c:v>31326096.943291593</c:v>
                </c:pt>
              </c:numCache>
            </c:numRef>
          </c:val>
          <c:smooth val="0"/>
          <c:extLst>
            <c:ext xmlns:c16="http://schemas.microsoft.com/office/drawing/2014/chart" uri="{C3380CC4-5D6E-409C-BE32-E72D297353CC}">
              <c16:uniqueId val="{00000000-9D41-4974-8F77-2AAD616FF292}"/>
            </c:ext>
          </c:extLst>
        </c:ser>
        <c:ser>
          <c:idx val="1"/>
          <c:order val="1"/>
          <c:tx>
            <c:strRef>
              <c:f>'GS&gt;50 Weather Normalized'!$W$1</c:f>
              <c:strCache>
                <c:ptCount val="1"/>
                <c:pt idx="0">
                  <c:v>Weather Normalized</c:v>
                </c:pt>
              </c:strCache>
            </c:strRef>
          </c:tx>
          <c:spPr>
            <a:ln w="28575" cap="rnd">
              <a:solidFill>
                <a:schemeClr val="accent2"/>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Normalized'!$W$2:$W$146</c:f>
              <c:numCache>
                <c:formatCode>_(* #,##0_);_(* \(#,##0\);_(* "-"??_);_(@_)</c:formatCode>
                <c:ptCount val="145"/>
                <c:pt idx="0">
                  <c:v>36639870.049551368</c:v>
                </c:pt>
                <c:pt idx="1">
                  <c:v>33489180.111922074</c:v>
                </c:pt>
                <c:pt idx="2">
                  <c:v>34461482.536853187</c:v>
                </c:pt>
                <c:pt idx="3">
                  <c:v>30850822.483503524</c:v>
                </c:pt>
                <c:pt idx="4">
                  <c:v>29428909.667918496</c:v>
                </c:pt>
                <c:pt idx="5">
                  <c:v>28100320.525157243</c:v>
                </c:pt>
                <c:pt idx="6">
                  <c:v>29299103.739382457</c:v>
                </c:pt>
                <c:pt idx="7">
                  <c:v>28551896.809569374</c:v>
                </c:pt>
                <c:pt idx="8">
                  <c:v>28421333.818456877</c:v>
                </c:pt>
                <c:pt idx="9">
                  <c:v>30859330.218553737</c:v>
                </c:pt>
                <c:pt idx="10">
                  <c:v>31876155.36169656</c:v>
                </c:pt>
                <c:pt idx="11">
                  <c:v>34897731.144640014</c:v>
                </c:pt>
                <c:pt idx="12">
                  <c:v>36391334.671936274</c:v>
                </c:pt>
                <c:pt idx="13">
                  <c:v>32018367.107434373</c:v>
                </c:pt>
                <c:pt idx="14">
                  <c:v>34669897.493956685</c:v>
                </c:pt>
                <c:pt idx="15">
                  <c:v>29651624.287035104</c:v>
                </c:pt>
                <c:pt idx="16">
                  <c:v>28412763.798558034</c:v>
                </c:pt>
                <c:pt idx="17">
                  <c:v>28264914.463334534</c:v>
                </c:pt>
                <c:pt idx="18">
                  <c:v>29181512.039374992</c:v>
                </c:pt>
                <c:pt idx="19">
                  <c:v>28578029.713961907</c:v>
                </c:pt>
                <c:pt idx="20">
                  <c:v>27655285.204385109</c:v>
                </c:pt>
                <c:pt idx="21">
                  <c:v>28594600.403724715</c:v>
                </c:pt>
                <c:pt idx="22">
                  <c:v>31214028.270418402</c:v>
                </c:pt>
                <c:pt idx="23">
                  <c:v>34205409.239167988</c:v>
                </c:pt>
                <c:pt idx="24">
                  <c:v>35844907.33333163</c:v>
                </c:pt>
                <c:pt idx="25">
                  <c:v>32366389.203950044</c:v>
                </c:pt>
                <c:pt idx="26">
                  <c:v>33188660.920422945</c:v>
                </c:pt>
                <c:pt idx="27">
                  <c:v>28245781.711683515</c:v>
                </c:pt>
                <c:pt idx="28">
                  <c:v>27495284.816980563</c:v>
                </c:pt>
                <c:pt idx="29">
                  <c:v>27132506.552067228</c:v>
                </c:pt>
                <c:pt idx="30">
                  <c:v>28962710.527914256</c:v>
                </c:pt>
                <c:pt idx="31">
                  <c:v>28930696.104394708</c:v>
                </c:pt>
                <c:pt idx="32">
                  <c:v>27742662.667214029</c:v>
                </c:pt>
                <c:pt idx="33">
                  <c:v>28338328.110798165</c:v>
                </c:pt>
                <c:pt idx="34">
                  <c:v>30897178.020737052</c:v>
                </c:pt>
                <c:pt idx="35">
                  <c:v>32928105.546596661</c:v>
                </c:pt>
                <c:pt idx="36">
                  <c:v>35256586.544488966</c:v>
                </c:pt>
                <c:pt idx="37">
                  <c:v>32277300.74461662</c:v>
                </c:pt>
                <c:pt idx="38">
                  <c:v>32945480.430425856</c:v>
                </c:pt>
                <c:pt idx="39">
                  <c:v>28850021.992839571</c:v>
                </c:pt>
                <c:pt idx="40">
                  <c:v>27557079.068755418</c:v>
                </c:pt>
                <c:pt idx="41">
                  <c:v>27438070.445200179</c:v>
                </c:pt>
                <c:pt idx="42">
                  <c:v>30697746.967101153</c:v>
                </c:pt>
                <c:pt idx="43">
                  <c:v>30668957.424744476</c:v>
                </c:pt>
                <c:pt idx="44">
                  <c:v>28745600.751137309</c:v>
                </c:pt>
                <c:pt idx="45">
                  <c:v>30488140.93533428</c:v>
                </c:pt>
                <c:pt idx="46">
                  <c:v>31978902.521515034</c:v>
                </c:pt>
                <c:pt idx="47">
                  <c:v>33836973.106360316</c:v>
                </c:pt>
                <c:pt idx="48">
                  <c:v>36869282.478582747</c:v>
                </c:pt>
                <c:pt idx="49">
                  <c:v>33181869.086833876</c:v>
                </c:pt>
                <c:pt idx="50">
                  <c:v>33533986.425732769</c:v>
                </c:pt>
                <c:pt idx="51">
                  <c:v>29233796.463505145</c:v>
                </c:pt>
                <c:pt idx="52">
                  <c:v>29199954.537441436</c:v>
                </c:pt>
                <c:pt idx="53">
                  <c:v>28893375.101379544</c:v>
                </c:pt>
                <c:pt idx="54">
                  <c:v>30548319.000472602</c:v>
                </c:pt>
                <c:pt idx="55">
                  <c:v>30211976.901717201</c:v>
                </c:pt>
                <c:pt idx="56">
                  <c:v>28247882.836390108</c:v>
                </c:pt>
                <c:pt idx="57">
                  <c:v>29554546.362592481</c:v>
                </c:pt>
                <c:pt idx="58">
                  <c:v>31214615.249008991</c:v>
                </c:pt>
                <c:pt idx="59">
                  <c:v>33889113.43204613</c:v>
                </c:pt>
                <c:pt idx="60">
                  <c:v>34724696.27549497</c:v>
                </c:pt>
                <c:pt idx="61">
                  <c:v>32295096.614921749</c:v>
                </c:pt>
                <c:pt idx="62">
                  <c:v>33050531.974000871</c:v>
                </c:pt>
                <c:pt idx="63">
                  <c:v>28985378.122855544</c:v>
                </c:pt>
                <c:pt idx="64">
                  <c:v>28144978.397151507</c:v>
                </c:pt>
                <c:pt idx="65">
                  <c:v>27741141.903920133</c:v>
                </c:pt>
                <c:pt idx="66">
                  <c:v>29622948.626043323</c:v>
                </c:pt>
                <c:pt idx="67">
                  <c:v>29482670.38599458</c:v>
                </c:pt>
                <c:pt idx="68">
                  <c:v>27638136.875495531</c:v>
                </c:pt>
                <c:pt idx="69">
                  <c:v>29124436.671910208</c:v>
                </c:pt>
                <c:pt idx="70">
                  <c:v>30613874.220694102</c:v>
                </c:pt>
                <c:pt idx="71">
                  <c:v>33513801.787731938</c:v>
                </c:pt>
                <c:pt idx="72">
                  <c:v>35148457.339557767</c:v>
                </c:pt>
                <c:pt idx="73">
                  <c:v>32543279.864063296</c:v>
                </c:pt>
                <c:pt idx="74">
                  <c:v>31959735.295468859</c:v>
                </c:pt>
                <c:pt idx="75">
                  <c:v>25501429.709407769</c:v>
                </c:pt>
                <c:pt idx="76">
                  <c:v>24159463.691848457</c:v>
                </c:pt>
                <c:pt idx="77">
                  <c:v>24631895.728877101</c:v>
                </c:pt>
                <c:pt idx="78">
                  <c:v>27714460.801785477</c:v>
                </c:pt>
                <c:pt idx="79">
                  <c:v>27249609.756175693</c:v>
                </c:pt>
                <c:pt idx="80">
                  <c:v>25595664.080549665</c:v>
                </c:pt>
                <c:pt idx="81">
                  <c:v>26806824.844791576</c:v>
                </c:pt>
                <c:pt idx="82">
                  <c:v>29634020.821247712</c:v>
                </c:pt>
                <c:pt idx="83">
                  <c:v>31658262.907284115</c:v>
                </c:pt>
                <c:pt idx="84">
                  <c:v>32568693.927414637</c:v>
                </c:pt>
                <c:pt idx="85">
                  <c:v>29887179.504059203</c:v>
                </c:pt>
                <c:pt idx="86">
                  <c:v>30890675.603822254</c:v>
                </c:pt>
                <c:pt idx="87">
                  <c:v>26729449.416154522</c:v>
                </c:pt>
                <c:pt idx="88">
                  <c:v>25714389.567032721</c:v>
                </c:pt>
                <c:pt idx="89">
                  <c:v>25887018.744033482</c:v>
                </c:pt>
                <c:pt idx="90">
                  <c:v>28184064.881923348</c:v>
                </c:pt>
                <c:pt idx="91">
                  <c:v>27947784.80247955</c:v>
                </c:pt>
                <c:pt idx="92">
                  <c:v>26871347.351575855</c:v>
                </c:pt>
                <c:pt idx="93">
                  <c:v>28331960.06257524</c:v>
                </c:pt>
                <c:pt idx="94">
                  <c:v>29635389.262534037</c:v>
                </c:pt>
                <c:pt idx="95">
                  <c:v>32428140.231377933</c:v>
                </c:pt>
                <c:pt idx="96">
                  <c:v>33537629.013942659</c:v>
                </c:pt>
                <c:pt idx="97">
                  <c:v>31041948.594775498</c:v>
                </c:pt>
                <c:pt idx="98">
                  <c:v>32584424.210837271</c:v>
                </c:pt>
                <c:pt idx="99">
                  <c:v>28714614.173342094</c:v>
                </c:pt>
                <c:pt idx="100">
                  <c:v>28756453.037010621</c:v>
                </c:pt>
                <c:pt idx="101">
                  <c:v>27098287.040391028</c:v>
                </c:pt>
                <c:pt idx="102">
                  <c:v>28745665.889071397</c:v>
                </c:pt>
                <c:pt idx="103">
                  <c:v>28400767.475833192</c:v>
                </c:pt>
                <c:pt idx="104">
                  <c:v>27355302.574480228</c:v>
                </c:pt>
                <c:pt idx="105">
                  <c:v>28021890.151972685</c:v>
                </c:pt>
                <c:pt idx="106">
                  <c:v>30154981.381387454</c:v>
                </c:pt>
                <c:pt idx="107">
                  <c:v>32761840.54754135</c:v>
                </c:pt>
                <c:pt idx="108">
                  <c:v>34662402.418691114</c:v>
                </c:pt>
                <c:pt idx="109">
                  <c:v>31630023.259615291</c:v>
                </c:pt>
                <c:pt idx="110">
                  <c:v>32640492.086087998</c:v>
                </c:pt>
                <c:pt idx="111">
                  <c:v>28029345.260121088</c:v>
                </c:pt>
                <c:pt idx="112">
                  <c:v>27221999.972357862</c:v>
                </c:pt>
                <c:pt idx="113">
                  <c:v>27078538.420399968</c:v>
                </c:pt>
                <c:pt idx="114">
                  <c:v>28936516.627346426</c:v>
                </c:pt>
                <c:pt idx="115">
                  <c:v>28266352.776679877</c:v>
                </c:pt>
                <c:pt idx="116">
                  <c:v>26694426.677832287</c:v>
                </c:pt>
                <c:pt idx="117">
                  <c:v>28008563.505807593</c:v>
                </c:pt>
                <c:pt idx="118">
                  <c:v>30039159.61152878</c:v>
                </c:pt>
                <c:pt idx="119">
                  <c:v>32584302.882014532</c:v>
                </c:pt>
                <c:pt idx="120">
                  <c:v>34526071.674763136</c:v>
                </c:pt>
                <c:pt idx="121">
                  <c:v>32045589.660495773</c:v>
                </c:pt>
                <c:pt idx="122">
                  <c:v>32134489.318535842</c:v>
                </c:pt>
                <c:pt idx="123">
                  <c:v>28556863.598113954</c:v>
                </c:pt>
                <c:pt idx="124">
                  <c:v>27576433.993044101</c:v>
                </c:pt>
                <c:pt idx="125">
                  <c:v>26915524.520670608</c:v>
                </c:pt>
                <c:pt idx="126">
                  <c:v>28819756.88995517</c:v>
                </c:pt>
                <c:pt idx="127">
                  <c:v>28136616.68866092</c:v>
                </c:pt>
                <c:pt idx="128">
                  <c:v>26758019.644574638</c:v>
                </c:pt>
                <c:pt idx="129">
                  <c:v>28260413.323373713</c:v>
                </c:pt>
                <c:pt idx="130">
                  <c:v>29742895.120861929</c:v>
                </c:pt>
                <c:pt idx="131">
                  <c:v>32192869.264497187</c:v>
                </c:pt>
                <c:pt idx="132">
                  <c:v>34095062.07953985</c:v>
                </c:pt>
                <c:pt idx="133">
                  <c:v>30787598.269034326</c:v>
                </c:pt>
                <c:pt idx="134">
                  <c:v>31703479.723312557</c:v>
                </c:pt>
                <c:pt idx="135">
                  <c:v>28125854.002890669</c:v>
                </c:pt>
                <c:pt idx="136">
                  <c:v>27145424.397820815</c:v>
                </c:pt>
                <c:pt idx="137">
                  <c:v>26484514.925447315</c:v>
                </c:pt>
                <c:pt idx="138">
                  <c:v>28388747.294731885</c:v>
                </c:pt>
                <c:pt idx="139">
                  <c:v>27705607.093437634</c:v>
                </c:pt>
                <c:pt idx="140">
                  <c:v>26327010.049351353</c:v>
                </c:pt>
                <c:pt idx="141">
                  <c:v>27829403.728150424</c:v>
                </c:pt>
                <c:pt idx="142">
                  <c:v>29311885.525638644</c:v>
                </c:pt>
                <c:pt idx="143">
                  <c:v>31761859.669273902</c:v>
                </c:pt>
              </c:numCache>
            </c:numRef>
          </c:val>
          <c:smooth val="0"/>
          <c:extLst>
            <c:ext xmlns:c16="http://schemas.microsoft.com/office/drawing/2014/chart" uri="{C3380CC4-5D6E-409C-BE32-E72D297353CC}">
              <c16:uniqueId val="{00000001-9D41-4974-8F77-2AAD616FF292}"/>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&gt;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&gt;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Weather!$DW$2:$DW$76</c:f>
              <c:numCache>
                <c:formatCode>_(* #,##0_);_(* \(#,##0\);_(* "-"??_);_(@_)</c:formatCode>
                <c:ptCount val="75"/>
                <c:pt idx="0">
                  <c:v>37824332.456469558</c:v>
                </c:pt>
                <c:pt idx="1">
                  <c:v>33982095.533818133</c:v>
                </c:pt>
                <c:pt idx="2">
                  <c:v>36090706.761883967</c:v>
                </c:pt>
                <c:pt idx="3">
                  <c:v>30998705.850172173</c:v>
                </c:pt>
                <c:pt idx="4">
                  <c:v>29077828.031337366</c:v>
                </c:pt>
                <c:pt idx="5">
                  <c:v>27920269.231459297</c:v>
                </c:pt>
                <c:pt idx="6">
                  <c:v>27860486.925324831</c:v>
                </c:pt>
                <c:pt idx="7">
                  <c:v>27969559.419198349</c:v>
                </c:pt>
                <c:pt idx="8">
                  <c:v>28259066.069258932</c:v>
                </c:pt>
                <c:pt idx="9">
                  <c:v>30650228.528282408</c:v>
                </c:pt>
                <c:pt idx="10">
                  <c:v>32624106.072655495</c:v>
                </c:pt>
                <c:pt idx="11">
                  <c:v>34752028.161274001</c:v>
                </c:pt>
                <c:pt idx="12">
                  <c:v>37151226.00113786</c:v>
                </c:pt>
                <c:pt idx="13">
                  <c:v>34029362.201537922</c:v>
                </c:pt>
                <c:pt idx="14">
                  <c:v>34772180.453177564</c:v>
                </c:pt>
                <c:pt idx="15">
                  <c:v>28869057.523803413</c:v>
                </c:pt>
                <c:pt idx="16">
                  <c:v>27546876.457056116</c:v>
                </c:pt>
                <c:pt idx="17">
                  <c:v>27143762.528781489</c:v>
                </c:pt>
                <c:pt idx="18">
                  <c:v>28513321.914981727</c:v>
                </c:pt>
                <c:pt idx="19">
                  <c:v>27800129.374247089</c:v>
                </c:pt>
                <c:pt idx="20">
                  <c:v>27586014.300152719</c:v>
                </c:pt>
                <c:pt idx="21">
                  <c:v>28180179.325923011</c:v>
                </c:pt>
                <c:pt idx="22">
                  <c:v>29535179.096457187</c:v>
                </c:pt>
                <c:pt idx="23">
                  <c:v>31672344.136065371</c:v>
                </c:pt>
                <c:pt idx="24">
                  <c:v>34463637.435847543</c:v>
                </c:pt>
                <c:pt idx="25">
                  <c:v>31642636.084239524</c:v>
                </c:pt>
                <c:pt idx="26">
                  <c:v>31545143.069663849</c:v>
                </c:pt>
                <c:pt idx="27">
                  <c:v>28057902.761508156</c:v>
                </c:pt>
                <c:pt idx="28">
                  <c:v>26463366.651918966</c:v>
                </c:pt>
                <c:pt idx="29">
                  <c:v>26486150.076166298</c:v>
                </c:pt>
                <c:pt idx="30">
                  <c:v>28337127.955361649</c:v>
                </c:pt>
                <c:pt idx="31">
                  <c:v>28853298.381097414</c:v>
                </c:pt>
                <c:pt idx="32">
                  <c:v>26583230.017995082</c:v>
                </c:pt>
                <c:pt idx="33">
                  <c:v>27189487.124417316</c:v>
                </c:pt>
                <c:pt idx="34">
                  <c:v>28512555.759896304</c:v>
                </c:pt>
                <c:pt idx="35">
                  <c:v>32089981.034069311</c:v>
                </c:pt>
                <c:pt idx="36">
                  <c:v>32605346.748568937</c:v>
                </c:pt>
                <c:pt idx="37">
                  <c:v>29628301.685792487</c:v>
                </c:pt>
                <c:pt idx="38">
                  <c:v>32296856.777361013</c:v>
                </c:pt>
                <c:pt idx="39">
                  <c:v>26954451.815236881</c:v>
                </c:pt>
                <c:pt idx="40">
                  <c:v>26098101.681442216</c:v>
                </c:pt>
                <c:pt idx="41">
                  <c:v>25695923.560246497</c:v>
                </c:pt>
                <c:pt idx="42">
                  <c:v>28705770.325291783</c:v>
                </c:pt>
                <c:pt idx="43">
                  <c:v>28455777.023806155</c:v>
                </c:pt>
                <c:pt idx="44">
                  <c:v>27847918.014235981</c:v>
                </c:pt>
                <c:pt idx="45">
                  <c:v>28379622.601520408</c:v>
                </c:pt>
                <c:pt idx="46">
                  <c:v>30967881.518586181</c:v>
                </c:pt>
                <c:pt idx="47">
                  <c:v>34731435.156052463</c:v>
                </c:pt>
                <c:pt idx="48">
                  <c:v>35412999.449903227</c:v>
                </c:pt>
                <c:pt idx="49">
                  <c:v>30967285.122607682</c:v>
                </c:pt>
                <c:pt idx="50">
                  <c:v>32026897.594194725</c:v>
                </c:pt>
                <c:pt idx="51">
                  <c:v>28915892.91626839</c:v>
                </c:pt>
                <c:pt idx="52">
                  <c:v>27583041.481710307</c:v>
                </c:pt>
                <c:pt idx="53">
                  <c:v>27322389.893385421</c:v>
                </c:pt>
                <c:pt idx="54">
                  <c:v>29907288.116602711</c:v>
                </c:pt>
                <c:pt idx="55">
                  <c:v>29368453.399217535</c:v>
                </c:pt>
                <c:pt idx="56">
                  <c:v>27031779.650758974</c:v>
                </c:pt>
                <c:pt idx="57">
                  <c:v>28708830.983670939</c:v>
                </c:pt>
                <c:pt idx="58">
                  <c:v>30776403.025795076</c:v>
                </c:pt>
                <c:pt idx="59">
                  <c:v>32533317.938790657</c:v>
                </c:pt>
                <c:pt idx="60">
                  <c:v>34632517.210000001</c:v>
                </c:pt>
                <c:pt idx="61">
                  <c:v>30813799.239999998</c:v>
                </c:pt>
                <c:pt idx="62">
                  <c:v>31664136.43</c:v>
                </c:pt>
                <c:pt idx="63">
                  <c:v>27467771.170000002</c:v>
                </c:pt>
                <c:pt idx="64">
                  <c:v>26250432.809999999</c:v>
                </c:pt>
                <c:pt idx="65">
                  <c:v>25754265.93</c:v>
                </c:pt>
                <c:pt idx="66">
                  <c:v>28557899.260000002</c:v>
                </c:pt>
                <c:pt idx="67">
                  <c:v>27452914.399999999</c:v>
                </c:pt>
                <c:pt idx="68">
                  <c:v>25453984.359999999</c:v>
                </c:pt>
                <c:pt idx="69">
                  <c:v>27292393.370000001</c:v>
                </c:pt>
                <c:pt idx="70">
                  <c:v>30036509.489999998</c:v>
                </c:pt>
                <c:pt idx="71">
                  <c:v>32154352.530000001</c:v>
                </c:pt>
                <c:pt idx="72">
                  <c:v>32117814.739</c:v>
                </c:pt>
                <c:pt idx="73">
                  <c:v>30307310.443999998</c:v>
                </c:pt>
                <c:pt idx="74">
                  <c:v>29222623.34</c:v>
                </c:pt>
              </c:numCache>
            </c:numRef>
          </c:yVal>
          <c:smooth val="0"/>
          <c:extLst>
            <c:ext xmlns:c16="http://schemas.microsoft.com/office/drawing/2014/chart" uri="{C3380CC4-5D6E-409C-BE32-E72D297353CC}">
              <c16:uniqueId val="{00000000-F09A-4BAD-AE4C-D9012EC09913}"/>
            </c:ext>
          </c:extLst>
        </c:ser>
        <c:ser>
          <c:idx val="1"/>
          <c:order val="1"/>
          <c:tx>
            <c:v>GS &gt;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Weather!$DW$76:$DW$97</c:f>
              <c:numCache>
                <c:formatCode>_(* #,##0_);_(* \(#,##0\);_(* "-"??_);_(@_)</c:formatCode>
                <c:ptCount val="22"/>
                <c:pt idx="0">
                  <c:v>29222623.34</c:v>
                </c:pt>
                <c:pt idx="1">
                  <c:v>23759045.487999998</c:v>
                </c:pt>
                <c:pt idx="2">
                  <c:v>23314198.035</c:v>
                </c:pt>
                <c:pt idx="3">
                  <c:v>23331403.017000001</c:v>
                </c:pt>
                <c:pt idx="4">
                  <c:v>26914064.700999998</c:v>
                </c:pt>
                <c:pt idx="5">
                  <c:v>25285476.090999998</c:v>
                </c:pt>
                <c:pt idx="6">
                  <c:v>23344370.892000001</c:v>
                </c:pt>
                <c:pt idx="7">
                  <c:v>25702050.085000001</c:v>
                </c:pt>
                <c:pt idx="8">
                  <c:v>26930932.898000002</c:v>
                </c:pt>
                <c:pt idx="9">
                  <c:v>29722692.079</c:v>
                </c:pt>
                <c:pt idx="10">
                  <c:v>29560788.611000001</c:v>
                </c:pt>
                <c:pt idx="11">
                  <c:v>27748488.384000003</c:v>
                </c:pt>
                <c:pt idx="12">
                  <c:v>27883137.327000003</c:v>
                </c:pt>
                <c:pt idx="13">
                  <c:v>23784844.181000002</c:v>
                </c:pt>
                <c:pt idx="14">
                  <c:v>24003157.701000001</c:v>
                </c:pt>
                <c:pt idx="15">
                  <c:v>24028061.399999999</c:v>
                </c:pt>
                <c:pt idx="16">
                  <c:v>25740721.141999997</c:v>
                </c:pt>
                <c:pt idx="17">
                  <c:v>26824622.931000002</c:v>
                </c:pt>
                <c:pt idx="18">
                  <c:v>24278471.148000002</c:v>
                </c:pt>
                <c:pt idx="19">
                  <c:v>25499727.263</c:v>
                </c:pt>
                <c:pt idx="20">
                  <c:v>27361750.120999999</c:v>
                </c:pt>
                <c:pt idx="21">
                  <c:v>30332110.503000002</c:v>
                </c:pt>
              </c:numCache>
            </c:numRef>
          </c:yVal>
          <c:smooth val="0"/>
          <c:extLst>
            <c:ext xmlns:c16="http://schemas.microsoft.com/office/drawing/2014/chart" uri="{C3380CC4-5D6E-409C-BE32-E72D297353CC}">
              <c16:uniqueId val="{00000001-F09A-4BAD-AE4C-D9012EC09913}"/>
            </c:ext>
          </c:extLst>
        </c:ser>
        <c:ser>
          <c:idx val="2"/>
          <c:order val="2"/>
          <c:tx>
            <c:v>GS &gt;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Weather!$DW$105:$DW$121</c:f>
              <c:numCache>
                <c:formatCode>_(* #,##0_);_(* \(#,##0\);_(* "-"??_);_(@_)</c:formatCode>
                <c:ptCount val="17"/>
                <c:pt idx="0">
                  <c:v>26363987.006999999</c:v>
                </c:pt>
                <c:pt idx="1">
                  <c:v>25240627.620000001</c:v>
                </c:pt>
                <c:pt idx="2">
                  <c:v>25614504.675000001</c:v>
                </c:pt>
                <c:pt idx="3">
                  <c:v>27385777.006999999</c:v>
                </c:pt>
                <c:pt idx="4">
                  <c:v>30222258.684</c:v>
                </c:pt>
                <c:pt idx="5">
                  <c:v>31082169.882999998</c:v>
                </c:pt>
                <c:pt idx="6">
                  <c:v>28581943.862999998</c:v>
                </c:pt>
                <c:pt idx="7">
                  <c:v>30124616.18</c:v>
                </c:pt>
                <c:pt idx="8">
                  <c:v>25423229.961999997</c:v>
                </c:pt>
                <c:pt idx="9">
                  <c:v>24900636.294</c:v>
                </c:pt>
                <c:pt idx="10">
                  <c:v>25366811.919</c:v>
                </c:pt>
                <c:pt idx="11">
                  <c:v>26534886.311000001</c:v>
                </c:pt>
                <c:pt idx="12">
                  <c:v>25083519.902000003</c:v>
                </c:pt>
                <c:pt idx="13">
                  <c:v>24333574.75</c:v>
                </c:pt>
                <c:pt idx="14">
                  <c:v>25725389.504000001</c:v>
                </c:pt>
                <c:pt idx="15">
                  <c:v>27763400.131999999</c:v>
                </c:pt>
                <c:pt idx="16">
                  <c:v>28951749.210999999</c:v>
                </c:pt>
              </c:numCache>
            </c:numRef>
          </c:yVal>
          <c:smooth val="0"/>
          <c:extLst>
            <c:ext xmlns:c16="http://schemas.microsoft.com/office/drawing/2014/chart" uri="{C3380CC4-5D6E-409C-BE32-E72D297353CC}">
              <c16:uniqueId val="{00000002-F09A-4BAD-AE4C-D9012EC09913}"/>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Residential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Predicted Monthly'!$D$1</c:f>
              <c:strCache>
                <c:ptCount val="1"/>
                <c:pt idx="0">
                  <c:v> Res_NoCDM </c:v>
                </c:pt>
              </c:strCache>
            </c:strRef>
          </c:tx>
          <c:spPr>
            <a:ln w="28575" cap="rnd">
              <a:solidFill>
                <a:schemeClr val="accent1"/>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48603336.169453375</c:v>
                </c:pt>
                <c:pt idx="97">
                  <c:v>41341771.798382699</c:v>
                </c:pt>
                <c:pt idx="98">
                  <c:v>39077708.027312025</c:v>
                </c:pt>
                <c:pt idx="99">
                  <c:v>31812872.776241343</c:v>
                </c:pt>
                <c:pt idx="100">
                  <c:v>27326711.455170669</c:v>
                </c:pt>
                <c:pt idx="101">
                  <c:v>26661606.264099989</c:v>
                </c:pt>
                <c:pt idx="102">
                  <c:v>29470184.383029308</c:v>
                </c:pt>
                <c:pt idx="103">
                  <c:v>29185319.021958631</c:v>
                </c:pt>
                <c:pt idx="104">
                  <c:v>26321435.78088795</c:v>
                </c:pt>
                <c:pt idx="105">
                  <c:v>27718622.209817275</c:v>
                </c:pt>
                <c:pt idx="106">
                  <c:v>32699792.778746594</c:v>
                </c:pt>
                <c:pt idx="107">
                  <c:v>39727803.907675914</c:v>
                </c:pt>
                <c:pt idx="108">
                  <c:v>41500301.622316256</c:v>
                </c:pt>
                <c:pt idx="109">
                  <c:v>37620293.28281647</c:v>
                </c:pt>
                <c:pt idx="110">
                  <c:v>37731390.093316682</c:v>
                </c:pt>
                <c:pt idx="111">
                  <c:v>31188523.153816897</c:v>
                </c:pt>
                <c:pt idx="112">
                  <c:v>28061532.914317109</c:v>
                </c:pt>
                <c:pt idx="113">
                  <c:v>28907676.224817328</c:v>
                </c:pt>
                <c:pt idx="114">
                  <c:v>30778974.405317537</c:v>
                </c:pt>
                <c:pt idx="115">
                  <c:v>27909829.945817754</c:v>
                </c:pt>
                <c:pt idx="116">
                  <c:v>25812443.776317969</c:v>
                </c:pt>
                <c:pt idx="117">
                  <c:v>28372607.836818181</c:v>
                </c:pt>
                <c:pt idx="118">
                  <c:v>34902785.917318396</c:v>
                </c:pt>
                <c:pt idx="119">
                  <c:v>38937199.157818608</c:v>
                </c:pt>
              </c:numCache>
            </c:numRef>
          </c:val>
          <c:smooth val="0"/>
          <c:extLst>
            <c:ext xmlns:c16="http://schemas.microsoft.com/office/drawing/2014/chart" uri="{C3380CC4-5D6E-409C-BE32-E72D297353CC}">
              <c16:uniqueId val="{00000000-96BC-4D9E-B6E1-7EB57A97D43E}"/>
            </c:ext>
          </c:extLst>
        </c:ser>
        <c:ser>
          <c:idx val="1"/>
          <c:order val="1"/>
          <c:tx>
            <c:strRef>
              <c:f>'Res Predicted Monthly'!$Q$1</c:f>
              <c:strCache>
                <c:ptCount val="1"/>
                <c:pt idx="0">
                  <c:v>Predicted</c:v>
                </c:pt>
              </c:strCache>
            </c:strRef>
          </c:tx>
          <c:spPr>
            <a:ln w="28575" cap="rnd">
              <a:solidFill>
                <a:schemeClr val="accent2"/>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Monthly'!$Q$2:$Q$145</c:f>
              <c:numCache>
                <c:formatCode>_(* #,##0_);_(* \(#,##0\);_(* "-"??_);_(@_)</c:formatCode>
                <c:ptCount val="144"/>
                <c:pt idx="0">
                  <c:v>46370211.281839475</c:v>
                </c:pt>
                <c:pt idx="1">
                  <c:v>40439503.952788502</c:v>
                </c:pt>
                <c:pt idx="2">
                  <c:v>41283935.358825713</c:v>
                </c:pt>
                <c:pt idx="3">
                  <c:v>31352108.998708744</c:v>
                </c:pt>
                <c:pt idx="4">
                  <c:v>26316956.434994575</c:v>
                </c:pt>
                <c:pt idx="5">
                  <c:v>25736346.273570035</c:v>
                </c:pt>
                <c:pt idx="6">
                  <c:v>26267901.321860392</c:v>
                </c:pt>
                <c:pt idx="7">
                  <c:v>26664831.757251788</c:v>
                </c:pt>
                <c:pt idx="8">
                  <c:v>24999361.229974434</c:v>
                </c:pt>
                <c:pt idx="9">
                  <c:v>28980651.663091101</c:v>
                </c:pt>
                <c:pt idx="10">
                  <c:v>35254368.115327708</c:v>
                </c:pt>
                <c:pt idx="11">
                  <c:v>39870404.777626172</c:v>
                </c:pt>
                <c:pt idx="12">
                  <c:v>46076562.560620718</c:v>
                </c:pt>
                <c:pt idx="13">
                  <c:v>44314834.764720336</c:v>
                </c:pt>
                <c:pt idx="14">
                  <c:v>38721726.720450163</c:v>
                </c:pt>
                <c:pt idx="15">
                  <c:v>30045385.194100197</c:v>
                </c:pt>
                <c:pt idx="16">
                  <c:v>25663738.636170302</c:v>
                </c:pt>
                <c:pt idx="17">
                  <c:v>24844048.291284941</c:v>
                </c:pt>
                <c:pt idx="18">
                  <c:v>28350678.570459574</c:v>
                </c:pt>
                <c:pt idx="19">
                  <c:v>26983664.004638579</c:v>
                </c:pt>
                <c:pt idx="20">
                  <c:v>25133030.443931639</c:v>
                </c:pt>
                <c:pt idx="21">
                  <c:v>29543552.570867233</c:v>
                </c:pt>
                <c:pt idx="22">
                  <c:v>31032710.743919872</c:v>
                </c:pt>
                <c:pt idx="23">
                  <c:v>35819040.7907423</c:v>
                </c:pt>
                <c:pt idx="24">
                  <c:v>42393234.83638037</c:v>
                </c:pt>
                <c:pt idx="25">
                  <c:v>40310857.498913087</c:v>
                </c:pt>
                <c:pt idx="26">
                  <c:v>35893179.472218074</c:v>
                </c:pt>
                <c:pt idx="27">
                  <c:v>32206681.397678059</c:v>
                </c:pt>
                <c:pt idx="28">
                  <c:v>26300733.646831382</c:v>
                </c:pt>
                <c:pt idx="29">
                  <c:v>26648523.456233378</c:v>
                </c:pt>
                <c:pt idx="30">
                  <c:v>29151797.379418235</c:v>
                </c:pt>
                <c:pt idx="31">
                  <c:v>28860182.233675685</c:v>
                </c:pt>
                <c:pt idx="32">
                  <c:v>24076129.324405722</c:v>
                </c:pt>
                <c:pt idx="33">
                  <c:v>28399649.049237378</c:v>
                </c:pt>
                <c:pt idx="34">
                  <c:v>30520529.112543449</c:v>
                </c:pt>
                <c:pt idx="35">
                  <c:v>40370517.940743476</c:v>
                </c:pt>
                <c:pt idx="36">
                  <c:v>40506184.170139149</c:v>
                </c:pt>
                <c:pt idx="37">
                  <c:v>36083047.007543594</c:v>
                </c:pt>
                <c:pt idx="38">
                  <c:v>38797154.647069678</c:v>
                </c:pt>
                <c:pt idx="39">
                  <c:v>29337090.953513019</c:v>
                </c:pt>
                <c:pt idx="40">
                  <c:v>26673157.155527495</c:v>
                </c:pt>
                <c:pt idx="41">
                  <c:v>25293115.268629484</c:v>
                </c:pt>
                <c:pt idx="42">
                  <c:v>27135505.750954486</c:v>
                </c:pt>
                <c:pt idx="43">
                  <c:v>26062227.363504697</c:v>
                </c:pt>
                <c:pt idx="44">
                  <c:v>25397117.722763758</c:v>
                </c:pt>
                <c:pt idx="45">
                  <c:v>26888645.611639265</c:v>
                </c:pt>
                <c:pt idx="46">
                  <c:v>34128584.967943482</c:v>
                </c:pt>
                <c:pt idx="47">
                  <c:v>44729315.752676576</c:v>
                </c:pt>
                <c:pt idx="48">
                  <c:v>43679306.994873092</c:v>
                </c:pt>
                <c:pt idx="49">
                  <c:v>37623909.500231087</c:v>
                </c:pt>
                <c:pt idx="50">
                  <c:v>37573713.677301027</c:v>
                </c:pt>
                <c:pt idx="51">
                  <c:v>33338152.316230632</c:v>
                </c:pt>
                <c:pt idx="52">
                  <c:v>26117893.078806486</c:v>
                </c:pt>
                <c:pt idx="53">
                  <c:v>25999787.187563147</c:v>
                </c:pt>
                <c:pt idx="54">
                  <c:v>30309994.374166399</c:v>
                </c:pt>
                <c:pt idx="55">
                  <c:v>28457538.296551842</c:v>
                </c:pt>
                <c:pt idx="56">
                  <c:v>25496957.837576691</c:v>
                </c:pt>
                <c:pt idx="57">
                  <c:v>30817608.280360568</c:v>
                </c:pt>
                <c:pt idx="58">
                  <c:v>35829354.665064365</c:v>
                </c:pt>
                <c:pt idx="59">
                  <c:v>40411769.213715389</c:v>
                </c:pt>
                <c:pt idx="60">
                  <c:v>46973478.637016445</c:v>
                </c:pt>
                <c:pt idx="61">
                  <c:v>39555748.749106392</c:v>
                </c:pt>
                <c:pt idx="62">
                  <c:v>38181974.881412804</c:v>
                </c:pt>
                <c:pt idx="63">
                  <c:v>31117658.195071377</c:v>
                </c:pt>
                <c:pt idx="64">
                  <c:v>27029617.805528164</c:v>
                </c:pt>
                <c:pt idx="65">
                  <c:v>25555113.814172082</c:v>
                </c:pt>
                <c:pt idx="66">
                  <c:v>29427065.400738049</c:v>
                </c:pt>
                <c:pt idx="67">
                  <c:v>26635876.189738691</c:v>
                </c:pt>
                <c:pt idx="68">
                  <c:v>23942159.053507924</c:v>
                </c:pt>
                <c:pt idx="69">
                  <c:v>28808918.912995882</c:v>
                </c:pt>
                <c:pt idx="70">
                  <c:v>35718085.468485631</c:v>
                </c:pt>
                <c:pt idx="71">
                  <c:v>40567774.973668456</c:v>
                </c:pt>
                <c:pt idx="72">
                  <c:v>41000505.523568623</c:v>
                </c:pt>
                <c:pt idx="73">
                  <c:v>39160971.762413405</c:v>
                </c:pt>
                <c:pt idx="74">
                  <c:v>36636613.939436182</c:v>
                </c:pt>
                <c:pt idx="75">
                  <c:v>33018219.626654878</c:v>
                </c:pt>
                <c:pt idx="76">
                  <c:v>30925527.751368716</c:v>
                </c:pt>
                <c:pt idx="77">
                  <c:v>29148527.241877906</c:v>
                </c:pt>
                <c:pt idx="78">
                  <c:v>32540161.036052451</c:v>
                </c:pt>
                <c:pt idx="79">
                  <c:v>29582644.421584904</c:v>
                </c:pt>
                <c:pt idx="80">
                  <c:v>26682464.195797026</c:v>
                </c:pt>
                <c:pt idx="81">
                  <c:v>32864812.005144365</c:v>
                </c:pt>
                <c:pt idx="82">
                  <c:v>33460747.469242655</c:v>
                </c:pt>
                <c:pt idx="83">
                  <c:v>41718253.027238548</c:v>
                </c:pt>
                <c:pt idx="84">
                  <c:v>42975354.0186048</c:v>
                </c:pt>
                <c:pt idx="85">
                  <c:v>40369683.424578518</c:v>
                </c:pt>
                <c:pt idx="86">
                  <c:v>36956060.65293742</c:v>
                </c:pt>
                <c:pt idx="87">
                  <c:v>30022069.884095624</c:v>
                </c:pt>
                <c:pt idx="88">
                  <c:v>28864095.597010437</c:v>
                </c:pt>
                <c:pt idx="89">
                  <c:v>27605898.851410139</c:v>
                </c:pt>
                <c:pt idx="90">
                  <c:v>29223996.060593616</c:v>
                </c:pt>
                <c:pt idx="91">
                  <c:v>30703355.964729276</c:v>
                </c:pt>
                <c:pt idx="92">
                  <c:v>25537037.272849448</c:v>
                </c:pt>
                <c:pt idx="93">
                  <c:v>28187607.864904787</c:v>
                </c:pt>
                <c:pt idx="94">
                  <c:v>34409270.211845458</c:v>
                </c:pt>
                <c:pt idx="95">
                  <c:v>41309402.87810532</c:v>
                </c:pt>
                <c:pt idx="96">
                  <c:v>48470949.945988022</c:v>
                </c:pt>
                <c:pt idx="97">
                  <c:v>40933315.664382808</c:v>
                </c:pt>
                <c:pt idx="98">
                  <c:v>38399962.8060214</c:v>
                </c:pt>
                <c:pt idx="99">
                  <c:v>31494062.437437907</c:v>
                </c:pt>
                <c:pt idx="100">
                  <c:v>27300153.328423537</c:v>
                </c:pt>
                <c:pt idx="101">
                  <c:v>26946201.517644327</c:v>
                </c:pt>
                <c:pt idx="102">
                  <c:v>28651844.031021528</c:v>
                </c:pt>
                <c:pt idx="103">
                  <c:v>28430993.282947879</c:v>
                </c:pt>
                <c:pt idx="104">
                  <c:v>25758751.516436502</c:v>
                </c:pt>
                <c:pt idx="105">
                  <c:v>29428287.445739806</c:v>
                </c:pt>
                <c:pt idx="106">
                  <c:v>32906367.667456843</c:v>
                </c:pt>
                <c:pt idx="107">
                  <c:v>40067272.384625755</c:v>
                </c:pt>
                <c:pt idx="108">
                  <c:v>41346568.426198564</c:v>
                </c:pt>
                <c:pt idx="109">
                  <c:v>38018420.005533673</c:v>
                </c:pt>
                <c:pt idx="110">
                  <c:v>37578495.888649516</c:v>
                </c:pt>
                <c:pt idx="111">
                  <c:v>30395055.097508978</c:v>
                </c:pt>
                <c:pt idx="112">
                  <c:v>27315866.324660383</c:v>
                </c:pt>
                <c:pt idx="113">
                  <c:v>27580625.231227856</c:v>
                </c:pt>
                <c:pt idx="114">
                  <c:v>28631325.166533552</c:v>
                </c:pt>
                <c:pt idx="115">
                  <c:v>26338549.367450938</c:v>
                </c:pt>
                <c:pt idx="116">
                  <c:v>25103808.200970877</c:v>
                </c:pt>
                <c:pt idx="117">
                  <c:v>29097879.973578744</c:v>
                </c:pt>
                <c:pt idx="118">
                  <c:v>33936040.4552503</c:v>
                </c:pt>
                <c:pt idx="119">
                  <c:v>37567489.920327149</c:v>
                </c:pt>
                <c:pt idx="120">
                  <c:v>41613514.591626085</c:v>
                </c:pt>
                <c:pt idx="121">
                  <c:v>37094503.108789816</c:v>
                </c:pt>
                <c:pt idx="122">
                  <c:v>34919791.523460709</c:v>
                </c:pt>
                <c:pt idx="123">
                  <c:v>29551250.685305346</c:v>
                </c:pt>
                <c:pt idx="124">
                  <c:v>25595875.078975711</c:v>
                </c:pt>
                <c:pt idx="125">
                  <c:v>26898519.527702905</c:v>
                </c:pt>
                <c:pt idx="126">
                  <c:v>29290915.180154406</c:v>
                </c:pt>
                <c:pt idx="127">
                  <c:v>28812350.369872611</c:v>
                </c:pt>
                <c:pt idx="128">
                  <c:v>25212196.25260555</c:v>
                </c:pt>
                <c:pt idx="129">
                  <c:v>28382999.32557397</c:v>
                </c:pt>
                <c:pt idx="130">
                  <c:v>31976856.747609966</c:v>
                </c:pt>
              </c:numCache>
            </c:numRef>
          </c:val>
          <c:smooth val="0"/>
          <c:extLst>
            <c:ext xmlns:c16="http://schemas.microsoft.com/office/drawing/2014/chart" uri="{C3380CC4-5D6E-409C-BE32-E72D297353CC}">
              <c16:uniqueId val="{00000001-96BC-4D9E-B6E1-7EB57A97D43E}"/>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GS&lt;50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83453639736359E-2"/>
          <c:y val="8.9265944645006021E-2"/>
          <c:w val="0.88649404557881084"/>
          <c:h val="0.70971526573618737"/>
        </c:manualLayout>
      </c:layout>
      <c:lineChart>
        <c:grouping val="standard"/>
        <c:varyColors val="0"/>
        <c:ser>
          <c:idx val="0"/>
          <c:order val="0"/>
          <c:tx>
            <c:v>Actual</c:v>
          </c:tx>
          <c:spPr>
            <a:ln w="28575" cap="rnd">
              <a:solidFill>
                <a:schemeClr val="accent1"/>
              </a:solidFill>
              <a:round/>
            </a:ln>
            <a:effectLst/>
          </c:spPr>
          <c:marker>
            <c:symbol val="none"/>
          </c:marker>
          <c:cat>
            <c:numRef>
              <c:f>'GS&lt;50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'GS&lt;50 Predicted Monthly'!$D$2:$D$157</c:f>
              <c:numCache>
                <c:formatCode>_(* #,##0_);_(* \(#,##0\);_(* "-"??_);_(@_)</c:formatCode>
                <c:ptCount val="156"/>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13471487.177465362</c:v>
                </c:pt>
                <c:pt idx="25">
                  <c:v>12695119.535019068</c:v>
                </c:pt>
                <c:pt idx="26">
                  <c:v>12739482.624929575</c:v>
                </c:pt>
                <c:pt idx="27">
                  <c:v>11306329.364432665</c:v>
                </c:pt>
                <c:pt idx="28">
                  <c:v>10692228.025868321</c:v>
                </c:pt>
                <c:pt idx="29">
                  <c:v>10467768.008548845</c:v>
                </c:pt>
                <c:pt idx="30">
                  <c:v>11133217.218561364</c:v>
                </c:pt>
                <c:pt idx="31">
                  <c:v>11008415.885954833</c:v>
                </c:pt>
                <c:pt idx="32">
                  <c:v>10163034.278752638</c:v>
                </c:pt>
                <c:pt idx="33">
                  <c:v>10408644.305427104</c:v>
                </c:pt>
                <c:pt idx="34">
                  <c:v>11035358.439422198</c:v>
                </c:pt>
                <c:pt idx="35">
                  <c:v>12855220.796200017</c:v>
                </c:pt>
                <c:pt idx="36">
                  <c:v>13238747.565795455</c:v>
                </c:pt>
                <c:pt idx="37">
                  <c:v>11972000.088172954</c:v>
                </c:pt>
                <c:pt idx="38">
                  <c:v>12634058.046692308</c:v>
                </c:pt>
                <c:pt idx="39">
                  <c:v>10680362.785959138</c:v>
                </c:pt>
                <c:pt idx="40">
                  <c:v>10162413.65849488</c:v>
                </c:pt>
                <c:pt idx="41">
                  <c:v>9870806.2378251255</c:v>
                </c:pt>
                <c:pt idx="42">
                  <c:v>10728417.303016009</c:v>
                </c:pt>
                <c:pt idx="43">
                  <c:v>10430002.785010062</c:v>
                </c:pt>
                <c:pt idx="44">
                  <c:v>10138877.280987848</c:v>
                </c:pt>
                <c:pt idx="45">
                  <c:v>10563594.710277392</c:v>
                </c:pt>
                <c:pt idx="46">
                  <c:v>11794734.034078825</c:v>
                </c:pt>
                <c:pt idx="47">
                  <c:v>13979384.236354139</c:v>
                </c:pt>
                <c:pt idx="48">
                  <c:v>14589181.282457083</c:v>
                </c:pt>
                <c:pt idx="49">
                  <c:v>12602065.043304538</c:v>
                </c:pt>
                <c:pt idx="50">
                  <c:v>12838873.521702431</c:v>
                </c:pt>
                <c:pt idx="51">
                  <c:v>11595715.426247839</c:v>
                </c:pt>
                <c:pt idx="52">
                  <c:v>10804557.02921702</c:v>
                </c:pt>
                <c:pt idx="53">
                  <c:v>10810056.585985513</c:v>
                </c:pt>
                <c:pt idx="54">
                  <c:v>11738903.733938437</c:v>
                </c:pt>
                <c:pt idx="55">
                  <c:v>11370146.661835445</c:v>
                </c:pt>
                <c:pt idx="56">
                  <c:v>10317381.425097212</c:v>
                </c:pt>
                <c:pt idx="57">
                  <c:v>11056318.15399784</c:v>
                </c:pt>
                <c:pt idx="58">
                  <c:v>12321410.335647583</c:v>
                </c:pt>
                <c:pt idx="59">
                  <c:v>13389120.972104926</c:v>
                </c:pt>
                <c:pt idx="60">
                  <c:v>14598104.020437693</c:v>
                </c:pt>
                <c:pt idx="61">
                  <c:v>13158513.120282056</c:v>
                </c:pt>
                <c:pt idx="62">
                  <c:v>13238045.840126414</c:v>
                </c:pt>
                <c:pt idx="63">
                  <c:v>11407805.629970776</c:v>
                </c:pt>
                <c:pt idx="64">
                  <c:v>10585959.389815135</c:v>
                </c:pt>
                <c:pt idx="65">
                  <c:v>10472059.739659496</c:v>
                </c:pt>
                <c:pt idx="66">
                  <c:v>11553369.669503855</c:v>
                </c:pt>
                <c:pt idx="67">
                  <c:v>10886899.519348213</c:v>
                </c:pt>
                <c:pt idx="68">
                  <c:v>9932795.2991925739</c:v>
                </c:pt>
                <c:pt idx="69">
                  <c:v>10612642.599036934</c:v>
                </c:pt>
                <c:pt idx="70">
                  <c:v>12470141.758881295</c:v>
                </c:pt>
                <c:pt idx="71">
                  <c:v>13238227.838725653</c:v>
                </c:pt>
                <c:pt idx="72">
                  <c:v>13652816.710556209</c:v>
                </c:pt>
                <c:pt idx="73">
                  <c:v>12733582.995352812</c:v>
                </c:pt>
                <c:pt idx="74">
                  <c:v>12050222.340149418</c:v>
                </c:pt>
                <c:pt idx="75">
                  <c:v>9716740.3149460237</c:v>
                </c:pt>
                <c:pt idx="76">
                  <c:v>9694699.8497426268</c:v>
                </c:pt>
                <c:pt idx="77">
                  <c:v>10225668.464539232</c:v>
                </c:pt>
                <c:pt idx="78">
                  <c:v>11343101.809335835</c:v>
                </c:pt>
                <c:pt idx="79">
                  <c:v>10780735.944132442</c:v>
                </c:pt>
                <c:pt idx="80">
                  <c:v>9813085.9189290442</c:v>
                </c:pt>
                <c:pt idx="81">
                  <c:v>10753151.84372565</c:v>
                </c:pt>
                <c:pt idx="82">
                  <c:v>11644677.878522255</c:v>
                </c:pt>
                <c:pt idx="83">
                  <c:v>12844408.32331886</c:v>
                </c:pt>
                <c:pt idx="84">
                  <c:v>13020901.047661725</c:v>
                </c:pt>
                <c:pt idx="85">
                  <c:v>12441382.271758284</c:v>
                </c:pt>
                <c:pt idx="86">
                  <c:v>12206975.695854843</c:v>
                </c:pt>
                <c:pt idx="87">
                  <c:v>10295742.099951401</c:v>
                </c:pt>
                <c:pt idx="88">
                  <c:v>9972226.6940479614</c:v>
                </c:pt>
                <c:pt idx="89">
                  <c:v>9973847.388144521</c:v>
                </c:pt>
                <c:pt idx="90">
                  <c:v>10877601.992241079</c:v>
                </c:pt>
                <c:pt idx="91">
                  <c:v>11280808.316337638</c:v>
                </c:pt>
                <c:pt idx="92">
                  <c:v>10087037.710434197</c:v>
                </c:pt>
                <c:pt idx="93">
                  <c:v>10403500.194530755</c:v>
                </c:pt>
                <c:pt idx="94">
                  <c:v>11423218.038627313</c:v>
                </c:pt>
                <c:pt idx="95">
                  <c:v>13132583.892723873</c:v>
                </c:pt>
                <c:pt idx="96">
                  <c:v>14636954.815922895</c:v>
                </c:pt>
                <c:pt idx="97">
                  <c:v>13076799.903353576</c:v>
                </c:pt>
                <c:pt idx="98">
                  <c:v>13153699.890784256</c:v>
                </c:pt>
                <c:pt idx="99">
                  <c:v>11319018.888214933</c:v>
                </c:pt>
                <c:pt idx="100">
                  <c:v>10617832.325645614</c:v>
                </c:pt>
                <c:pt idx="101">
                  <c:v>10329832.053076293</c:v>
                </c:pt>
                <c:pt idx="102">
                  <c:v>11056407.640506973</c:v>
                </c:pt>
                <c:pt idx="103">
                  <c:v>10980512.797937652</c:v>
                </c:pt>
                <c:pt idx="104">
                  <c:v>10141321.345368331</c:v>
                </c:pt>
                <c:pt idx="105">
                  <c:v>10351131.972799011</c:v>
                </c:pt>
                <c:pt idx="106">
                  <c:v>11539971.930229692</c:v>
                </c:pt>
                <c:pt idx="107">
                  <c:v>12864921.17766037</c:v>
                </c:pt>
                <c:pt idx="108">
                  <c:v>13563555.004914708</c:v>
                </c:pt>
                <c:pt idx="109">
                  <c:v>12492374.263997788</c:v>
                </c:pt>
                <c:pt idx="110">
                  <c:v>12918705.583080864</c:v>
                </c:pt>
                <c:pt idx="111">
                  <c:v>11912469.672163939</c:v>
                </c:pt>
                <c:pt idx="112">
                  <c:v>11505991.091247017</c:v>
                </c:pt>
                <c:pt idx="113">
                  <c:v>11524708.840330094</c:v>
                </c:pt>
                <c:pt idx="114">
                  <c:v>12011604.23941317</c:v>
                </c:pt>
                <c:pt idx="115">
                  <c:v>11359569.388496248</c:v>
                </c:pt>
                <c:pt idx="116">
                  <c:v>10706905.087579323</c:v>
                </c:pt>
                <c:pt idx="117">
                  <c:v>11160124.0266624</c:v>
                </c:pt>
                <c:pt idx="118">
                  <c:v>12633492.375745479</c:v>
                </c:pt>
                <c:pt idx="119">
                  <c:v>13324894.874828555</c:v>
                </c:pt>
                <c:pt idx="120">
                  <c:v>14484747.985415813</c:v>
                </c:pt>
                <c:pt idx="121">
                  <c:v>13071633.130821705</c:v>
                </c:pt>
                <c:pt idx="122">
                  <c:v>13279822.796227597</c:v>
                </c:pt>
                <c:pt idx="123">
                  <c:v>11838242.501633488</c:v>
                </c:pt>
                <c:pt idx="124">
                  <c:v>11390251.437039379</c:v>
                </c:pt>
                <c:pt idx="125">
                  <c:v>11344853.062445268</c:v>
                </c:pt>
                <c:pt idx="126">
                  <c:v>12387904.277851159</c:v>
                </c:pt>
                <c:pt idx="127">
                  <c:v>12019540.413257049</c:v>
                </c:pt>
                <c:pt idx="128">
                  <c:v>11055971.86866294</c:v>
                </c:pt>
                <c:pt idx="129">
                  <c:v>11254804.474068832</c:v>
                </c:pt>
                <c:pt idx="130">
                  <c:v>12302255.959474724</c:v>
                </c:pt>
              </c:numCache>
            </c:numRef>
          </c:val>
          <c:smooth val="0"/>
          <c:extLst>
            <c:ext xmlns:c16="http://schemas.microsoft.com/office/drawing/2014/chart" uri="{C3380CC4-5D6E-409C-BE32-E72D297353CC}">
              <c16:uniqueId val="{00000000-8A17-4D7C-81F2-6D5F47E474E6}"/>
            </c:ext>
          </c:extLst>
        </c:ser>
        <c:ser>
          <c:idx val="1"/>
          <c:order val="1"/>
          <c:tx>
            <c:strRef>
              <c:f>'GS&lt;50 Predicted Monthly'!$S$1</c:f>
              <c:strCache>
                <c:ptCount val="1"/>
                <c:pt idx="0">
                  <c:v>Predicted</c:v>
                </c:pt>
              </c:strCache>
            </c:strRef>
          </c:tx>
          <c:spPr>
            <a:ln w="28575" cap="rnd">
              <a:solidFill>
                <a:schemeClr val="accent2"/>
              </a:solidFill>
              <a:round/>
            </a:ln>
            <a:effectLst/>
          </c:spPr>
          <c:marker>
            <c:symbol val="none"/>
          </c:marker>
          <c:cat>
            <c:numRef>
              <c:f>'GS&lt;50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'GS&lt;50 Predicted Monthly'!$S$2:$S$157</c:f>
              <c:numCache>
                <c:formatCode>_(* #,##0_);_(* \(#,##0\);_(* "-"??_);_(@_)</c:formatCode>
                <c:ptCount val="156"/>
                <c:pt idx="0">
                  <c:v>14374152.840327473</c:v>
                </c:pt>
                <c:pt idx="1">
                  <c:v>12811404.4881863</c:v>
                </c:pt>
                <c:pt idx="2">
                  <c:v>13525796.959935788</c:v>
                </c:pt>
                <c:pt idx="3">
                  <c:v>11386206.839595046</c:v>
                </c:pt>
                <c:pt idx="4">
                  <c:v>10659274.994145479</c:v>
                </c:pt>
                <c:pt idx="5">
                  <c:v>10407796.705455486</c:v>
                </c:pt>
                <c:pt idx="6">
                  <c:v>10659819.073947977</c:v>
                </c:pt>
                <c:pt idx="7">
                  <c:v>10744779.122333296</c:v>
                </c:pt>
                <c:pt idx="8">
                  <c:v>10053590.380474808</c:v>
                </c:pt>
                <c:pt idx="9">
                  <c:v>10820737.986889556</c:v>
                </c:pt>
                <c:pt idx="10">
                  <c:v>12267564.225953942</c:v>
                </c:pt>
                <c:pt idx="11">
                  <c:v>13084441.579108551</c:v>
                </c:pt>
                <c:pt idx="12">
                  <c:v>14335197.715225674</c:v>
                </c:pt>
                <c:pt idx="13">
                  <c:v>13638477.587774655</c:v>
                </c:pt>
                <c:pt idx="14">
                  <c:v>13028812.573548254</c:v>
                </c:pt>
                <c:pt idx="15">
                  <c:v>11157020.724617876</c:v>
                </c:pt>
                <c:pt idx="16">
                  <c:v>10587773.553869098</c:v>
                </c:pt>
                <c:pt idx="17">
                  <c:v>10222099.492386635</c:v>
                </c:pt>
                <c:pt idx="18">
                  <c:v>11181516.820024043</c:v>
                </c:pt>
                <c:pt idx="19">
                  <c:v>10866388.968030771</c:v>
                </c:pt>
                <c:pt idx="20">
                  <c:v>10238991.288174435</c:v>
                </c:pt>
                <c:pt idx="21">
                  <c:v>10945233.115319548</c:v>
                </c:pt>
                <c:pt idx="22">
                  <c:v>11421701.928716902</c:v>
                </c:pt>
                <c:pt idx="23">
                  <c:v>12270338.492663926</c:v>
                </c:pt>
                <c:pt idx="24">
                  <c:v>13609273.360372493</c:v>
                </c:pt>
                <c:pt idx="25">
                  <c:v>12955985.017498426</c:v>
                </c:pt>
                <c:pt idx="26">
                  <c:v>12481401.28678498</c:v>
                </c:pt>
                <c:pt idx="27">
                  <c:v>11633170.342271939</c:v>
                </c:pt>
                <c:pt idx="28">
                  <c:v>10764519.660545995</c:v>
                </c:pt>
                <c:pt idx="29">
                  <c:v>10675030.300328732</c:v>
                </c:pt>
                <c:pt idx="30">
                  <c:v>11405607.463211566</c:v>
                </c:pt>
                <c:pt idx="31">
                  <c:v>11334584.253867308</c:v>
                </c:pt>
                <c:pt idx="32">
                  <c:v>10004997.596274368</c:v>
                </c:pt>
                <c:pt idx="33">
                  <c:v>10824282.106176928</c:v>
                </c:pt>
                <c:pt idx="34">
                  <c:v>11352893.897435207</c:v>
                </c:pt>
                <c:pt idx="35">
                  <c:v>13262838.251691284</c:v>
                </c:pt>
                <c:pt idx="36">
                  <c:v>13281251.755625118</c:v>
                </c:pt>
                <c:pt idx="37">
                  <c:v>12039420.474297982</c:v>
                </c:pt>
                <c:pt idx="38">
                  <c:v>13145680.588995771</c:v>
                </c:pt>
                <c:pt idx="39">
                  <c:v>11110045.795003984</c:v>
                </c:pt>
                <c:pt idx="40">
                  <c:v>10842625.287968602</c:v>
                </c:pt>
                <c:pt idx="41">
                  <c:v>10423873.509502126</c:v>
                </c:pt>
                <c:pt idx="42">
                  <c:v>11009943.020272266</c:v>
                </c:pt>
                <c:pt idx="43">
                  <c:v>10754806.31951208</c:v>
                </c:pt>
                <c:pt idx="44">
                  <c:v>10383755.243725332</c:v>
                </c:pt>
                <c:pt idx="45">
                  <c:v>10657251.050909651</c:v>
                </c:pt>
                <c:pt idx="46">
                  <c:v>12208546.738030629</c:v>
                </c:pt>
                <c:pt idx="47">
                  <c:v>14275709.438125273</c:v>
                </c:pt>
                <c:pt idx="48">
                  <c:v>14037402.256607659</c:v>
                </c:pt>
                <c:pt idx="49">
                  <c:v>12443929.441873988</c:v>
                </c:pt>
                <c:pt idx="50">
                  <c:v>12969279.778537108</c:v>
                </c:pt>
                <c:pt idx="51">
                  <c:v>12004586.615971893</c:v>
                </c:pt>
                <c:pt idx="52">
                  <c:v>10891249.883992054</c:v>
                </c:pt>
                <c:pt idx="53">
                  <c:v>10665722.699414186</c:v>
                </c:pt>
                <c:pt idx="54">
                  <c:v>11842078.046502568</c:v>
                </c:pt>
                <c:pt idx="55">
                  <c:v>11412126.044137005</c:v>
                </c:pt>
                <c:pt idx="56">
                  <c:v>10436041.646955131</c:v>
                </c:pt>
                <c:pt idx="57">
                  <c:v>11392264.381696107</c:v>
                </c:pt>
                <c:pt idx="58">
                  <c:v>12615954.381994199</c:v>
                </c:pt>
                <c:pt idx="59">
                  <c:v>13442286.554128284</c:v>
                </c:pt>
                <c:pt idx="60">
                  <c:v>14784036.240173452</c:v>
                </c:pt>
                <c:pt idx="61">
                  <c:v>12929469.042864444</c:v>
                </c:pt>
                <c:pt idx="62">
                  <c:v>13189783.776640972</c:v>
                </c:pt>
                <c:pt idx="63">
                  <c:v>11646891.493706878</c:v>
                </c:pt>
                <c:pt idx="64">
                  <c:v>11047913.929253994</c:v>
                </c:pt>
                <c:pt idx="65">
                  <c:v>10648583.906102372</c:v>
                </c:pt>
                <c:pt idx="66">
                  <c:v>11723843.852653068</c:v>
                </c:pt>
                <c:pt idx="67">
                  <c:v>11071947.211954005</c:v>
                </c:pt>
                <c:pt idx="68">
                  <c:v>10223431.428353127</c:v>
                </c:pt>
                <c:pt idx="69">
                  <c:v>11117845.372420797</c:v>
                </c:pt>
                <c:pt idx="70">
                  <c:v>12702672.903347798</c:v>
                </c:pt>
                <c:pt idx="71">
                  <c:v>13575170.125791797</c:v>
                </c:pt>
                <c:pt idx="72">
                  <c:v>13652218.227547238</c:v>
                </c:pt>
                <c:pt idx="73">
                  <c:v>13044235.533814359</c:v>
                </c:pt>
                <c:pt idx="74">
                  <c:v>12060101.598243304</c:v>
                </c:pt>
                <c:pt idx="75">
                  <c:v>10192995.205652138</c:v>
                </c:pt>
                <c:pt idx="76">
                  <c:v>9839597.5772548616</c:v>
                </c:pt>
                <c:pt idx="77">
                  <c:v>9896008.0790184047</c:v>
                </c:pt>
                <c:pt idx="78">
                  <c:v>10929761.512812944</c:v>
                </c:pt>
                <c:pt idx="79">
                  <c:v>10359316.73629179</c:v>
                </c:pt>
                <c:pt idx="80">
                  <c:v>9452268.8411116526</c:v>
                </c:pt>
                <c:pt idx="81">
                  <c:v>10725094.700412231</c:v>
                </c:pt>
                <c:pt idx="82">
                  <c:v>11104619.67198028</c:v>
                </c:pt>
                <c:pt idx="83">
                  <c:v>12663683.348925298</c:v>
                </c:pt>
                <c:pt idx="84">
                  <c:v>12980375.933488537</c:v>
                </c:pt>
                <c:pt idx="85">
                  <c:v>12093848.231911056</c:v>
                </c:pt>
                <c:pt idx="86">
                  <c:v>11947819.245044662</c:v>
                </c:pt>
                <c:pt idx="87">
                  <c:v>10508787.760882832</c:v>
                </c:pt>
                <c:pt idx="88">
                  <c:v>10520069.88735267</c:v>
                </c:pt>
                <c:pt idx="89">
                  <c:v>10105340.630418926</c:v>
                </c:pt>
                <c:pt idx="90">
                  <c:v>10644672.070609175</c:v>
                </c:pt>
                <c:pt idx="91">
                  <c:v>11039960.247866591</c:v>
                </c:pt>
                <c:pt idx="92">
                  <c:v>9615684.3694886938</c:v>
                </c:pt>
                <c:pt idx="93">
                  <c:v>10216907.831459107</c:v>
                </c:pt>
                <c:pt idx="94">
                  <c:v>11569668.266655628</c:v>
                </c:pt>
                <c:pt idx="95">
                  <c:v>12893649.336315356</c:v>
                </c:pt>
                <c:pt idx="96">
                  <c:v>14747290.874466885</c:v>
                </c:pt>
                <c:pt idx="97">
                  <c:v>12870576.340576984</c:v>
                </c:pt>
                <c:pt idx="98">
                  <c:v>12895063.090646282</c:v>
                </c:pt>
                <c:pt idx="99">
                  <c:v>11422507.5239067</c:v>
                </c:pt>
                <c:pt idx="100">
                  <c:v>10923149.317893665</c:v>
                </c:pt>
                <c:pt idx="101">
                  <c:v>10661660.492888134</c:v>
                </c:pt>
                <c:pt idx="102">
                  <c:v>11179032.927235082</c:v>
                </c:pt>
                <c:pt idx="103">
                  <c:v>11116858.979461774</c:v>
                </c:pt>
                <c:pt idx="104">
                  <c:v>10204952.1372621</c:v>
                </c:pt>
                <c:pt idx="105">
                  <c:v>10899366.852872107</c:v>
                </c:pt>
                <c:pt idx="106">
                  <c:v>11779719.433229242</c:v>
                </c:pt>
                <c:pt idx="107">
                  <c:v>13114043.549184777</c:v>
                </c:pt>
                <c:pt idx="108">
                  <c:v>13782860.255102072</c:v>
                </c:pt>
                <c:pt idx="109">
                  <c:v>12780034.069305621</c:v>
                </c:pt>
                <c:pt idx="110">
                  <c:v>13245236.231632166</c:v>
                </c:pt>
                <c:pt idx="111">
                  <c:v>11720665.297889119</c:v>
                </c:pt>
                <c:pt idx="112">
                  <c:v>11353303.891790554</c:v>
                </c:pt>
                <c:pt idx="113">
                  <c:v>11313941.929204106</c:v>
                </c:pt>
                <c:pt idx="114">
                  <c:v>11690512.53984265</c:v>
                </c:pt>
                <c:pt idx="115">
                  <c:v>11147472.409707766</c:v>
                </c:pt>
                <c:pt idx="116">
                  <c:v>10669553.29750522</c:v>
                </c:pt>
                <c:pt idx="117">
                  <c:v>11370595.095875585</c:v>
                </c:pt>
                <c:pt idx="118">
                  <c:v>12474656.097482231</c:v>
                </c:pt>
                <c:pt idx="119">
                  <c:v>13092240.51224689</c:v>
                </c:pt>
                <c:pt idx="120">
                  <c:v>13908487.264588017</c:v>
                </c:pt>
                <c:pt idx="121">
                  <c:v>12747101.522871152</c:v>
                </c:pt>
                <c:pt idx="122">
                  <c:v>12746112.903685093</c:v>
                </c:pt>
                <c:pt idx="123">
                  <c:v>11562733.30909976</c:v>
                </c:pt>
                <c:pt idx="124">
                  <c:v>11126207.403594054</c:v>
                </c:pt>
                <c:pt idx="125">
                  <c:v>11224570.194158431</c:v>
                </c:pt>
                <c:pt idx="126">
                  <c:v>11919179.59769797</c:v>
                </c:pt>
                <c:pt idx="127">
                  <c:v>11804934.696906779</c:v>
                </c:pt>
                <c:pt idx="128">
                  <c:v>10791566.182886103</c:v>
                </c:pt>
                <c:pt idx="129">
                  <c:v>11301519.04968903</c:v>
                </c:pt>
                <c:pt idx="130">
                  <c:v>12169886.409555415</c:v>
                </c:pt>
              </c:numCache>
            </c:numRef>
          </c:val>
          <c:smooth val="0"/>
          <c:extLst>
            <c:ext xmlns:c16="http://schemas.microsoft.com/office/drawing/2014/chart" uri="{C3380CC4-5D6E-409C-BE32-E72D297353CC}">
              <c16:uniqueId val="{00000001-8A17-4D7C-81F2-6D5F47E474E6}"/>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r"/>
      <c:layout>
        <c:manualLayout>
          <c:xMode val="edge"/>
          <c:yMode val="edge"/>
          <c:x val="0.31437584231796151"/>
          <c:y val="0.90714763542643828"/>
          <c:w val="0.36721621596211323"/>
          <c:h val="8.1228005344097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 &gt; 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Predicted Monthly'!$D$1</c:f>
              <c:strCache>
                <c:ptCount val="1"/>
                <c:pt idx="0">
                  <c:v> GS_gt_50_NoCDM </c:v>
                </c:pt>
              </c:strCache>
            </c:strRef>
          </c:tx>
          <c:spPr>
            <a:ln w="28575" cap="rnd">
              <a:solidFill>
                <a:schemeClr val="accent1"/>
              </a:solidFill>
              <a:round/>
            </a:ln>
            <a:effectLst/>
          </c:spPr>
          <c:marker>
            <c:symbol val="none"/>
          </c:marker>
          <c:cat>
            <c:numRef>
              <c:f>'GS&gt;50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'GS&gt;50 Predicted Monthly'!$D$2:$D$157</c:f>
              <c:numCache>
                <c:formatCode>_(* #,##0_);_(* \(#,##0\);_(* "-"??_);_(@_)</c:formatCode>
                <c:ptCount val="156"/>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35247496.219310194</c:v>
                </c:pt>
                <c:pt idx="25">
                  <c:v>32459358.879751384</c:v>
                </c:pt>
                <c:pt idx="26">
                  <c:v>32394729.877224918</c:v>
                </c:pt>
                <c:pt idx="27">
                  <c:v>28940353.581118435</c:v>
                </c:pt>
                <c:pt idx="28">
                  <c:v>27378681.483578455</c:v>
                </c:pt>
                <c:pt idx="29">
                  <c:v>27434328.919874996</c:v>
                </c:pt>
                <c:pt idx="30">
                  <c:v>29318170.811119556</c:v>
                </c:pt>
                <c:pt idx="31">
                  <c:v>29867205.248904526</c:v>
                </c:pt>
                <c:pt idx="32">
                  <c:v>27630000.897851404</c:v>
                </c:pt>
                <c:pt idx="33">
                  <c:v>28269122.016322847</c:v>
                </c:pt>
                <c:pt idx="34">
                  <c:v>29625054.663851045</c:v>
                </c:pt>
                <c:pt idx="35">
                  <c:v>33235343.950073261</c:v>
                </c:pt>
                <c:pt idx="36">
                  <c:v>33771797.658702679</c:v>
                </c:pt>
                <c:pt idx="37">
                  <c:v>30821664.603979621</c:v>
                </c:pt>
                <c:pt idx="38">
                  <c:v>33517131.703601539</c:v>
                </c:pt>
                <c:pt idx="39">
                  <c:v>28201638.7495308</c:v>
                </c:pt>
                <c:pt idx="40">
                  <c:v>27372200.623789527</c:v>
                </c:pt>
                <c:pt idx="41">
                  <c:v>26996934.5106472</c:v>
                </c:pt>
                <c:pt idx="42">
                  <c:v>30033693.283745877</c:v>
                </c:pt>
                <c:pt idx="43">
                  <c:v>29810611.990313642</c:v>
                </c:pt>
                <c:pt idx="44">
                  <c:v>29229664.98879686</c:v>
                </c:pt>
                <c:pt idx="45">
                  <c:v>29788281.584134679</c:v>
                </c:pt>
                <c:pt idx="46">
                  <c:v>32403452.509253845</c:v>
                </c:pt>
                <c:pt idx="47">
                  <c:v>36193918.154773518</c:v>
                </c:pt>
                <c:pt idx="48">
                  <c:v>36876641.478447691</c:v>
                </c:pt>
                <c:pt idx="49">
                  <c:v>32450817.161034416</c:v>
                </c:pt>
                <c:pt idx="50">
                  <c:v>33530319.642503735</c:v>
                </c:pt>
                <c:pt idx="51">
                  <c:v>30439204.974459674</c:v>
                </c:pt>
                <c:pt idx="52">
                  <c:v>29126243.549783867</c:v>
                </c:pt>
                <c:pt idx="53">
                  <c:v>28885481.971341256</c:v>
                </c:pt>
                <c:pt idx="54">
                  <c:v>31490270.204440821</c:v>
                </c:pt>
                <c:pt idx="55">
                  <c:v>30971325.496937919</c:v>
                </c:pt>
                <c:pt idx="56">
                  <c:v>28654541.758361634</c:v>
                </c:pt>
                <c:pt idx="57">
                  <c:v>30351483.101155873</c:v>
                </c:pt>
                <c:pt idx="58">
                  <c:v>32438945.153162286</c:v>
                </c:pt>
                <c:pt idx="59">
                  <c:v>34215750.076040141</c:v>
                </c:pt>
                <c:pt idx="60">
                  <c:v>36281125.86679174</c:v>
                </c:pt>
                <c:pt idx="61">
                  <c:v>32472484.106644373</c:v>
                </c:pt>
                <c:pt idx="62">
                  <c:v>33332897.506497011</c:v>
                </c:pt>
                <c:pt idx="63">
                  <c:v>29146608.456349649</c:v>
                </c:pt>
                <c:pt idx="64">
                  <c:v>27939346.306202278</c:v>
                </c:pt>
                <c:pt idx="65">
                  <c:v>27453255.636054914</c:v>
                </c:pt>
                <c:pt idx="66">
                  <c:v>30266965.175907552</c:v>
                </c:pt>
                <c:pt idx="67">
                  <c:v>29172056.525760185</c:v>
                </c:pt>
                <c:pt idx="68">
                  <c:v>27183202.695612822</c:v>
                </c:pt>
                <c:pt idx="69">
                  <c:v>29031687.915465459</c:v>
                </c:pt>
                <c:pt idx="70">
                  <c:v>31785880.245318092</c:v>
                </c:pt>
                <c:pt idx="71">
                  <c:v>33913799.495170727</c:v>
                </c:pt>
                <c:pt idx="72">
                  <c:v>33896121.025919832</c:v>
                </c:pt>
                <c:pt idx="73">
                  <c:v>32095520.527711645</c:v>
                </c:pt>
                <c:pt idx="74">
                  <c:v>31020737.220503461</c:v>
                </c:pt>
                <c:pt idx="75">
                  <c:v>25567063.165295273</c:v>
                </c:pt>
                <c:pt idx="76">
                  <c:v>25132119.509087089</c:v>
                </c:pt>
                <c:pt idx="77">
                  <c:v>25159228.287878901</c:v>
                </c:pt>
                <c:pt idx="78">
                  <c:v>28751793.768670712</c:v>
                </c:pt>
                <c:pt idx="79">
                  <c:v>27133108.955462527</c:v>
                </c:pt>
                <c:pt idx="80">
                  <c:v>25201907.553254344</c:v>
                </c:pt>
                <c:pt idx="81">
                  <c:v>27569490.543046154</c:v>
                </c:pt>
                <c:pt idx="82">
                  <c:v>28808277.152837969</c:v>
                </c:pt>
                <c:pt idx="83">
                  <c:v>31609940.130629782</c:v>
                </c:pt>
                <c:pt idx="84">
                  <c:v>31503025.928263903</c:v>
                </c:pt>
                <c:pt idx="85">
                  <c:v>29705320.387662452</c:v>
                </c:pt>
                <c:pt idx="86">
                  <c:v>29854564.017060999</c:v>
                </c:pt>
                <c:pt idx="87">
                  <c:v>25770865.557459541</c:v>
                </c:pt>
                <c:pt idx="88">
                  <c:v>26003773.763858087</c:v>
                </c:pt>
                <c:pt idx="89">
                  <c:v>26043272.149256632</c:v>
                </c:pt>
                <c:pt idx="90">
                  <c:v>27770526.577655174</c:v>
                </c:pt>
                <c:pt idx="91">
                  <c:v>28869023.053053726</c:v>
                </c:pt>
                <c:pt idx="92">
                  <c:v>26337465.956452273</c:v>
                </c:pt>
                <c:pt idx="93">
                  <c:v>27573316.757850815</c:v>
                </c:pt>
                <c:pt idx="94">
                  <c:v>29449934.302249361</c:v>
                </c:pt>
                <c:pt idx="95">
                  <c:v>32434889.370647911</c:v>
                </c:pt>
                <c:pt idx="96">
                  <c:v>35303574.279932499</c:v>
                </c:pt>
                <c:pt idx="97">
                  <c:v>31372467.215929374</c:v>
                </c:pt>
                <c:pt idx="98">
                  <c:v>32474633.647926256</c:v>
                </c:pt>
                <c:pt idx="99">
                  <c:v>28569435.47692313</c:v>
                </c:pt>
                <c:pt idx="100">
                  <c:v>28694219.856920011</c:v>
                </c:pt>
                <c:pt idx="101">
                  <c:v>26890122.734916892</c:v>
                </c:pt>
                <c:pt idx="102">
                  <c:v>28327082.735913772</c:v>
                </c:pt>
                <c:pt idx="103">
                  <c:v>28533100.437910646</c:v>
                </c:pt>
                <c:pt idx="104">
                  <c:v>27419851.763907529</c:v>
                </c:pt>
                <c:pt idx="105">
                  <c:v>27803839.531904407</c:v>
                </c:pt>
                <c:pt idx="106">
                  <c:v>29585222.576901283</c:v>
                </c:pt>
                <c:pt idx="107">
                  <c:v>32431814.966898166</c:v>
                </c:pt>
                <c:pt idx="108">
                  <c:v>33325468.746121921</c:v>
                </c:pt>
                <c:pt idx="109">
                  <c:v>30837156.259682801</c:v>
                </c:pt>
                <c:pt idx="110">
                  <c:v>32391742.110243682</c:v>
                </c:pt>
                <c:pt idx="111">
                  <c:v>27702269.425804559</c:v>
                </c:pt>
                <c:pt idx="112">
                  <c:v>27191589.291365437</c:v>
                </c:pt>
                <c:pt idx="113">
                  <c:v>27669678.449926317</c:v>
                </c:pt>
                <c:pt idx="114">
                  <c:v>28849666.375487197</c:v>
                </c:pt>
                <c:pt idx="115">
                  <c:v>27410213.500048079</c:v>
                </c:pt>
                <c:pt idx="116">
                  <c:v>26672181.881608956</c:v>
                </c:pt>
                <c:pt idx="117">
                  <c:v>28075910.169169836</c:v>
                </c:pt>
                <c:pt idx="118">
                  <c:v>30125834.330730714</c:v>
                </c:pt>
                <c:pt idx="119">
                  <c:v>31326096.943291593</c:v>
                </c:pt>
                <c:pt idx="120">
                  <c:v>33487909.795723487</c:v>
                </c:pt>
                <c:pt idx="121">
                  <c:v>30402072.506792381</c:v>
                </c:pt>
                <c:pt idx="122">
                  <c:v>30560769.37786128</c:v>
                </c:pt>
                <c:pt idx="123">
                  <c:v>27840160.598930176</c:v>
                </c:pt>
                <c:pt idx="124">
                  <c:v>26873110.719999075</c:v>
                </c:pt>
                <c:pt idx="125">
                  <c:v>26966104.141067971</c:v>
                </c:pt>
                <c:pt idx="126">
                  <c:v>29325088.142136868</c:v>
                </c:pt>
                <c:pt idx="127">
                  <c:v>28897756.003205769</c:v>
                </c:pt>
                <c:pt idx="128">
                  <c:v>27520933.564274665</c:v>
                </c:pt>
                <c:pt idx="129">
                  <c:v>27977111.705343559</c:v>
                </c:pt>
                <c:pt idx="130">
                  <c:v>28979419.546412461</c:v>
                </c:pt>
              </c:numCache>
            </c:numRef>
          </c:val>
          <c:smooth val="0"/>
          <c:extLst>
            <c:ext xmlns:c16="http://schemas.microsoft.com/office/drawing/2014/chart" uri="{C3380CC4-5D6E-409C-BE32-E72D297353CC}">
              <c16:uniqueId val="{00000000-C27F-4B35-9BA9-7953FD597438}"/>
            </c:ext>
          </c:extLst>
        </c:ser>
        <c:ser>
          <c:idx val="1"/>
          <c:order val="1"/>
          <c:tx>
            <c:strRef>
              <c:f>'GS&gt;50 Predicted Monthly'!$U$1</c:f>
              <c:strCache>
                <c:ptCount val="1"/>
                <c:pt idx="0">
                  <c:v>Predicted</c:v>
                </c:pt>
              </c:strCache>
            </c:strRef>
          </c:tx>
          <c:spPr>
            <a:ln w="28575" cap="rnd">
              <a:solidFill>
                <a:schemeClr val="accent2"/>
              </a:solidFill>
              <a:round/>
            </a:ln>
            <a:effectLst/>
          </c:spPr>
          <c:marker>
            <c:symbol val="none"/>
          </c:marker>
          <c:cat>
            <c:numRef>
              <c:f>'GS&gt;50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'GS&gt;50 Predicted Monthly'!$U$2:$U$157</c:f>
              <c:numCache>
                <c:formatCode>_(* #,##0_);_(* \(#,##0\);_(* "-"??_);_(@_)</c:formatCode>
                <c:ptCount val="156"/>
                <c:pt idx="0">
                  <c:v>37119164.405203357</c:v>
                </c:pt>
                <c:pt idx="1">
                  <c:v>33131924.703737378</c:v>
                </c:pt>
                <c:pt idx="2">
                  <c:v>35195886.055212006</c:v>
                </c:pt>
                <c:pt idx="3">
                  <c:v>30219894.147047356</c:v>
                </c:pt>
                <c:pt idx="4">
                  <c:v>28752270.632789396</c:v>
                </c:pt>
                <c:pt idx="5">
                  <c:v>28274162.597360764</c:v>
                </c:pt>
                <c:pt idx="6">
                  <c:v>29041679.632841676</c:v>
                </c:pt>
                <c:pt idx="7">
                  <c:v>29226589.949295707</c:v>
                </c:pt>
                <c:pt idx="8">
                  <c:v>27866050.086746037</c:v>
                </c:pt>
                <c:pt idx="9">
                  <c:v>29539915.622279402</c:v>
                </c:pt>
                <c:pt idx="10">
                  <c:v>31991220.915059563</c:v>
                </c:pt>
                <c:pt idx="11">
                  <c:v>33973096.012129694</c:v>
                </c:pt>
                <c:pt idx="12">
                  <c:v>36883067.198426932</c:v>
                </c:pt>
                <c:pt idx="13">
                  <c:v>34856272.881307356</c:v>
                </c:pt>
                <c:pt idx="14">
                  <c:v>33893007.92918691</c:v>
                </c:pt>
                <c:pt idx="15">
                  <c:v>29501122.114508547</c:v>
                </c:pt>
                <c:pt idx="16">
                  <c:v>28466937.659652449</c:v>
                </c:pt>
                <c:pt idx="17">
                  <c:v>27580329.32271181</c:v>
                </c:pt>
                <c:pt idx="18">
                  <c:v>30067432.393485442</c:v>
                </c:pt>
                <c:pt idx="19">
                  <c:v>29304147.705353633</c:v>
                </c:pt>
                <c:pt idx="20">
                  <c:v>28249962.271535605</c:v>
                </c:pt>
                <c:pt idx="21">
                  <c:v>29705012.565212376</c:v>
                </c:pt>
                <c:pt idx="22">
                  <c:v>29952631.995025065</c:v>
                </c:pt>
                <c:pt idx="23">
                  <c:v>31991739.491701052</c:v>
                </c:pt>
                <c:pt idx="24">
                  <c:v>35141139.396196209</c:v>
                </c:pt>
                <c:pt idx="25">
                  <c:v>33351038.171751626</c:v>
                </c:pt>
                <c:pt idx="26">
                  <c:v>32553037.110792331</c:v>
                </c:pt>
                <c:pt idx="27">
                  <c:v>30372045.320605673</c:v>
                </c:pt>
                <c:pt idx="28">
                  <c:v>28580440.512698796</c:v>
                </c:pt>
                <c:pt idx="29">
                  <c:v>28337956.741535176</c:v>
                </c:pt>
                <c:pt idx="30">
                  <c:v>30385240.712871611</c:v>
                </c:pt>
                <c:pt idx="31">
                  <c:v>30283149.372881882</c:v>
                </c:pt>
                <c:pt idx="32">
                  <c:v>27441597.861225009</c:v>
                </c:pt>
                <c:pt idx="33">
                  <c:v>29107876.060990639</c:v>
                </c:pt>
                <c:pt idx="34">
                  <c:v>29387440.596068174</c:v>
                </c:pt>
                <c:pt idx="35">
                  <c:v>33830560.053764179</c:v>
                </c:pt>
                <c:pt idx="36">
                  <c:v>34051486.698633701</c:v>
                </c:pt>
                <c:pt idx="37">
                  <c:v>30773175.633277461</c:v>
                </c:pt>
                <c:pt idx="38">
                  <c:v>33716344.501368374</c:v>
                </c:pt>
                <c:pt idx="39">
                  <c:v>29007501.177845415</c:v>
                </c:pt>
                <c:pt idx="40">
                  <c:v>28490576.371118441</c:v>
                </c:pt>
                <c:pt idx="41">
                  <c:v>27573409.409157861</c:v>
                </c:pt>
                <c:pt idx="42">
                  <c:v>29249370.120866388</c:v>
                </c:pt>
                <c:pt idx="43">
                  <c:v>28371938.168496586</c:v>
                </c:pt>
                <c:pt idx="44">
                  <c:v>27921967.242802538</c:v>
                </c:pt>
                <c:pt idx="45">
                  <c:v>28490775.194576751</c:v>
                </c:pt>
                <c:pt idx="46">
                  <c:v>31097666.331003383</c:v>
                </c:pt>
                <c:pt idx="47">
                  <c:v>35893819.089011177</c:v>
                </c:pt>
                <c:pt idx="48">
                  <c:v>35500646.969838306</c:v>
                </c:pt>
                <c:pt idx="49">
                  <c:v>31454772.233668379</c:v>
                </c:pt>
                <c:pt idx="50">
                  <c:v>33098038.830517039</c:v>
                </c:pt>
                <c:pt idx="51">
                  <c:v>30775593.402126409</c:v>
                </c:pt>
                <c:pt idx="52">
                  <c:v>28516044.298444461</c:v>
                </c:pt>
                <c:pt idx="53">
                  <c:v>27920952.683690242</c:v>
                </c:pt>
                <c:pt idx="54">
                  <c:v>30920198.747807987</c:v>
                </c:pt>
                <c:pt idx="55">
                  <c:v>30054455.937766235</c:v>
                </c:pt>
                <c:pt idx="56">
                  <c:v>27909385.666732613</c:v>
                </c:pt>
                <c:pt idx="57">
                  <c:v>30037032.374896906</c:v>
                </c:pt>
                <c:pt idx="58">
                  <c:v>31946907.337975025</c:v>
                </c:pt>
                <c:pt idx="59">
                  <c:v>33912971.775149144</c:v>
                </c:pt>
                <c:pt idx="60">
                  <c:v>36981290.354815826</c:v>
                </c:pt>
                <c:pt idx="61">
                  <c:v>32294784.444736164</c:v>
                </c:pt>
                <c:pt idx="62">
                  <c:v>33315643.939787909</c:v>
                </c:pt>
                <c:pt idx="63">
                  <c:v>29670984.780042518</c:v>
                </c:pt>
                <c:pt idx="64">
                  <c:v>28323692.750529326</c:v>
                </c:pt>
                <c:pt idx="65">
                  <c:v>27580529.101239845</c:v>
                </c:pt>
                <c:pt idx="66">
                  <c:v>30467594.624263868</c:v>
                </c:pt>
                <c:pt idx="67">
                  <c:v>28829824.012870997</c:v>
                </c:pt>
                <c:pt idx="68">
                  <c:v>26893123.095438249</c:v>
                </c:pt>
                <c:pt idx="69">
                  <c:v>28916938.357031673</c:v>
                </c:pt>
                <c:pt idx="70">
                  <c:v>31664174.935588628</c:v>
                </c:pt>
                <c:pt idx="71">
                  <c:v>33755924.31573683</c:v>
                </c:pt>
                <c:pt idx="72">
                  <c:v>33731318.557056904</c:v>
                </c:pt>
                <c:pt idx="73">
                  <c:v>32055413.520075828</c:v>
                </c:pt>
                <c:pt idx="74">
                  <c:v>30687021.749321789</c:v>
                </c:pt>
                <c:pt idx="75">
                  <c:v>25505654.82789699</c:v>
                </c:pt>
                <c:pt idx="76">
                  <c:v>25432247.584178261</c:v>
                </c:pt>
                <c:pt idx="77">
                  <c:v>25292067.543748297</c:v>
                </c:pt>
                <c:pt idx="78">
                  <c:v>28899096.633576676</c:v>
                </c:pt>
                <c:pt idx="79">
                  <c:v>27062122.664684027</c:v>
                </c:pt>
                <c:pt idx="80">
                  <c:v>24992486.340317443</c:v>
                </c:pt>
                <c:pt idx="81">
                  <c:v>28110698.308649614</c:v>
                </c:pt>
                <c:pt idx="82">
                  <c:v>28004770.739473514</c:v>
                </c:pt>
                <c:pt idx="83">
                  <c:v>31645949.328562319</c:v>
                </c:pt>
                <c:pt idx="84">
                  <c:v>32665139.109733593</c:v>
                </c:pt>
                <c:pt idx="85">
                  <c:v>30241484.181982055</c:v>
                </c:pt>
                <c:pt idx="86">
                  <c:v>30303113.165895782</c:v>
                </c:pt>
                <c:pt idx="87">
                  <c:v>26652986.37322142</c:v>
                </c:pt>
                <c:pt idx="88">
                  <c:v>26920524.823671915</c:v>
                </c:pt>
                <c:pt idx="89">
                  <c:v>26126484.559696198</c:v>
                </c:pt>
                <c:pt idx="90">
                  <c:v>27739123.867745012</c:v>
                </c:pt>
                <c:pt idx="91">
                  <c:v>28390760.221293114</c:v>
                </c:pt>
                <c:pt idx="92">
                  <c:v>25143259.977810919</c:v>
                </c:pt>
                <c:pt idx="93">
                  <c:v>26883339.880006678</c:v>
                </c:pt>
                <c:pt idx="94">
                  <c:v>28939010.021934647</c:v>
                </c:pt>
                <c:pt idx="95">
                  <c:v>31994971.818822701</c:v>
                </c:pt>
                <c:pt idx="96">
                  <c:v>36173403.182119995</c:v>
                </c:pt>
                <c:pt idx="97">
                  <c:v>31430512.726778507</c:v>
                </c:pt>
                <c:pt idx="98">
                  <c:v>31906084.996991843</c:v>
                </c:pt>
                <c:pt idx="99">
                  <c:v>28355647.083188143</c:v>
                </c:pt>
                <c:pt idx="100">
                  <c:v>27458162.994446639</c:v>
                </c:pt>
                <c:pt idx="101">
                  <c:v>26651322.396689616</c:v>
                </c:pt>
                <c:pt idx="102">
                  <c:v>28355843.73583816</c:v>
                </c:pt>
                <c:pt idx="103">
                  <c:v>28223619.649778992</c:v>
                </c:pt>
                <c:pt idx="104">
                  <c:v>26363455.27934441</c:v>
                </c:pt>
                <c:pt idx="105">
                  <c:v>27708383.978235282</c:v>
                </c:pt>
                <c:pt idx="106">
                  <c:v>28839157.591305606</c:v>
                </c:pt>
                <c:pt idx="107">
                  <c:v>31942648.512481995</c:v>
                </c:pt>
                <c:pt idx="108">
                  <c:v>33385803.259244598</c:v>
                </c:pt>
                <c:pt idx="109">
                  <c:v>30622406.121375781</c:v>
                </c:pt>
                <c:pt idx="110">
                  <c:v>32082404.599742189</c:v>
                </c:pt>
                <c:pt idx="111">
                  <c:v>28462464.02508416</c:v>
                </c:pt>
                <c:pt idx="112">
                  <c:v>27778699.573338412</c:v>
                </c:pt>
                <c:pt idx="113">
                  <c:v>27739340.811483689</c:v>
                </c:pt>
                <c:pt idx="114">
                  <c:v>28990613.275433123</c:v>
                </c:pt>
                <c:pt idx="115">
                  <c:v>27538184.049366307</c:v>
                </c:pt>
                <c:pt idx="116">
                  <c:v>26579697.93199034</c:v>
                </c:pt>
                <c:pt idx="117">
                  <c:v>28344986.028261092</c:v>
                </c:pt>
                <c:pt idx="118">
                  <c:v>29846795.881589003</c:v>
                </c:pt>
                <c:pt idx="119">
                  <c:v>31365672.92099753</c:v>
                </c:pt>
                <c:pt idx="120">
                  <c:v>33314668.332510978</c:v>
                </c:pt>
                <c:pt idx="121">
                  <c:v>30378749.97808411</c:v>
                </c:pt>
                <c:pt idx="122">
                  <c:v>30635494.610226497</c:v>
                </c:pt>
                <c:pt idx="123">
                  <c:v>27747570.359693561</c:v>
                </c:pt>
                <c:pt idx="124">
                  <c:v>26935115.616465107</c:v>
                </c:pt>
                <c:pt idx="125">
                  <c:v>27007642.346841693</c:v>
                </c:pt>
                <c:pt idx="126">
                  <c:v>29068639.059234627</c:v>
                </c:pt>
                <c:pt idx="127">
                  <c:v>28578594.294737004</c:v>
                </c:pt>
                <c:pt idx="128">
                  <c:v>26657347.429555103</c:v>
                </c:pt>
                <c:pt idx="129">
                  <c:v>27414245.555199962</c:v>
                </c:pt>
                <c:pt idx="130">
                  <c:v>28517971.618286062</c:v>
                </c:pt>
              </c:numCache>
            </c:numRef>
          </c:val>
          <c:smooth val="0"/>
          <c:extLst>
            <c:ext xmlns:c16="http://schemas.microsoft.com/office/drawing/2014/chart" uri="{C3380CC4-5D6E-409C-BE32-E72D297353CC}">
              <c16:uniqueId val="{00000001-C27F-4B35-9BA9-7953FD59743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Summary'!$C$3</c:f>
              <c:strCache>
                <c:ptCount val="1"/>
                <c:pt idx="0">
                  <c:v>CDM Added Back</c:v>
                </c:pt>
              </c:strCache>
            </c:strRef>
          </c:tx>
          <c:spPr>
            <a:ln w="28575" cap="rnd">
              <a:solidFill>
                <a:schemeClr val="accent1"/>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Summary'!$C$4:$C$13</c:f>
              <c:numCache>
                <c:formatCode>#,##0</c:formatCode>
                <c:ptCount val="10"/>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399947164.57277584</c:v>
                </c:pt>
                <c:pt idx="9">
                  <c:v>391723558.33080918</c:v>
                </c:pt>
              </c:numCache>
            </c:numRef>
          </c:val>
          <c:smooth val="0"/>
          <c:extLst>
            <c:ext xmlns:c16="http://schemas.microsoft.com/office/drawing/2014/chart" uri="{C3380CC4-5D6E-409C-BE32-E72D297353CC}">
              <c16:uniqueId val="{00000000-9423-4AA0-83D6-AD90B8F9EB65}"/>
            </c:ext>
          </c:extLst>
        </c:ser>
        <c:ser>
          <c:idx val="1"/>
          <c:order val="1"/>
          <c:tx>
            <c:strRef>
              <c:f>'Model Summary'!$D$3</c:f>
              <c:strCache>
                <c:ptCount val="1"/>
                <c:pt idx="0">
                  <c:v>Predicted</c:v>
                </c:pt>
              </c:strCache>
            </c:strRef>
          </c:tx>
          <c:spPr>
            <a:ln w="28575" cap="rnd">
              <a:solidFill>
                <a:schemeClr val="accent2"/>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Summary'!$D$4:$D$13</c:f>
              <c:numCache>
                <c:formatCode>#,##0</c:formatCode>
                <c:ptCount val="10"/>
                <c:pt idx="0">
                  <c:v>393536581.16585869</c:v>
                </c:pt>
                <c:pt idx="1">
                  <c:v>386528973.29190582</c:v>
                </c:pt>
                <c:pt idx="2">
                  <c:v>385132015.34827828</c:v>
                </c:pt>
                <c:pt idx="3">
                  <c:v>381031146.37190473</c:v>
                </c:pt>
                <c:pt idx="4">
                  <c:v>395655985.42244071</c:v>
                </c:pt>
                <c:pt idx="5">
                  <c:v>393513472.08144194</c:v>
                </c:pt>
                <c:pt idx="6">
                  <c:v>406739448.00037962</c:v>
                </c:pt>
                <c:pt idx="7">
                  <c:v>396163832.68166488</c:v>
                </c:pt>
                <c:pt idx="8">
                  <c:v>398788162.02812636</c:v>
                </c:pt>
                <c:pt idx="9">
                  <c:v>382910124.05789053</c:v>
                </c:pt>
              </c:numCache>
            </c:numRef>
          </c:val>
          <c:smooth val="0"/>
          <c:extLst>
            <c:ext xmlns:c16="http://schemas.microsoft.com/office/drawing/2014/chart" uri="{C3380CC4-5D6E-409C-BE32-E72D297353CC}">
              <c16:uniqueId val="{00000001-9423-4AA0-83D6-AD90B8F9EB65}"/>
            </c:ext>
          </c:extLst>
        </c:ser>
        <c:dLbls>
          <c:showLegendKey val="0"/>
          <c:showVal val="0"/>
          <c:showCatName val="0"/>
          <c:showSerName val="0"/>
          <c:showPercent val="0"/>
          <c:showBubbleSize val="0"/>
        </c:dLbls>
        <c:smooth val="0"/>
        <c:axId val="2125400200"/>
        <c:axId val="2125393640"/>
      </c:lineChart>
      <c:catAx>
        <c:axId val="212540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393640"/>
        <c:crosses val="autoZero"/>
        <c:auto val="1"/>
        <c:lblAlgn val="ctr"/>
        <c:lblOffset val="100"/>
        <c:noMultiLvlLbl val="0"/>
      </c:catAx>
      <c:valAx>
        <c:axId val="2125393640"/>
        <c:scaling>
          <c:orientation val="minMax"/>
          <c:min val="33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40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Summary'!$H$3</c:f>
              <c:strCache>
                <c:ptCount val="1"/>
                <c:pt idx="0">
                  <c:v>CDM Added Back</c:v>
                </c:pt>
              </c:strCache>
            </c:strRef>
          </c:tx>
          <c:spPr>
            <a:ln w="28575" cap="rnd">
              <a:solidFill>
                <a:schemeClr val="accent1"/>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Summary'!$H$4:$H$13</c:f>
              <c:numCache>
                <c:formatCode>#,##0</c:formatCode>
                <c:ptCount val="10"/>
                <c:pt idx="0">
                  <c:v>144775515.90448689</c:v>
                </c:pt>
                <c:pt idx="1">
                  <c:v>140222266.68900934</c:v>
                </c:pt>
                <c:pt idx="2">
                  <c:v>137976305.66058198</c:v>
                </c:pt>
                <c:pt idx="3">
                  <c:v>136193398.73266414</c:v>
                </c:pt>
                <c:pt idx="4">
                  <c:v>143433730.17153588</c:v>
                </c:pt>
                <c:pt idx="5">
                  <c:v>142154564.4249801</c:v>
                </c:pt>
                <c:pt idx="6">
                  <c:v>135252892.39325041</c:v>
                </c:pt>
                <c:pt idx="7">
                  <c:v>135115825.34231359</c:v>
                </c:pt>
                <c:pt idx="8">
                  <c:v>140068404.7414996</c:v>
                </c:pt>
                <c:pt idx="9">
                  <c:v>145114394.44845957</c:v>
                </c:pt>
              </c:numCache>
            </c:numRef>
          </c:val>
          <c:smooth val="0"/>
          <c:extLst>
            <c:ext xmlns:c16="http://schemas.microsoft.com/office/drawing/2014/chart" uri="{C3380CC4-5D6E-409C-BE32-E72D297353CC}">
              <c16:uniqueId val="{00000000-A613-42B6-A086-8BD1BBBB2507}"/>
            </c:ext>
          </c:extLst>
        </c:ser>
        <c:ser>
          <c:idx val="1"/>
          <c:order val="1"/>
          <c:tx>
            <c:strRef>
              <c:f>'Model Summary'!$I$3</c:f>
              <c:strCache>
                <c:ptCount val="1"/>
                <c:pt idx="0">
                  <c:v>Predicted</c:v>
                </c:pt>
              </c:strCache>
            </c:strRef>
          </c:tx>
          <c:spPr>
            <a:ln w="28575" cap="rnd">
              <a:solidFill>
                <a:schemeClr val="accent2"/>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Summary'!$I$4:$I$13</c:f>
              <c:numCache>
                <c:formatCode>#,##0</c:formatCode>
                <c:ptCount val="10"/>
                <c:pt idx="0">
                  <c:v>140795565.1963537</c:v>
                </c:pt>
                <c:pt idx="1">
                  <c:v>139893552.26035181</c:v>
                </c:pt>
                <c:pt idx="2">
                  <c:v>140304583.53645921</c:v>
                </c:pt>
                <c:pt idx="3">
                  <c:v>140132909.22196883</c:v>
                </c:pt>
                <c:pt idx="4">
                  <c:v>144152921.73181018</c:v>
                </c:pt>
                <c:pt idx="5">
                  <c:v>144661589.28326273</c:v>
                </c:pt>
                <c:pt idx="6">
                  <c:v>133919901.03306448</c:v>
                </c:pt>
                <c:pt idx="7">
                  <c:v>134136783.81149325</c:v>
                </c:pt>
                <c:pt idx="8">
                  <c:v>141814221.51962373</c:v>
                </c:pt>
                <c:pt idx="9">
                  <c:v>144641071.62758398</c:v>
                </c:pt>
              </c:numCache>
            </c:numRef>
          </c:val>
          <c:smooth val="0"/>
          <c:extLst>
            <c:ext xmlns:c16="http://schemas.microsoft.com/office/drawing/2014/chart" uri="{C3380CC4-5D6E-409C-BE32-E72D297353CC}">
              <c16:uniqueId val="{00000001-A613-42B6-A086-8BD1BBBB2507}"/>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1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Summary'!$M$3</c:f>
              <c:strCache>
                <c:ptCount val="1"/>
                <c:pt idx="0">
                  <c:v>CDM Added Back</c:v>
                </c:pt>
              </c:strCache>
            </c:strRef>
          </c:tx>
          <c:spPr>
            <a:ln w="28575" cap="rnd">
              <a:solidFill>
                <a:schemeClr val="accent1"/>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Summary'!$M$4:$M$13</c:f>
              <c:numCache>
                <c:formatCode>#,##0</c:formatCode>
                <c:ptCount val="10"/>
                <c:pt idx="0">
                  <c:v>379845703.71475601</c:v>
                </c:pt>
                <c:pt idx="1">
                  <c:v>369248177.63044453</c:v>
                </c:pt>
                <c:pt idx="2">
                  <c:v>361799846.54898095</c:v>
                </c:pt>
                <c:pt idx="3">
                  <c:v>368140990.36126989</c:v>
                </c:pt>
                <c:pt idx="4">
                  <c:v>379431024.56766933</c:v>
                </c:pt>
                <c:pt idx="5">
                  <c:v>367979309.9317748</c:v>
                </c:pt>
                <c:pt idx="6">
                  <c:v>341945307.8402977</c:v>
                </c:pt>
                <c:pt idx="7">
                  <c:v>341315977.82147092</c:v>
                </c:pt>
                <c:pt idx="8">
                  <c:v>357405365.22598392</c:v>
                </c:pt>
                <c:pt idx="9">
                  <c:v>351577807.48348111</c:v>
                </c:pt>
              </c:numCache>
            </c:numRef>
          </c:val>
          <c:smooth val="0"/>
          <c:extLst>
            <c:ext xmlns:c16="http://schemas.microsoft.com/office/drawing/2014/chart" uri="{C3380CC4-5D6E-409C-BE32-E72D297353CC}">
              <c16:uniqueId val="{00000000-3014-40A8-A59C-BE3156B8954B}"/>
            </c:ext>
          </c:extLst>
        </c:ser>
        <c:ser>
          <c:idx val="1"/>
          <c:order val="1"/>
          <c:tx>
            <c:strRef>
              <c:f>'Model Summary'!$N$3</c:f>
              <c:strCache>
                <c:ptCount val="1"/>
                <c:pt idx="0">
                  <c:v>Predicted</c:v>
                </c:pt>
              </c:strCache>
            </c:strRef>
          </c:tx>
          <c:spPr>
            <a:ln w="28575" cap="rnd">
              <a:solidFill>
                <a:schemeClr val="accent2"/>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Summary'!$N$4:$N$13</c:f>
              <c:numCache>
                <c:formatCode>#,##0</c:formatCode>
                <c:ptCount val="10"/>
                <c:pt idx="0">
                  <c:v>374331854.75970232</c:v>
                </c:pt>
                <c:pt idx="1">
                  <c:v>370451663.52810711</c:v>
                </c:pt>
                <c:pt idx="2">
                  <c:v>368771521.9113813</c:v>
                </c:pt>
                <c:pt idx="3">
                  <c:v>364638029.93815809</c:v>
                </c:pt>
                <c:pt idx="4">
                  <c:v>372047000.25861275</c:v>
                </c:pt>
                <c:pt idx="5">
                  <c:v>368694504.71208185</c:v>
                </c:pt>
                <c:pt idx="6">
                  <c:v>341418847.79754168</c:v>
                </c:pt>
                <c:pt idx="7">
                  <c:v>342000198.00181401</c:v>
                </c:pt>
                <c:pt idx="8">
                  <c:v>353408242.12719923</c:v>
                </c:pt>
                <c:pt idx="9">
                  <c:v>352737068.47790623</c:v>
                </c:pt>
              </c:numCache>
            </c:numRef>
          </c:val>
          <c:smooth val="0"/>
          <c:extLst>
            <c:ext xmlns:c16="http://schemas.microsoft.com/office/drawing/2014/chart" uri="{C3380CC4-5D6E-409C-BE32-E72D297353CC}">
              <c16:uniqueId val="{00000001-3014-40A8-A59C-BE3156B8954B}"/>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3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127</xdr:col>
      <xdr:colOff>349250</xdr:colOff>
      <xdr:row>1</xdr:row>
      <xdr:rowOff>136524</xdr:rowOff>
    </xdr:from>
    <xdr:to>
      <xdr:col>137</xdr:col>
      <xdr:colOff>488950</xdr:colOff>
      <xdr:row>22</xdr:row>
      <xdr:rowOff>57149</xdr:rowOff>
    </xdr:to>
    <xdr:graphicFrame macro="">
      <xdr:nvGraphicFramePr>
        <xdr:cNvPr id="2" name="Chart 1">
          <a:extLst>
            <a:ext uri="{FF2B5EF4-FFF2-40B4-BE49-F238E27FC236}">
              <a16:creationId xmlns:a16="http://schemas.microsoft.com/office/drawing/2014/main" id="{EABC56FC-ABFF-7F0F-741C-20FDF8144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127</xdr:col>
      <xdr:colOff>400050</xdr:colOff>
      <xdr:row>23</xdr:row>
      <xdr:rowOff>44450</xdr:rowOff>
    </xdr:from>
    <xdr:to>
      <xdr:col>137</xdr:col>
      <xdr:colOff>539750</xdr:colOff>
      <xdr:row>43</xdr:row>
      <xdr:rowOff>117475</xdr:rowOff>
    </xdr:to>
    <xdr:graphicFrame macro="">
      <xdr:nvGraphicFramePr>
        <xdr:cNvPr id="3" name="Chart 2">
          <a:extLst>
            <a:ext uri="{FF2B5EF4-FFF2-40B4-BE49-F238E27FC236}">
              <a16:creationId xmlns:a16="http://schemas.microsoft.com/office/drawing/2014/main" id="{8045C632-399D-4127-B085-B8651224F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127</xdr:col>
      <xdr:colOff>469900</xdr:colOff>
      <xdr:row>44</xdr:row>
      <xdr:rowOff>133350</xdr:rowOff>
    </xdr:from>
    <xdr:to>
      <xdr:col>138</xdr:col>
      <xdr:colOff>50800</xdr:colOff>
      <xdr:row>65</xdr:row>
      <xdr:rowOff>53975</xdr:rowOff>
    </xdr:to>
    <xdr:graphicFrame macro="">
      <xdr:nvGraphicFramePr>
        <xdr:cNvPr id="4" name="Chart 3">
          <a:extLst>
            <a:ext uri="{FF2B5EF4-FFF2-40B4-BE49-F238E27FC236}">
              <a16:creationId xmlns:a16="http://schemas.microsoft.com/office/drawing/2014/main" id="{4C2320D0-276D-4D1D-A1D6-97C1DDB3F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312736</xdr:colOff>
      <xdr:row>22</xdr:row>
      <xdr:rowOff>28575</xdr:rowOff>
    </xdr:from>
    <xdr:to>
      <xdr:col>36</xdr:col>
      <xdr:colOff>57149</xdr:colOff>
      <xdr:row>54</xdr:row>
      <xdr:rowOff>120650</xdr:rowOff>
    </xdr:to>
    <xdr:graphicFrame macro="">
      <xdr:nvGraphicFramePr>
        <xdr:cNvPr id="2" name="Chart 1">
          <a:extLst>
            <a:ext uri="{FF2B5EF4-FFF2-40B4-BE49-F238E27FC236}">
              <a16:creationId xmlns:a16="http://schemas.microsoft.com/office/drawing/2014/main" id="{A948A5A1-9939-4A95-A722-0FB5B1D9B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341311</xdr:colOff>
      <xdr:row>23</xdr:row>
      <xdr:rowOff>12700</xdr:rowOff>
    </xdr:from>
    <xdr:to>
      <xdr:col>38</xdr:col>
      <xdr:colOff>82549</xdr:colOff>
      <xdr:row>55</xdr:row>
      <xdr:rowOff>111125</xdr:rowOff>
    </xdr:to>
    <xdr:graphicFrame macro="">
      <xdr:nvGraphicFramePr>
        <xdr:cNvPr id="2" name="Chart 1">
          <a:extLst>
            <a:ext uri="{FF2B5EF4-FFF2-40B4-BE49-F238E27FC236}">
              <a16:creationId xmlns:a16="http://schemas.microsoft.com/office/drawing/2014/main" id="{9703ECC8-E68B-4F03-AF9F-FDA35B5AB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160336</xdr:colOff>
      <xdr:row>24</xdr:row>
      <xdr:rowOff>133350</xdr:rowOff>
    </xdr:from>
    <xdr:to>
      <xdr:col>39</xdr:col>
      <xdr:colOff>457199</xdr:colOff>
      <xdr:row>57</xdr:row>
      <xdr:rowOff>73025</xdr:rowOff>
    </xdr:to>
    <xdr:graphicFrame macro="">
      <xdr:nvGraphicFramePr>
        <xdr:cNvPr id="2" name="Chart 1">
          <a:extLst>
            <a:ext uri="{FF2B5EF4-FFF2-40B4-BE49-F238E27FC236}">
              <a16:creationId xmlns:a16="http://schemas.microsoft.com/office/drawing/2014/main" id="{B0AB4293-6FB7-4F46-A659-3B0A23502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204786</xdr:colOff>
      <xdr:row>23</xdr:row>
      <xdr:rowOff>136525</xdr:rowOff>
    </xdr:from>
    <xdr:to>
      <xdr:col>35</xdr:col>
      <xdr:colOff>504824</xdr:colOff>
      <xdr:row>56</xdr:row>
      <xdr:rowOff>69850</xdr:rowOff>
    </xdr:to>
    <xdr:graphicFrame macro="">
      <xdr:nvGraphicFramePr>
        <xdr:cNvPr id="2" name="Chart 1">
          <a:extLst>
            <a:ext uri="{FF2B5EF4-FFF2-40B4-BE49-F238E27FC236}">
              <a16:creationId xmlns:a16="http://schemas.microsoft.com/office/drawing/2014/main" id="{CCAE2681-A681-4851-8144-EAE0955BD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42861</xdr:colOff>
      <xdr:row>24</xdr:row>
      <xdr:rowOff>25400</xdr:rowOff>
    </xdr:from>
    <xdr:to>
      <xdr:col>37</xdr:col>
      <xdr:colOff>342899</xdr:colOff>
      <xdr:row>56</xdr:row>
      <xdr:rowOff>123825</xdr:rowOff>
    </xdr:to>
    <xdr:graphicFrame macro="">
      <xdr:nvGraphicFramePr>
        <xdr:cNvPr id="2" name="Chart 1">
          <a:extLst>
            <a:ext uri="{FF2B5EF4-FFF2-40B4-BE49-F238E27FC236}">
              <a16:creationId xmlns:a16="http://schemas.microsoft.com/office/drawing/2014/main" id="{013A5770-4FB4-4C33-9201-3AD1E7F99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74611</xdr:colOff>
      <xdr:row>25</xdr:row>
      <xdr:rowOff>19050</xdr:rowOff>
    </xdr:from>
    <xdr:to>
      <xdr:col>39</xdr:col>
      <xdr:colOff>371474</xdr:colOff>
      <xdr:row>57</xdr:row>
      <xdr:rowOff>120650</xdr:rowOff>
    </xdr:to>
    <xdr:graphicFrame macro="">
      <xdr:nvGraphicFramePr>
        <xdr:cNvPr id="2" name="Chart 1">
          <a:extLst>
            <a:ext uri="{FF2B5EF4-FFF2-40B4-BE49-F238E27FC236}">
              <a16:creationId xmlns:a16="http://schemas.microsoft.com/office/drawing/2014/main" id="{97BCDE43-4E66-45B4-9309-6BB9977DC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195262</xdr:colOff>
      <xdr:row>18</xdr:row>
      <xdr:rowOff>85725</xdr:rowOff>
    </xdr:from>
    <xdr:to>
      <xdr:col>5</xdr:col>
      <xdr:colOff>581025</xdr:colOff>
      <xdr:row>35</xdr:row>
      <xdr:rowOff>57150</xdr:rowOff>
    </xdr:to>
    <xdr:graphicFrame macro="">
      <xdr:nvGraphicFramePr>
        <xdr:cNvPr id="2" name="Chart 1">
          <a:extLst>
            <a:ext uri="{FF2B5EF4-FFF2-40B4-BE49-F238E27FC236}">
              <a16:creationId xmlns:a16="http://schemas.microsoft.com/office/drawing/2014/main" id="{59684C70-8E61-4F9B-A86E-48FB7EF1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642937</xdr:colOff>
      <xdr:row>18</xdr:row>
      <xdr:rowOff>76200</xdr:rowOff>
    </xdr:from>
    <xdr:to>
      <xdr:col>10</xdr:col>
      <xdr:colOff>561975</xdr:colOff>
      <xdr:row>35</xdr:row>
      <xdr:rowOff>66675</xdr:rowOff>
    </xdr:to>
    <xdr:graphicFrame macro="">
      <xdr:nvGraphicFramePr>
        <xdr:cNvPr id="3" name="Chart 2">
          <a:extLst>
            <a:ext uri="{FF2B5EF4-FFF2-40B4-BE49-F238E27FC236}">
              <a16:creationId xmlns:a16="http://schemas.microsoft.com/office/drawing/2014/main" id="{347FFF9B-C7DB-4069-A70B-6633FB8EC1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704850</xdr:colOff>
      <xdr:row>18</xdr:row>
      <xdr:rowOff>85725</xdr:rowOff>
    </xdr:from>
    <xdr:to>
      <xdr:col>17</xdr:col>
      <xdr:colOff>23813</xdr:colOff>
      <xdr:row>35</xdr:row>
      <xdr:rowOff>76200</xdr:rowOff>
    </xdr:to>
    <xdr:graphicFrame macro="">
      <xdr:nvGraphicFramePr>
        <xdr:cNvPr id="4" name="Chart 3">
          <a:extLst>
            <a:ext uri="{FF2B5EF4-FFF2-40B4-BE49-F238E27FC236}">
              <a16:creationId xmlns:a16="http://schemas.microsoft.com/office/drawing/2014/main" id="{D03773E8-F427-41DC-B18C-D38E904B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312736</xdr:colOff>
      <xdr:row>22</xdr:row>
      <xdr:rowOff>28575</xdr:rowOff>
    </xdr:from>
    <xdr:to>
      <xdr:col>34</xdr:col>
      <xdr:colOff>57149</xdr:colOff>
      <xdr:row>54</xdr:row>
      <xdr:rowOff>120650</xdr:rowOff>
    </xdr:to>
    <xdr:graphicFrame macro="">
      <xdr:nvGraphicFramePr>
        <xdr:cNvPr id="2" name="Chart 1">
          <a:extLst>
            <a:ext uri="{FF2B5EF4-FFF2-40B4-BE49-F238E27FC236}">
              <a16:creationId xmlns:a16="http://schemas.microsoft.com/office/drawing/2014/main" id="{CA57C7E0-A4FA-4104-943F-046580FB7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341311</xdr:colOff>
      <xdr:row>23</xdr:row>
      <xdr:rowOff>12700</xdr:rowOff>
    </xdr:from>
    <xdr:to>
      <xdr:col>36</xdr:col>
      <xdr:colOff>82549</xdr:colOff>
      <xdr:row>55</xdr:row>
      <xdr:rowOff>111125</xdr:rowOff>
    </xdr:to>
    <xdr:graphicFrame macro="">
      <xdr:nvGraphicFramePr>
        <xdr:cNvPr id="2" name="Chart 1">
          <a:extLst>
            <a:ext uri="{FF2B5EF4-FFF2-40B4-BE49-F238E27FC236}">
              <a16:creationId xmlns:a16="http://schemas.microsoft.com/office/drawing/2014/main" id="{87E49A01-8F84-40C5-ADF5-40A3A5296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160336</xdr:colOff>
      <xdr:row>22</xdr:row>
      <xdr:rowOff>142875</xdr:rowOff>
    </xdr:from>
    <xdr:to>
      <xdr:col>37</xdr:col>
      <xdr:colOff>457199</xdr:colOff>
      <xdr:row>55</xdr:row>
      <xdr:rowOff>82550</xdr:rowOff>
    </xdr:to>
    <xdr:graphicFrame macro="">
      <xdr:nvGraphicFramePr>
        <xdr:cNvPr id="2" name="Chart 1">
          <a:extLst>
            <a:ext uri="{FF2B5EF4-FFF2-40B4-BE49-F238E27FC236}">
              <a16:creationId xmlns:a16="http://schemas.microsoft.com/office/drawing/2014/main" id="{87DC053C-C203-4EDF-864F-F81D9DA0B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44450</xdr:colOff>
      <xdr:row>17</xdr:row>
      <xdr:rowOff>120650</xdr:rowOff>
    </xdr:from>
    <xdr:to>
      <xdr:col>10</xdr:col>
      <xdr:colOff>609600</xdr:colOff>
      <xdr:row>41</xdr:row>
      <xdr:rowOff>44450</xdr:rowOff>
    </xdr:to>
    <xdr:graphicFrame macro="">
      <xdr:nvGraphicFramePr>
        <xdr:cNvPr id="2" name="Chart 1">
          <a:extLst>
            <a:ext uri="{FF2B5EF4-FFF2-40B4-BE49-F238E27FC236}">
              <a16:creationId xmlns:a16="http://schemas.microsoft.com/office/drawing/2014/main" id="{13EE3B8F-0631-4622-92A8-6EEBD83CDB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44450</xdr:colOff>
      <xdr:row>17</xdr:row>
      <xdr:rowOff>120650</xdr:rowOff>
    </xdr:from>
    <xdr:to>
      <xdr:col>21</xdr:col>
      <xdr:colOff>561975</xdr:colOff>
      <xdr:row>41</xdr:row>
      <xdr:rowOff>44450</xdr:rowOff>
    </xdr:to>
    <xdr:graphicFrame macro="">
      <xdr:nvGraphicFramePr>
        <xdr:cNvPr id="3" name="Chart 2">
          <a:extLst>
            <a:ext uri="{FF2B5EF4-FFF2-40B4-BE49-F238E27FC236}">
              <a16:creationId xmlns:a16="http://schemas.microsoft.com/office/drawing/2014/main" id="{D97DF842-5EFF-4A91-AA96-030C254C7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44450</xdr:colOff>
      <xdr:row>17</xdr:row>
      <xdr:rowOff>120650</xdr:rowOff>
    </xdr:from>
    <xdr:to>
      <xdr:col>32</xdr:col>
      <xdr:colOff>438150</xdr:colOff>
      <xdr:row>41</xdr:row>
      <xdr:rowOff>44450</xdr:rowOff>
    </xdr:to>
    <xdr:graphicFrame macro="">
      <xdr:nvGraphicFramePr>
        <xdr:cNvPr id="4" name="Chart 3">
          <a:extLst>
            <a:ext uri="{FF2B5EF4-FFF2-40B4-BE49-F238E27FC236}">
              <a16:creationId xmlns:a16="http://schemas.microsoft.com/office/drawing/2014/main" id="{ED568A82-C2C2-4970-A026-642477BE9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514350</xdr:colOff>
      <xdr:row>18</xdr:row>
      <xdr:rowOff>0</xdr:rowOff>
    </xdr:from>
    <xdr:to>
      <xdr:col>39</xdr:col>
      <xdr:colOff>485774</xdr:colOff>
      <xdr:row>36</xdr:row>
      <xdr:rowOff>85725</xdr:rowOff>
    </xdr:to>
    <xdr:graphicFrame macro="">
      <xdr:nvGraphicFramePr>
        <xdr:cNvPr id="5" name="Chart 4">
          <a:extLst>
            <a:ext uri="{FF2B5EF4-FFF2-40B4-BE49-F238E27FC236}">
              <a16:creationId xmlns:a16="http://schemas.microsoft.com/office/drawing/2014/main" id="{A34C650F-DCA7-4552-AB64-E50E1CAC6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25400</xdr:colOff>
      <xdr:row>18</xdr:row>
      <xdr:rowOff>19050</xdr:rowOff>
    </xdr:from>
    <xdr:to>
      <xdr:col>45</xdr:col>
      <xdr:colOff>247650</xdr:colOff>
      <xdr:row>36</xdr:row>
      <xdr:rowOff>104775</xdr:rowOff>
    </xdr:to>
    <xdr:graphicFrame macro="">
      <xdr:nvGraphicFramePr>
        <xdr:cNvPr id="6" name="Chart 5">
          <a:extLst>
            <a:ext uri="{FF2B5EF4-FFF2-40B4-BE49-F238E27FC236}">
              <a16:creationId xmlns:a16="http://schemas.microsoft.com/office/drawing/2014/main" id="{AE5C7D9D-06AA-46D0-86FF-43EA2D9F5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312737</xdr:colOff>
      <xdr:row>17</xdr:row>
      <xdr:rowOff>146049</xdr:rowOff>
    </xdr:from>
    <xdr:to>
      <xdr:col>52</xdr:col>
      <xdr:colOff>447675</xdr:colOff>
      <xdr:row>36</xdr:row>
      <xdr:rowOff>104775</xdr:rowOff>
    </xdr:to>
    <xdr:graphicFrame macro="">
      <xdr:nvGraphicFramePr>
        <xdr:cNvPr id="7" name="Chart 6">
          <a:extLst>
            <a:ext uri="{FF2B5EF4-FFF2-40B4-BE49-F238E27FC236}">
              <a16:creationId xmlns:a16="http://schemas.microsoft.com/office/drawing/2014/main" id="{BE1A97A9-8497-4192-8146-3BA08B5635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419101</xdr:colOff>
      <xdr:row>38</xdr:row>
      <xdr:rowOff>76200</xdr:rowOff>
    </xdr:from>
    <xdr:to>
      <xdr:col>52</xdr:col>
      <xdr:colOff>466726</xdr:colOff>
      <xdr:row>55</xdr:row>
      <xdr:rowOff>63500</xdr:rowOff>
    </xdr:to>
    <xdr:graphicFrame macro="">
      <xdr:nvGraphicFramePr>
        <xdr:cNvPr id="8" name="Chart 7">
          <a:extLst>
            <a:ext uri="{FF2B5EF4-FFF2-40B4-BE49-F238E27FC236}">
              <a16:creationId xmlns:a16="http://schemas.microsoft.com/office/drawing/2014/main" id="{091038DF-5F9B-40E6-BC06-75B616FC14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47626</xdr:colOff>
      <xdr:row>38</xdr:row>
      <xdr:rowOff>76200</xdr:rowOff>
    </xdr:from>
    <xdr:to>
      <xdr:col>45</xdr:col>
      <xdr:colOff>314325</xdr:colOff>
      <xdr:row>55</xdr:row>
      <xdr:rowOff>63500</xdr:rowOff>
    </xdr:to>
    <xdr:graphicFrame macro="">
      <xdr:nvGraphicFramePr>
        <xdr:cNvPr id="9" name="Chart 8">
          <a:extLst>
            <a:ext uri="{FF2B5EF4-FFF2-40B4-BE49-F238E27FC236}">
              <a16:creationId xmlns:a16="http://schemas.microsoft.com/office/drawing/2014/main" id="{E38C116C-F9CF-4724-ADDD-3D8ACB60A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504825</xdr:colOff>
      <xdr:row>37</xdr:row>
      <xdr:rowOff>104775</xdr:rowOff>
    </xdr:from>
    <xdr:to>
      <xdr:col>39</xdr:col>
      <xdr:colOff>501650</xdr:colOff>
      <xdr:row>54</xdr:row>
      <xdr:rowOff>95250</xdr:rowOff>
    </xdr:to>
    <xdr:graphicFrame macro="">
      <xdr:nvGraphicFramePr>
        <xdr:cNvPr id="10" name="Chart 9">
          <a:extLst>
            <a:ext uri="{FF2B5EF4-FFF2-40B4-BE49-F238E27FC236}">
              <a16:creationId xmlns:a16="http://schemas.microsoft.com/office/drawing/2014/main" id="{D4129F09-5894-41BC-B415-B31AB9842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44449</xdr:colOff>
      <xdr:row>60</xdr:row>
      <xdr:rowOff>120650</xdr:rowOff>
    </xdr:from>
    <xdr:to>
      <xdr:col>10</xdr:col>
      <xdr:colOff>676274</xdr:colOff>
      <xdr:row>84</xdr:row>
      <xdr:rowOff>44450</xdr:rowOff>
    </xdr:to>
    <xdr:graphicFrame macro="">
      <xdr:nvGraphicFramePr>
        <xdr:cNvPr id="11" name="Chart 10">
          <a:extLst>
            <a:ext uri="{FF2B5EF4-FFF2-40B4-BE49-F238E27FC236}">
              <a16:creationId xmlns:a16="http://schemas.microsoft.com/office/drawing/2014/main" id="{452C8101-5D05-4C74-81BB-4768E763F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44450</xdr:colOff>
      <xdr:row>60</xdr:row>
      <xdr:rowOff>120650</xdr:rowOff>
    </xdr:from>
    <xdr:to>
      <xdr:col>21</xdr:col>
      <xdr:colOff>571500</xdr:colOff>
      <xdr:row>84</xdr:row>
      <xdr:rowOff>44450</xdr:rowOff>
    </xdr:to>
    <xdr:graphicFrame macro="">
      <xdr:nvGraphicFramePr>
        <xdr:cNvPr id="12" name="Chart 11">
          <a:extLst>
            <a:ext uri="{FF2B5EF4-FFF2-40B4-BE49-F238E27FC236}">
              <a16:creationId xmlns:a16="http://schemas.microsoft.com/office/drawing/2014/main" id="{CADA7EE9-88EB-4E45-A5DE-2F4B019CC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44449</xdr:colOff>
      <xdr:row>60</xdr:row>
      <xdr:rowOff>120650</xdr:rowOff>
    </xdr:from>
    <xdr:to>
      <xdr:col>32</xdr:col>
      <xdr:colOff>638174</xdr:colOff>
      <xdr:row>84</xdr:row>
      <xdr:rowOff>44450</xdr:rowOff>
    </xdr:to>
    <xdr:graphicFrame macro="">
      <xdr:nvGraphicFramePr>
        <xdr:cNvPr id="13" name="Chart 12">
          <a:extLst>
            <a:ext uri="{FF2B5EF4-FFF2-40B4-BE49-F238E27FC236}">
              <a16:creationId xmlns:a16="http://schemas.microsoft.com/office/drawing/2014/main" id="{65178144-FF58-4AF8-A1A4-2CF914C94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5D300-E54C-47D7-AEE3-2E519EB45E37}">
  <sheetPr codeName="Sheet1"/>
  <dimension ref="A1:CK135"/>
  <sheetViews>
    <sheetView zoomScale="90" zoomScaleNormal="90" workbookViewId="0">
      <pane xSplit="1" ySplit="1" topLeftCell="M116" activePane="bottomRight" state="frozen"/>
      <selection pane="topRight" activeCell="J1" sqref="A1:XFD1048576"/>
      <selection pane="bottomLeft" activeCell="J1" sqref="A1:XFD1048576"/>
      <selection pane="bottomRight" activeCell="A122" sqref="A122:XFD122"/>
    </sheetView>
  </sheetViews>
  <sheetFormatPr defaultColWidth="8.83203125" defaultRowHeight="12.75" x14ac:dyDescent="0.2"/>
  <cols>
    <col min="1" max="1" width="8.6640625" style="101" customWidth="1"/>
    <col min="2" max="3" width="10.33203125" style="1" customWidth="1"/>
    <col min="4" max="4" width="19.1640625" style="8" bestFit="1" customWidth="1"/>
    <col min="5" max="6" width="14.1640625" style="2" customWidth="1"/>
    <col min="7" max="7" width="24" style="1" bestFit="1" customWidth="1"/>
    <col min="8" max="8" width="17.5" style="1" bestFit="1" customWidth="1"/>
    <col min="9" max="9" width="17.5" style="1" customWidth="1"/>
    <col min="10" max="10" width="20.5" style="1" bestFit="1" customWidth="1"/>
    <col min="11" max="11" width="23.6640625" style="1" bestFit="1" customWidth="1"/>
    <col min="12" max="12" width="18.1640625" style="1" bestFit="1" customWidth="1"/>
    <col min="13" max="14" width="18.1640625" style="1" customWidth="1"/>
    <col min="15" max="15" width="16.83203125" style="1" customWidth="1"/>
    <col min="16" max="16" width="24.33203125" style="1" bestFit="1" customWidth="1"/>
    <col min="17" max="17" width="19.5" style="66" bestFit="1" customWidth="1"/>
    <col min="18" max="18" width="18.33203125" style="1" customWidth="1"/>
    <col min="19" max="19" width="27.33203125" style="1" bestFit="1" customWidth="1"/>
    <col min="20" max="20" width="16.1640625" style="1" bestFit="1" customWidth="1"/>
    <col min="21" max="21" width="15" style="1" bestFit="1" customWidth="1"/>
    <col min="22" max="22" width="22.5" style="1" bestFit="1" customWidth="1"/>
    <col min="23" max="23" width="14.5" style="1" customWidth="1"/>
    <col min="24" max="24" width="18.6640625" style="1" bestFit="1" customWidth="1"/>
    <col min="25" max="25" width="10.1640625" style="1" bestFit="1" customWidth="1"/>
    <col min="26" max="26" width="8.83203125" style="1" bestFit="1" customWidth="1"/>
    <col min="27" max="27" width="10.1640625" style="1" bestFit="1" customWidth="1"/>
    <col min="28" max="28" width="8.83203125" style="1" bestFit="1" customWidth="1"/>
    <col min="29" max="29" width="11.83203125" style="1" bestFit="1" customWidth="1"/>
    <col min="30" max="39" width="11.6640625" style="1" customWidth="1"/>
    <col min="40" max="40" width="13.1640625" style="1" bestFit="1" customWidth="1"/>
    <col min="41" max="41" width="10.1640625" style="1" bestFit="1" customWidth="1"/>
    <col min="42" max="42" width="12.83203125" style="1" bestFit="1" customWidth="1"/>
    <col min="43" max="43" width="9.6640625" style="1" bestFit="1" customWidth="1"/>
    <col min="44" max="46" width="12.33203125" style="1" bestFit="1" customWidth="1"/>
    <col min="47" max="47" width="12.33203125" style="1" customWidth="1"/>
    <col min="48" max="62" width="8.83203125" style="1"/>
    <col min="63" max="66" width="9.83203125" style="1" customWidth="1"/>
    <col min="67" max="72" width="8.83203125" style="1"/>
    <col min="73" max="73" width="14.1640625" style="1" customWidth="1"/>
    <col min="74" max="86" width="8.83203125" style="1"/>
    <col min="87" max="87" width="15.1640625" style="1" bestFit="1" customWidth="1"/>
    <col min="88" max="88" width="13.33203125" style="1" bestFit="1" customWidth="1"/>
    <col min="89" max="89" width="15.1640625" style="1" bestFit="1" customWidth="1"/>
    <col min="90" max="16384" width="8.83203125" style="1"/>
  </cols>
  <sheetData>
    <row r="1" spans="1:89" x14ac:dyDescent="0.2">
      <c r="A1" s="101" t="s">
        <v>0</v>
      </c>
      <c r="B1" s="1" t="s">
        <v>1</v>
      </c>
      <c r="C1" s="1" t="s">
        <v>2</v>
      </c>
      <c r="D1" s="102" t="s">
        <v>3</v>
      </c>
      <c r="E1" s="5" t="s">
        <v>4</v>
      </c>
      <c r="F1" s="5" t="s">
        <v>5</v>
      </c>
      <c r="G1" s="108" t="s">
        <v>6</v>
      </c>
      <c r="H1" s="109" t="s">
        <v>7</v>
      </c>
      <c r="I1" s="109" t="s">
        <v>8</v>
      </c>
      <c r="J1" s="109" t="s">
        <v>9</v>
      </c>
      <c r="K1" s="109" t="s">
        <v>10</v>
      </c>
      <c r="L1" s="110" t="s">
        <v>11</v>
      </c>
      <c r="M1" s="110" t="s">
        <v>12</v>
      </c>
      <c r="N1" s="110" t="s">
        <v>13</v>
      </c>
      <c r="O1" s="111" t="s">
        <v>14</v>
      </c>
      <c r="P1" s="110" t="s">
        <v>15</v>
      </c>
      <c r="Q1" s="112" t="s">
        <v>16</v>
      </c>
      <c r="R1" s="113" t="s">
        <v>17</v>
      </c>
      <c r="S1" s="113" t="s">
        <v>18</v>
      </c>
      <c r="T1" s="114" t="s">
        <v>19</v>
      </c>
      <c r="U1" s="114" t="s">
        <v>20</v>
      </c>
      <c r="V1" s="114" t="s">
        <v>21</v>
      </c>
      <c r="W1" s="113" t="s">
        <v>22</v>
      </c>
      <c r="X1" s="11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5" t="s">
        <v>39</v>
      </c>
      <c r="AO1" s="25" t="s">
        <v>40</v>
      </c>
      <c r="AP1" s="25" t="s">
        <v>41</v>
      </c>
      <c r="AQ1" s="25" t="s">
        <v>42</v>
      </c>
      <c r="AR1" s="25" t="s">
        <v>43</v>
      </c>
      <c r="AS1" s="25" t="s">
        <v>44</v>
      </c>
      <c r="AT1" s="25" t="s">
        <v>45</v>
      </c>
      <c r="AU1" s="25" t="s">
        <v>46</v>
      </c>
      <c r="AV1" s="24" t="s">
        <v>47</v>
      </c>
      <c r="AW1" s="24" t="s">
        <v>48</v>
      </c>
      <c r="AX1" s="24" t="s">
        <v>49</v>
      </c>
      <c r="AY1" s="24" t="s">
        <v>50</v>
      </c>
      <c r="AZ1" s="24" t="s">
        <v>51</v>
      </c>
      <c r="BA1" s="24" t="s">
        <v>52</v>
      </c>
      <c r="BB1" s="24" t="s">
        <v>53</v>
      </c>
      <c r="BC1" s="24" t="s">
        <v>54</v>
      </c>
      <c r="BD1" s="24" t="s">
        <v>55</v>
      </c>
      <c r="BE1" s="24" t="s">
        <v>56</v>
      </c>
      <c r="BF1" s="24" t="s">
        <v>57</v>
      </c>
      <c r="BG1" s="24" t="s">
        <v>58</v>
      </c>
      <c r="BH1" s="24" t="s">
        <v>59</v>
      </c>
      <c r="BI1" s="24" t="s">
        <v>60</v>
      </c>
      <c r="BJ1" s="24" t="s">
        <v>61</v>
      </c>
      <c r="BK1" s="24" t="s">
        <v>62</v>
      </c>
      <c r="BL1" s="24" t="s">
        <v>63</v>
      </c>
      <c r="BM1" s="24" t="s">
        <v>64</v>
      </c>
      <c r="BN1" s="24" t="s">
        <v>65</v>
      </c>
      <c r="BO1" s="24" t="s">
        <v>66</v>
      </c>
      <c r="BP1" s="24" t="s">
        <v>67</v>
      </c>
      <c r="BQ1" s="6" t="s">
        <v>68</v>
      </c>
      <c r="BR1" s="6" t="s">
        <v>69</v>
      </c>
      <c r="BS1" s="6" t="s">
        <v>70</v>
      </c>
      <c r="BT1" s="6" t="s">
        <v>71</v>
      </c>
      <c r="BU1" s="6" t="s">
        <v>72</v>
      </c>
      <c r="BV1" s="6" t="s">
        <v>73</v>
      </c>
      <c r="BW1" s="6" t="s">
        <v>74</v>
      </c>
      <c r="BX1" s="6" t="s">
        <v>75</v>
      </c>
      <c r="BY1" s="6" t="s">
        <v>76</v>
      </c>
      <c r="BZ1" s="6" t="s">
        <v>77</v>
      </c>
      <c r="CA1" s="6" t="s">
        <v>78</v>
      </c>
      <c r="CB1" s="6" t="s">
        <v>79</v>
      </c>
      <c r="CC1" s="6" t="s">
        <v>80</v>
      </c>
      <c r="CD1" s="6" t="s">
        <v>81</v>
      </c>
      <c r="CE1" s="6" t="s">
        <v>82</v>
      </c>
      <c r="CF1" s="6" t="s">
        <v>83</v>
      </c>
      <c r="CG1" s="6" t="s">
        <v>84</v>
      </c>
      <c r="CH1" s="6" t="s">
        <v>85</v>
      </c>
      <c r="CI1" s="1" t="s">
        <v>86</v>
      </c>
      <c r="CJ1" s="1" t="s">
        <v>87</v>
      </c>
      <c r="CK1" s="1" t="s">
        <v>88</v>
      </c>
    </row>
    <row r="2" spans="1:89" x14ac:dyDescent="0.2">
      <c r="A2" s="101">
        <v>41640</v>
      </c>
      <c r="B2" s="3">
        <f t="shared" ref="B2:B57" si="0">YEAR(A2)</f>
        <v>2014</v>
      </c>
      <c r="C2" s="3">
        <f t="shared" ref="C2:C6" si="1">MONTH(A2)</f>
        <v>1</v>
      </c>
      <c r="D2" s="8">
        <v>49640365.235135742</v>
      </c>
      <c r="E2" s="8">
        <f>IFERROR(VLOOKUP($B2-1,CDM!$L$4:$R$15,2,FALSE)/12,0)+IFERROR(VLOOKUP($B2,CDM!$L$33:$O$44,2,FALSE)/24,0)+IFERROR(VLOOKUP($B2,CDM!$L$33:$O$44,2,FALSE)/2*$C2/78,0)</f>
        <v>99633.968770346662</v>
      </c>
      <c r="F2" s="8">
        <f t="shared" ref="F2:F6" si="2">D2+E2</f>
        <v>49739999.203906089</v>
      </c>
      <c r="G2" s="8">
        <v>42623</v>
      </c>
      <c r="H2" s="2">
        <v>15134987.594169056</v>
      </c>
      <c r="I2" s="8">
        <f>IFERROR(VLOOKUP($B2-1,CDM!$L$4:$R$15,3,FALSE)/12,0)+IFERROR(VLOOKUP($B2,CDM!$L$33:$O$44,3,FALSE)/24,0)+IFERROR(VLOOKUP($B2,CDM!$L$33:$O$44,3,FALSE)/2*$C2/78,0)</f>
        <v>22483.674999350958</v>
      </c>
      <c r="J2" s="8">
        <f t="shared" ref="J2:J6" si="3">H2+I2</f>
        <v>15157471.269168407</v>
      </c>
      <c r="K2" s="8">
        <v>3985</v>
      </c>
      <c r="L2" s="8">
        <v>37824332.456469558</v>
      </c>
      <c r="M2" s="8">
        <f>IFERROR(VLOOKUP($B2-1,CDM!$L$4:$R$15,4,FALSE)/12,0)+IFERROR(VLOOKUP($B2,CDM!$L$33:$O$44,4,FALSE)/24,0)+IFERROR(VLOOKUP($B2,CDM!$L$33:$O$44,4,FALSE)/2*$C2/78,0)</f>
        <v>88283.205462572121</v>
      </c>
      <c r="N2" s="8">
        <f t="shared" ref="N2:N6" si="4">L2+M2</f>
        <v>37912615.661932133</v>
      </c>
      <c r="O2" s="8">
        <v>93719.857809971902</v>
      </c>
      <c r="P2" s="8">
        <v>506</v>
      </c>
      <c r="Q2" s="8">
        <v>830284.03225806449</v>
      </c>
      <c r="R2" s="2">
        <v>1781.5349219391949</v>
      </c>
      <c r="S2" s="7">
        <v>9728</v>
      </c>
      <c r="T2" s="2">
        <v>37273.723908918437</v>
      </c>
      <c r="U2" s="2">
        <v>101.18464351005484</v>
      </c>
      <c r="V2" s="9">
        <v>413</v>
      </c>
      <c r="W2" s="2">
        <v>116724.92721834526</v>
      </c>
      <c r="X2" s="4">
        <v>334</v>
      </c>
      <c r="Y2" s="8">
        <f>Weather!C2</f>
        <v>1085.0791666666667</v>
      </c>
      <c r="Z2" s="8">
        <f>Weather!D2</f>
        <v>0</v>
      </c>
      <c r="AA2" s="8">
        <f>Weather!E2</f>
        <v>1023.0791666666669</v>
      </c>
      <c r="AB2" s="8">
        <f>Weather!F2</f>
        <v>0</v>
      </c>
      <c r="AC2" s="8">
        <f>Weather!G2</f>
        <v>961.07916666666677</v>
      </c>
      <c r="AD2" s="8">
        <f>Weather!H2</f>
        <v>0</v>
      </c>
      <c r="AE2" s="8">
        <f>Weather!I2</f>
        <v>899.07916666666665</v>
      </c>
      <c r="AF2" s="8">
        <f>Weather!J2</f>
        <v>0</v>
      </c>
      <c r="AG2" s="8">
        <f>Weather!K2</f>
        <v>837.07916666666665</v>
      </c>
      <c r="AH2" s="8">
        <f>Weather!L2</f>
        <v>0</v>
      </c>
      <c r="AI2" s="8">
        <f>Weather!M2</f>
        <v>775.07916666666665</v>
      </c>
      <c r="AJ2" s="8">
        <f>Weather!N2</f>
        <v>0</v>
      </c>
      <c r="AK2" s="8">
        <f>Weather!O2</f>
        <v>713.07916666666665</v>
      </c>
      <c r="AL2" s="8">
        <f>Weather!P2</f>
        <v>0</v>
      </c>
      <c r="AM2" s="2">
        <f>Weather!Q2</f>
        <v>-15.002553763440861</v>
      </c>
      <c r="AN2" s="8">
        <f>Economic!C2</f>
        <v>6812.5</v>
      </c>
      <c r="AO2" s="8">
        <f>Economic!D2</f>
        <v>6770.4</v>
      </c>
      <c r="AP2" s="8">
        <f>Economic!E2</f>
        <v>84.3</v>
      </c>
      <c r="AQ2" s="8">
        <f>Economic!F2</f>
        <v>83.9</v>
      </c>
      <c r="AR2" s="8">
        <f>Economic!G2</f>
        <v>708787.6</v>
      </c>
      <c r="AS2" s="8">
        <f>Economic!H2</f>
        <v>8082.4</v>
      </c>
      <c r="AT2" s="8">
        <f>Economic!I2</f>
        <v>699057</v>
      </c>
      <c r="AU2" s="8">
        <f>Economic!J2</f>
        <v>8564</v>
      </c>
      <c r="AV2" s="1">
        <v>1</v>
      </c>
      <c r="AW2" s="1">
        <v>1</v>
      </c>
      <c r="AX2" s="1">
        <v>0</v>
      </c>
      <c r="AY2" s="1">
        <v>0</v>
      </c>
      <c r="AZ2" s="1">
        <v>0</v>
      </c>
      <c r="BA2" s="1">
        <v>0</v>
      </c>
      <c r="BB2" s="1">
        <v>0</v>
      </c>
      <c r="BC2" s="1">
        <v>0</v>
      </c>
      <c r="BD2" s="1">
        <v>0</v>
      </c>
      <c r="BE2" s="1">
        <v>0</v>
      </c>
      <c r="BF2" s="1">
        <v>0</v>
      </c>
      <c r="BG2" s="1">
        <v>0</v>
      </c>
      <c r="BH2" s="1">
        <v>0</v>
      </c>
      <c r="BI2" s="1">
        <v>0</v>
      </c>
      <c r="BJ2" s="1">
        <v>0</v>
      </c>
      <c r="BK2" s="1">
        <v>0</v>
      </c>
      <c r="BL2" s="1">
        <v>0</v>
      </c>
      <c r="BM2" s="1">
        <v>0</v>
      </c>
      <c r="BN2" s="1">
        <v>0</v>
      </c>
      <c r="BO2">
        <v>31</v>
      </c>
      <c r="BP2">
        <v>22</v>
      </c>
      <c r="BQ2">
        <v>0</v>
      </c>
      <c r="BR2">
        <v>0</v>
      </c>
      <c r="BS2">
        <v>0</v>
      </c>
      <c r="BT2">
        <v>0</v>
      </c>
      <c r="BU2" s="126">
        <f t="shared" ref="BU2:CH2" si="5">$BQ2*Y2</f>
        <v>0</v>
      </c>
      <c r="BV2" s="126">
        <f t="shared" si="5"/>
        <v>0</v>
      </c>
      <c r="BW2" s="126">
        <f t="shared" si="5"/>
        <v>0</v>
      </c>
      <c r="BX2" s="126">
        <f t="shared" si="5"/>
        <v>0</v>
      </c>
      <c r="BY2" s="126">
        <f t="shared" si="5"/>
        <v>0</v>
      </c>
      <c r="BZ2" s="126">
        <f t="shared" si="5"/>
        <v>0</v>
      </c>
      <c r="CA2" s="126">
        <f t="shared" si="5"/>
        <v>0</v>
      </c>
      <c r="CB2" s="126">
        <f t="shared" si="5"/>
        <v>0</v>
      </c>
      <c r="CC2" s="126">
        <f t="shared" si="5"/>
        <v>0</v>
      </c>
      <c r="CD2" s="126">
        <f t="shared" si="5"/>
        <v>0</v>
      </c>
      <c r="CE2" s="126">
        <f t="shared" si="5"/>
        <v>0</v>
      </c>
      <c r="CF2" s="126">
        <f t="shared" si="5"/>
        <v>0</v>
      </c>
      <c r="CG2" s="126">
        <f t="shared" si="5"/>
        <v>0</v>
      </c>
      <c r="CH2" s="126">
        <f t="shared" si="5"/>
        <v>0</v>
      </c>
      <c r="CI2" s="66">
        <f t="shared" ref="CI2:CI33" si="6">F2/BO2</f>
        <v>1604516.1033518093</v>
      </c>
      <c r="CJ2" s="66">
        <f t="shared" ref="CJ2:CJ33" si="7">H2/BO2</f>
        <v>488225.40626351791</v>
      </c>
      <c r="CK2" s="66">
        <f t="shared" ref="CK2:CK33" si="8">N2/BO2</f>
        <v>1222987.6019978106</v>
      </c>
    </row>
    <row r="3" spans="1:89" x14ac:dyDescent="0.2">
      <c r="A3" s="101">
        <v>41671</v>
      </c>
      <c r="B3" s="3">
        <f t="shared" si="0"/>
        <v>2014</v>
      </c>
      <c r="C3" s="3">
        <f t="shared" si="1"/>
        <v>2</v>
      </c>
      <c r="D3" s="8">
        <v>42750019.905124813</v>
      </c>
      <c r="E3" s="8">
        <f>IFERROR(VLOOKUP($B3-1,CDM!$L$4:$R$15,2,FALSE)/12,0)+IFERROR(VLOOKUP($B3,CDM!$L$33:$O$44,2,FALSE)/24,0)+IFERROR(VLOOKUP($B3,CDM!$L$33:$O$44,2,FALSE)/2*$C3/78,0)</f>
        <v>112918.49793972622</v>
      </c>
      <c r="F3" s="8">
        <f t="shared" si="2"/>
        <v>42862938.403064542</v>
      </c>
      <c r="G3" s="8">
        <v>42623</v>
      </c>
      <c r="H3" s="2">
        <v>13462387.242650717</v>
      </c>
      <c r="I3" s="8">
        <f>IFERROR(VLOOKUP($B3-1,CDM!$L$4:$R$15,3,FALSE)/12,0)+IFERROR(VLOOKUP($B3,CDM!$L$33:$O$44,3,FALSE)/24,0)+IFERROR(VLOOKUP($B3,CDM!$L$33:$O$44,3,FALSE)/2*$C3/78,0)</f>
        <v>25481.498332597752</v>
      </c>
      <c r="J3" s="8">
        <f t="shared" si="3"/>
        <v>13487868.740983315</v>
      </c>
      <c r="K3" s="8">
        <v>3985</v>
      </c>
      <c r="L3" s="8">
        <v>33982095.533818133</v>
      </c>
      <c r="M3" s="8">
        <f>IFERROR(VLOOKUP($B3-1,CDM!$L$4:$R$15,4,FALSE)/12,0)+IFERROR(VLOOKUP($B3,CDM!$L$33:$O$44,4,FALSE)/24,0)+IFERROR(VLOOKUP($B3,CDM!$L$33:$O$44,4,FALSE)/2*$C3/78,0)</f>
        <v>100054.2995242484</v>
      </c>
      <c r="N3" s="8">
        <f t="shared" si="4"/>
        <v>34082149.833342381</v>
      </c>
      <c r="O3" s="8">
        <v>84199.692491058944</v>
      </c>
      <c r="P3" s="8">
        <v>506</v>
      </c>
      <c r="Q3" s="8">
        <v>684360.44592030346</v>
      </c>
      <c r="R3" s="2">
        <v>1781.5349219391949</v>
      </c>
      <c r="S3" s="7">
        <v>9728</v>
      </c>
      <c r="T3" s="2">
        <v>33660.384250474403</v>
      </c>
      <c r="U3" s="2">
        <v>101.18464351005484</v>
      </c>
      <c r="V3" s="9">
        <v>413</v>
      </c>
      <c r="W3" s="2">
        <v>104838.11832245195</v>
      </c>
      <c r="X3" s="4">
        <v>334</v>
      </c>
      <c r="Y3" s="8">
        <f>Weather!C3</f>
        <v>929.85208333333344</v>
      </c>
      <c r="Z3" s="8">
        <f>Weather!D3</f>
        <v>0</v>
      </c>
      <c r="AA3" s="8">
        <f>Weather!E3</f>
        <v>873.85208333333344</v>
      </c>
      <c r="AB3" s="8">
        <f>Weather!F3</f>
        <v>0</v>
      </c>
      <c r="AC3" s="8">
        <f>Weather!G3</f>
        <v>817.85208333333344</v>
      </c>
      <c r="AD3" s="8">
        <f>Weather!H3</f>
        <v>0</v>
      </c>
      <c r="AE3" s="8">
        <f>Weather!I3</f>
        <v>761.85208333333344</v>
      </c>
      <c r="AF3" s="8">
        <f>Weather!J3</f>
        <v>0</v>
      </c>
      <c r="AG3" s="8">
        <f>Weather!K3</f>
        <v>705.85208333333344</v>
      </c>
      <c r="AH3" s="8">
        <f>Weather!L3</f>
        <v>0</v>
      </c>
      <c r="AI3" s="8">
        <f>Weather!M3</f>
        <v>649.85208333333344</v>
      </c>
      <c r="AJ3" s="8">
        <f>Weather!N3</f>
        <v>0</v>
      </c>
      <c r="AK3" s="8">
        <f>Weather!O3</f>
        <v>593.85208333333344</v>
      </c>
      <c r="AL3" s="8">
        <f>Weather!P3</f>
        <v>0</v>
      </c>
      <c r="AM3" s="2">
        <f>Weather!Q3</f>
        <v>-13.209002976190476</v>
      </c>
      <c r="AN3" s="8">
        <f>Economic!C3</f>
        <v>6810.3</v>
      </c>
      <c r="AO3" s="8">
        <f>Economic!D3</f>
        <v>6732.3</v>
      </c>
      <c r="AP3" s="8">
        <f>Economic!E3</f>
        <v>83.9</v>
      </c>
      <c r="AQ3" s="8">
        <f>Economic!F3</f>
        <v>82.7</v>
      </c>
      <c r="AR3" s="8">
        <f>Economic!G3</f>
        <v>708787.6</v>
      </c>
      <c r="AS3" s="8">
        <f>Economic!H3</f>
        <v>8082.4</v>
      </c>
      <c r="AT3" s="8">
        <f>Economic!I3</f>
        <v>699057</v>
      </c>
      <c r="AU3" s="8">
        <f>Economic!J3</f>
        <v>8564</v>
      </c>
      <c r="AV3" s="1">
        <f>AV2+1</f>
        <v>2</v>
      </c>
      <c r="AW3" s="1">
        <v>0</v>
      </c>
      <c r="AX3" s="1">
        <v>1</v>
      </c>
      <c r="AY3" s="1">
        <v>0</v>
      </c>
      <c r="AZ3" s="1">
        <v>0</v>
      </c>
      <c r="BA3" s="1">
        <v>0</v>
      </c>
      <c r="BB3" s="1">
        <v>0</v>
      </c>
      <c r="BC3" s="1">
        <v>0</v>
      </c>
      <c r="BD3" s="1">
        <v>0</v>
      </c>
      <c r="BE3" s="1">
        <v>0</v>
      </c>
      <c r="BF3" s="1">
        <v>0</v>
      </c>
      <c r="BG3" s="1">
        <v>0</v>
      </c>
      <c r="BH3" s="1">
        <v>0</v>
      </c>
      <c r="BI3" s="1">
        <v>0</v>
      </c>
      <c r="BJ3" s="1">
        <v>0</v>
      </c>
      <c r="BK3" s="1">
        <v>0</v>
      </c>
      <c r="BL3" s="1">
        <v>0</v>
      </c>
      <c r="BM3" s="1">
        <v>0</v>
      </c>
      <c r="BN3" s="1">
        <v>0</v>
      </c>
      <c r="BO3">
        <v>28</v>
      </c>
      <c r="BP3">
        <v>19</v>
      </c>
      <c r="BQ3">
        <v>0</v>
      </c>
      <c r="BR3">
        <v>0</v>
      </c>
      <c r="BS3">
        <v>0</v>
      </c>
      <c r="BT3">
        <v>0</v>
      </c>
      <c r="BU3" s="126">
        <f t="shared" ref="BU3:BU66" si="9">$BQ3*Y3</f>
        <v>0</v>
      </c>
      <c r="BV3" s="126">
        <f t="shared" ref="BV3:BV66" si="10">$BQ3*Z3</f>
        <v>0</v>
      </c>
      <c r="BW3" s="126">
        <f t="shared" ref="BW3:BW66" si="11">$BQ3*AA3</f>
        <v>0</v>
      </c>
      <c r="BX3" s="126">
        <f t="shared" ref="BX3:BX66" si="12">$BQ3*AB3</f>
        <v>0</v>
      </c>
      <c r="BY3" s="126">
        <f t="shared" ref="BY3:BY66" si="13">$BQ3*AC3</f>
        <v>0</v>
      </c>
      <c r="BZ3" s="126">
        <f t="shared" ref="BZ3:BZ66" si="14">$BQ3*AD3</f>
        <v>0</v>
      </c>
      <c r="CA3" s="126">
        <f t="shared" ref="CA3:CA66" si="15">$BQ3*AE3</f>
        <v>0</v>
      </c>
      <c r="CB3" s="126">
        <f t="shared" ref="CB3:CB66" si="16">$BQ3*AF3</f>
        <v>0</v>
      </c>
      <c r="CC3" s="126">
        <f t="shared" ref="CC3:CC66" si="17">$BQ3*AG3</f>
        <v>0</v>
      </c>
      <c r="CD3" s="126">
        <f t="shared" ref="CD3:CD66" si="18">$BQ3*AH3</f>
        <v>0</v>
      </c>
      <c r="CE3" s="126">
        <f t="shared" ref="CE3:CE66" si="19">$BQ3*AI3</f>
        <v>0</v>
      </c>
      <c r="CF3" s="126">
        <f t="shared" ref="CF3:CF66" si="20">$BQ3*AJ3</f>
        <v>0</v>
      </c>
      <c r="CG3" s="126">
        <f t="shared" ref="CG3:CG66" si="21">$BQ3*AK3</f>
        <v>0</v>
      </c>
      <c r="CH3" s="126">
        <f t="shared" ref="CH3:CH66" si="22">$BQ3*AL3</f>
        <v>0</v>
      </c>
      <c r="CI3" s="66">
        <f t="shared" si="6"/>
        <v>1530819.2286808765</v>
      </c>
      <c r="CJ3" s="66">
        <f t="shared" si="7"/>
        <v>480799.54438038275</v>
      </c>
      <c r="CK3" s="66">
        <f t="shared" si="8"/>
        <v>1217219.6369050851</v>
      </c>
    </row>
    <row r="4" spans="1:89" x14ac:dyDescent="0.2">
      <c r="A4" s="101">
        <v>41699</v>
      </c>
      <c r="B4" s="3">
        <f t="shared" si="0"/>
        <v>2014</v>
      </c>
      <c r="C4" s="3">
        <f t="shared" si="1"/>
        <v>3</v>
      </c>
      <c r="D4" s="8">
        <v>41025103.627203047</v>
      </c>
      <c r="E4" s="8">
        <f>IFERROR(VLOOKUP($B4-1,CDM!$L$4:$R$15,2,FALSE)/12,0)+IFERROR(VLOOKUP($B4,CDM!$L$33:$O$44,2,FALSE)/24,0)+IFERROR(VLOOKUP($B4,CDM!$L$33:$O$44,2,FALSE)/2*$C4/78,0)</f>
        <v>126203.02710910577</v>
      </c>
      <c r="F4" s="8">
        <f t="shared" si="2"/>
        <v>41151306.654312156</v>
      </c>
      <c r="G4" s="8">
        <v>42623</v>
      </c>
      <c r="H4" s="2">
        <v>13747064.365901466</v>
      </c>
      <c r="I4" s="8">
        <f>IFERROR(VLOOKUP($B4-1,CDM!$L$4:$R$15,3,FALSE)/12,0)+IFERROR(VLOOKUP($B4,CDM!$L$33:$O$44,3,FALSE)/24,0)+IFERROR(VLOOKUP($B4,CDM!$L$33:$O$44,3,FALSE)/2*$C4/78,0)</f>
        <v>28479.321665844549</v>
      </c>
      <c r="J4" s="8">
        <f t="shared" si="3"/>
        <v>13775543.68756731</v>
      </c>
      <c r="K4" s="8">
        <v>3985</v>
      </c>
      <c r="L4" s="8">
        <v>36090706.761883967</v>
      </c>
      <c r="M4" s="8">
        <f>IFERROR(VLOOKUP($B4-1,CDM!$L$4:$R$15,4,FALSE)/12,0)+IFERROR(VLOOKUP($B4,CDM!$L$33:$O$44,4,FALSE)/24,0)+IFERROR(VLOOKUP($B4,CDM!$L$33:$O$44,4,FALSE)/2*$C4/78,0)</f>
        <v>111825.3935859247</v>
      </c>
      <c r="N4" s="8">
        <f t="shared" si="4"/>
        <v>36202532.155469894</v>
      </c>
      <c r="O4" s="8">
        <v>89424.338417018676</v>
      </c>
      <c r="P4" s="8">
        <v>506</v>
      </c>
      <c r="Q4" s="8">
        <v>668958.88994307397</v>
      </c>
      <c r="R4" s="2">
        <v>1781.5349219391949</v>
      </c>
      <c r="S4" s="7">
        <v>9728</v>
      </c>
      <c r="T4" s="2">
        <v>37273.723908918437</v>
      </c>
      <c r="U4" s="2">
        <v>101.18464351005484</v>
      </c>
      <c r="V4" s="9">
        <v>413</v>
      </c>
      <c r="W4" s="2">
        <v>115757.56602482397</v>
      </c>
      <c r="X4" s="4">
        <v>334</v>
      </c>
      <c r="Y4" s="8">
        <f>Weather!C4</f>
        <v>927.39791666666656</v>
      </c>
      <c r="Z4" s="8">
        <f>Weather!D4</f>
        <v>0</v>
      </c>
      <c r="AA4" s="8">
        <f>Weather!E4</f>
        <v>865.39791666666656</v>
      </c>
      <c r="AB4" s="8">
        <f>Weather!F4</f>
        <v>0</v>
      </c>
      <c r="AC4" s="8">
        <f>Weather!G4</f>
        <v>803.39791666666656</v>
      </c>
      <c r="AD4" s="8">
        <f>Weather!H4</f>
        <v>0</v>
      </c>
      <c r="AE4" s="8">
        <f>Weather!I4</f>
        <v>741.39791666666667</v>
      </c>
      <c r="AF4" s="8">
        <f>Weather!J4</f>
        <v>0</v>
      </c>
      <c r="AG4" s="8">
        <f>Weather!K4</f>
        <v>679.39791666666656</v>
      </c>
      <c r="AH4" s="8">
        <f>Weather!L4</f>
        <v>0</v>
      </c>
      <c r="AI4" s="8">
        <f>Weather!M4</f>
        <v>617.39791666666656</v>
      </c>
      <c r="AJ4" s="8">
        <f>Weather!N4</f>
        <v>0</v>
      </c>
      <c r="AK4" s="8">
        <f>Weather!O4</f>
        <v>555.39791666666667</v>
      </c>
      <c r="AL4" s="8">
        <f>Weather!P4</f>
        <v>0</v>
      </c>
      <c r="AM4" s="2">
        <f>Weather!Q4</f>
        <v>-9.9160618279569892</v>
      </c>
      <c r="AN4" s="8">
        <f>Economic!C4</f>
        <v>6810.9</v>
      </c>
      <c r="AO4" s="8">
        <f>Economic!D4</f>
        <v>6704.5</v>
      </c>
      <c r="AP4" s="8">
        <f>Economic!E4</f>
        <v>83.4</v>
      </c>
      <c r="AQ4" s="8">
        <f>Economic!F4</f>
        <v>81.7</v>
      </c>
      <c r="AR4" s="8">
        <f>Economic!G4</f>
        <v>708787.6</v>
      </c>
      <c r="AS4" s="8">
        <f>Economic!H4</f>
        <v>8082.4</v>
      </c>
      <c r="AT4" s="8">
        <f>Economic!I4</f>
        <v>699057</v>
      </c>
      <c r="AU4" s="8">
        <f>Economic!J4</f>
        <v>8564</v>
      </c>
      <c r="AV4" s="1">
        <f t="shared" ref="AV4:AV67" si="23">AV3+1</f>
        <v>3</v>
      </c>
      <c r="AW4" s="1">
        <v>0</v>
      </c>
      <c r="AX4" s="1">
        <v>0</v>
      </c>
      <c r="AY4" s="1">
        <v>1</v>
      </c>
      <c r="AZ4" s="1">
        <v>0</v>
      </c>
      <c r="BA4" s="1">
        <v>0</v>
      </c>
      <c r="BB4" s="1">
        <v>0</v>
      </c>
      <c r="BC4" s="1">
        <v>0</v>
      </c>
      <c r="BD4" s="1">
        <v>0</v>
      </c>
      <c r="BE4" s="1">
        <v>0</v>
      </c>
      <c r="BF4" s="1">
        <v>0</v>
      </c>
      <c r="BG4" s="1">
        <v>0</v>
      </c>
      <c r="BH4" s="1">
        <v>0</v>
      </c>
      <c r="BI4" s="1">
        <v>1</v>
      </c>
      <c r="BJ4" s="1">
        <v>0</v>
      </c>
      <c r="BK4" s="1">
        <v>1</v>
      </c>
      <c r="BL4" s="1">
        <v>0</v>
      </c>
      <c r="BM4" s="1">
        <v>0</v>
      </c>
      <c r="BN4" s="1">
        <v>0</v>
      </c>
      <c r="BO4">
        <v>31</v>
      </c>
      <c r="BP4">
        <v>21</v>
      </c>
      <c r="BQ4">
        <v>0</v>
      </c>
      <c r="BR4">
        <v>0</v>
      </c>
      <c r="BS4">
        <v>0</v>
      </c>
      <c r="BT4">
        <v>0</v>
      </c>
      <c r="BU4" s="126">
        <f t="shared" si="9"/>
        <v>0</v>
      </c>
      <c r="BV4" s="126">
        <f t="shared" si="10"/>
        <v>0</v>
      </c>
      <c r="BW4" s="126">
        <f t="shared" si="11"/>
        <v>0</v>
      </c>
      <c r="BX4" s="126">
        <f t="shared" si="12"/>
        <v>0</v>
      </c>
      <c r="BY4" s="126">
        <f t="shared" si="13"/>
        <v>0</v>
      </c>
      <c r="BZ4" s="126">
        <f t="shared" si="14"/>
        <v>0</v>
      </c>
      <c r="CA4" s="126">
        <f t="shared" si="15"/>
        <v>0</v>
      </c>
      <c r="CB4" s="126">
        <f t="shared" si="16"/>
        <v>0</v>
      </c>
      <c r="CC4" s="126">
        <f t="shared" si="17"/>
        <v>0</v>
      </c>
      <c r="CD4" s="126">
        <f t="shared" si="18"/>
        <v>0</v>
      </c>
      <c r="CE4" s="126">
        <f t="shared" si="19"/>
        <v>0</v>
      </c>
      <c r="CF4" s="126">
        <f t="shared" si="20"/>
        <v>0</v>
      </c>
      <c r="CG4" s="126">
        <f t="shared" si="21"/>
        <v>0</v>
      </c>
      <c r="CH4" s="126">
        <f t="shared" si="22"/>
        <v>0</v>
      </c>
      <c r="CI4" s="66">
        <f t="shared" si="6"/>
        <v>1327461.5049778116</v>
      </c>
      <c r="CJ4" s="66">
        <f t="shared" si="7"/>
        <v>443453.68922262796</v>
      </c>
      <c r="CK4" s="66">
        <f t="shared" si="8"/>
        <v>1167823.6179183838</v>
      </c>
    </row>
    <row r="5" spans="1:89" x14ac:dyDescent="0.2">
      <c r="A5" s="101">
        <v>41730</v>
      </c>
      <c r="B5" s="3">
        <f t="shared" si="0"/>
        <v>2014</v>
      </c>
      <c r="C5" s="3">
        <f t="shared" si="1"/>
        <v>4</v>
      </c>
      <c r="D5" s="8">
        <v>33587027.926572323</v>
      </c>
      <c r="E5" s="8">
        <f>IFERROR(VLOOKUP($B5-1,CDM!$L$4:$R$15,2,FALSE)/12,0)+IFERROR(VLOOKUP($B5,CDM!$L$33:$O$44,2,FALSE)/24,0)+IFERROR(VLOOKUP($B5,CDM!$L$33:$O$44,2,FALSE)/2*$C5/78,0)</f>
        <v>139487.55627848534</v>
      </c>
      <c r="F5" s="8">
        <f t="shared" si="2"/>
        <v>33726515.482850805</v>
      </c>
      <c r="G5" s="8">
        <v>42622</v>
      </c>
      <c r="H5" s="2">
        <v>11849699.51665595</v>
      </c>
      <c r="I5" s="8">
        <f>IFERROR(VLOOKUP($B5-1,CDM!$L$4:$R$15,3,FALSE)/12,0)+IFERROR(VLOOKUP($B5,CDM!$L$33:$O$44,3,FALSE)/24,0)+IFERROR(VLOOKUP($B5,CDM!$L$33:$O$44,3,FALSE)/2*$C5/78,0)</f>
        <v>31477.144999091342</v>
      </c>
      <c r="J5" s="8">
        <f t="shared" si="3"/>
        <v>11881176.66165504</v>
      </c>
      <c r="K5" s="8">
        <v>3986</v>
      </c>
      <c r="L5" s="8">
        <v>30998705.850172173</v>
      </c>
      <c r="M5" s="8">
        <f>IFERROR(VLOOKUP($B5-1,CDM!$L$4:$R$15,4,FALSE)/12,0)+IFERROR(VLOOKUP($B5,CDM!$L$33:$O$44,4,FALSE)/24,0)+IFERROR(VLOOKUP($B5,CDM!$L$33:$O$44,4,FALSE)/2*$C5/78,0)</f>
        <v>123596.48764760097</v>
      </c>
      <c r="N5" s="8">
        <f t="shared" si="4"/>
        <v>31122302.337819774</v>
      </c>
      <c r="O5" s="8">
        <v>76807.549952527159</v>
      </c>
      <c r="P5" s="8">
        <v>506</v>
      </c>
      <c r="Q5" s="8">
        <v>557969.61100569251</v>
      </c>
      <c r="R5" s="2">
        <v>1781.5349219391949</v>
      </c>
      <c r="S5" s="7">
        <v>9728</v>
      </c>
      <c r="T5" s="2">
        <v>36069.264705882379</v>
      </c>
      <c r="U5" s="2">
        <v>101.18464351005484</v>
      </c>
      <c r="V5" s="9">
        <v>413</v>
      </c>
      <c r="W5" s="2">
        <v>111663.44915544189</v>
      </c>
      <c r="X5" s="4">
        <v>334</v>
      </c>
      <c r="Y5" s="8">
        <f>Weather!C5</f>
        <v>557.06666666666661</v>
      </c>
      <c r="Z5" s="8">
        <f>Weather!D5</f>
        <v>0</v>
      </c>
      <c r="AA5" s="8">
        <f>Weather!E5</f>
        <v>497.06666666666672</v>
      </c>
      <c r="AB5" s="8">
        <f>Weather!F5</f>
        <v>0</v>
      </c>
      <c r="AC5" s="8">
        <f>Weather!G5</f>
        <v>437.06666666666672</v>
      </c>
      <c r="AD5" s="8">
        <f>Weather!H5</f>
        <v>0</v>
      </c>
      <c r="AE5" s="8">
        <f>Weather!I5</f>
        <v>377.06666666666672</v>
      </c>
      <c r="AF5" s="8">
        <f>Weather!J5</f>
        <v>0</v>
      </c>
      <c r="AG5" s="8">
        <f>Weather!K5</f>
        <v>317.06666666666666</v>
      </c>
      <c r="AH5" s="8">
        <f>Weather!L5</f>
        <v>0</v>
      </c>
      <c r="AI5" s="8">
        <f>Weather!M5</f>
        <v>257.06666666666666</v>
      </c>
      <c r="AJ5" s="8">
        <f>Weather!N5</f>
        <v>0</v>
      </c>
      <c r="AK5" s="8">
        <f>Weather!O5</f>
        <v>197.06666666666666</v>
      </c>
      <c r="AL5" s="8">
        <f>Weather!P5</f>
        <v>0</v>
      </c>
      <c r="AM5" s="2">
        <f>Weather!Q5</f>
        <v>1.431111111111111</v>
      </c>
      <c r="AN5" s="8">
        <f>Economic!C5</f>
        <v>6819.5</v>
      </c>
      <c r="AO5" s="8">
        <f>Economic!D5</f>
        <v>6732.1</v>
      </c>
      <c r="AP5" s="8">
        <f>Economic!E5</f>
        <v>82.7</v>
      </c>
      <c r="AQ5" s="8">
        <f>Economic!F5</f>
        <v>81.5</v>
      </c>
      <c r="AR5" s="8">
        <f>Economic!G5</f>
        <v>708787.6</v>
      </c>
      <c r="AS5" s="8">
        <f>Economic!H5</f>
        <v>8082.4</v>
      </c>
      <c r="AT5" s="8">
        <f>Economic!I5</f>
        <v>705966</v>
      </c>
      <c r="AU5" s="8">
        <f>Economic!J5</f>
        <v>8153</v>
      </c>
      <c r="AV5" s="1">
        <f t="shared" si="23"/>
        <v>4</v>
      </c>
      <c r="AW5" s="1">
        <v>0</v>
      </c>
      <c r="AX5" s="1">
        <v>0</v>
      </c>
      <c r="AY5" s="1">
        <v>0</v>
      </c>
      <c r="AZ5" s="1">
        <v>1</v>
      </c>
      <c r="BA5" s="1">
        <v>0</v>
      </c>
      <c r="BB5" s="1">
        <v>0</v>
      </c>
      <c r="BC5" s="1">
        <v>0</v>
      </c>
      <c r="BD5" s="1">
        <v>0</v>
      </c>
      <c r="BE5" s="1">
        <v>0</v>
      </c>
      <c r="BF5" s="1">
        <v>0</v>
      </c>
      <c r="BG5" s="1">
        <v>0</v>
      </c>
      <c r="BH5" s="1">
        <v>0</v>
      </c>
      <c r="BI5" s="1">
        <v>1</v>
      </c>
      <c r="BJ5" s="1">
        <v>0</v>
      </c>
      <c r="BK5" s="1">
        <v>1</v>
      </c>
      <c r="BL5" s="1">
        <v>1</v>
      </c>
      <c r="BM5" s="1">
        <v>0</v>
      </c>
      <c r="BN5" s="1">
        <v>1</v>
      </c>
      <c r="BO5">
        <v>30</v>
      </c>
      <c r="BP5">
        <v>20</v>
      </c>
      <c r="BQ5">
        <v>0</v>
      </c>
      <c r="BR5">
        <v>0</v>
      </c>
      <c r="BS5">
        <v>0</v>
      </c>
      <c r="BT5">
        <v>0</v>
      </c>
      <c r="BU5" s="126">
        <f t="shared" si="9"/>
        <v>0</v>
      </c>
      <c r="BV5" s="126">
        <f t="shared" si="10"/>
        <v>0</v>
      </c>
      <c r="BW5" s="126">
        <f t="shared" si="11"/>
        <v>0</v>
      </c>
      <c r="BX5" s="126">
        <f t="shared" si="12"/>
        <v>0</v>
      </c>
      <c r="BY5" s="126">
        <f t="shared" si="13"/>
        <v>0</v>
      </c>
      <c r="BZ5" s="126">
        <f t="shared" si="14"/>
        <v>0</v>
      </c>
      <c r="CA5" s="126">
        <f t="shared" si="15"/>
        <v>0</v>
      </c>
      <c r="CB5" s="126">
        <f t="shared" si="16"/>
        <v>0</v>
      </c>
      <c r="CC5" s="126">
        <f t="shared" si="17"/>
        <v>0</v>
      </c>
      <c r="CD5" s="126">
        <f t="shared" si="18"/>
        <v>0</v>
      </c>
      <c r="CE5" s="126">
        <f t="shared" si="19"/>
        <v>0</v>
      </c>
      <c r="CF5" s="126">
        <f t="shared" si="20"/>
        <v>0</v>
      </c>
      <c r="CG5" s="126">
        <f t="shared" si="21"/>
        <v>0</v>
      </c>
      <c r="CH5" s="126">
        <f t="shared" si="22"/>
        <v>0</v>
      </c>
      <c r="CI5" s="66">
        <f t="shared" si="6"/>
        <v>1124217.1827616936</v>
      </c>
      <c r="CJ5" s="66">
        <f t="shared" si="7"/>
        <v>394989.98388853169</v>
      </c>
      <c r="CK5" s="66">
        <f t="shared" si="8"/>
        <v>1037410.0779273257</v>
      </c>
    </row>
    <row r="6" spans="1:89" x14ac:dyDescent="0.2">
      <c r="A6" s="101">
        <v>41760</v>
      </c>
      <c r="B6" s="3">
        <f t="shared" si="0"/>
        <v>2014</v>
      </c>
      <c r="C6" s="3">
        <f t="shared" si="1"/>
        <v>5</v>
      </c>
      <c r="D6" s="8">
        <v>27231928.804067481</v>
      </c>
      <c r="E6" s="8">
        <f>IFERROR(VLOOKUP($B6-1,CDM!$L$4:$R$15,2,FALSE)/12,0)+IFERROR(VLOOKUP($B6,CDM!$L$33:$O$44,2,FALSE)/24,0)+IFERROR(VLOOKUP($B6,CDM!$L$33:$O$44,2,FALSE)/2*$C6/78,0)</f>
        <v>152772.08544786487</v>
      </c>
      <c r="F6" s="8">
        <f t="shared" si="2"/>
        <v>27384700.889515348</v>
      </c>
      <c r="G6" s="8">
        <v>42622</v>
      </c>
      <c r="H6" s="2">
        <v>11001148.955615092</v>
      </c>
      <c r="I6" s="8">
        <f>IFERROR(VLOOKUP($B6-1,CDM!$L$4:$R$15,3,FALSE)/12,0)+IFERROR(VLOOKUP($B6,CDM!$L$33:$O$44,3,FALSE)/24,0)+IFERROR(VLOOKUP($B6,CDM!$L$33:$O$44,3,FALSE)/2*$C6/78,0)</f>
        <v>34474.96833233814</v>
      </c>
      <c r="J6" s="8">
        <f t="shared" si="3"/>
        <v>11035623.923947429</v>
      </c>
      <c r="K6" s="8">
        <v>3986</v>
      </c>
      <c r="L6" s="8">
        <v>29077828.031337366</v>
      </c>
      <c r="M6" s="8">
        <f>IFERROR(VLOOKUP($B6-1,CDM!$L$4:$R$15,4,FALSE)/12,0)+IFERROR(VLOOKUP($B6,CDM!$L$33:$O$44,4,FALSE)/24,0)+IFERROR(VLOOKUP($B6,CDM!$L$33:$O$44,4,FALSE)/2*$C6/78,0)</f>
        <v>135367.58170927726</v>
      </c>
      <c r="N6" s="8">
        <f t="shared" si="4"/>
        <v>29213195.613046642</v>
      </c>
      <c r="O6" s="8">
        <v>72048.063548934719</v>
      </c>
      <c r="P6" s="8">
        <v>506</v>
      </c>
      <c r="Q6" s="8">
        <v>496538.68121442117</v>
      </c>
      <c r="R6" s="2">
        <v>1781.5349219391949</v>
      </c>
      <c r="S6" s="7">
        <v>9728</v>
      </c>
      <c r="T6" s="2">
        <v>37273.723908918437</v>
      </c>
      <c r="U6" s="2">
        <v>101.18464351005484</v>
      </c>
      <c r="V6" s="9">
        <v>413</v>
      </c>
      <c r="W6" s="2">
        <v>115385.56412729078</v>
      </c>
      <c r="X6" s="4">
        <v>334</v>
      </c>
      <c r="Y6" s="8">
        <f>Weather!C6</f>
        <v>272.16875000000005</v>
      </c>
      <c r="Z6" s="8">
        <f>Weather!D6</f>
        <v>0.44583333333333286</v>
      </c>
      <c r="AA6" s="8">
        <f>Weather!E6</f>
        <v>212.16874999999999</v>
      </c>
      <c r="AB6" s="8">
        <f>Weather!F6</f>
        <v>2.4458333333333329</v>
      </c>
      <c r="AC6" s="8">
        <f>Weather!G6</f>
        <v>157.91874999999999</v>
      </c>
      <c r="AD6" s="8">
        <f>Weather!H6</f>
        <v>10.19583333333334</v>
      </c>
      <c r="AE6" s="8">
        <f>Weather!I6</f>
        <v>112.65624999999999</v>
      </c>
      <c r="AF6" s="8">
        <f>Weather!J6</f>
        <v>26.933333333333344</v>
      </c>
      <c r="AG6" s="8">
        <f>Weather!K6</f>
        <v>74.822916666666671</v>
      </c>
      <c r="AH6" s="8">
        <f>Weather!L6</f>
        <v>51.100000000000009</v>
      </c>
      <c r="AI6" s="8">
        <f>Weather!M6</f>
        <v>45.758333333333333</v>
      </c>
      <c r="AJ6" s="8">
        <f>Weather!N6</f>
        <v>84.035416666666677</v>
      </c>
      <c r="AK6" s="8">
        <f>Weather!O6</f>
        <v>22.237500000000001</v>
      </c>
      <c r="AL6" s="8">
        <f>Weather!P6</f>
        <v>122.51458333333333</v>
      </c>
      <c r="AM6" s="2">
        <f>Weather!Q6</f>
        <v>11.234744623655915</v>
      </c>
      <c r="AN6" s="8">
        <f>Economic!C6</f>
        <v>6821.5</v>
      </c>
      <c r="AO6" s="8">
        <f>Economic!D6</f>
        <v>6790.3</v>
      </c>
      <c r="AP6" s="8">
        <f>Economic!E6</f>
        <v>82.3</v>
      </c>
      <c r="AQ6" s="8">
        <f>Economic!F6</f>
        <v>82</v>
      </c>
      <c r="AR6" s="8">
        <f>Economic!G6</f>
        <v>708787.6</v>
      </c>
      <c r="AS6" s="8">
        <f>Economic!H6</f>
        <v>8082.4</v>
      </c>
      <c r="AT6" s="8">
        <f>Economic!I6</f>
        <v>705966</v>
      </c>
      <c r="AU6" s="8">
        <f>Economic!J6</f>
        <v>8153</v>
      </c>
      <c r="AV6" s="1">
        <f t="shared" si="23"/>
        <v>5</v>
      </c>
      <c r="AW6" s="1">
        <v>0</v>
      </c>
      <c r="AX6" s="1">
        <v>0</v>
      </c>
      <c r="AY6" s="1">
        <v>0</v>
      </c>
      <c r="AZ6" s="1">
        <v>0</v>
      </c>
      <c r="BA6" s="1">
        <v>1</v>
      </c>
      <c r="BB6" s="1">
        <v>0</v>
      </c>
      <c r="BC6" s="1">
        <v>0</v>
      </c>
      <c r="BD6" s="1">
        <v>0</v>
      </c>
      <c r="BE6" s="1">
        <v>0</v>
      </c>
      <c r="BF6" s="1">
        <v>0</v>
      </c>
      <c r="BG6" s="1">
        <v>0</v>
      </c>
      <c r="BH6" s="1">
        <v>0</v>
      </c>
      <c r="BI6" s="1">
        <v>1</v>
      </c>
      <c r="BJ6" s="1">
        <v>0</v>
      </c>
      <c r="BK6" s="1">
        <v>1</v>
      </c>
      <c r="BL6" s="1">
        <v>1</v>
      </c>
      <c r="BM6" s="1">
        <v>0</v>
      </c>
      <c r="BN6" s="1">
        <v>1</v>
      </c>
      <c r="BO6">
        <v>31</v>
      </c>
      <c r="BP6">
        <v>22</v>
      </c>
      <c r="BQ6">
        <v>0</v>
      </c>
      <c r="BR6">
        <v>0</v>
      </c>
      <c r="BS6">
        <v>0</v>
      </c>
      <c r="BT6">
        <v>0</v>
      </c>
      <c r="BU6" s="126">
        <f t="shared" si="9"/>
        <v>0</v>
      </c>
      <c r="BV6" s="126">
        <f t="shared" si="10"/>
        <v>0</v>
      </c>
      <c r="BW6" s="126">
        <f t="shared" si="11"/>
        <v>0</v>
      </c>
      <c r="BX6" s="126">
        <f t="shared" si="12"/>
        <v>0</v>
      </c>
      <c r="BY6" s="126">
        <f t="shared" si="13"/>
        <v>0</v>
      </c>
      <c r="BZ6" s="126">
        <f t="shared" si="14"/>
        <v>0</v>
      </c>
      <c r="CA6" s="126">
        <f t="shared" si="15"/>
        <v>0</v>
      </c>
      <c r="CB6" s="126">
        <f t="shared" si="16"/>
        <v>0</v>
      </c>
      <c r="CC6" s="126">
        <f t="shared" si="17"/>
        <v>0</v>
      </c>
      <c r="CD6" s="126">
        <f t="shared" si="18"/>
        <v>0</v>
      </c>
      <c r="CE6" s="126">
        <f t="shared" si="19"/>
        <v>0</v>
      </c>
      <c r="CF6" s="126">
        <f t="shared" si="20"/>
        <v>0</v>
      </c>
      <c r="CG6" s="126">
        <f t="shared" si="21"/>
        <v>0</v>
      </c>
      <c r="CH6" s="126">
        <f t="shared" si="22"/>
        <v>0</v>
      </c>
      <c r="CI6" s="66">
        <f t="shared" si="6"/>
        <v>883377.44804888219</v>
      </c>
      <c r="CJ6" s="66">
        <f t="shared" si="7"/>
        <v>354875.77276177716</v>
      </c>
      <c r="CK6" s="66">
        <f t="shared" si="8"/>
        <v>942361.14880795626</v>
      </c>
    </row>
    <row r="7" spans="1:89" x14ac:dyDescent="0.2">
      <c r="A7" s="101">
        <v>41791</v>
      </c>
      <c r="B7" s="3">
        <f t="shared" si="0"/>
        <v>2014</v>
      </c>
      <c r="C7" s="3">
        <f t="shared" ref="C7:C61" si="24">MONTH(A7)</f>
        <v>6</v>
      </c>
      <c r="D7" s="8">
        <v>24474897.388553303</v>
      </c>
      <c r="E7" s="8">
        <f>IFERROR(VLOOKUP($B7-1,CDM!$L$4:$R$15,2,FALSE)/12,0)+IFERROR(VLOOKUP($B7,CDM!$L$33:$O$44,2,FALSE)/24,0)+IFERROR(VLOOKUP($B7,CDM!$L$33:$O$44,2,FALSE)/2*$C7/78,0)</f>
        <v>166056.61461724443</v>
      </c>
      <c r="F7" s="8">
        <f t="shared" ref="F7:F70" si="25">D7+E7</f>
        <v>24640954.003170546</v>
      </c>
      <c r="G7" s="8">
        <v>42622</v>
      </c>
      <c r="H7" s="2">
        <v>10508919.920623412</v>
      </c>
      <c r="I7" s="8">
        <f>IFERROR(VLOOKUP($B7-1,CDM!$L$4:$R$15,3,FALSE)/12,0)+IFERROR(VLOOKUP($B7,CDM!$L$33:$O$44,3,FALSE)/24,0)+IFERROR(VLOOKUP($B7,CDM!$L$33:$O$44,3,FALSE)/2*$C7/78,0)</f>
        <v>37472.791665584933</v>
      </c>
      <c r="J7" s="8">
        <f t="shared" ref="J7:J70" si="26">H7+I7</f>
        <v>10546392.712288998</v>
      </c>
      <c r="K7" s="8">
        <v>3986</v>
      </c>
      <c r="L7" s="8">
        <v>27920269.231459297</v>
      </c>
      <c r="M7" s="8">
        <f>IFERROR(VLOOKUP($B7-1,CDM!$L$4:$R$15,4,FALSE)/12,0)+IFERROR(VLOOKUP($B7,CDM!$L$33:$O$44,4,FALSE)/24,0)+IFERROR(VLOOKUP($B7,CDM!$L$33:$O$44,4,FALSE)/2*$C7/78,0)</f>
        <v>147138.67577095353</v>
      </c>
      <c r="N7" s="8">
        <f t="shared" ref="N7:N70" si="27">L7+M7</f>
        <v>28067407.907230251</v>
      </c>
      <c r="O7" s="8">
        <v>69179.903317525313</v>
      </c>
      <c r="P7" s="8">
        <v>506</v>
      </c>
      <c r="Q7" s="8">
        <v>441254.29791271343</v>
      </c>
      <c r="R7" s="2">
        <v>1781.5349219391949</v>
      </c>
      <c r="S7" s="7">
        <v>9728</v>
      </c>
      <c r="T7" s="2">
        <v>36069.264705882386</v>
      </c>
      <c r="U7" s="2">
        <v>101.18464351005484</v>
      </c>
      <c r="V7" s="9">
        <v>413</v>
      </c>
      <c r="W7" s="2">
        <v>111663.44915544188</v>
      </c>
      <c r="X7" s="4">
        <v>334</v>
      </c>
      <c r="Y7" s="8">
        <f>Weather!C7</f>
        <v>92.066666666666663</v>
      </c>
      <c r="Z7" s="8">
        <f>Weather!D7</f>
        <v>6.9208333333333343</v>
      </c>
      <c r="AA7" s="8">
        <f>Weather!E7</f>
        <v>46.591666666666683</v>
      </c>
      <c r="AB7" s="8">
        <f>Weather!F7</f>
        <v>21.445833333333336</v>
      </c>
      <c r="AC7" s="8">
        <f>Weather!G7</f>
        <v>17.608333333333334</v>
      </c>
      <c r="AD7" s="8">
        <f>Weather!H7</f>
        <v>52.462500000000006</v>
      </c>
      <c r="AE7" s="8">
        <f>Weather!I7</f>
        <v>5.9916666666666618</v>
      </c>
      <c r="AF7" s="8">
        <f>Weather!J7</f>
        <v>100.84583333333332</v>
      </c>
      <c r="AG7" s="8">
        <f>Weather!K7</f>
        <v>0.90833333333333144</v>
      </c>
      <c r="AH7" s="8">
        <f>Weather!L7</f>
        <v>155.76249999999999</v>
      </c>
      <c r="AI7" s="8">
        <f>Weather!M7</f>
        <v>0</v>
      </c>
      <c r="AJ7" s="8">
        <f>Weather!N7</f>
        <v>214.85416666666669</v>
      </c>
      <c r="AK7" s="8">
        <f>Weather!O7</f>
        <v>0</v>
      </c>
      <c r="AL7" s="8">
        <f>Weather!P7</f>
        <v>274.85416666666663</v>
      </c>
      <c r="AM7" s="2">
        <f>Weather!Q7</f>
        <v>17.161805555555556</v>
      </c>
      <c r="AN7" s="8">
        <f>Economic!C7</f>
        <v>6826.1</v>
      </c>
      <c r="AO7" s="8">
        <f>Economic!D7</f>
        <v>6875.4</v>
      </c>
      <c r="AP7" s="8">
        <f>Economic!E7</f>
        <v>82</v>
      </c>
      <c r="AQ7" s="8">
        <f>Economic!F7</f>
        <v>82.8</v>
      </c>
      <c r="AR7" s="8">
        <f>Economic!G7</f>
        <v>708787.6</v>
      </c>
      <c r="AS7" s="8">
        <f>Economic!H7</f>
        <v>8082.4</v>
      </c>
      <c r="AT7" s="8">
        <f>Economic!I7</f>
        <v>705966</v>
      </c>
      <c r="AU7" s="8">
        <f>Economic!J7</f>
        <v>8153</v>
      </c>
      <c r="AV7" s="1">
        <f t="shared" si="23"/>
        <v>6</v>
      </c>
      <c r="AW7" s="1">
        <v>0</v>
      </c>
      <c r="AX7" s="1">
        <v>0</v>
      </c>
      <c r="AY7" s="1">
        <v>0</v>
      </c>
      <c r="AZ7" s="1">
        <v>0</v>
      </c>
      <c r="BA7" s="1">
        <v>0</v>
      </c>
      <c r="BB7" s="1">
        <v>1</v>
      </c>
      <c r="BC7" s="1">
        <v>0</v>
      </c>
      <c r="BD7" s="1">
        <v>0</v>
      </c>
      <c r="BE7" s="1">
        <v>0</v>
      </c>
      <c r="BF7" s="1">
        <v>0</v>
      </c>
      <c r="BG7" s="1">
        <v>0</v>
      </c>
      <c r="BH7" s="1">
        <v>0</v>
      </c>
      <c r="BI7" s="1">
        <v>0</v>
      </c>
      <c r="BJ7" s="1">
        <v>0</v>
      </c>
      <c r="BK7" s="1">
        <v>0</v>
      </c>
      <c r="BL7" s="1">
        <v>0</v>
      </c>
      <c r="BM7" s="1">
        <v>0</v>
      </c>
      <c r="BN7" s="1">
        <v>0</v>
      </c>
      <c r="BO7">
        <v>30</v>
      </c>
      <c r="BP7">
        <v>21</v>
      </c>
      <c r="BQ7">
        <v>0</v>
      </c>
      <c r="BR7">
        <v>0</v>
      </c>
      <c r="BS7">
        <v>0</v>
      </c>
      <c r="BT7">
        <v>0</v>
      </c>
      <c r="BU7" s="126">
        <f t="shared" si="9"/>
        <v>0</v>
      </c>
      <c r="BV7" s="126">
        <f t="shared" si="10"/>
        <v>0</v>
      </c>
      <c r="BW7" s="126">
        <f t="shared" si="11"/>
        <v>0</v>
      </c>
      <c r="BX7" s="126">
        <f t="shared" si="12"/>
        <v>0</v>
      </c>
      <c r="BY7" s="126">
        <f t="shared" si="13"/>
        <v>0</v>
      </c>
      <c r="BZ7" s="126">
        <f t="shared" si="14"/>
        <v>0</v>
      </c>
      <c r="CA7" s="126">
        <f t="shared" si="15"/>
        <v>0</v>
      </c>
      <c r="CB7" s="126">
        <f t="shared" si="16"/>
        <v>0</v>
      </c>
      <c r="CC7" s="126">
        <f t="shared" si="17"/>
        <v>0</v>
      </c>
      <c r="CD7" s="126">
        <f t="shared" si="18"/>
        <v>0</v>
      </c>
      <c r="CE7" s="126">
        <f t="shared" si="19"/>
        <v>0</v>
      </c>
      <c r="CF7" s="126">
        <f t="shared" si="20"/>
        <v>0</v>
      </c>
      <c r="CG7" s="126">
        <f t="shared" si="21"/>
        <v>0</v>
      </c>
      <c r="CH7" s="126">
        <f t="shared" si="22"/>
        <v>0</v>
      </c>
      <c r="CI7" s="66">
        <f t="shared" si="6"/>
        <v>821365.13343901816</v>
      </c>
      <c r="CJ7" s="66">
        <f t="shared" si="7"/>
        <v>350297.3306874471</v>
      </c>
      <c r="CK7" s="66">
        <f t="shared" si="8"/>
        <v>935580.26357434166</v>
      </c>
    </row>
    <row r="8" spans="1:89" x14ac:dyDescent="0.2">
      <c r="A8" s="101">
        <v>41821</v>
      </c>
      <c r="B8" s="3">
        <f t="shared" si="0"/>
        <v>2014</v>
      </c>
      <c r="C8" s="3">
        <f t="shared" si="24"/>
        <v>7</v>
      </c>
      <c r="D8" s="8">
        <v>24815427.961209074</v>
      </c>
      <c r="E8" s="8">
        <f>IFERROR(VLOOKUP($B8-1,CDM!$L$4:$R$15,2,FALSE)/12,0)+IFERROR(VLOOKUP($B8,CDM!$L$33:$O$44,2,FALSE)/24,0)+IFERROR(VLOOKUP($B8,CDM!$L$33:$O$44,2,FALSE)/2*$C8/78,0)</f>
        <v>179341.14378662399</v>
      </c>
      <c r="F8" s="8">
        <f t="shared" si="25"/>
        <v>24994769.104995698</v>
      </c>
      <c r="G8" s="8">
        <v>42618</v>
      </c>
      <c r="H8" s="2">
        <v>10787172.324980062</v>
      </c>
      <c r="I8" s="8">
        <f>IFERROR(VLOOKUP($B8-1,CDM!$L$4:$R$15,3,FALSE)/12,0)+IFERROR(VLOOKUP($B8,CDM!$L$33:$O$44,3,FALSE)/24,0)+IFERROR(VLOOKUP($B8,CDM!$L$33:$O$44,3,FALSE)/2*$C8/78,0)</f>
        <v>40470.614998831727</v>
      </c>
      <c r="J8" s="8">
        <f t="shared" si="26"/>
        <v>10827642.939978894</v>
      </c>
      <c r="K8" s="8">
        <v>3987</v>
      </c>
      <c r="L8" s="8">
        <v>27860486.925324831</v>
      </c>
      <c r="M8" s="8">
        <f>IFERROR(VLOOKUP($B8-1,CDM!$L$4:$R$15,4,FALSE)/12,0)+IFERROR(VLOOKUP($B8,CDM!$L$33:$O$44,4,FALSE)/24,0)+IFERROR(VLOOKUP($B8,CDM!$L$33:$O$44,4,FALSE)/2*$C8/78,0)</f>
        <v>158909.76983262983</v>
      </c>
      <c r="N8" s="8">
        <f t="shared" si="27"/>
        <v>28019396.695157461</v>
      </c>
      <c r="O8" s="8">
        <v>69031.776731631893</v>
      </c>
      <c r="P8" s="8">
        <v>509</v>
      </c>
      <c r="Q8" s="8">
        <v>475239.9715370019</v>
      </c>
      <c r="R8" s="2">
        <v>1784.4650780608054</v>
      </c>
      <c r="S8" s="7">
        <v>9744</v>
      </c>
      <c r="T8" s="2">
        <v>37273.723908918422</v>
      </c>
      <c r="U8" s="2">
        <v>101.18464351005484</v>
      </c>
      <c r="V8" s="9">
        <v>413</v>
      </c>
      <c r="W8" s="2">
        <v>114441.14449364002</v>
      </c>
      <c r="X8" s="4">
        <v>333</v>
      </c>
      <c r="Y8" s="8">
        <f>Weather!C8</f>
        <v>103.67916666666667</v>
      </c>
      <c r="Z8" s="8">
        <f>Weather!D8</f>
        <v>2.4083333333333279</v>
      </c>
      <c r="AA8" s="8">
        <f>Weather!E8</f>
        <v>54.441666666666691</v>
      </c>
      <c r="AB8" s="8">
        <f>Weather!F8</f>
        <v>15.170833333333327</v>
      </c>
      <c r="AC8" s="8">
        <f>Weather!G8</f>
        <v>23.037500000000009</v>
      </c>
      <c r="AD8" s="8">
        <f>Weather!H8</f>
        <v>45.766666666666652</v>
      </c>
      <c r="AE8" s="8">
        <f>Weather!I8</f>
        <v>5.15</v>
      </c>
      <c r="AF8" s="8">
        <f>Weather!J8</f>
        <v>89.879166666666649</v>
      </c>
      <c r="AG8" s="8">
        <f>Weather!K8</f>
        <v>0</v>
      </c>
      <c r="AH8" s="8">
        <f>Weather!L8</f>
        <v>146.72916666666663</v>
      </c>
      <c r="AI8" s="8">
        <f>Weather!M8</f>
        <v>0</v>
      </c>
      <c r="AJ8" s="8">
        <f>Weather!N8</f>
        <v>208.72916666666663</v>
      </c>
      <c r="AK8" s="8">
        <f>Weather!O8</f>
        <v>0</v>
      </c>
      <c r="AL8" s="8">
        <f>Weather!P8</f>
        <v>270.72916666666669</v>
      </c>
      <c r="AM8" s="2">
        <f>Weather!Q8</f>
        <v>16.73319892473118</v>
      </c>
      <c r="AN8" s="8">
        <f>Economic!C8</f>
        <v>6836.5</v>
      </c>
      <c r="AO8" s="8">
        <f>Economic!D8</f>
        <v>6932</v>
      </c>
      <c r="AP8" s="8">
        <f>Economic!E8</f>
        <v>82.4</v>
      </c>
      <c r="AQ8" s="8">
        <f>Economic!F8</f>
        <v>83.8</v>
      </c>
      <c r="AR8" s="8">
        <f>Economic!G8</f>
        <v>708787.6</v>
      </c>
      <c r="AS8" s="8">
        <f>Economic!H8</f>
        <v>8082.4</v>
      </c>
      <c r="AT8" s="8">
        <f>Economic!I8</f>
        <v>713152</v>
      </c>
      <c r="AU8" s="8">
        <f>Economic!J8</f>
        <v>8324</v>
      </c>
      <c r="AV8" s="1">
        <f t="shared" si="23"/>
        <v>7</v>
      </c>
      <c r="AW8" s="1">
        <v>0</v>
      </c>
      <c r="AX8" s="1">
        <v>0</v>
      </c>
      <c r="AY8" s="1">
        <v>0</v>
      </c>
      <c r="AZ8" s="1">
        <v>0</v>
      </c>
      <c r="BA8" s="1">
        <v>0</v>
      </c>
      <c r="BB8" s="1">
        <v>0</v>
      </c>
      <c r="BC8" s="1">
        <v>1</v>
      </c>
      <c r="BD8" s="1">
        <v>0</v>
      </c>
      <c r="BE8" s="1">
        <v>0</v>
      </c>
      <c r="BF8" s="1">
        <v>0</v>
      </c>
      <c r="BG8" s="1">
        <v>0</v>
      </c>
      <c r="BH8" s="1">
        <v>0</v>
      </c>
      <c r="BI8" s="1">
        <v>0</v>
      </c>
      <c r="BJ8" s="1">
        <v>0</v>
      </c>
      <c r="BK8" s="1">
        <v>0</v>
      </c>
      <c r="BL8" s="1">
        <v>0</v>
      </c>
      <c r="BM8" s="1">
        <v>0</v>
      </c>
      <c r="BN8" s="1">
        <v>0</v>
      </c>
      <c r="BO8">
        <v>31</v>
      </c>
      <c r="BP8">
        <v>22</v>
      </c>
      <c r="BQ8">
        <v>0</v>
      </c>
      <c r="BR8">
        <v>0</v>
      </c>
      <c r="BS8">
        <v>0</v>
      </c>
      <c r="BT8">
        <v>0</v>
      </c>
      <c r="BU8" s="126">
        <f t="shared" si="9"/>
        <v>0</v>
      </c>
      <c r="BV8" s="126">
        <f t="shared" si="10"/>
        <v>0</v>
      </c>
      <c r="BW8" s="126">
        <f t="shared" si="11"/>
        <v>0</v>
      </c>
      <c r="BX8" s="126">
        <f t="shared" si="12"/>
        <v>0</v>
      </c>
      <c r="BY8" s="126">
        <f t="shared" si="13"/>
        <v>0</v>
      </c>
      <c r="BZ8" s="126">
        <f t="shared" si="14"/>
        <v>0</v>
      </c>
      <c r="CA8" s="126">
        <f t="shared" si="15"/>
        <v>0</v>
      </c>
      <c r="CB8" s="126">
        <f t="shared" si="16"/>
        <v>0</v>
      </c>
      <c r="CC8" s="126">
        <f t="shared" si="17"/>
        <v>0</v>
      </c>
      <c r="CD8" s="126">
        <f t="shared" si="18"/>
        <v>0</v>
      </c>
      <c r="CE8" s="126">
        <f t="shared" si="19"/>
        <v>0</v>
      </c>
      <c r="CF8" s="126">
        <f t="shared" si="20"/>
        <v>0</v>
      </c>
      <c r="CG8" s="126">
        <f t="shared" si="21"/>
        <v>0</v>
      </c>
      <c r="CH8" s="126">
        <f t="shared" si="22"/>
        <v>0</v>
      </c>
      <c r="CI8" s="66">
        <f t="shared" si="6"/>
        <v>806282.87435469998</v>
      </c>
      <c r="CJ8" s="66">
        <f t="shared" si="7"/>
        <v>347973.30080580845</v>
      </c>
      <c r="CK8" s="66">
        <f t="shared" si="8"/>
        <v>903851.50629540195</v>
      </c>
    </row>
    <row r="9" spans="1:89" x14ac:dyDescent="0.2">
      <c r="A9" s="101">
        <v>41852</v>
      </c>
      <c r="B9" s="3">
        <f t="shared" si="0"/>
        <v>2014</v>
      </c>
      <c r="C9" s="3">
        <f t="shared" si="24"/>
        <v>8</v>
      </c>
      <c r="D9" s="8">
        <v>24906971.037229616</v>
      </c>
      <c r="E9" s="8">
        <f>IFERROR(VLOOKUP($B9-1,CDM!$L$4:$R$15,2,FALSE)/12,0)+IFERROR(VLOOKUP($B9,CDM!$L$33:$O$44,2,FALSE)/24,0)+IFERROR(VLOOKUP($B9,CDM!$L$33:$O$44,2,FALSE)/2*$C9/78,0)</f>
        <v>192625.67295600355</v>
      </c>
      <c r="F9" s="8">
        <f t="shared" si="25"/>
        <v>25099596.710185621</v>
      </c>
      <c r="G9" s="8">
        <v>42618</v>
      </c>
      <c r="H9" s="2">
        <v>10690684.239202976</v>
      </c>
      <c r="I9" s="8">
        <f>IFERROR(VLOOKUP($B9-1,CDM!$L$4:$R$15,3,FALSE)/12,0)+IFERROR(VLOOKUP($B9,CDM!$L$33:$O$44,3,FALSE)/24,0)+IFERROR(VLOOKUP($B9,CDM!$L$33:$O$44,3,FALSE)/2*$C9/78,0)</f>
        <v>43468.43833207852</v>
      </c>
      <c r="J9" s="8">
        <f t="shared" si="26"/>
        <v>10734152.677535055</v>
      </c>
      <c r="K9" s="8">
        <v>3987</v>
      </c>
      <c r="L9" s="8">
        <v>27969559.419198349</v>
      </c>
      <c r="M9" s="8">
        <f>IFERROR(VLOOKUP($B9-1,CDM!$L$4:$R$15,4,FALSE)/12,0)+IFERROR(VLOOKUP($B9,CDM!$L$33:$O$44,4,FALSE)/24,0)+IFERROR(VLOOKUP($B9,CDM!$L$33:$O$44,4,FALSE)/2*$C9/78,0)</f>
        <v>170680.86389430612</v>
      </c>
      <c r="N9" s="8">
        <f t="shared" si="27"/>
        <v>28140240.283092655</v>
      </c>
      <c r="O9" s="8">
        <v>69302.032885618741</v>
      </c>
      <c r="P9" s="8">
        <v>509</v>
      </c>
      <c r="Q9" s="8">
        <v>544861.80265654647</v>
      </c>
      <c r="R9" s="2">
        <v>1784.4650780608054</v>
      </c>
      <c r="S9" s="7">
        <v>9744</v>
      </c>
      <c r="T9" s="2">
        <v>37273.723908918422</v>
      </c>
      <c r="U9" s="2">
        <v>101.18464351005484</v>
      </c>
      <c r="V9" s="9">
        <v>413</v>
      </c>
      <c r="W9" s="2">
        <v>114112.84981376112</v>
      </c>
      <c r="X9" s="4">
        <v>333</v>
      </c>
      <c r="Y9" s="8">
        <f>Weather!C9</f>
        <v>99.397916666666674</v>
      </c>
      <c r="Z9" s="8">
        <f>Weather!D9</f>
        <v>2.7708333333333357</v>
      </c>
      <c r="AA9" s="8">
        <f>Weather!E9</f>
        <v>55.460416666666688</v>
      </c>
      <c r="AB9" s="8">
        <f>Weather!F9</f>
        <v>20.833333333333353</v>
      </c>
      <c r="AC9" s="8">
        <f>Weather!G9</f>
        <v>27.906250000000014</v>
      </c>
      <c r="AD9" s="8">
        <f>Weather!H9</f>
        <v>55.279166666666697</v>
      </c>
      <c r="AE9" s="8">
        <f>Weather!I9</f>
        <v>10.464583333333341</v>
      </c>
      <c r="AF9" s="8">
        <f>Weather!J9</f>
        <v>99.837500000000034</v>
      </c>
      <c r="AG9" s="8">
        <f>Weather!K9</f>
        <v>3.9541666666666693</v>
      </c>
      <c r="AH9" s="8">
        <f>Weather!L9</f>
        <v>155.32708333333335</v>
      </c>
      <c r="AI9" s="8">
        <f>Weather!M9</f>
        <v>1.1333333333333346</v>
      </c>
      <c r="AJ9" s="8">
        <f>Weather!N9</f>
        <v>214.50625000000002</v>
      </c>
      <c r="AK9" s="8">
        <f>Weather!O9</f>
        <v>0</v>
      </c>
      <c r="AL9" s="8">
        <f>Weather!P9</f>
        <v>275.3729166666667</v>
      </c>
      <c r="AM9" s="2">
        <f>Weather!Q9</f>
        <v>16.882997311827953</v>
      </c>
      <c r="AN9" s="8">
        <f>Economic!C9</f>
        <v>6842.5</v>
      </c>
      <c r="AO9" s="8">
        <f>Economic!D9</f>
        <v>6947.8</v>
      </c>
      <c r="AP9" s="8">
        <f>Economic!E9</f>
        <v>82.5</v>
      </c>
      <c r="AQ9" s="8">
        <f>Economic!F9</f>
        <v>84.2</v>
      </c>
      <c r="AR9" s="8">
        <f>Economic!G9</f>
        <v>708787.6</v>
      </c>
      <c r="AS9" s="8">
        <f>Economic!H9</f>
        <v>8082.4</v>
      </c>
      <c r="AT9" s="8">
        <f>Economic!I9</f>
        <v>713152</v>
      </c>
      <c r="AU9" s="8">
        <f>Economic!J9</f>
        <v>8324</v>
      </c>
      <c r="AV9" s="1">
        <f t="shared" si="23"/>
        <v>8</v>
      </c>
      <c r="AW9" s="1">
        <v>0</v>
      </c>
      <c r="AX9" s="1">
        <v>0</v>
      </c>
      <c r="AY9" s="1">
        <v>0</v>
      </c>
      <c r="AZ9" s="1">
        <v>0</v>
      </c>
      <c r="BA9" s="1">
        <v>0</v>
      </c>
      <c r="BB9" s="1">
        <v>0</v>
      </c>
      <c r="BC9" s="1">
        <v>0</v>
      </c>
      <c r="BD9" s="1">
        <v>1</v>
      </c>
      <c r="BE9" s="1">
        <v>0</v>
      </c>
      <c r="BF9" s="1">
        <v>0</v>
      </c>
      <c r="BG9" s="1">
        <v>0</v>
      </c>
      <c r="BH9" s="1">
        <v>0</v>
      </c>
      <c r="BI9" s="1">
        <v>0</v>
      </c>
      <c r="BJ9" s="1">
        <v>0</v>
      </c>
      <c r="BK9" s="1">
        <v>0</v>
      </c>
      <c r="BL9" s="1">
        <v>0</v>
      </c>
      <c r="BM9" s="1">
        <v>0</v>
      </c>
      <c r="BN9" s="1">
        <v>0</v>
      </c>
      <c r="BO9">
        <v>31</v>
      </c>
      <c r="BP9">
        <v>20</v>
      </c>
      <c r="BQ9">
        <v>0</v>
      </c>
      <c r="BR9">
        <v>0</v>
      </c>
      <c r="BS9">
        <v>0</v>
      </c>
      <c r="BT9">
        <v>0</v>
      </c>
      <c r="BU9" s="126">
        <f t="shared" si="9"/>
        <v>0</v>
      </c>
      <c r="BV9" s="126">
        <f t="shared" si="10"/>
        <v>0</v>
      </c>
      <c r="BW9" s="126">
        <f t="shared" si="11"/>
        <v>0</v>
      </c>
      <c r="BX9" s="126">
        <f t="shared" si="12"/>
        <v>0</v>
      </c>
      <c r="BY9" s="126">
        <f t="shared" si="13"/>
        <v>0</v>
      </c>
      <c r="BZ9" s="126">
        <f t="shared" si="14"/>
        <v>0</v>
      </c>
      <c r="CA9" s="126">
        <f t="shared" si="15"/>
        <v>0</v>
      </c>
      <c r="CB9" s="126">
        <f t="shared" si="16"/>
        <v>0</v>
      </c>
      <c r="CC9" s="126">
        <f t="shared" si="17"/>
        <v>0</v>
      </c>
      <c r="CD9" s="126">
        <f t="shared" si="18"/>
        <v>0</v>
      </c>
      <c r="CE9" s="126">
        <f t="shared" si="19"/>
        <v>0</v>
      </c>
      <c r="CF9" s="126">
        <f t="shared" si="20"/>
        <v>0</v>
      </c>
      <c r="CG9" s="126">
        <f t="shared" si="21"/>
        <v>0</v>
      </c>
      <c r="CH9" s="126">
        <f t="shared" si="22"/>
        <v>0</v>
      </c>
      <c r="CI9" s="66">
        <f t="shared" si="6"/>
        <v>809664.41000598774</v>
      </c>
      <c r="CJ9" s="66">
        <f t="shared" si="7"/>
        <v>344860.78190977342</v>
      </c>
      <c r="CK9" s="66">
        <f t="shared" si="8"/>
        <v>907749.68655137601</v>
      </c>
    </row>
    <row r="10" spans="1:89" x14ac:dyDescent="0.2">
      <c r="A10" s="101">
        <v>41883</v>
      </c>
      <c r="B10" s="3">
        <f t="shared" si="0"/>
        <v>2014</v>
      </c>
      <c r="C10" s="3">
        <f t="shared" si="24"/>
        <v>9</v>
      </c>
      <c r="D10" s="8">
        <v>25204006.662983</v>
      </c>
      <c r="E10" s="8">
        <f>IFERROR(VLOOKUP($B10-1,CDM!$L$4:$R$15,2,FALSE)/12,0)+IFERROR(VLOOKUP($B10,CDM!$L$33:$O$44,2,FALSE)/24,0)+IFERROR(VLOOKUP($B10,CDM!$L$33:$O$44,2,FALSE)/2*$C10/78,0)</f>
        <v>205910.2021253831</v>
      </c>
      <c r="F10" s="8">
        <f t="shared" si="25"/>
        <v>25409916.865108382</v>
      </c>
      <c r="G10" s="8">
        <v>42618</v>
      </c>
      <c r="H10" s="2">
        <v>10229284.221668828</v>
      </c>
      <c r="I10" s="8">
        <f>IFERROR(VLOOKUP($B10-1,CDM!$L$4:$R$15,3,FALSE)/12,0)+IFERROR(VLOOKUP($B10,CDM!$L$33:$O$44,3,FALSE)/24,0)+IFERROR(VLOOKUP($B10,CDM!$L$33:$O$44,3,FALSE)/2*$C10/78,0)</f>
        <v>46466.261665325321</v>
      </c>
      <c r="J10" s="8">
        <f t="shared" si="26"/>
        <v>10275750.483334154</v>
      </c>
      <c r="K10" s="8">
        <v>3987</v>
      </c>
      <c r="L10" s="8">
        <v>28259066.069258932</v>
      </c>
      <c r="M10" s="8">
        <f>IFERROR(VLOOKUP($B10-1,CDM!$L$4:$R$15,4,FALSE)/12,0)+IFERROR(VLOOKUP($B10,CDM!$L$33:$O$44,4,FALSE)/24,0)+IFERROR(VLOOKUP($B10,CDM!$L$33:$O$44,4,FALSE)/2*$C10/78,0)</f>
        <v>182451.95795598239</v>
      </c>
      <c r="N10" s="8">
        <f t="shared" si="27"/>
        <v>28441518.027214915</v>
      </c>
      <c r="O10" s="8">
        <v>70019.362718470249</v>
      </c>
      <c r="P10" s="8">
        <v>509</v>
      </c>
      <c r="Q10" s="8">
        <v>611810.1707779885</v>
      </c>
      <c r="R10" s="2">
        <v>1784.4650780608054</v>
      </c>
      <c r="S10" s="7">
        <v>9744</v>
      </c>
      <c r="T10" s="2">
        <v>36069.264705882386</v>
      </c>
      <c r="U10" s="2">
        <v>101.18464351005484</v>
      </c>
      <c r="V10" s="9">
        <v>413</v>
      </c>
      <c r="W10" s="2">
        <v>110218.78149038537</v>
      </c>
      <c r="X10" s="4">
        <v>333</v>
      </c>
      <c r="Y10" s="8">
        <f>Weather!C10</f>
        <v>233.62083333333331</v>
      </c>
      <c r="Z10" s="8">
        <f>Weather!D10</f>
        <v>0</v>
      </c>
      <c r="AA10" s="8">
        <f>Weather!E10</f>
        <v>174.86249999999995</v>
      </c>
      <c r="AB10" s="8">
        <f>Weather!F10</f>
        <v>1.2416666666666636</v>
      </c>
      <c r="AC10" s="8">
        <f>Weather!G10</f>
        <v>127.7375</v>
      </c>
      <c r="AD10" s="8">
        <f>Weather!H10</f>
        <v>14.11666666666666</v>
      </c>
      <c r="AE10" s="8">
        <f>Weather!I10</f>
        <v>90.399999999999991</v>
      </c>
      <c r="AF10" s="8">
        <f>Weather!J10</f>
        <v>36.779166666666654</v>
      </c>
      <c r="AG10" s="8">
        <f>Weather!K10</f>
        <v>60.024999999999991</v>
      </c>
      <c r="AH10" s="8">
        <f>Weather!L10</f>
        <v>66.404166666666654</v>
      </c>
      <c r="AI10" s="8">
        <f>Weather!M10</f>
        <v>35.229166666666664</v>
      </c>
      <c r="AJ10" s="8">
        <f>Weather!N10</f>
        <v>101.60833333333333</v>
      </c>
      <c r="AK10" s="8">
        <f>Weather!O10</f>
        <v>14.124999999999998</v>
      </c>
      <c r="AL10" s="8">
        <f>Weather!P10</f>
        <v>140.50416666666669</v>
      </c>
      <c r="AM10" s="2">
        <f>Weather!Q10</f>
        <v>12.212638888888886</v>
      </c>
      <c r="AN10" s="8">
        <f>Economic!C10</f>
        <v>6853.6</v>
      </c>
      <c r="AO10" s="8">
        <f>Economic!D10</f>
        <v>6917.2</v>
      </c>
      <c r="AP10" s="8">
        <f>Economic!E10</f>
        <v>83.3</v>
      </c>
      <c r="AQ10" s="8">
        <f>Economic!F10</f>
        <v>84.2</v>
      </c>
      <c r="AR10" s="8">
        <f>Economic!G10</f>
        <v>708787.6</v>
      </c>
      <c r="AS10" s="8">
        <f>Economic!H10</f>
        <v>8082.4</v>
      </c>
      <c r="AT10" s="8">
        <f>Economic!I10</f>
        <v>713152</v>
      </c>
      <c r="AU10" s="8">
        <f>Economic!J10</f>
        <v>8324</v>
      </c>
      <c r="AV10" s="1">
        <f t="shared" si="23"/>
        <v>9</v>
      </c>
      <c r="AW10" s="1">
        <v>0</v>
      </c>
      <c r="AX10" s="1">
        <v>0</v>
      </c>
      <c r="AY10" s="1">
        <v>0</v>
      </c>
      <c r="AZ10" s="1">
        <v>0</v>
      </c>
      <c r="BA10" s="1">
        <v>0</v>
      </c>
      <c r="BB10" s="1">
        <v>0</v>
      </c>
      <c r="BC10" s="1">
        <v>0</v>
      </c>
      <c r="BD10" s="1">
        <v>0</v>
      </c>
      <c r="BE10" s="1">
        <v>1</v>
      </c>
      <c r="BF10" s="1">
        <v>0</v>
      </c>
      <c r="BG10" s="1">
        <v>0</v>
      </c>
      <c r="BH10" s="1">
        <v>0</v>
      </c>
      <c r="BI10" s="1">
        <v>0</v>
      </c>
      <c r="BJ10" s="1">
        <v>1</v>
      </c>
      <c r="BK10" s="1">
        <v>1</v>
      </c>
      <c r="BL10" s="1">
        <v>0</v>
      </c>
      <c r="BM10" s="1">
        <v>1</v>
      </c>
      <c r="BN10" s="1">
        <v>1</v>
      </c>
      <c r="BO10">
        <v>30</v>
      </c>
      <c r="BP10">
        <v>21</v>
      </c>
      <c r="BQ10">
        <v>0</v>
      </c>
      <c r="BR10">
        <v>0</v>
      </c>
      <c r="BS10">
        <v>0</v>
      </c>
      <c r="BT10">
        <v>0</v>
      </c>
      <c r="BU10" s="126">
        <f t="shared" si="9"/>
        <v>0</v>
      </c>
      <c r="BV10" s="126">
        <f t="shared" si="10"/>
        <v>0</v>
      </c>
      <c r="BW10" s="126">
        <f t="shared" si="11"/>
        <v>0</v>
      </c>
      <c r="BX10" s="126">
        <f t="shared" si="12"/>
        <v>0</v>
      </c>
      <c r="BY10" s="126">
        <f t="shared" si="13"/>
        <v>0</v>
      </c>
      <c r="BZ10" s="126">
        <f t="shared" si="14"/>
        <v>0</v>
      </c>
      <c r="CA10" s="126">
        <f t="shared" si="15"/>
        <v>0</v>
      </c>
      <c r="CB10" s="126">
        <f t="shared" si="16"/>
        <v>0</v>
      </c>
      <c r="CC10" s="126">
        <f t="shared" si="17"/>
        <v>0</v>
      </c>
      <c r="CD10" s="126">
        <f t="shared" si="18"/>
        <v>0</v>
      </c>
      <c r="CE10" s="126">
        <f t="shared" si="19"/>
        <v>0</v>
      </c>
      <c r="CF10" s="126">
        <f t="shared" si="20"/>
        <v>0</v>
      </c>
      <c r="CG10" s="126">
        <f t="shared" si="21"/>
        <v>0</v>
      </c>
      <c r="CH10" s="126">
        <f t="shared" si="22"/>
        <v>0</v>
      </c>
      <c r="CI10" s="66">
        <f t="shared" si="6"/>
        <v>846997.22883694607</v>
      </c>
      <c r="CJ10" s="66">
        <f t="shared" si="7"/>
        <v>340976.14072229428</v>
      </c>
      <c r="CK10" s="66">
        <f t="shared" si="8"/>
        <v>948050.60090716381</v>
      </c>
    </row>
    <row r="11" spans="1:89" x14ac:dyDescent="0.2">
      <c r="A11" s="101">
        <v>41913</v>
      </c>
      <c r="B11" s="3">
        <f t="shared" si="0"/>
        <v>2014</v>
      </c>
      <c r="C11" s="3">
        <f t="shared" si="24"/>
        <v>10</v>
      </c>
      <c r="D11" s="8">
        <v>29865057.783578724</v>
      </c>
      <c r="E11" s="8">
        <f>IFERROR(VLOOKUP($B11-1,CDM!$L$4:$R$15,2,FALSE)/12,0)+IFERROR(VLOOKUP($B11,CDM!$L$33:$O$44,2,FALSE)/24,0)+IFERROR(VLOOKUP($B11,CDM!$L$33:$O$44,2,FALSE)/2*$C11/78,0)</f>
        <v>219194.73129476263</v>
      </c>
      <c r="F11" s="8">
        <f t="shared" si="25"/>
        <v>30084252.514873486</v>
      </c>
      <c r="G11" s="8">
        <v>42680</v>
      </c>
      <c r="H11" s="2">
        <v>11235665.648191687</v>
      </c>
      <c r="I11" s="8">
        <f>IFERROR(VLOOKUP($B11-1,CDM!$L$4:$R$15,3,FALSE)/12,0)+IFERROR(VLOOKUP($B11,CDM!$L$33:$O$44,3,FALSE)/24,0)+IFERROR(VLOOKUP($B11,CDM!$L$33:$O$44,3,FALSE)/2*$C11/78,0)</f>
        <v>49464.084998572114</v>
      </c>
      <c r="J11" s="8">
        <f t="shared" si="26"/>
        <v>11285129.733190259</v>
      </c>
      <c r="K11" s="8">
        <v>3996</v>
      </c>
      <c r="L11" s="8">
        <v>30650228.528282408</v>
      </c>
      <c r="M11" s="8">
        <f>IFERROR(VLOOKUP($B11-1,CDM!$L$4:$R$15,4,FALSE)/12,0)+IFERROR(VLOOKUP($B11,CDM!$L$33:$O$44,4,FALSE)/24,0)+IFERROR(VLOOKUP($B11,CDM!$L$33:$O$44,4,FALSE)/2*$C11/78,0)</f>
        <v>194223.05201765866</v>
      </c>
      <c r="N11" s="8">
        <f t="shared" si="27"/>
        <v>30844451.580300067</v>
      </c>
      <c r="O11" s="8">
        <v>75944.104573944613</v>
      </c>
      <c r="P11" s="8">
        <v>511</v>
      </c>
      <c r="Q11" s="8">
        <v>722551.77419354825</v>
      </c>
      <c r="R11" s="2">
        <v>1784.4650780608054</v>
      </c>
      <c r="S11" s="7">
        <v>9744</v>
      </c>
      <c r="T11" s="2">
        <v>37273.723908918422</v>
      </c>
      <c r="U11" s="2">
        <v>100.44606946983546</v>
      </c>
      <c r="V11" s="9">
        <v>413</v>
      </c>
      <c r="W11" s="2">
        <v>112875.63081647281</v>
      </c>
      <c r="X11" s="4">
        <v>328</v>
      </c>
      <c r="Y11" s="8">
        <f>Weather!C11</f>
        <v>427.89998004923433</v>
      </c>
      <c r="Z11" s="8">
        <f>Weather!D11</f>
        <v>0</v>
      </c>
      <c r="AA11" s="8">
        <f>Weather!E11</f>
        <v>365.89998004923433</v>
      </c>
      <c r="AB11" s="8">
        <f>Weather!F11</f>
        <v>0</v>
      </c>
      <c r="AC11" s="8">
        <f>Weather!G11</f>
        <v>303.89998004923439</v>
      </c>
      <c r="AD11" s="8">
        <f>Weather!H11</f>
        <v>0</v>
      </c>
      <c r="AE11" s="8">
        <f>Weather!I11</f>
        <v>242.94164671590113</v>
      </c>
      <c r="AF11" s="8">
        <f>Weather!J11</f>
        <v>1.0416666666666643</v>
      </c>
      <c r="AG11" s="8">
        <f>Weather!K11</f>
        <v>186.66039671590113</v>
      </c>
      <c r="AH11" s="8">
        <f>Weather!L11</f>
        <v>6.7604166666666643</v>
      </c>
      <c r="AI11" s="8">
        <f>Weather!M11</f>
        <v>131.08956338256775</v>
      </c>
      <c r="AJ11" s="8">
        <f>Weather!N11</f>
        <v>13.189583333333331</v>
      </c>
      <c r="AK11" s="8">
        <f>Weather!O11</f>
        <v>83.693730049234432</v>
      </c>
      <c r="AL11" s="8">
        <f>Weather!P11</f>
        <v>27.793750000000003</v>
      </c>
      <c r="AM11" s="2">
        <f>Weather!Q11</f>
        <v>6.1967748371214686</v>
      </c>
      <c r="AN11" s="8">
        <f>Economic!C11</f>
        <v>6856.6</v>
      </c>
      <c r="AO11" s="8">
        <f>Economic!D11</f>
        <v>6898.9</v>
      </c>
      <c r="AP11" s="8">
        <f>Economic!E11</f>
        <v>83.6</v>
      </c>
      <c r="AQ11" s="8">
        <f>Economic!F11</f>
        <v>84.3</v>
      </c>
      <c r="AR11" s="8">
        <f>Economic!G11</f>
        <v>708787.6</v>
      </c>
      <c r="AS11" s="8">
        <f>Economic!H11</f>
        <v>8082.4</v>
      </c>
      <c r="AT11" s="8">
        <f>Economic!I11</f>
        <v>716976</v>
      </c>
      <c r="AU11" s="8">
        <f>Economic!J11</f>
        <v>7289</v>
      </c>
      <c r="AV11" s="1">
        <f t="shared" si="23"/>
        <v>10</v>
      </c>
      <c r="AW11" s="1">
        <v>0</v>
      </c>
      <c r="AX11" s="1">
        <v>0</v>
      </c>
      <c r="AY11" s="1">
        <v>0</v>
      </c>
      <c r="AZ11" s="1">
        <v>0</v>
      </c>
      <c r="BA11" s="1">
        <v>0</v>
      </c>
      <c r="BB11" s="1">
        <v>0</v>
      </c>
      <c r="BC11" s="1">
        <v>0</v>
      </c>
      <c r="BD11" s="1">
        <v>0</v>
      </c>
      <c r="BE11" s="1">
        <v>0</v>
      </c>
      <c r="BF11" s="1">
        <v>1</v>
      </c>
      <c r="BG11" s="1">
        <v>0</v>
      </c>
      <c r="BH11" s="1">
        <v>0</v>
      </c>
      <c r="BI11" s="1">
        <v>0</v>
      </c>
      <c r="BJ11" s="1">
        <v>1</v>
      </c>
      <c r="BK11" s="1">
        <v>1</v>
      </c>
      <c r="BL11" s="1">
        <v>0</v>
      </c>
      <c r="BM11" s="1">
        <v>1</v>
      </c>
      <c r="BN11" s="1">
        <v>1</v>
      </c>
      <c r="BO11">
        <v>31</v>
      </c>
      <c r="BP11">
        <v>22</v>
      </c>
      <c r="BQ11">
        <v>0</v>
      </c>
      <c r="BR11">
        <v>0</v>
      </c>
      <c r="BS11">
        <v>0</v>
      </c>
      <c r="BT11">
        <v>0</v>
      </c>
      <c r="BU11" s="126">
        <f t="shared" si="9"/>
        <v>0</v>
      </c>
      <c r="BV11" s="126">
        <f t="shared" si="10"/>
        <v>0</v>
      </c>
      <c r="BW11" s="126">
        <f t="shared" si="11"/>
        <v>0</v>
      </c>
      <c r="BX11" s="126">
        <f t="shared" si="12"/>
        <v>0</v>
      </c>
      <c r="BY11" s="126">
        <f t="shared" si="13"/>
        <v>0</v>
      </c>
      <c r="BZ11" s="126">
        <f t="shared" si="14"/>
        <v>0</v>
      </c>
      <c r="CA11" s="126">
        <f t="shared" si="15"/>
        <v>0</v>
      </c>
      <c r="CB11" s="126">
        <f t="shared" si="16"/>
        <v>0</v>
      </c>
      <c r="CC11" s="126">
        <f t="shared" si="17"/>
        <v>0</v>
      </c>
      <c r="CD11" s="126">
        <f t="shared" si="18"/>
        <v>0</v>
      </c>
      <c r="CE11" s="126">
        <f t="shared" si="19"/>
        <v>0</v>
      </c>
      <c r="CF11" s="126">
        <f t="shared" si="20"/>
        <v>0</v>
      </c>
      <c r="CG11" s="126">
        <f t="shared" si="21"/>
        <v>0</v>
      </c>
      <c r="CH11" s="126">
        <f t="shared" si="22"/>
        <v>0</v>
      </c>
      <c r="CI11" s="66">
        <f t="shared" si="6"/>
        <v>970459.75854430604</v>
      </c>
      <c r="CJ11" s="66">
        <f t="shared" si="7"/>
        <v>362440.82736102218</v>
      </c>
      <c r="CK11" s="66">
        <f t="shared" si="8"/>
        <v>994982.30904193758</v>
      </c>
    </row>
    <row r="12" spans="1:89" x14ac:dyDescent="0.2">
      <c r="A12" s="101">
        <v>41944</v>
      </c>
      <c r="B12" s="3">
        <f t="shared" si="0"/>
        <v>2014</v>
      </c>
      <c r="C12" s="3">
        <f t="shared" si="24"/>
        <v>11</v>
      </c>
      <c r="D12" s="8">
        <v>35545780.43213661</v>
      </c>
      <c r="E12" s="8">
        <f>IFERROR(VLOOKUP($B12-1,CDM!$L$4:$R$15,2,FALSE)/12,0)+IFERROR(VLOOKUP($B12,CDM!$L$33:$O$44,2,FALSE)/24,0)+IFERROR(VLOOKUP($B12,CDM!$L$33:$O$44,2,FALSE)/2*$C12/78,0)</f>
        <v>232479.26046414219</v>
      </c>
      <c r="F12" s="8">
        <f t="shared" si="25"/>
        <v>35778259.692600749</v>
      </c>
      <c r="G12" s="8">
        <v>42680</v>
      </c>
      <c r="H12" s="2">
        <v>12104165.456808859</v>
      </c>
      <c r="I12" s="8">
        <f>IFERROR(VLOOKUP($B12-1,CDM!$L$4:$R$15,3,FALSE)/12,0)+IFERROR(VLOOKUP($B12,CDM!$L$33:$O$44,3,FALSE)/24,0)+IFERROR(VLOOKUP($B12,CDM!$L$33:$O$44,3,FALSE)/2*$C12/78,0)</f>
        <v>52461.908331818908</v>
      </c>
      <c r="J12" s="8">
        <f t="shared" si="26"/>
        <v>12156627.365140678</v>
      </c>
      <c r="K12" s="8">
        <v>3996</v>
      </c>
      <c r="L12" s="8">
        <v>32624106.072655495</v>
      </c>
      <c r="M12" s="8">
        <f>IFERROR(VLOOKUP($B12-1,CDM!$L$4:$R$15,4,FALSE)/12,0)+IFERROR(VLOOKUP($B12,CDM!$L$33:$O$44,4,FALSE)/24,0)+IFERROR(VLOOKUP($B12,CDM!$L$33:$O$44,4,FALSE)/2*$C12/78,0)</f>
        <v>205994.14607933495</v>
      </c>
      <c r="N12" s="8">
        <f t="shared" si="27"/>
        <v>32830100.218734831</v>
      </c>
      <c r="O12" s="8">
        <v>80834.911913527976</v>
      </c>
      <c r="P12" s="8">
        <v>511</v>
      </c>
      <c r="Q12" s="8">
        <v>776164.90512333962</v>
      </c>
      <c r="R12" s="2">
        <v>1784.4650780608054</v>
      </c>
      <c r="S12" s="7">
        <v>9744</v>
      </c>
      <c r="T12" s="2">
        <v>36069.264705882386</v>
      </c>
      <c r="U12" s="2">
        <v>100.44606946983546</v>
      </c>
      <c r="V12" s="9">
        <v>413</v>
      </c>
      <c r="W12" s="2">
        <v>108094.66156628671</v>
      </c>
      <c r="X12" s="4">
        <v>328</v>
      </c>
      <c r="Y12" s="8">
        <f>Weather!C12</f>
        <v>713.34929225504527</v>
      </c>
      <c r="Z12" s="8">
        <f>Weather!D12</f>
        <v>0</v>
      </c>
      <c r="AA12" s="8">
        <f>Weather!E12</f>
        <v>653.34929225504527</v>
      </c>
      <c r="AB12" s="8">
        <f>Weather!F12</f>
        <v>0</v>
      </c>
      <c r="AC12" s="8">
        <f>Weather!G12</f>
        <v>593.34929225504516</v>
      </c>
      <c r="AD12" s="8">
        <f>Weather!H12</f>
        <v>0</v>
      </c>
      <c r="AE12" s="8">
        <f>Weather!I12</f>
        <v>533.34929225504516</v>
      </c>
      <c r="AF12" s="8">
        <f>Weather!J12</f>
        <v>0</v>
      </c>
      <c r="AG12" s="8">
        <f>Weather!K12</f>
        <v>473.34929225504521</v>
      </c>
      <c r="AH12" s="8">
        <f>Weather!L12</f>
        <v>0</v>
      </c>
      <c r="AI12" s="8">
        <f>Weather!M12</f>
        <v>413.34929225504521</v>
      </c>
      <c r="AJ12" s="8">
        <f>Weather!N12</f>
        <v>0</v>
      </c>
      <c r="AK12" s="8">
        <f>Weather!O12</f>
        <v>353.34929225504521</v>
      </c>
      <c r="AL12" s="8">
        <f>Weather!P12</f>
        <v>0</v>
      </c>
      <c r="AM12" s="2">
        <f>Weather!Q12</f>
        <v>-3.7783097418348386</v>
      </c>
      <c r="AN12" s="8">
        <f>Economic!C12</f>
        <v>6858.1</v>
      </c>
      <c r="AO12" s="8">
        <f>Economic!D12</f>
        <v>6871.1</v>
      </c>
      <c r="AP12" s="8">
        <f>Economic!E12</f>
        <v>84.2</v>
      </c>
      <c r="AQ12" s="8">
        <f>Economic!F12</f>
        <v>84.8</v>
      </c>
      <c r="AR12" s="8">
        <f>Economic!G12</f>
        <v>708787.6</v>
      </c>
      <c r="AS12" s="8">
        <f>Economic!H12</f>
        <v>8082.4</v>
      </c>
      <c r="AT12" s="8">
        <f>Economic!I12</f>
        <v>716976</v>
      </c>
      <c r="AU12" s="8">
        <f>Economic!J12</f>
        <v>7289</v>
      </c>
      <c r="AV12" s="1">
        <f t="shared" si="23"/>
        <v>11</v>
      </c>
      <c r="AW12" s="1">
        <v>0</v>
      </c>
      <c r="AX12" s="1">
        <v>0</v>
      </c>
      <c r="AY12" s="1">
        <v>0</v>
      </c>
      <c r="AZ12" s="1">
        <v>0</v>
      </c>
      <c r="BA12" s="1">
        <v>0</v>
      </c>
      <c r="BB12" s="1">
        <v>0</v>
      </c>
      <c r="BC12" s="1">
        <v>0</v>
      </c>
      <c r="BD12" s="1">
        <v>0</v>
      </c>
      <c r="BE12" s="1">
        <v>0</v>
      </c>
      <c r="BF12" s="1">
        <v>0</v>
      </c>
      <c r="BG12" s="1">
        <v>1</v>
      </c>
      <c r="BH12" s="1">
        <v>0</v>
      </c>
      <c r="BI12" s="1">
        <v>0</v>
      </c>
      <c r="BJ12" s="1">
        <v>1</v>
      </c>
      <c r="BK12" s="1">
        <v>1</v>
      </c>
      <c r="BL12" s="1">
        <v>0</v>
      </c>
      <c r="BM12" s="1">
        <v>0</v>
      </c>
      <c r="BN12" s="1">
        <v>0</v>
      </c>
      <c r="BO12">
        <v>30</v>
      </c>
      <c r="BP12">
        <v>20</v>
      </c>
      <c r="BQ12">
        <v>0</v>
      </c>
      <c r="BR12">
        <v>0</v>
      </c>
      <c r="BS12">
        <v>0</v>
      </c>
      <c r="BT12">
        <v>0</v>
      </c>
      <c r="BU12" s="126">
        <f t="shared" si="9"/>
        <v>0</v>
      </c>
      <c r="BV12" s="126">
        <f t="shared" si="10"/>
        <v>0</v>
      </c>
      <c r="BW12" s="126">
        <f t="shared" si="11"/>
        <v>0</v>
      </c>
      <c r="BX12" s="126">
        <f t="shared" si="12"/>
        <v>0</v>
      </c>
      <c r="BY12" s="126">
        <f t="shared" si="13"/>
        <v>0</v>
      </c>
      <c r="BZ12" s="126">
        <f t="shared" si="14"/>
        <v>0</v>
      </c>
      <c r="CA12" s="126">
        <f t="shared" si="15"/>
        <v>0</v>
      </c>
      <c r="CB12" s="126">
        <f t="shared" si="16"/>
        <v>0</v>
      </c>
      <c r="CC12" s="126">
        <f t="shared" si="17"/>
        <v>0</v>
      </c>
      <c r="CD12" s="126">
        <f t="shared" si="18"/>
        <v>0</v>
      </c>
      <c r="CE12" s="126">
        <f t="shared" si="19"/>
        <v>0</v>
      </c>
      <c r="CF12" s="126">
        <f t="shared" si="20"/>
        <v>0</v>
      </c>
      <c r="CG12" s="126">
        <f t="shared" si="21"/>
        <v>0</v>
      </c>
      <c r="CH12" s="126">
        <f t="shared" si="22"/>
        <v>0</v>
      </c>
      <c r="CI12" s="66">
        <f t="shared" si="6"/>
        <v>1192608.656420025</v>
      </c>
      <c r="CJ12" s="66">
        <f t="shared" si="7"/>
        <v>403472.18189362867</v>
      </c>
      <c r="CK12" s="66">
        <f t="shared" si="8"/>
        <v>1094336.6739578277</v>
      </c>
    </row>
    <row r="13" spans="1:89" x14ac:dyDescent="0.2">
      <c r="A13" s="101">
        <v>41974</v>
      </c>
      <c r="B13" s="3">
        <f t="shared" si="0"/>
        <v>2014</v>
      </c>
      <c r="C13" s="3">
        <f t="shared" si="24"/>
        <v>12</v>
      </c>
      <c r="D13" s="8">
        <v>42013064.965675682</v>
      </c>
      <c r="E13" s="8">
        <f>IFERROR(VLOOKUP($B13-1,CDM!$L$4:$R$15,2,FALSE)/12,0)+IFERROR(VLOOKUP($B13,CDM!$L$33:$O$44,2,FALSE)/24,0)+IFERROR(VLOOKUP($B13,CDM!$L$33:$O$44,2,FALSE)/2*$C13/78,0)</f>
        <v>245763.78963352175</v>
      </c>
      <c r="F13" s="8">
        <f t="shared" si="25"/>
        <v>42258828.755309202</v>
      </c>
      <c r="G13" s="8">
        <v>42680</v>
      </c>
      <c r="H13" s="2">
        <v>13556675.9780323</v>
      </c>
      <c r="I13" s="8">
        <f>IFERROR(VLOOKUP($B13-1,CDM!$L$4:$R$15,3,FALSE)/12,0)+IFERROR(VLOOKUP($B13,CDM!$L$33:$O$44,3,FALSE)/24,0)+IFERROR(VLOOKUP($B13,CDM!$L$33:$O$44,3,FALSE)/2*$C13/78,0)</f>
        <v>55459.731665065701</v>
      </c>
      <c r="J13" s="8">
        <f t="shared" si="26"/>
        <v>13612135.709697366</v>
      </c>
      <c r="K13" s="8">
        <v>3996</v>
      </c>
      <c r="L13" s="8">
        <v>34752028.161274001</v>
      </c>
      <c r="M13" s="8">
        <f>IFERROR(VLOOKUP($B13-1,CDM!$L$4:$R$15,4,FALSE)/12,0)+IFERROR(VLOOKUP($B13,CDM!$L$33:$O$44,4,FALSE)/24,0)+IFERROR(VLOOKUP($B13,CDM!$L$33:$O$44,4,FALSE)/2*$C13/78,0)</f>
        <v>217765.24014101125</v>
      </c>
      <c r="N13" s="8">
        <f t="shared" si="27"/>
        <v>34969793.401415013</v>
      </c>
      <c r="O13" s="8">
        <v>86107.405639769902</v>
      </c>
      <c r="P13" s="8">
        <v>511</v>
      </c>
      <c r="Q13" s="8">
        <v>844367.95066413668</v>
      </c>
      <c r="R13" s="2">
        <v>1784.4650780608054</v>
      </c>
      <c r="S13" s="7">
        <v>9744</v>
      </c>
      <c r="T13" s="2">
        <v>37273.723908918437</v>
      </c>
      <c r="U13" s="2">
        <v>100.44606946983546</v>
      </c>
      <c r="V13" s="9">
        <v>413</v>
      </c>
      <c r="W13" s="2">
        <v>111106.56908171139</v>
      </c>
      <c r="X13" s="4">
        <v>328</v>
      </c>
      <c r="Y13" s="8">
        <f>Weather!C13</f>
        <v>824.76666666666654</v>
      </c>
      <c r="Z13" s="8">
        <f>Weather!D13</f>
        <v>0</v>
      </c>
      <c r="AA13" s="8">
        <f>Weather!E13</f>
        <v>762.76666666666654</v>
      </c>
      <c r="AB13" s="8">
        <f>Weather!F13</f>
        <v>0</v>
      </c>
      <c r="AC13" s="8">
        <f>Weather!G13</f>
        <v>700.76666666666654</v>
      </c>
      <c r="AD13" s="8">
        <f>Weather!H13</f>
        <v>0</v>
      </c>
      <c r="AE13" s="8">
        <f>Weather!I13</f>
        <v>638.76666666666642</v>
      </c>
      <c r="AF13" s="8">
        <f>Weather!J13</f>
        <v>0</v>
      </c>
      <c r="AG13" s="8">
        <f>Weather!K13</f>
        <v>576.76666666666654</v>
      </c>
      <c r="AH13" s="8">
        <f>Weather!L13</f>
        <v>0</v>
      </c>
      <c r="AI13" s="8">
        <f>Weather!M13</f>
        <v>514.76666666666665</v>
      </c>
      <c r="AJ13" s="8">
        <f>Weather!N13</f>
        <v>0</v>
      </c>
      <c r="AK13" s="8">
        <f>Weather!O13</f>
        <v>452.76666666666665</v>
      </c>
      <c r="AL13" s="8">
        <f>Weather!P13</f>
        <v>0</v>
      </c>
      <c r="AM13" s="2">
        <f>Weather!Q13</f>
        <v>-6.6053763440860207</v>
      </c>
      <c r="AN13" s="8">
        <f>Economic!C13</f>
        <v>6860</v>
      </c>
      <c r="AO13" s="8">
        <f>Economic!D13</f>
        <v>6863.1</v>
      </c>
      <c r="AP13" s="8">
        <f>Economic!E13</f>
        <v>84.6</v>
      </c>
      <c r="AQ13" s="8">
        <f>Economic!F13</f>
        <v>85.2</v>
      </c>
      <c r="AR13" s="8">
        <f>Economic!G13</f>
        <v>708787.6</v>
      </c>
      <c r="AS13" s="8">
        <f>Economic!H13</f>
        <v>8082.4</v>
      </c>
      <c r="AT13" s="8">
        <f>Economic!I13</f>
        <v>716976</v>
      </c>
      <c r="AU13" s="8">
        <f>Economic!J13</f>
        <v>7289</v>
      </c>
      <c r="AV13" s="1">
        <f t="shared" si="23"/>
        <v>12</v>
      </c>
      <c r="AW13" s="1">
        <v>0</v>
      </c>
      <c r="AX13" s="1">
        <v>0</v>
      </c>
      <c r="AY13" s="1">
        <v>0</v>
      </c>
      <c r="AZ13" s="1">
        <v>0</v>
      </c>
      <c r="BA13" s="1">
        <v>0</v>
      </c>
      <c r="BB13" s="1">
        <v>0</v>
      </c>
      <c r="BC13" s="1">
        <v>0</v>
      </c>
      <c r="BD13" s="1">
        <v>0</v>
      </c>
      <c r="BE13" s="1">
        <v>0</v>
      </c>
      <c r="BF13" s="1">
        <v>0</v>
      </c>
      <c r="BG13" s="1">
        <v>0</v>
      </c>
      <c r="BH13" s="1">
        <v>1</v>
      </c>
      <c r="BI13" s="1">
        <v>0</v>
      </c>
      <c r="BJ13" s="1">
        <v>0</v>
      </c>
      <c r="BK13" s="1">
        <v>0</v>
      </c>
      <c r="BL13" s="1">
        <v>0</v>
      </c>
      <c r="BM13" s="1">
        <v>0</v>
      </c>
      <c r="BN13" s="1">
        <v>0</v>
      </c>
      <c r="BO13">
        <v>31</v>
      </c>
      <c r="BP13">
        <v>21</v>
      </c>
      <c r="BQ13">
        <v>0</v>
      </c>
      <c r="BR13">
        <v>0</v>
      </c>
      <c r="BS13">
        <v>0</v>
      </c>
      <c r="BT13">
        <v>0</v>
      </c>
      <c r="BU13" s="126">
        <f t="shared" si="9"/>
        <v>0</v>
      </c>
      <c r="BV13" s="126">
        <f t="shared" si="10"/>
        <v>0</v>
      </c>
      <c r="BW13" s="126">
        <f t="shared" si="11"/>
        <v>0</v>
      </c>
      <c r="BX13" s="126">
        <f t="shared" si="12"/>
        <v>0</v>
      </c>
      <c r="BY13" s="126">
        <f t="shared" si="13"/>
        <v>0</v>
      </c>
      <c r="BZ13" s="126">
        <f t="shared" si="14"/>
        <v>0</v>
      </c>
      <c r="CA13" s="126">
        <f t="shared" si="15"/>
        <v>0</v>
      </c>
      <c r="CB13" s="126">
        <f t="shared" si="16"/>
        <v>0</v>
      </c>
      <c r="CC13" s="126">
        <f t="shared" si="17"/>
        <v>0</v>
      </c>
      <c r="CD13" s="126">
        <f t="shared" si="18"/>
        <v>0</v>
      </c>
      <c r="CE13" s="126">
        <f t="shared" si="19"/>
        <v>0</v>
      </c>
      <c r="CF13" s="126">
        <f t="shared" si="20"/>
        <v>0</v>
      </c>
      <c r="CG13" s="126">
        <f t="shared" si="21"/>
        <v>0</v>
      </c>
      <c r="CH13" s="126">
        <f t="shared" si="22"/>
        <v>0</v>
      </c>
      <c r="CI13" s="66">
        <f t="shared" si="6"/>
        <v>1363188.024364813</v>
      </c>
      <c r="CJ13" s="66">
        <f t="shared" si="7"/>
        <v>437312.12832362257</v>
      </c>
      <c r="CK13" s="66">
        <f t="shared" si="8"/>
        <v>1128057.8516585487</v>
      </c>
    </row>
    <row r="14" spans="1:89" x14ac:dyDescent="0.2">
      <c r="A14" s="101">
        <v>42005</v>
      </c>
      <c r="B14" s="3">
        <f t="shared" si="0"/>
        <v>2015</v>
      </c>
      <c r="C14" s="3">
        <f t="shared" si="24"/>
        <v>1</v>
      </c>
      <c r="D14" s="8">
        <v>47258923.534219489</v>
      </c>
      <c r="E14" s="8">
        <f>IFERROR(VLOOKUP($B14-1,CDM!$L$4:$R$15,2,FALSE)/12,0)+IFERROR(VLOOKUP($B14,CDM!$L$33:$O$44,2,FALSE)/24,0)+IFERROR(VLOOKUP($B14,CDM!$L$33:$O$44,2,FALSE)/2*$C14/78,0)</f>
        <v>295587.71239535778</v>
      </c>
      <c r="F14" s="8">
        <f t="shared" si="25"/>
        <v>47554511.246614844</v>
      </c>
      <c r="G14" s="8">
        <v>42690</v>
      </c>
      <c r="H14" s="2">
        <v>14689139.738448234</v>
      </c>
      <c r="I14" s="8">
        <f>IFERROR(VLOOKUP($B14-1,CDM!$L$4:$R$15,3,FALSE)/12,0)+IFERROR(VLOOKUP($B14,CDM!$L$33:$O$44,3,FALSE)/24,0)+IFERROR(VLOOKUP($B14,CDM!$L$33:$O$44,3,FALSE)/2*$C14/78,0)</f>
        <v>85222.950448867006</v>
      </c>
      <c r="J14" s="8">
        <f t="shared" si="26"/>
        <v>14774362.688897101</v>
      </c>
      <c r="K14" s="8">
        <v>4004</v>
      </c>
      <c r="L14" s="8">
        <v>37151226.00113786</v>
      </c>
      <c r="M14" s="8">
        <f>IFERROR(VLOOKUP($B14-1,CDM!$L$4:$R$15,4,FALSE)/12,0)+IFERROR(VLOOKUP($B14,CDM!$L$33:$O$44,4,FALSE)/24,0)+IFERROR(VLOOKUP($B14,CDM!$L$33:$O$44,4,FALSE)/2*$C14/78,0)</f>
        <v>374767.18643167143</v>
      </c>
      <c r="N14" s="8">
        <f t="shared" si="27"/>
        <v>37525993.187569529</v>
      </c>
      <c r="O14" s="8">
        <v>93207.456493874954</v>
      </c>
      <c r="P14" s="8">
        <v>514</v>
      </c>
      <c r="Q14" s="8">
        <v>820735.71157495247</v>
      </c>
      <c r="R14" s="2">
        <v>1758.72593750801</v>
      </c>
      <c r="S14" s="7">
        <v>9767</v>
      </c>
      <c r="T14" s="2">
        <v>37273.747628083518</v>
      </c>
      <c r="U14" s="2">
        <v>102.27655562539285</v>
      </c>
      <c r="V14" s="9">
        <v>413</v>
      </c>
      <c r="W14" s="2">
        <v>111091.79708917072</v>
      </c>
      <c r="X14" s="4">
        <v>328</v>
      </c>
      <c r="Y14" s="8">
        <f>Weather!C14</f>
        <v>1073.3187500000001</v>
      </c>
      <c r="Z14" s="8">
        <f>Weather!D14</f>
        <v>0</v>
      </c>
      <c r="AA14" s="8">
        <f>Weather!E14</f>
        <v>1011.3187499999999</v>
      </c>
      <c r="AB14" s="8">
        <f>Weather!F14</f>
        <v>0</v>
      </c>
      <c r="AC14" s="8">
        <f>Weather!G14</f>
        <v>949.31874999999991</v>
      </c>
      <c r="AD14" s="8">
        <f>Weather!H14</f>
        <v>0</v>
      </c>
      <c r="AE14" s="8">
        <f>Weather!I14</f>
        <v>887.31875000000002</v>
      </c>
      <c r="AF14" s="8">
        <f>Weather!J14</f>
        <v>0</v>
      </c>
      <c r="AG14" s="8">
        <f>Weather!K14</f>
        <v>825.31875000000002</v>
      </c>
      <c r="AH14" s="8">
        <f>Weather!L14</f>
        <v>0</v>
      </c>
      <c r="AI14" s="8">
        <f>Weather!M14</f>
        <v>763.31875000000002</v>
      </c>
      <c r="AJ14" s="8">
        <f>Weather!N14</f>
        <v>0</v>
      </c>
      <c r="AK14" s="8">
        <f>Weather!O14</f>
        <v>701.31875000000002</v>
      </c>
      <c r="AL14" s="8">
        <f>Weather!P14</f>
        <v>0</v>
      </c>
      <c r="AM14" s="2">
        <f>Weather!Q14</f>
        <v>-14.623185483870966</v>
      </c>
      <c r="AN14" s="8">
        <f>Economic!C14</f>
        <v>6851.1</v>
      </c>
      <c r="AO14" s="8">
        <f>Economic!D14</f>
        <v>6809.7</v>
      </c>
      <c r="AP14" s="8">
        <f>Economic!E14</f>
        <v>84.9</v>
      </c>
      <c r="AQ14" s="8">
        <f>Economic!F14</f>
        <v>84.4</v>
      </c>
      <c r="AR14" s="8">
        <f>Economic!G14</f>
        <v>727609.6</v>
      </c>
      <c r="AS14" s="8">
        <f>Economic!H14</f>
        <v>7729.3</v>
      </c>
      <c r="AT14" s="8">
        <f>Economic!I14</f>
        <v>718587</v>
      </c>
      <c r="AU14" s="8">
        <f>Economic!J14</f>
        <v>7453</v>
      </c>
      <c r="AV14" s="1">
        <f t="shared" si="23"/>
        <v>13</v>
      </c>
      <c r="AW14" s="1">
        <v>1</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v>31</v>
      </c>
      <c r="BP14">
        <v>21</v>
      </c>
      <c r="BQ14">
        <v>0</v>
      </c>
      <c r="BR14">
        <v>0</v>
      </c>
      <c r="BS14">
        <v>0</v>
      </c>
      <c r="BT14">
        <v>0</v>
      </c>
      <c r="BU14" s="126">
        <f t="shared" si="9"/>
        <v>0</v>
      </c>
      <c r="BV14" s="126">
        <f t="shared" si="10"/>
        <v>0</v>
      </c>
      <c r="BW14" s="126">
        <f t="shared" si="11"/>
        <v>0</v>
      </c>
      <c r="BX14" s="126">
        <f t="shared" si="12"/>
        <v>0</v>
      </c>
      <c r="BY14" s="126">
        <f t="shared" si="13"/>
        <v>0</v>
      </c>
      <c r="BZ14" s="126">
        <f t="shared" si="14"/>
        <v>0</v>
      </c>
      <c r="CA14" s="126">
        <f t="shared" si="15"/>
        <v>0</v>
      </c>
      <c r="CB14" s="126">
        <f t="shared" si="16"/>
        <v>0</v>
      </c>
      <c r="CC14" s="126">
        <f t="shared" si="17"/>
        <v>0</v>
      </c>
      <c r="CD14" s="126">
        <f t="shared" si="18"/>
        <v>0</v>
      </c>
      <c r="CE14" s="126">
        <f t="shared" si="19"/>
        <v>0</v>
      </c>
      <c r="CF14" s="126">
        <f t="shared" si="20"/>
        <v>0</v>
      </c>
      <c r="CG14" s="126">
        <f t="shared" si="21"/>
        <v>0</v>
      </c>
      <c r="CH14" s="126">
        <f t="shared" si="22"/>
        <v>0</v>
      </c>
      <c r="CI14" s="66">
        <f t="shared" si="6"/>
        <v>1534016.4918262854</v>
      </c>
      <c r="CJ14" s="66">
        <f t="shared" si="7"/>
        <v>473843.21736929787</v>
      </c>
      <c r="CK14" s="66">
        <f t="shared" si="8"/>
        <v>1210515.9092764363</v>
      </c>
    </row>
    <row r="15" spans="1:89" x14ac:dyDescent="0.2">
      <c r="A15" s="101">
        <v>42036</v>
      </c>
      <c r="B15" s="3">
        <f t="shared" si="0"/>
        <v>2015</v>
      </c>
      <c r="C15" s="3">
        <f t="shared" si="24"/>
        <v>2</v>
      </c>
      <c r="D15" s="8">
        <v>41892378.734094054</v>
      </c>
      <c r="E15" s="8">
        <f>IFERROR(VLOOKUP($B15-1,CDM!$L$4:$R$15,2,FALSE)/12,0)+IFERROR(VLOOKUP($B15,CDM!$L$33:$O$44,2,FALSE)/24,0)+IFERROR(VLOOKUP($B15,CDM!$L$33:$O$44,2,FALSE)/2*$C15/78,0)</f>
        <v>311972.89015448093</v>
      </c>
      <c r="F15" s="8">
        <f t="shared" si="25"/>
        <v>42204351.624248534</v>
      </c>
      <c r="G15" s="8">
        <v>42690</v>
      </c>
      <c r="H15" s="2">
        <v>13306886.801167568</v>
      </c>
      <c r="I15" s="8">
        <f>IFERROR(VLOOKUP($B15-1,CDM!$L$4:$R$15,3,FALSE)/12,0)+IFERROR(VLOOKUP($B15,CDM!$L$33:$O$44,3,FALSE)/24,0)+IFERROR(VLOOKUP($B15,CDM!$L$33:$O$44,3,FALSE)/2*$C15/78,0)</f>
        <v>91389.783397754829</v>
      </c>
      <c r="J15" s="8">
        <f t="shared" si="26"/>
        <v>13398276.584565323</v>
      </c>
      <c r="K15" s="8">
        <v>4004</v>
      </c>
      <c r="L15" s="8">
        <v>34029362.201537922</v>
      </c>
      <c r="M15" s="8">
        <f>IFERROR(VLOOKUP($B15-1,CDM!$L$4:$R$15,4,FALSE)/12,0)+IFERROR(VLOOKUP($B15,CDM!$L$33:$O$44,4,FALSE)/24,0)+IFERROR(VLOOKUP($B15,CDM!$L$33:$O$44,4,FALSE)/2*$C15/78,0)</f>
        <v>404332.91491565545</v>
      </c>
      <c r="N15" s="8">
        <f t="shared" si="27"/>
        <v>34433695.116453581</v>
      </c>
      <c r="O15" s="8">
        <v>85375.117817565799</v>
      </c>
      <c r="P15" s="8">
        <v>514</v>
      </c>
      <c r="Q15" s="8">
        <v>677145.63567362423</v>
      </c>
      <c r="R15" s="2">
        <v>1758.72593750801</v>
      </c>
      <c r="S15" s="7">
        <v>9767</v>
      </c>
      <c r="T15" s="2">
        <v>33084.876660341564</v>
      </c>
      <c r="U15" s="2">
        <v>102.27655562539285</v>
      </c>
      <c r="V15" s="9">
        <v>413</v>
      </c>
      <c r="W15" s="2">
        <v>100340.97801602431</v>
      </c>
      <c r="X15" s="4">
        <v>328</v>
      </c>
      <c r="Y15" s="8">
        <f>Weather!C15</f>
        <v>1085.0562499999999</v>
      </c>
      <c r="Z15" s="8">
        <f>Weather!D15</f>
        <v>0</v>
      </c>
      <c r="AA15" s="8">
        <f>Weather!E15</f>
        <v>1029.0562500000001</v>
      </c>
      <c r="AB15" s="8">
        <f>Weather!F15</f>
        <v>0</v>
      </c>
      <c r="AC15" s="8">
        <f>Weather!G15</f>
        <v>973.05624999999998</v>
      </c>
      <c r="AD15" s="8">
        <f>Weather!H15</f>
        <v>0</v>
      </c>
      <c r="AE15" s="8">
        <f>Weather!I15</f>
        <v>917.05624999999998</v>
      </c>
      <c r="AF15" s="8">
        <f>Weather!J15</f>
        <v>0</v>
      </c>
      <c r="AG15" s="8">
        <f>Weather!K15</f>
        <v>861.05624999999998</v>
      </c>
      <c r="AH15" s="8">
        <f>Weather!L15</f>
        <v>0</v>
      </c>
      <c r="AI15" s="8">
        <f>Weather!M15</f>
        <v>805.05624999999998</v>
      </c>
      <c r="AJ15" s="8">
        <f>Weather!N15</f>
        <v>0</v>
      </c>
      <c r="AK15" s="8">
        <f>Weather!O15</f>
        <v>749.05624999999998</v>
      </c>
      <c r="AL15" s="8">
        <f>Weather!P15</f>
        <v>0</v>
      </c>
      <c r="AM15" s="2">
        <f>Weather!Q15</f>
        <v>-18.752008928571424</v>
      </c>
      <c r="AN15" s="8">
        <f>Economic!C15</f>
        <v>6859.2</v>
      </c>
      <c r="AO15" s="8">
        <f>Economic!D15</f>
        <v>6782.7</v>
      </c>
      <c r="AP15" s="8">
        <f>Economic!E15</f>
        <v>84.8</v>
      </c>
      <c r="AQ15" s="8">
        <f>Economic!F15</f>
        <v>83.3</v>
      </c>
      <c r="AR15" s="8">
        <f>Economic!G15</f>
        <v>727609.6</v>
      </c>
      <c r="AS15" s="8">
        <f>Economic!H15</f>
        <v>7729.3</v>
      </c>
      <c r="AT15" s="8">
        <f>Economic!I15</f>
        <v>718587</v>
      </c>
      <c r="AU15" s="8">
        <f>Economic!J15</f>
        <v>7453</v>
      </c>
      <c r="AV15" s="1">
        <f t="shared" si="23"/>
        <v>14</v>
      </c>
      <c r="AW15" s="1">
        <v>0</v>
      </c>
      <c r="AX15" s="1">
        <v>1</v>
      </c>
      <c r="AY15" s="1">
        <v>0</v>
      </c>
      <c r="AZ15" s="1">
        <v>0</v>
      </c>
      <c r="BA15" s="1">
        <v>0</v>
      </c>
      <c r="BB15" s="1">
        <v>0</v>
      </c>
      <c r="BC15" s="1">
        <v>0</v>
      </c>
      <c r="BD15" s="1">
        <v>0</v>
      </c>
      <c r="BE15" s="1">
        <v>0</v>
      </c>
      <c r="BF15" s="1">
        <v>0</v>
      </c>
      <c r="BG15" s="1">
        <v>0</v>
      </c>
      <c r="BH15" s="1">
        <v>0</v>
      </c>
      <c r="BI15" s="1">
        <v>0</v>
      </c>
      <c r="BJ15" s="1">
        <v>0</v>
      </c>
      <c r="BK15" s="1">
        <v>0</v>
      </c>
      <c r="BL15" s="1">
        <v>0</v>
      </c>
      <c r="BM15" s="1">
        <v>0</v>
      </c>
      <c r="BN15" s="1">
        <v>0</v>
      </c>
      <c r="BO15">
        <v>28</v>
      </c>
      <c r="BP15">
        <v>19</v>
      </c>
      <c r="BQ15">
        <v>0</v>
      </c>
      <c r="BR15">
        <v>0</v>
      </c>
      <c r="BS15">
        <v>0</v>
      </c>
      <c r="BT15">
        <v>0</v>
      </c>
      <c r="BU15" s="126">
        <f t="shared" si="9"/>
        <v>0</v>
      </c>
      <c r="BV15" s="126">
        <f t="shared" si="10"/>
        <v>0</v>
      </c>
      <c r="BW15" s="126">
        <f t="shared" si="11"/>
        <v>0</v>
      </c>
      <c r="BX15" s="126">
        <f t="shared" si="12"/>
        <v>0</v>
      </c>
      <c r="BY15" s="126">
        <f t="shared" si="13"/>
        <v>0</v>
      </c>
      <c r="BZ15" s="126">
        <f t="shared" si="14"/>
        <v>0</v>
      </c>
      <c r="CA15" s="126">
        <f t="shared" si="15"/>
        <v>0</v>
      </c>
      <c r="CB15" s="126">
        <f t="shared" si="16"/>
        <v>0</v>
      </c>
      <c r="CC15" s="126">
        <f t="shared" si="17"/>
        <v>0</v>
      </c>
      <c r="CD15" s="126">
        <f t="shared" si="18"/>
        <v>0</v>
      </c>
      <c r="CE15" s="126">
        <f t="shared" si="19"/>
        <v>0</v>
      </c>
      <c r="CF15" s="126">
        <f t="shared" si="20"/>
        <v>0</v>
      </c>
      <c r="CG15" s="126">
        <f t="shared" si="21"/>
        <v>0</v>
      </c>
      <c r="CH15" s="126">
        <f t="shared" si="22"/>
        <v>0</v>
      </c>
      <c r="CI15" s="66">
        <f t="shared" si="6"/>
        <v>1507298.2722945905</v>
      </c>
      <c r="CJ15" s="66">
        <f t="shared" si="7"/>
        <v>475245.957184556</v>
      </c>
      <c r="CK15" s="66">
        <f t="shared" si="8"/>
        <v>1229774.8255876279</v>
      </c>
    </row>
    <row r="16" spans="1:89" x14ac:dyDescent="0.2">
      <c r="A16" s="101">
        <v>42064</v>
      </c>
      <c r="B16" s="3">
        <f t="shared" si="0"/>
        <v>2015</v>
      </c>
      <c r="C16" s="3">
        <f t="shared" si="24"/>
        <v>3</v>
      </c>
      <c r="D16" s="8">
        <v>39082279.742133871</v>
      </c>
      <c r="E16" s="8">
        <f>IFERROR(VLOOKUP($B16-1,CDM!$L$4:$R$15,2,FALSE)/12,0)+IFERROR(VLOOKUP($B16,CDM!$L$33:$O$44,2,FALSE)/24,0)+IFERROR(VLOOKUP($B16,CDM!$L$33:$O$44,2,FALSE)/2*$C16/78,0)</f>
        <v>328358.06791360409</v>
      </c>
      <c r="F16" s="8">
        <f t="shared" si="25"/>
        <v>39410637.810047477</v>
      </c>
      <c r="G16" s="8">
        <v>42690</v>
      </c>
      <c r="H16" s="2">
        <v>13270254.565220349</v>
      </c>
      <c r="I16" s="8">
        <f>IFERROR(VLOOKUP($B16-1,CDM!$L$4:$R$15,3,FALSE)/12,0)+IFERROR(VLOOKUP($B16,CDM!$L$33:$O$44,3,FALSE)/24,0)+IFERROR(VLOOKUP($B16,CDM!$L$33:$O$44,3,FALSE)/2*$C16/78,0)</f>
        <v>97556.616346642651</v>
      </c>
      <c r="J16" s="8">
        <f t="shared" si="26"/>
        <v>13367811.181566991</v>
      </c>
      <c r="K16" s="8">
        <v>4004</v>
      </c>
      <c r="L16" s="8">
        <v>34772180.453177564</v>
      </c>
      <c r="M16" s="8">
        <f>IFERROR(VLOOKUP($B16-1,CDM!$L$4:$R$15,4,FALSE)/12,0)+IFERROR(VLOOKUP($B16,CDM!$L$33:$O$44,4,FALSE)/24,0)+IFERROR(VLOOKUP($B16,CDM!$L$33:$O$44,4,FALSE)/2*$C16/78,0)</f>
        <v>433898.6433996394</v>
      </c>
      <c r="N16" s="8">
        <f t="shared" si="27"/>
        <v>35206079.096577205</v>
      </c>
      <c r="O16" s="8">
        <v>87238.749447661598</v>
      </c>
      <c r="P16" s="8">
        <v>514</v>
      </c>
      <c r="Q16" s="8">
        <v>660438.41555977229</v>
      </c>
      <c r="R16" s="2">
        <v>1758.72593750801</v>
      </c>
      <c r="S16" s="7">
        <v>9767</v>
      </c>
      <c r="T16" s="2">
        <v>36340.028462998132</v>
      </c>
      <c r="U16" s="2">
        <v>102.27655562539285</v>
      </c>
      <c r="V16" s="9">
        <v>413</v>
      </c>
      <c r="W16" s="2">
        <v>111087.53657525608</v>
      </c>
      <c r="X16" s="4">
        <v>328</v>
      </c>
      <c r="Y16" s="8">
        <f>Weather!C16</f>
        <v>824.78333333333353</v>
      </c>
      <c r="Z16" s="8">
        <f>Weather!D16</f>
        <v>0</v>
      </c>
      <c r="AA16" s="8">
        <f>Weather!E16</f>
        <v>762.78333333333342</v>
      </c>
      <c r="AB16" s="8">
        <f>Weather!F16</f>
        <v>0</v>
      </c>
      <c r="AC16" s="8">
        <f>Weather!G16</f>
        <v>700.78333333333342</v>
      </c>
      <c r="AD16" s="8">
        <f>Weather!H16</f>
        <v>0</v>
      </c>
      <c r="AE16" s="8">
        <f>Weather!I16</f>
        <v>638.78333333333342</v>
      </c>
      <c r="AF16" s="8">
        <f>Weather!J16</f>
        <v>0</v>
      </c>
      <c r="AG16" s="8">
        <f>Weather!K16</f>
        <v>576.78333333333353</v>
      </c>
      <c r="AH16" s="8">
        <f>Weather!L16</f>
        <v>0</v>
      </c>
      <c r="AI16" s="8">
        <f>Weather!M16</f>
        <v>514.78333333333342</v>
      </c>
      <c r="AJ16" s="8">
        <f>Weather!N16</f>
        <v>0</v>
      </c>
      <c r="AK16" s="8">
        <f>Weather!O16</f>
        <v>452.78333333333325</v>
      </c>
      <c r="AL16" s="8">
        <f>Weather!P16</f>
        <v>0</v>
      </c>
      <c r="AM16" s="2">
        <f>Weather!Q16</f>
        <v>-6.6059139784946224</v>
      </c>
      <c r="AN16" s="8">
        <f>Economic!C16</f>
        <v>6870</v>
      </c>
      <c r="AO16" s="8">
        <f>Economic!D16</f>
        <v>6761.8</v>
      </c>
      <c r="AP16" s="8">
        <f>Economic!E16</f>
        <v>85.2</v>
      </c>
      <c r="AQ16" s="8">
        <f>Economic!F16</f>
        <v>83.2</v>
      </c>
      <c r="AR16" s="8">
        <f>Economic!G16</f>
        <v>727609.6</v>
      </c>
      <c r="AS16" s="8">
        <f>Economic!H16</f>
        <v>7729.3</v>
      </c>
      <c r="AT16" s="8">
        <f>Economic!I16</f>
        <v>718587</v>
      </c>
      <c r="AU16" s="8">
        <f>Economic!J16</f>
        <v>7453</v>
      </c>
      <c r="AV16" s="1">
        <f t="shared" si="23"/>
        <v>15</v>
      </c>
      <c r="AW16" s="1">
        <v>0</v>
      </c>
      <c r="AX16" s="1">
        <v>0</v>
      </c>
      <c r="AY16" s="1">
        <v>1</v>
      </c>
      <c r="AZ16" s="1">
        <v>0</v>
      </c>
      <c r="BA16" s="1">
        <v>0</v>
      </c>
      <c r="BB16" s="1">
        <v>0</v>
      </c>
      <c r="BC16" s="1">
        <v>0</v>
      </c>
      <c r="BD16" s="1">
        <v>0</v>
      </c>
      <c r="BE16" s="1">
        <v>0</v>
      </c>
      <c r="BF16" s="1">
        <v>0</v>
      </c>
      <c r="BG16" s="1">
        <v>0</v>
      </c>
      <c r="BH16" s="1">
        <v>0</v>
      </c>
      <c r="BI16" s="1">
        <v>1</v>
      </c>
      <c r="BJ16" s="1">
        <v>0</v>
      </c>
      <c r="BK16" s="1">
        <v>1</v>
      </c>
      <c r="BL16" s="1">
        <v>0</v>
      </c>
      <c r="BM16" s="1">
        <v>0</v>
      </c>
      <c r="BN16" s="1">
        <v>0</v>
      </c>
      <c r="BO16">
        <v>31</v>
      </c>
      <c r="BP16">
        <v>22</v>
      </c>
      <c r="BQ16">
        <v>0</v>
      </c>
      <c r="BR16">
        <v>0</v>
      </c>
      <c r="BS16">
        <v>0</v>
      </c>
      <c r="BT16">
        <v>0</v>
      </c>
      <c r="BU16" s="126">
        <f t="shared" si="9"/>
        <v>0</v>
      </c>
      <c r="BV16" s="126">
        <f t="shared" si="10"/>
        <v>0</v>
      </c>
      <c r="BW16" s="126">
        <f t="shared" si="11"/>
        <v>0</v>
      </c>
      <c r="BX16" s="126">
        <f t="shared" si="12"/>
        <v>0</v>
      </c>
      <c r="BY16" s="126">
        <f t="shared" si="13"/>
        <v>0</v>
      </c>
      <c r="BZ16" s="126">
        <f t="shared" si="14"/>
        <v>0</v>
      </c>
      <c r="CA16" s="126">
        <f t="shared" si="15"/>
        <v>0</v>
      </c>
      <c r="CB16" s="126">
        <f t="shared" si="16"/>
        <v>0</v>
      </c>
      <c r="CC16" s="126">
        <f t="shared" si="17"/>
        <v>0</v>
      </c>
      <c r="CD16" s="126">
        <f t="shared" si="18"/>
        <v>0</v>
      </c>
      <c r="CE16" s="126">
        <f t="shared" si="19"/>
        <v>0</v>
      </c>
      <c r="CF16" s="126">
        <f t="shared" si="20"/>
        <v>0</v>
      </c>
      <c r="CG16" s="126">
        <f t="shared" si="21"/>
        <v>0</v>
      </c>
      <c r="CH16" s="126">
        <f t="shared" si="22"/>
        <v>0</v>
      </c>
      <c r="CI16" s="66">
        <f t="shared" si="6"/>
        <v>1271310.8970983056</v>
      </c>
      <c r="CJ16" s="66">
        <f t="shared" si="7"/>
        <v>428072.72791033384</v>
      </c>
      <c r="CK16" s="66">
        <f t="shared" si="8"/>
        <v>1135679.9708573292</v>
      </c>
    </row>
    <row r="17" spans="1:89" x14ac:dyDescent="0.2">
      <c r="A17" s="101">
        <v>42095</v>
      </c>
      <c r="B17" s="3">
        <f t="shared" si="0"/>
        <v>2015</v>
      </c>
      <c r="C17" s="3">
        <f t="shared" si="24"/>
        <v>4</v>
      </c>
      <c r="D17" s="8">
        <v>31178246.266066507</v>
      </c>
      <c r="E17" s="8">
        <f>IFERROR(VLOOKUP($B17-1,CDM!$L$4:$R$15,2,FALSE)/12,0)+IFERROR(VLOOKUP($B17,CDM!$L$33:$O$44,2,FALSE)/24,0)+IFERROR(VLOOKUP($B17,CDM!$L$33:$O$44,2,FALSE)/2*$C17/78,0)</f>
        <v>344743.24567272724</v>
      </c>
      <c r="F17" s="8">
        <f t="shared" si="25"/>
        <v>31522989.511739235</v>
      </c>
      <c r="G17" s="8">
        <v>42706</v>
      </c>
      <c r="H17" s="2">
        <v>11355959.214046992</v>
      </c>
      <c r="I17" s="8">
        <f>IFERROR(VLOOKUP($B17-1,CDM!$L$4:$R$15,3,FALSE)/12,0)+IFERROR(VLOOKUP($B17,CDM!$L$33:$O$44,3,FALSE)/24,0)+IFERROR(VLOOKUP($B17,CDM!$L$33:$O$44,3,FALSE)/2*$C17/78,0)</f>
        <v>103723.44929553047</v>
      </c>
      <c r="J17" s="8">
        <f t="shared" si="26"/>
        <v>11459682.663342522</v>
      </c>
      <c r="K17" s="8">
        <v>4012</v>
      </c>
      <c r="L17" s="8">
        <v>28869057.523803413</v>
      </c>
      <c r="M17" s="8">
        <f>IFERROR(VLOOKUP($B17-1,CDM!$L$4:$R$15,4,FALSE)/12,0)+IFERROR(VLOOKUP($B17,CDM!$L$33:$O$44,4,FALSE)/24,0)+IFERROR(VLOOKUP($B17,CDM!$L$33:$O$44,4,FALSE)/2*$C17/78,0)</f>
        <v>463464.37188362336</v>
      </c>
      <c r="N17" s="8">
        <f t="shared" si="27"/>
        <v>29332521.895687036</v>
      </c>
      <c r="O17" s="8">
        <v>72428.603650567733</v>
      </c>
      <c r="P17" s="8">
        <v>516</v>
      </c>
      <c r="Q17" s="8">
        <v>547594.4117647059</v>
      </c>
      <c r="R17" s="2">
        <v>1758.72593750801</v>
      </c>
      <c r="S17" s="7">
        <v>9767</v>
      </c>
      <c r="T17" s="2">
        <v>35165.683111954422</v>
      </c>
      <c r="U17" s="2">
        <v>98.066624764299178</v>
      </c>
      <c r="V17" s="9">
        <v>405</v>
      </c>
      <c r="W17" s="2">
        <v>106991.93960512112</v>
      </c>
      <c r="X17" s="4">
        <v>322</v>
      </c>
      <c r="Y17" s="8">
        <f>Weather!C17</f>
        <v>504.73333333333329</v>
      </c>
      <c r="Z17" s="8">
        <f>Weather!D17</f>
        <v>0</v>
      </c>
      <c r="AA17" s="8">
        <f>Weather!E17</f>
        <v>444.73333333333335</v>
      </c>
      <c r="AB17" s="8">
        <f>Weather!F17</f>
        <v>0</v>
      </c>
      <c r="AC17" s="8">
        <f>Weather!G17</f>
        <v>384.73333333333335</v>
      </c>
      <c r="AD17" s="8">
        <f>Weather!H17</f>
        <v>0</v>
      </c>
      <c r="AE17" s="8">
        <f>Weather!I17</f>
        <v>324.73333333333335</v>
      </c>
      <c r="AF17" s="8">
        <f>Weather!J17</f>
        <v>0</v>
      </c>
      <c r="AG17" s="8">
        <f>Weather!K17</f>
        <v>264.73333333333335</v>
      </c>
      <c r="AH17" s="8">
        <f>Weather!L17</f>
        <v>0</v>
      </c>
      <c r="AI17" s="8">
        <f>Weather!M17</f>
        <v>206.76874999999998</v>
      </c>
      <c r="AJ17" s="8">
        <f>Weather!N17</f>
        <v>2.0354166666666664</v>
      </c>
      <c r="AK17" s="8">
        <f>Weather!O17</f>
        <v>154.65208333333331</v>
      </c>
      <c r="AL17" s="8">
        <f>Weather!P17</f>
        <v>9.9187500000000028</v>
      </c>
      <c r="AM17" s="2">
        <f>Weather!Q17</f>
        <v>3.1755555555555559</v>
      </c>
      <c r="AN17" s="8">
        <f>Economic!C17</f>
        <v>6876.8</v>
      </c>
      <c r="AO17" s="8">
        <f>Economic!D17</f>
        <v>6786.4</v>
      </c>
      <c r="AP17" s="8">
        <f>Economic!E17</f>
        <v>85.3</v>
      </c>
      <c r="AQ17" s="8">
        <f>Economic!F17</f>
        <v>83.8</v>
      </c>
      <c r="AR17" s="8">
        <f>Economic!G17</f>
        <v>727609.6</v>
      </c>
      <c r="AS17" s="8">
        <f>Economic!H17</f>
        <v>7729.3</v>
      </c>
      <c r="AT17" s="8">
        <f>Economic!I17</f>
        <v>723726</v>
      </c>
      <c r="AU17" s="8">
        <f>Economic!J17</f>
        <v>7515</v>
      </c>
      <c r="AV17" s="1">
        <f t="shared" si="23"/>
        <v>16</v>
      </c>
      <c r="AW17" s="1">
        <v>0</v>
      </c>
      <c r="AX17" s="1">
        <v>0</v>
      </c>
      <c r="AY17" s="1">
        <v>0</v>
      </c>
      <c r="AZ17" s="1">
        <v>1</v>
      </c>
      <c r="BA17" s="1">
        <v>0</v>
      </c>
      <c r="BB17" s="1">
        <v>0</v>
      </c>
      <c r="BC17" s="1">
        <v>0</v>
      </c>
      <c r="BD17" s="1">
        <v>0</v>
      </c>
      <c r="BE17" s="1">
        <v>0</v>
      </c>
      <c r="BF17" s="1">
        <v>0</v>
      </c>
      <c r="BG17" s="1">
        <v>0</v>
      </c>
      <c r="BH17" s="1">
        <v>0</v>
      </c>
      <c r="BI17" s="1">
        <v>1</v>
      </c>
      <c r="BJ17" s="1">
        <v>0</v>
      </c>
      <c r="BK17" s="1">
        <v>1</v>
      </c>
      <c r="BL17" s="1">
        <v>1</v>
      </c>
      <c r="BM17" s="1">
        <v>0</v>
      </c>
      <c r="BN17" s="1">
        <v>1</v>
      </c>
      <c r="BO17">
        <v>30</v>
      </c>
      <c r="BP17">
        <v>20</v>
      </c>
      <c r="BQ17">
        <v>0</v>
      </c>
      <c r="BR17">
        <v>0</v>
      </c>
      <c r="BS17">
        <v>0</v>
      </c>
      <c r="BT17">
        <v>0</v>
      </c>
      <c r="BU17" s="126">
        <f t="shared" si="9"/>
        <v>0</v>
      </c>
      <c r="BV17" s="126">
        <f t="shared" si="10"/>
        <v>0</v>
      </c>
      <c r="BW17" s="126">
        <f t="shared" si="11"/>
        <v>0</v>
      </c>
      <c r="BX17" s="126">
        <f t="shared" si="12"/>
        <v>0</v>
      </c>
      <c r="BY17" s="126">
        <f t="shared" si="13"/>
        <v>0</v>
      </c>
      <c r="BZ17" s="126">
        <f t="shared" si="14"/>
        <v>0</v>
      </c>
      <c r="CA17" s="126">
        <f t="shared" si="15"/>
        <v>0</v>
      </c>
      <c r="CB17" s="126">
        <f t="shared" si="16"/>
        <v>0</v>
      </c>
      <c r="CC17" s="126">
        <f t="shared" si="17"/>
        <v>0</v>
      </c>
      <c r="CD17" s="126">
        <f t="shared" si="18"/>
        <v>0</v>
      </c>
      <c r="CE17" s="126">
        <f t="shared" si="19"/>
        <v>0</v>
      </c>
      <c r="CF17" s="126">
        <f t="shared" si="20"/>
        <v>0</v>
      </c>
      <c r="CG17" s="126">
        <f t="shared" si="21"/>
        <v>0</v>
      </c>
      <c r="CH17" s="126">
        <f t="shared" si="22"/>
        <v>0</v>
      </c>
      <c r="CI17" s="66">
        <f t="shared" si="6"/>
        <v>1050766.3170579744</v>
      </c>
      <c r="CJ17" s="66">
        <f t="shared" si="7"/>
        <v>378531.9738015664</v>
      </c>
      <c r="CK17" s="66">
        <f t="shared" si="8"/>
        <v>977750.72985623451</v>
      </c>
    </row>
    <row r="18" spans="1:89" x14ac:dyDescent="0.2">
      <c r="A18" s="101">
        <v>42125</v>
      </c>
      <c r="B18" s="3">
        <f t="shared" si="0"/>
        <v>2015</v>
      </c>
      <c r="C18" s="3">
        <f t="shared" si="24"/>
        <v>5</v>
      </c>
      <c r="D18" s="8">
        <v>25431453.950545076</v>
      </c>
      <c r="E18" s="8">
        <f>IFERROR(VLOOKUP($B18-1,CDM!$L$4:$R$15,2,FALSE)/12,0)+IFERROR(VLOOKUP($B18,CDM!$L$33:$O$44,2,FALSE)/24,0)+IFERROR(VLOOKUP($B18,CDM!$L$33:$O$44,2,FALSE)/2*$C18/78,0)</f>
        <v>361128.42343185033</v>
      </c>
      <c r="F18" s="8">
        <f t="shared" si="25"/>
        <v>25792582.373976927</v>
      </c>
      <c r="G18" s="8">
        <v>42706</v>
      </c>
      <c r="H18" s="2">
        <v>10564990.77938907</v>
      </c>
      <c r="I18" s="8">
        <f>IFERROR(VLOOKUP($B18-1,CDM!$L$4:$R$15,3,FALSE)/12,0)+IFERROR(VLOOKUP($B18,CDM!$L$33:$O$44,3,FALSE)/24,0)+IFERROR(VLOOKUP($B18,CDM!$L$33:$O$44,3,FALSE)/2*$C18/78,0)</f>
        <v>109890.2822444183</v>
      </c>
      <c r="J18" s="8">
        <f t="shared" si="26"/>
        <v>10674881.061633488</v>
      </c>
      <c r="K18" s="8">
        <v>4012</v>
      </c>
      <c r="L18" s="8">
        <v>27546876.457056116</v>
      </c>
      <c r="M18" s="8">
        <f>IFERROR(VLOOKUP($B18-1,CDM!$L$4:$R$15,4,FALSE)/12,0)+IFERROR(VLOOKUP($B18,CDM!$L$33:$O$44,4,FALSE)/24,0)+IFERROR(VLOOKUP($B18,CDM!$L$33:$O$44,4,FALSE)/2*$C18/78,0)</f>
        <v>493030.10036760732</v>
      </c>
      <c r="N18" s="8">
        <f t="shared" si="27"/>
        <v>28039906.557423722</v>
      </c>
      <c r="O18" s="8">
        <v>69111.428215977779</v>
      </c>
      <c r="P18" s="8">
        <v>516</v>
      </c>
      <c r="Q18" s="8">
        <v>488062.6755218216</v>
      </c>
      <c r="R18" s="2">
        <v>1758.72593750801</v>
      </c>
      <c r="S18" s="7">
        <v>9767</v>
      </c>
      <c r="T18" s="2">
        <v>36340.028462998132</v>
      </c>
      <c r="U18" s="2">
        <v>98.066624764299178</v>
      </c>
      <c r="V18" s="9">
        <v>405</v>
      </c>
      <c r="W18" s="2">
        <v>108818.6952760659</v>
      </c>
      <c r="X18" s="4">
        <v>322</v>
      </c>
      <c r="Y18" s="8">
        <f>Weather!C18</f>
        <v>233.73541666666668</v>
      </c>
      <c r="Z18" s="8">
        <f>Weather!D18</f>
        <v>0</v>
      </c>
      <c r="AA18" s="8">
        <f>Weather!E18</f>
        <v>175.32291666666669</v>
      </c>
      <c r="AB18" s="8">
        <f>Weather!F18</f>
        <v>3.587499999999995</v>
      </c>
      <c r="AC18" s="8">
        <f>Weather!G18</f>
        <v>125.00624999999999</v>
      </c>
      <c r="AD18" s="8">
        <f>Weather!H18</f>
        <v>15.270833333333325</v>
      </c>
      <c r="AE18" s="8">
        <f>Weather!I18</f>
        <v>81.410416666666677</v>
      </c>
      <c r="AF18" s="8">
        <f>Weather!J18</f>
        <v>33.67499999999999</v>
      </c>
      <c r="AG18" s="8">
        <f>Weather!K18</f>
        <v>46.254166666666663</v>
      </c>
      <c r="AH18" s="8">
        <f>Weather!L18</f>
        <v>60.518749999999983</v>
      </c>
      <c r="AI18" s="8">
        <f>Weather!M18</f>
        <v>22.945833333333329</v>
      </c>
      <c r="AJ18" s="8">
        <f>Weather!N18</f>
        <v>99.210416666666646</v>
      </c>
      <c r="AK18" s="8">
        <f>Weather!O18</f>
        <v>6.9916666666666663</v>
      </c>
      <c r="AL18" s="8">
        <f>Weather!P18</f>
        <v>145.25624999999999</v>
      </c>
      <c r="AM18" s="2">
        <f>Weather!Q18</f>
        <v>12.460147849462372</v>
      </c>
      <c r="AN18" s="8">
        <f>Economic!C18</f>
        <v>6883.3</v>
      </c>
      <c r="AO18" s="8">
        <f>Economic!D18</f>
        <v>6848.1</v>
      </c>
      <c r="AP18" s="8">
        <f>Economic!E18</f>
        <v>85.3</v>
      </c>
      <c r="AQ18" s="8">
        <f>Economic!F18</f>
        <v>84.5</v>
      </c>
      <c r="AR18" s="8">
        <f>Economic!G18</f>
        <v>727609.6</v>
      </c>
      <c r="AS18" s="8">
        <f>Economic!H18</f>
        <v>7729.3</v>
      </c>
      <c r="AT18" s="8">
        <f>Economic!I18</f>
        <v>723726</v>
      </c>
      <c r="AU18" s="8">
        <f>Economic!J18</f>
        <v>7515</v>
      </c>
      <c r="AV18" s="1">
        <f t="shared" si="23"/>
        <v>17</v>
      </c>
      <c r="AW18" s="1">
        <v>0</v>
      </c>
      <c r="AX18" s="1">
        <v>0</v>
      </c>
      <c r="AY18" s="1">
        <v>0</v>
      </c>
      <c r="AZ18" s="1">
        <v>0</v>
      </c>
      <c r="BA18" s="1">
        <v>1</v>
      </c>
      <c r="BB18" s="1">
        <v>0</v>
      </c>
      <c r="BC18" s="1">
        <v>0</v>
      </c>
      <c r="BD18" s="1">
        <v>0</v>
      </c>
      <c r="BE18" s="1">
        <v>0</v>
      </c>
      <c r="BF18" s="1">
        <v>0</v>
      </c>
      <c r="BG18" s="1">
        <v>0</v>
      </c>
      <c r="BH18" s="1">
        <v>0</v>
      </c>
      <c r="BI18" s="1">
        <v>1</v>
      </c>
      <c r="BJ18" s="1">
        <v>0</v>
      </c>
      <c r="BK18" s="1">
        <v>1</v>
      </c>
      <c r="BL18" s="1">
        <v>1</v>
      </c>
      <c r="BM18" s="1">
        <v>0</v>
      </c>
      <c r="BN18" s="1">
        <v>1</v>
      </c>
      <c r="BO18">
        <v>31</v>
      </c>
      <c r="BP18">
        <v>20</v>
      </c>
      <c r="BQ18">
        <v>0</v>
      </c>
      <c r="BR18">
        <v>0</v>
      </c>
      <c r="BS18">
        <v>0</v>
      </c>
      <c r="BT18">
        <v>0</v>
      </c>
      <c r="BU18" s="126">
        <f t="shared" si="9"/>
        <v>0</v>
      </c>
      <c r="BV18" s="126">
        <f t="shared" si="10"/>
        <v>0</v>
      </c>
      <c r="BW18" s="126">
        <f t="shared" si="11"/>
        <v>0</v>
      </c>
      <c r="BX18" s="126">
        <f t="shared" si="12"/>
        <v>0</v>
      </c>
      <c r="BY18" s="126">
        <f t="shared" si="13"/>
        <v>0</v>
      </c>
      <c r="BZ18" s="126">
        <f t="shared" si="14"/>
        <v>0</v>
      </c>
      <c r="CA18" s="126">
        <f t="shared" si="15"/>
        <v>0</v>
      </c>
      <c r="CB18" s="126">
        <f t="shared" si="16"/>
        <v>0</v>
      </c>
      <c r="CC18" s="126">
        <f t="shared" si="17"/>
        <v>0</v>
      </c>
      <c r="CD18" s="126">
        <f t="shared" si="18"/>
        <v>0</v>
      </c>
      <c r="CE18" s="126">
        <f t="shared" si="19"/>
        <v>0</v>
      </c>
      <c r="CF18" s="126">
        <f t="shared" si="20"/>
        <v>0</v>
      </c>
      <c r="CG18" s="126">
        <f t="shared" si="21"/>
        <v>0</v>
      </c>
      <c r="CH18" s="126">
        <f t="shared" si="22"/>
        <v>0</v>
      </c>
      <c r="CI18" s="66">
        <f t="shared" si="6"/>
        <v>832018.7862573202</v>
      </c>
      <c r="CJ18" s="66">
        <f t="shared" si="7"/>
        <v>340806.154173841</v>
      </c>
      <c r="CK18" s="66">
        <f t="shared" si="8"/>
        <v>904513.11475560395</v>
      </c>
    </row>
    <row r="19" spans="1:89" x14ac:dyDescent="0.2">
      <c r="A19" s="101">
        <v>42156</v>
      </c>
      <c r="B19" s="3">
        <f t="shared" si="0"/>
        <v>2015</v>
      </c>
      <c r="C19" s="3">
        <f t="shared" si="24"/>
        <v>6</v>
      </c>
      <c r="D19" s="8">
        <v>23725336.020671904</v>
      </c>
      <c r="E19" s="8">
        <f>IFERROR(VLOOKUP($B19-1,CDM!$L$4:$R$15,2,FALSE)/12,0)+IFERROR(VLOOKUP($B19,CDM!$L$33:$O$44,2,FALSE)/24,0)+IFERROR(VLOOKUP($B19,CDM!$L$33:$O$44,2,FALSE)/2*$C19/78,0)</f>
        <v>377513.60119097348</v>
      </c>
      <c r="F19" s="8">
        <f t="shared" si="25"/>
        <v>24102849.621862877</v>
      </c>
      <c r="G19" s="8">
        <v>42706</v>
      </c>
      <c r="H19" s="2">
        <v>10218771.283099867</v>
      </c>
      <c r="I19" s="8">
        <f>IFERROR(VLOOKUP($B19-1,CDM!$L$4:$R$15,3,FALSE)/12,0)+IFERROR(VLOOKUP($B19,CDM!$L$33:$O$44,3,FALSE)/24,0)+IFERROR(VLOOKUP($B19,CDM!$L$33:$O$44,3,FALSE)/2*$C19/78,0)</f>
        <v>116057.11519330612</v>
      </c>
      <c r="J19" s="8">
        <f t="shared" si="26"/>
        <v>10334828.398293173</v>
      </c>
      <c r="K19" s="8">
        <v>4012</v>
      </c>
      <c r="L19" s="8">
        <v>27143762.528781489</v>
      </c>
      <c r="M19" s="8">
        <f>IFERROR(VLOOKUP($B19-1,CDM!$L$4:$R$15,4,FALSE)/12,0)+IFERROR(VLOOKUP($B19,CDM!$L$33:$O$44,4,FALSE)/24,0)+IFERROR(VLOOKUP($B19,CDM!$L$33:$O$44,4,FALSE)/2*$C19/78,0)</f>
        <v>522595.82885159133</v>
      </c>
      <c r="N19" s="8">
        <f t="shared" si="27"/>
        <v>27666358.35763308</v>
      </c>
      <c r="O19" s="8">
        <v>68100.069292571541</v>
      </c>
      <c r="P19" s="8">
        <v>516</v>
      </c>
      <c r="Q19" s="8">
        <v>433606.3092979127</v>
      </c>
      <c r="R19" s="2">
        <v>1758.72593750801</v>
      </c>
      <c r="S19" s="7">
        <v>9767</v>
      </c>
      <c r="T19" s="2">
        <v>35116.840607210601</v>
      </c>
      <c r="U19" s="2">
        <v>98.066624764299178</v>
      </c>
      <c r="V19" s="9">
        <v>405</v>
      </c>
      <c r="W19" s="2">
        <v>105309.07312442538</v>
      </c>
      <c r="X19" s="4">
        <v>322</v>
      </c>
      <c r="Y19" s="8">
        <f>Weather!C19</f>
        <v>120.16593897094629</v>
      </c>
      <c r="Z19" s="8">
        <f>Weather!D19</f>
        <v>0</v>
      </c>
      <c r="AA19" s="8">
        <f>Weather!E19</f>
        <v>64.263855637612963</v>
      </c>
      <c r="AB19" s="8">
        <f>Weather!F19</f>
        <v>4.09791666666667</v>
      </c>
      <c r="AC19" s="8">
        <f>Weather!G19</f>
        <v>26.70000000000001</v>
      </c>
      <c r="AD19" s="8">
        <f>Weather!H19</f>
        <v>26.534061029053731</v>
      </c>
      <c r="AE19" s="8">
        <f>Weather!I19</f>
        <v>8.9208333333333343</v>
      </c>
      <c r="AF19" s="8">
        <f>Weather!J19</f>
        <v>68.754894362387049</v>
      </c>
      <c r="AG19" s="8">
        <f>Weather!K19</f>
        <v>1.7604166666666696</v>
      </c>
      <c r="AH19" s="8">
        <f>Weather!L19</f>
        <v>121.59447769572037</v>
      </c>
      <c r="AI19" s="8">
        <f>Weather!M19</f>
        <v>0</v>
      </c>
      <c r="AJ19" s="8">
        <f>Weather!N19</f>
        <v>179.83406102905374</v>
      </c>
      <c r="AK19" s="8">
        <f>Weather!O19</f>
        <v>0</v>
      </c>
      <c r="AL19" s="8">
        <f>Weather!P19</f>
        <v>239.8340610290538</v>
      </c>
      <c r="AM19" s="2">
        <f>Weather!Q19</f>
        <v>15.994468700968451</v>
      </c>
      <c r="AN19" s="8">
        <f>Economic!C19</f>
        <v>6883.6</v>
      </c>
      <c r="AO19" s="8">
        <f>Economic!D19</f>
        <v>6930.1</v>
      </c>
      <c r="AP19" s="8">
        <f>Economic!E19</f>
        <v>85</v>
      </c>
      <c r="AQ19" s="8">
        <f>Economic!F19</f>
        <v>85.6</v>
      </c>
      <c r="AR19" s="8">
        <f>Economic!G19</f>
        <v>727609.6</v>
      </c>
      <c r="AS19" s="8">
        <f>Economic!H19</f>
        <v>7729.3</v>
      </c>
      <c r="AT19" s="8">
        <f>Economic!I19</f>
        <v>723726</v>
      </c>
      <c r="AU19" s="8">
        <f>Economic!J19</f>
        <v>7515</v>
      </c>
      <c r="AV19" s="1">
        <f t="shared" si="23"/>
        <v>18</v>
      </c>
      <c r="AW19" s="1">
        <v>0</v>
      </c>
      <c r="AX19" s="1">
        <v>0</v>
      </c>
      <c r="AY19" s="1">
        <v>0</v>
      </c>
      <c r="AZ19" s="1">
        <v>0</v>
      </c>
      <c r="BA19" s="1">
        <v>0</v>
      </c>
      <c r="BB19" s="1">
        <v>1</v>
      </c>
      <c r="BC19" s="1">
        <v>0</v>
      </c>
      <c r="BD19" s="1">
        <v>0</v>
      </c>
      <c r="BE19" s="1">
        <v>0</v>
      </c>
      <c r="BF19" s="1">
        <v>0</v>
      </c>
      <c r="BG19" s="1">
        <v>0</v>
      </c>
      <c r="BH19" s="1">
        <v>0</v>
      </c>
      <c r="BI19" s="1">
        <v>0</v>
      </c>
      <c r="BJ19" s="1">
        <v>0</v>
      </c>
      <c r="BK19" s="1">
        <v>0</v>
      </c>
      <c r="BL19" s="1">
        <v>0</v>
      </c>
      <c r="BM19" s="1">
        <v>0</v>
      </c>
      <c r="BN19" s="1">
        <v>0</v>
      </c>
      <c r="BO19">
        <v>30</v>
      </c>
      <c r="BP19">
        <v>22</v>
      </c>
      <c r="BQ19">
        <v>0</v>
      </c>
      <c r="BR19">
        <v>0</v>
      </c>
      <c r="BS19">
        <v>0</v>
      </c>
      <c r="BT19">
        <v>0</v>
      </c>
      <c r="BU19" s="126">
        <f t="shared" si="9"/>
        <v>0</v>
      </c>
      <c r="BV19" s="126">
        <f t="shared" si="10"/>
        <v>0</v>
      </c>
      <c r="BW19" s="126">
        <f t="shared" si="11"/>
        <v>0</v>
      </c>
      <c r="BX19" s="126">
        <f t="shared" si="12"/>
        <v>0</v>
      </c>
      <c r="BY19" s="126">
        <f t="shared" si="13"/>
        <v>0</v>
      </c>
      <c r="BZ19" s="126">
        <f t="shared" si="14"/>
        <v>0</v>
      </c>
      <c r="CA19" s="126">
        <f t="shared" si="15"/>
        <v>0</v>
      </c>
      <c r="CB19" s="126">
        <f t="shared" si="16"/>
        <v>0</v>
      </c>
      <c r="CC19" s="126">
        <f t="shared" si="17"/>
        <v>0</v>
      </c>
      <c r="CD19" s="126">
        <f t="shared" si="18"/>
        <v>0</v>
      </c>
      <c r="CE19" s="126">
        <f t="shared" si="19"/>
        <v>0</v>
      </c>
      <c r="CF19" s="126">
        <f t="shared" si="20"/>
        <v>0</v>
      </c>
      <c r="CG19" s="126">
        <f t="shared" si="21"/>
        <v>0</v>
      </c>
      <c r="CH19" s="126">
        <f t="shared" si="22"/>
        <v>0</v>
      </c>
      <c r="CI19" s="66">
        <f t="shared" si="6"/>
        <v>803428.32072876254</v>
      </c>
      <c r="CJ19" s="66">
        <f t="shared" si="7"/>
        <v>340625.70943666226</v>
      </c>
      <c r="CK19" s="66">
        <f t="shared" si="8"/>
        <v>922211.945254436</v>
      </c>
    </row>
    <row r="20" spans="1:89" x14ac:dyDescent="0.2">
      <c r="A20" s="101">
        <v>42186</v>
      </c>
      <c r="B20" s="3">
        <f t="shared" si="0"/>
        <v>2015</v>
      </c>
      <c r="C20" s="3">
        <f t="shared" si="24"/>
        <v>7</v>
      </c>
      <c r="D20" s="8">
        <v>25279867.837755114</v>
      </c>
      <c r="E20" s="8">
        <f>IFERROR(VLOOKUP($B20-1,CDM!$L$4:$R$15,2,FALSE)/12,0)+IFERROR(VLOOKUP($B20,CDM!$L$33:$O$44,2,FALSE)/24,0)+IFERROR(VLOOKUP($B20,CDM!$L$33:$O$44,2,FALSE)/2*$C20/78,0)</f>
        <v>393898.77895009663</v>
      </c>
      <c r="F20" s="8">
        <f t="shared" si="25"/>
        <v>25673766.616705209</v>
      </c>
      <c r="G20" s="8">
        <v>42706</v>
      </c>
      <c r="H20" s="2">
        <v>10819001.617096173</v>
      </c>
      <c r="I20" s="8">
        <f>IFERROR(VLOOKUP($B20-1,CDM!$L$4:$R$15,3,FALSE)/12,0)+IFERROR(VLOOKUP($B20,CDM!$L$33:$O$44,3,FALSE)/24,0)+IFERROR(VLOOKUP($B20,CDM!$L$33:$O$44,3,FALSE)/2*$C20/78,0)</f>
        <v>122223.94814219394</v>
      </c>
      <c r="J20" s="8">
        <f t="shared" si="26"/>
        <v>10941225.565238366</v>
      </c>
      <c r="K20" s="8">
        <v>4012</v>
      </c>
      <c r="L20" s="8">
        <v>28513321.914981727</v>
      </c>
      <c r="M20" s="8">
        <f>IFERROR(VLOOKUP($B20-1,CDM!$L$4:$R$15,4,FALSE)/12,0)+IFERROR(VLOOKUP($B20,CDM!$L$33:$O$44,4,FALSE)/24,0)+IFERROR(VLOOKUP($B20,CDM!$L$33:$O$44,4,FALSE)/2*$C20/78,0)</f>
        <v>552161.55733557534</v>
      </c>
      <c r="N20" s="8">
        <f t="shared" si="27"/>
        <v>29065483.472317301</v>
      </c>
      <c r="O20" s="8">
        <v>71536.110593096237</v>
      </c>
      <c r="P20" s="8">
        <v>516</v>
      </c>
      <c r="Q20" s="8">
        <v>467111.63187855791</v>
      </c>
      <c r="R20" s="2">
        <v>1752.6036193063849</v>
      </c>
      <c r="S20" s="7">
        <v>9733</v>
      </c>
      <c r="T20" s="2">
        <v>36271.20493358637</v>
      </c>
      <c r="U20" s="2">
        <v>97.32369578881206</v>
      </c>
      <c r="V20" s="9">
        <v>402</v>
      </c>
      <c r="W20" s="2">
        <v>108821.44420643587</v>
      </c>
      <c r="X20" s="4">
        <v>322</v>
      </c>
      <c r="Y20" s="8">
        <f>Weather!C20</f>
        <v>57.60833333333332</v>
      </c>
      <c r="Z20" s="8">
        <f>Weather!D20</f>
        <v>24.195833333333326</v>
      </c>
      <c r="AA20" s="8">
        <f>Weather!E20</f>
        <v>26.133333333333333</v>
      </c>
      <c r="AB20" s="8">
        <f>Weather!F20</f>
        <v>54.720833333333339</v>
      </c>
      <c r="AC20" s="8">
        <f>Weather!G20</f>
        <v>8.5208333333333268</v>
      </c>
      <c r="AD20" s="8">
        <f>Weather!H20</f>
        <v>99.108333333333334</v>
      </c>
      <c r="AE20" s="8">
        <f>Weather!I20</f>
        <v>1.6875</v>
      </c>
      <c r="AF20" s="8">
        <f>Weather!J20</f>
        <v>154.27500000000001</v>
      </c>
      <c r="AG20" s="8">
        <f>Weather!K20</f>
        <v>0</v>
      </c>
      <c r="AH20" s="8">
        <f>Weather!L20</f>
        <v>214.58750000000001</v>
      </c>
      <c r="AI20" s="8">
        <f>Weather!M20</f>
        <v>0</v>
      </c>
      <c r="AJ20" s="8">
        <f>Weather!N20</f>
        <v>276.58749999999998</v>
      </c>
      <c r="AK20" s="8">
        <f>Weather!O20</f>
        <v>0</v>
      </c>
      <c r="AL20" s="8">
        <f>Weather!P20</f>
        <v>338.58750000000003</v>
      </c>
      <c r="AM20" s="2">
        <f>Weather!Q20</f>
        <v>18.922177419354835</v>
      </c>
      <c r="AN20" s="8">
        <f>Economic!C20</f>
        <v>6891.7</v>
      </c>
      <c r="AO20" s="8">
        <f>Economic!D20</f>
        <v>6986.1</v>
      </c>
      <c r="AP20" s="8">
        <f>Economic!E20</f>
        <v>83.6</v>
      </c>
      <c r="AQ20" s="8">
        <f>Economic!F20</f>
        <v>85</v>
      </c>
      <c r="AR20" s="8">
        <f>Economic!G20</f>
        <v>727609.6</v>
      </c>
      <c r="AS20" s="8">
        <f>Economic!H20</f>
        <v>7729.3</v>
      </c>
      <c r="AT20" s="8">
        <f>Economic!I20</f>
        <v>730341</v>
      </c>
      <c r="AU20" s="8">
        <f>Economic!J20</f>
        <v>7773</v>
      </c>
      <c r="AV20" s="1">
        <f t="shared" si="23"/>
        <v>19</v>
      </c>
      <c r="AW20" s="1">
        <v>0</v>
      </c>
      <c r="AX20" s="1">
        <v>0</v>
      </c>
      <c r="AY20" s="1">
        <v>0</v>
      </c>
      <c r="AZ20" s="1">
        <v>0</v>
      </c>
      <c r="BA20" s="1">
        <v>0</v>
      </c>
      <c r="BB20" s="1">
        <v>0</v>
      </c>
      <c r="BC20" s="1">
        <v>1</v>
      </c>
      <c r="BD20" s="1">
        <v>0</v>
      </c>
      <c r="BE20" s="1">
        <v>0</v>
      </c>
      <c r="BF20" s="1">
        <v>0</v>
      </c>
      <c r="BG20" s="1">
        <v>0</v>
      </c>
      <c r="BH20" s="1">
        <v>0</v>
      </c>
      <c r="BI20" s="1">
        <v>0</v>
      </c>
      <c r="BJ20" s="1">
        <v>0</v>
      </c>
      <c r="BK20" s="1">
        <v>0</v>
      </c>
      <c r="BL20" s="1">
        <v>0</v>
      </c>
      <c r="BM20" s="1">
        <v>0</v>
      </c>
      <c r="BN20" s="1">
        <v>0</v>
      </c>
      <c r="BO20">
        <v>31</v>
      </c>
      <c r="BP20">
        <v>22</v>
      </c>
      <c r="BQ20">
        <v>0</v>
      </c>
      <c r="BR20">
        <v>0</v>
      </c>
      <c r="BS20">
        <v>0</v>
      </c>
      <c r="BT20">
        <v>0</v>
      </c>
      <c r="BU20" s="126">
        <f t="shared" si="9"/>
        <v>0</v>
      </c>
      <c r="BV20" s="126">
        <f t="shared" si="10"/>
        <v>0</v>
      </c>
      <c r="BW20" s="126">
        <f t="shared" si="11"/>
        <v>0</v>
      </c>
      <c r="BX20" s="126">
        <f t="shared" si="12"/>
        <v>0</v>
      </c>
      <c r="BY20" s="126">
        <f t="shared" si="13"/>
        <v>0</v>
      </c>
      <c r="BZ20" s="126">
        <f t="shared" si="14"/>
        <v>0</v>
      </c>
      <c r="CA20" s="126">
        <f t="shared" si="15"/>
        <v>0</v>
      </c>
      <c r="CB20" s="126">
        <f t="shared" si="16"/>
        <v>0</v>
      </c>
      <c r="CC20" s="126">
        <f t="shared" si="17"/>
        <v>0</v>
      </c>
      <c r="CD20" s="126">
        <f t="shared" si="18"/>
        <v>0</v>
      </c>
      <c r="CE20" s="126">
        <f t="shared" si="19"/>
        <v>0</v>
      </c>
      <c r="CF20" s="126">
        <f t="shared" si="20"/>
        <v>0</v>
      </c>
      <c r="CG20" s="126">
        <f t="shared" si="21"/>
        <v>0</v>
      </c>
      <c r="CH20" s="126">
        <f t="shared" si="22"/>
        <v>0</v>
      </c>
      <c r="CI20" s="66">
        <f t="shared" si="6"/>
        <v>828186.01989371644</v>
      </c>
      <c r="CJ20" s="66">
        <f t="shared" si="7"/>
        <v>349000.05216439266</v>
      </c>
      <c r="CK20" s="66">
        <f t="shared" si="8"/>
        <v>937596.24104249361</v>
      </c>
    </row>
    <row r="21" spans="1:89" x14ac:dyDescent="0.2">
      <c r="A21" s="101">
        <v>42217</v>
      </c>
      <c r="B21" s="3">
        <f t="shared" si="0"/>
        <v>2015</v>
      </c>
      <c r="C21" s="3">
        <f t="shared" si="24"/>
        <v>8</v>
      </c>
      <c r="D21" s="8">
        <v>25418920.777273819</v>
      </c>
      <c r="E21" s="8">
        <f>IFERROR(VLOOKUP($B21-1,CDM!$L$4:$R$15,2,FALSE)/12,0)+IFERROR(VLOOKUP($B21,CDM!$L$33:$O$44,2,FALSE)/24,0)+IFERROR(VLOOKUP($B21,CDM!$L$33:$O$44,2,FALSE)/2*$C21/78,0)</f>
        <v>410283.95670921978</v>
      </c>
      <c r="F21" s="8">
        <f t="shared" si="25"/>
        <v>25829204.73398304</v>
      </c>
      <c r="G21" s="8">
        <v>42706</v>
      </c>
      <c r="H21" s="2">
        <v>10732614.700677432</v>
      </c>
      <c r="I21" s="8">
        <f>IFERROR(VLOOKUP($B21-1,CDM!$L$4:$R$15,3,FALSE)/12,0)+IFERROR(VLOOKUP($B21,CDM!$L$33:$O$44,3,FALSE)/24,0)+IFERROR(VLOOKUP($B21,CDM!$L$33:$O$44,3,FALSE)/2*$C21/78,0)</f>
        <v>128390.78109108176</v>
      </c>
      <c r="J21" s="8">
        <f t="shared" si="26"/>
        <v>10861005.481768513</v>
      </c>
      <c r="K21" s="8">
        <v>4012</v>
      </c>
      <c r="L21" s="8">
        <v>27800129.374247089</v>
      </c>
      <c r="M21" s="8">
        <f>IFERROR(VLOOKUP($B21-1,CDM!$L$4:$R$15,4,FALSE)/12,0)+IFERROR(VLOOKUP($B21,CDM!$L$33:$O$44,4,FALSE)/24,0)+IFERROR(VLOOKUP($B21,CDM!$L$33:$O$44,4,FALSE)/2*$C21/78,0)</f>
        <v>581727.28581955924</v>
      </c>
      <c r="N21" s="8">
        <f t="shared" si="27"/>
        <v>28381856.660066649</v>
      </c>
      <c r="O21" s="8">
        <v>69746.805908770504</v>
      </c>
      <c r="P21" s="8">
        <v>516</v>
      </c>
      <c r="Q21" s="8">
        <v>535312.40986717271</v>
      </c>
      <c r="R21" s="2">
        <v>1752.6036193063849</v>
      </c>
      <c r="S21" s="7">
        <v>9733</v>
      </c>
      <c r="T21" s="2">
        <v>36271.20493358637</v>
      </c>
      <c r="U21" s="2">
        <v>97.32369578881206</v>
      </c>
      <c r="V21" s="9">
        <v>402</v>
      </c>
      <c r="W21" s="2">
        <v>107784.80629027233</v>
      </c>
      <c r="X21" s="4">
        <v>322</v>
      </c>
      <c r="Y21" s="8">
        <f>Weather!C21</f>
        <v>81.683333333333323</v>
      </c>
      <c r="Z21" s="8">
        <f>Weather!D21</f>
        <v>9.7291666666666679</v>
      </c>
      <c r="AA21" s="8">
        <f>Weather!E21</f>
        <v>38.716666666666669</v>
      </c>
      <c r="AB21" s="8">
        <f>Weather!F21</f>
        <v>28.762500000000021</v>
      </c>
      <c r="AC21" s="8">
        <f>Weather!G21</f>
        <v>13.720833333333342</v>
      </c>
      <c r="AD21" s="8">
        <f>Weather!H21</f>
        <v>65.76666666666668</v>
      </c>
      <c r="AE21" s="8">
        <f>Weather!I21</f>
        <v>4.6541666666666686</v>
      </c>
      <c r="AF21" s="8">
        <f>Weather!J21</f>
        <v>118.7</v>
      </c>
      <c r="AG21" s="8">
        <f>Weather!K21</f>
        <v>0</v>
      </c>
      <c r="AH21" s="8">
        <f>Weather!L21</f>
        <v>176.04583333333341</v>
      </c>
      <c r="AI21" s="8">
        <f>Weather!M21</f>
        <v>0</v>
      </c>
      <c r="AJ21" s="8">
        <f>Weather!N21</f>
        <v>238.04583333333341</v>
      </c>
      <c r="AK21" s="8">
        <f>Weather!O21</f>
        <v>0</v>
      </c>
      <c r="AL21" s="8">
        <f>Weather!P21</f>
        <v>300.04583333333341</v>
      </c>
      <c r="AM21" s="2">
        <f>Weather!Q21</f>
        <v>17.67889784946237</v>
      </c>
      <c r="AN21" s="8">
        <f>Economic!C21</f>
        <v>6896.8</v>
      </c>
      <c r="AO21" s="8">
        <f>Economic!D21</f>
        <v>7000.2</v>
      </c>
      <c r="AP21" s="8">
        <f>Economic!E21</f>
        <v>82.7</v>
      </c>
      <c r="AQ21" s="8">
        <f>Economic!F21</f>
        <v>84.7</v>
      </c>
      <c r="AR21" s="8">
        <f>Economic!G21</f>
        <v>727609.6</v>
      </c>
      <c r="AS21" s="8">
        <f>Economic!H21</f>
        <v>7729.3</v>
      </c>
      <c r="AT21" s="8">
        <f>Economic!I21</f>
        <v>730341</v>
      </c>
      <c r="AU21" s="8">
        <f>Economic!J21</f>
        <v>7773</v>
      </c>
      <c r="AV21" s="1">
        <f t="shared" si="23"/>
        <v>20</v>
      </c>
      <c r="AW21" s="1">
        <v>0</v>
      </c>
      <c r="AX21" s="1">
        <v>0</v>
      </c>
      <c r="AY21" s="1">
        <v>0</v>
      </c>
      <c r="AZ21" s="1">
        <v>0</v>
      </c>
      <c r="BA21" s="1">
        <v>0</v>
      </c>
      <c r="BB21" s="1">
        <v>0</v>
      </c>
      <c r="BC21" s="1">
        <v>0</v>
      </c>
      <c r="BD21" s="1">
        <v>1</v>
      </c>
      <c r="BE21" s="1">
        <v>0</v>
      </c>
      <c r="BF21" s="1">
        <v>0</v>
      </c>
      <c r="BG21" s="1">
        <v>0</v>
      </c>
      <c r="BH21" s="1">
        <v>0</v>
      </c>
      <c r="BI21" s="1">
        <v>0</v>
      </c>
      <c r="BJ21" s="1">
        <v>0</v>
      </c>
      <c r="BK21" s="1">
        <v>0</v>
      </c>
      <c r="BL21" s="1">
        <v>0</v>
      </c>
      <c r="BM21" s="1">
        <v>0</v>
      </c>
      <c r="BN21" s="1">
        <v>0</v>
      </c>
      <c r="BO21">
        <v>31</v>
      </c>
      <c r="BP21">
        <v>20</v>
      </c>
      <c r="BQ21">
        <v>0</v>
      </c>
      <c r="BR21">
        <v>0</v>
      </c>
      <c r="BS21">
        <v>0</v>
      </c>
      <c r="BT21">
        <v>0</v>
      </c>
      <c r="BU21" s="126">
        <f t="shared" si="9"/>
        <v>0</v>
      </c>
      <c r="BV21" s="126">
        <f t="shared" si="10"/>
        <v>0</v>
      </c>
      <c r="BW21" s="126">
        <f t="shared" si="11"/>
        <v>0</v>
      </c>
      <c r="BX21" s="126">
        <f t="shared" si="12"/>
        <v>0</v>
      </c>
      <c r="BY21" s="126">
        <f t="shared" si="13"/>
        <v>0</v>
      </c>
      <c r="BZ21" s="126">
        <f t="shared" si="14"/>
        <v>0</v>
      </c>
      <c r="CA21" s="126">
        <f t="shared" si="15"/>
        <v>0</v>
      </c>
      <c r="CB21" s="126">
        <f t="shared" si="16"/>
        <v>0</v>
      </c>
      <c r="CC21" s="126">
        <f t="shared" si="17"/>
        <v>0</v>
      </c>
      <c r="CD21" s="126">
        <f t="shared" si="18"/>
        <v>0</v>
      </c>
      <c r="CE21" s="126">
        <f t="shared" si="19"/>
        <v>0</v>
      </c>
      <c r="CF21" s="126">
        <f t="shared" si="20"/>
        <v>0</v>
      </c>
      <c r="CG21" s="126">
        <f t="shared" si="21"/>
        <v>0</v>
      </c>
      <c r="CH21" s="126">
        <f t="shared" si="22"/>
        <v>0</v>
      </c>
      <c r="CI21" s="66">
        <f t="shared" si="6"/>
        <v>833200.15270913031</v>
      </c>
      <c r="CJ21" s="66">
        <f t="shared" si="7"/>
        <v>346213.37744120747</v>
      </c>
      <c r="CK21" s="66">
        <f t="shared" si="8"/>
        <v>915543.76322795649</v>
      </c>
    </row>
    <row r="22" spans="1:89" x14ac:dyDescent="0.2">
      <c r="A22" s="101">
        <v>42248</v>
      </c>
      <c r="B22" s="3">
        <f t="shared" si="0"/>
        <v>2015</v>
      </c>
      <c r="C22" s="3">
        <f t="shared" si="24"/>
        <v>9</v>
      </c>
      <c r="D22" s="8">
        <v>24809548.609589469</v>
      </c>
      <c r="E22" s="8">
        <f>IFERROR(VLOOKUP($B22-1,CDM!$L$4:$R$15,2,FALSE)/12,0)+IFERROR(VLOOKUP($B22,CDM!$L$33:$O$44,2,FALSE)/24,0)+IFERROR(VLOOKUP($B22,CDM!$L$33:$O$44,2,FALSE)/2*$C22/78,0)</f>
        <v>426669.13446834293</v>
      </c>
      <c r="F22" s="8">
        <f t="shared" si="25"/>
        <v>25236217.744057812</v>
      </c>
      <c r="G22" s="8">
        <v>42706</v>
      </c>
      <c r="H22" s="2">
        <v>10122299.862264432</v>
      </c>
      <c r="I22" s="8">
        <f>IFERROR(VLOOKUP($B22-1,CDM!$L$4:$R$15,3,FALSE)/12,0)+IFERROR(VLOOKUP($B22,CDM!$L$33:$O$44,3,FALSE)/24,0)+IFERROR(VLOOKUP($B22,CDM!$L$33:$O$44,3,FALSE)/2*$C22/78,0)</f>
        <v>134557.61403996957</v>
      </c>
      <c r="J22" s="8">
        <f t="shared" si="26"/>
        <v>10256857.476304401</v>
      </c>
      <c r="K22" s="8">
        <v>4012</v>
      </c>
      <c r="L22" s="8">
        <v>27586014.300152719</v>
      </c>
      <c r="M22" s="8">
        <f>IFERROR(VLOOKUP($B22-1,CDM!$L$4:$R$15,4,FALSE)/12,0)+IFERROR(VLOOKUP($B22,CDM!$L$33:$O$44,4,FALSE)/24,0)+IFERROR(VLOOKUP($B22,CDM!$L$33:$O$44,4,FALSE)/2*$C22/78,0)</f>
        <v>611293.01430354314</v>
      </c>
      <c r="N22" s="8">
        <f t="shared" si="27"/>
        <v>28197307.314456262</v>
      </c>
      <c r="O22" s="8">
        <v>69209.619829023839</v>
      </c>
      <c r="P22" s="8">
        <v>516</v>
      </c>
      <c r="Q22" s="8">
        <v>601981.93548387091</v>
      </c>
      <c r="R22" s="2">
        <v>1752.6036193063849</v>
      </c>
      <c r="S22" s="7">
        <v>9733</v>
      </c>
      <c r="T22" s="2">
        <v>35099.079399905087</v>
      </c>
      <c r="U22" s="2">
        <v>97.32369578881206</v>
      </c>
      <c r="V22" s="9">
        <v>402</v>
      </c>
      <c r="W22" s="2">
        <v>102876.86668777041</v>
      </c>
      <c r="X22" s="4">
        <v>322</v>
      </c>
      <c r="Y22" s="8">
        <f>Weather!C22</f>
        <v>126.35833333333335</v>
      </c>
      <c r="Z22" s="8">
        <f>Weather!D22</f>
        <v>7.3666666666666565</v>
      </c>
      <c r="AA22" s="8">
        <f>Weather!E22</f>
        <v>86.031249999999986</v>
      </c>
      <c r="AB22" s="8">
        <f>Weather!F22</f>
        <v>27.039583333333312</v>
      </c>
      <c r="AC22" s="8">
        <f>Weather!G22</f>
        <v>53.285416666666649</v>
      </c>
      <c r="AD22" s="8">
        <f>Weather!H22</f>
        <v>54.29374999999996</v>
      </c>
      <c r="AE22" s="8">
        <f>Weather!I22</f>
        <v>27.347916666666659</v>
      </c>
      <c r="AF22" s="8">
        <f>Weather!J22</f>
        <v>88.356249999999974</v>
      </c>
      <c r="AG22" s="8">
        <f>Weather!K22</f>
        <v>10.968749999999995</v>
      </c>
      <c r="AH22" s="8">
        <f>Weather!L22</f>
        <v>131.9770833333333</v>
      </c>
      <c r="AI22" s="8">
        <f>Weather!M22</f>
        <v>5.0249999999999986</v>
      </c>
      <c r="AJ22" s="8">
        <f>Weather!N22</f>
        <v>186.03333333333336</v>
      </c>
      <c r="AK22" s="8">
        <f>Weather!O22</f>
        <v>1.0249999999999986</v>
      </c>
      <c r="AL22" s="8">
        <f>Weather!P22</f>
        <v>242.03333333333336</v>
      </c>
      <c r="AM22" s="2">
        <f>Weather!Q22</f>
        <v>16.03361111111111</v>
      </c>
      <c r="AN22" s="8">
        <f>Economic!C22</f>
        <v>6893.1</v>
      </c>
      <c r="AO22" s="8">
        <f>Economic!D22</f>
        <v>6953.7</v>
      </c>
      <c r="AP22" s="8">
        <f>Economic!E22</f>
        <v>81.3</v>
      </c>
      <c r="AQ22" s="8">
        <f>Economic!F22</f>
        <v>82.5</v>
      </c>
      <c r="AR22" s="8">
        <f>Economic!G22</f>
        <v>727609.6</v>
      </c>
      <c r="AS22" s="8">
        <f>Economic!H22</f>
        <v>7729.3</v>
      </c>
      <c r="AT22" s="8">
        <f>Economic!I22</f>
        <v>730341</v>
      </c>
      <c r="AU22" s="8">
        <f>Economic!J22</f>
        <v>7773</v>
      </c>
      <c r="AV22" s="1">
        <f t="shared" si="23"/>
        <v>21</v>
      </c>
      <c r="AW22" s="1">
        <v>0</v>
      </c>
      <c r="AX22" s="1">
        <v>0</v>
      </c>
      <c r="AY22" s="1">
        <v>0</v>
      </c>
      <c r="AZ22" s="1">
        <v>0</v>
      </c>
      <c r="BA22" s="1">
        <v>0</v>
      </c>
      <c r="BB22" s="1">
        <v>0</v>
      </c>
      <c r="BC22" s="1">
        <v>0</v>
      </c>
      <c r="BD22" s="1">
        <v>0</v>
      </c>
      <c r="BE22" s="1">
        <v>1</v>
      </c>
      <c r="BF22" s="1">
        <v>0</v>
      </c>
      <c r="BG22" s="1">
        <v>0</v>
      </c>
      <c r="BH22" s="1">
        <v>0</v>
      </c>
      <c r="BI22" s="1">
        <v>0</v>
      </c>
      <c r="BJ22" s="1">
        <v>1</v>
      </c>
      <c r="BK22" s="1">
        <v>1</v>
      </c>
      <c r="BL22" s="1">
        <v>0</v>
      </c>
      <c r="BM22" s="1">
        <v>1</v>
      </c>
      <c r="BN22" s="1">
        <v>1</v>
      </c>
      <c r="BO22">
        <v>30</v>
      </c>
      <c r="BP22">
        <v>21</v>
      </c>
      <c r="BQ22">
        <v>0</v>
      </c>
      <c r="BR22">
        <v>0</v>
      </c>
      <c r="BS22">
        <v>0</v>
      </c>
      <c r="BT22">
        <v>0</v>
      </c>
      <c r="BU22" s="126">
        <f t="shared" si="9"/>
        <v>0</v>
      </c>
      <c r="BV22" s="126">
        <f t="shared" si="10"/>
        <v>0</v>
      </c>
      <c r="BW22" s="126">
        <f t="shared" si="11"/>
        <v>0</v>
      </c>
      <c r="BX22" s="126">
        <f t="shared" si="12"/>
        <v>0</v>
      </c>
      <c r="BY22" s="126">
        <f t="shared" si="13"/>
        <v>0</v>
      </c>
      <c r="BZ22" s="126">
        <f t="shared" si="14"/>
        <v>0</v>
      </c>
      <c r="CA22" s="126">
        <f t="shared" si="15"/>
        <v>0</v>
      </c>
      <c r="CB22" s="126">
        <f t="shared" si="16"/>
        <v>0</v>
      </c>
      <c r="CC22" s="126">
        <f t="shared" si="17"/>
        <v>0</v>
      </c>
      <c r="CD22" s="126">
        <f t="shared" si="18"/>
        <v>0</v>
      </c>
      <c r="CE22" s="126">
        <f t="shared" si="19"/>
        <v>0</v>
      </c>
      <c r="CF22" s="126">
        <f t="shared" si="20"/>
        <v>0</v>
      </c>
      <c r="CG22" s="126">
        <f t="shared" si="21"/>
        <v>0</v>
      </c>
      <c r="CH22" s="126">
        <f t="shared" si="22"/>
        <v>0</v>
      </c>
      <c r="CI22" s="66">
        <f t="shared" si="6"/>
        <v>841207.25813526043</v>
      </c>
      <c r="CJ22" s="66">
        <f t="shared" si="7"/>
        <v>337409.9954088144</v>
      </c>
      <c r="CK22" s="66">
        <f t="shared" si="8"/>
        <v>939910.24381520867</v>
      </c>
    </row>
    <row r="23" spans="1:89" x14ac:dyDescent="0.2">
      <c r="A23" s="101">
        <v>42278</v>
      </c>
      <c r="B23" s="3">
        <f t="shared" si="0"/>
        <v>2015</v>
      </c>
      <c r="C23" s="3">
        <f t="shared" si="24"/>
        <v>10</v>
      </c>
      <c r="D23" s="8">
        <v>27598891.626087241</v>
      </c>
      <c r="E23" s="8">
        <f>IFERROR(VLOOKUP($B23-1,CDM!$L$4:$R$15,2,FALSE)/12,0)+IFERROR(VLOOKUP($B23,CDM!$L$33:$O$44,2,FALSE)/24,0)+IFERROR(VLOOKUP($B23,CDM!$L$33:$O$44,2,FALSE)/2*$C23/78,0)</f>
        <v>443054.31222746603</v>
      </c>
      <c r="F23" s="8">
        <f t="shared" si="25"/>
        <v>28041945.938314706</v>
      </c>
      <c r="G23" s="8">
        <v>42746</v>
      </c>
      <c r="H23" s="2">
        <v>10607777.225119881</v>
      </c>
      <c r="I23" s="8">
        <f>IFERROR(VLOOKUP($B23-1,CDM!$L$4:$R$15,3,FALSE)/12,0)+IFERROR(VLOOKUP($B23,CDM!$L$33:$O$44,3,FALSE)/24,0)+IFERROR(VLOOKUP($B23,CDM!$L$33:$O$44,3,FALSE)/2*$C23/78,0)</f>
        <v>140724.44698885741</v>
      </c>
      <c r="J23" s="8">
        <f t="shared" si="26"/>
        <v>10748501.67210874</v>
      </c>
      <c r="K23" s="8">
        <v>4032</v>
      </c>
      <c r="L23" s="8">
        <v>28180179.325923011</v>
      </c>
      <c r="M23" s="8">
        <f>IFERROR(VLOOKUP($B23-1,CDM!$L$4:$R$15,4,FALSE)/12,0)+IFERROR(VLOOKUP($B23,CDM!$L$33:$O$44,4,FALSE)/24,0)+IFERROR(VLOOKUP($B23,CDM!$L$33:$O$44,4,FALSE)/2*$C23/78,0)</f>
        <v>640858.74278752715</v>
      </c>
      <c r="N23" s="8">
        <f t="shared" si="27"/>
        <v>28821038.068710539</v>
      </c>
      <c r="O23" s="8">
        <v>70700.300400049149</v>
      </c>
      <c r="P23" s="8">
        <v>520</v>
      </c>
      <c r="Q23" s="8">
        <v>711292.7039848197</v>
      </c>
      <c r="R23" s="2">
        <v>1754.9445056775946</v>
      </c>
      <c r="S23" s="7">
        <v>9746</v>
      </c>
      <c r="T23" s="2">
        <v>36271.205230075931</v>
      </c>
      <c r="U23" s="2">
        <v>96.333123821495917</v>
      </c>
      <c r="V23" s="9">
        <v>398</v>
      </c>
      <c r="W23" s="2">
        <v>105923.76224403024</v>
      </c>
      <c r="X23" s="4">
        <v>315</v>
      </c>
      <c r="Y23" s="8">
        <f>Weather!C23</f>
        <v>453.93749999999994</v>
      </c>
      <c r="Z23" s="8">
        <f>Weather!D23</f>
        <v>0</v>
      </c>
      <c r="AA23" s="8">
        <f>Weather!E23</f>
        <v>391.9375</v>
      </c>
      <c r="AB23" s="8">
        <f>Weather!F23</f>
        <v>0</v>
      </c>
      <c r="AC23" s="8">
        <f>Weather!G23</f>
        <v>329.9375</v>
      </c>
      <c r="AD23" s="8">
        <f>Weather!H23</f>
        <v>0</v>
      </c>
      <c r="AE23" s="8">
        <f>Weather!I23</f>
        <v>268.27499999999998</v>
      </c>
      <c r="AF23" s="8">
        <f>Weather!J23</f>
        <v>0.3374999999999968</v>
      </c>
      <c r="AG23" s="8">
        <f>Weather!K23</f>
        <v>209.20416666666668</v>
      </c>
      <c r="AH23" s="8">
        <f>Weather!L23</f>
        <v>3.2666666666666622</v>
      </c>
      <c r="AI23" s="8">
        <f>Weather!M23</f>
        <v>151.64166666666668</v>
      </c>
      <c r="AJ23" s="8">
        <f>Weather!N23</f>
        <v>7.7041666666666604</v>
      </c>
      <c r="AK23" s="8">
        <f>Weather!O23</f>
        <v>95.88333333333334</v>
      </c>
      <c r="AL23" s="8">
        <f>Weather!P23</f>
        <v>13.945833333333329</v>
      </c>
      <c r="AM23" s="2">
        <f>Weather!Q23</f>
        <v>5.3568548387096762</v>
      </c>
      <c r="AN23" s="8">
        <f>Economic!C23</f>
        <v>6892.9</v>
      </c>
      <c r="AO23" s="8">
        <f>Economic!D23</f>
        <v>6932.8</v>
      </c>
      <c r="AP23" s="8">
        <f>Economic!E23</f>
        <v>80.599999999999994</v>
      </c>
      <c r="AQ23" s="8">
        <f>Economic!F23</f>
        <v>81.900000000000006</v>
      </c>
      <c r="AR23" s="8">
        <f>Economic!G23</f>
        <v>727609.6</v>
      </c>
      <c r="AS23" s="8">
        <f>Economic!H23</f>
        <v>7729.3</v>
      </c>
      <c r="AT23" s="8">
        <f>Economic!I23</f>
        <v>737784</v>
      </c>
      <c r="AU23" s="8">
        <f>Economic!J23</f>
        <v>8177</v>
      </c>
      <c r="AV23" s="1">
        <f t="shared" si="23"/>
        <v>22</v>
      </c>
      <c r="AW23" s="1">
        <v>0</v>
      </c>
      <c r="AX23" s="1">
        <v>0</v>
      </c>
      <c r="AY23" s="1">
        <v>0</v>
      </c>
      <c r="AZ23" s="1">
        <v>0</v>
      </c>
      <c r="BA23" s="1">
        <v>0</v>
      </c>
      <c r="BB23" s="1">
        <v>0</v>
      </c>
      <c r="BC23" s="1">
        <v>0</v>
      </c>
      <c r="BD23" s="1">
        <v>0</v>
      </c>
      <c r="BE23" s="1">
        <v>0</v>
      </c>
      <c r="BF23" s="1">
        <v>1</v>
      </c>
      <c r="BG23" s="1">
        <v>0</v>
      </c>
      <c r="BH23" s="1">
        <v>0</v>
      </c>
      <c r="BI23" s="1">
        <v>0</v>
      </c>
      <c r="BJ23" s="1">
        <v>1</v>
      </c>
      <c r="BK23" s="1">
        <v>1</v>
      </c>
      <c r="BL23" s="1">
        <v>0</v>
      </c>
      <c r="BM23" s="1">
        <v>1</v>
      </c>
      <c r="BN23" s="1">
        <v>1</v>
      </c>
      <c r="BO23">
        <v>31</v>
      </c>
      <c r="BP23">
        <v>21</v>
      </c>
      <c r="BQ23">
        <v>0</v>
      </c>
      <c r="BR23">
        <v>0</v>
      </c>
      <c r="BS23">
        <v>0</v>
      </c>
      <c r="BT23">
        <v>0</v>
      </c>
      <c r="BU23" s="126">
        <f t="shared" si="9"/>
        <v>0</v>
      </c>
      <c r="BV23" s="126">
        <f t="shared" si="10"/>
        <v>0</v>
      </c>
      <c r="BW23" s="126">
        <f t="shared" si="11"/>
        <v>0</v>
      </c>
      <c r="BX23" s="126">
        <f t="shared" si="12"/>
        <v>0</v>
      </c>
      <c r="BY23" s="126">
        <f t="shared" si="13"/>
        <v>0</v>
      </c>
      <c r="BZ23" s="126">
        <f t="shared" si="14"/>
        <v>0</v>
      </c>
      <c r="CA23" s="126">
        <f t="shared" si="15"/>
        <v>0</v>
      </c>
      <c r="CB23" s="126">
        <f t="shared" si="16"/>
        <v>0</v>
      </c>
      <c r="CC23" s="126">
        <f t="shared" si="17"/>
        <v>0</v>
      </c>
      <c r="CD23" s="126">
        <f t="shared" si="18"/>
        <v>0</v>
      </c>
      <c r="CE23" s="126">
        <f t="shared" si="19"/>
        <v>0</v>
      </c>
      <c r="CF23" s="126">
        <f t="shared" si="20"/>
        <v>0</v>
      </c>
      <c r="CG23" s="126">
        <f t="shared" si="21"/>
        <v>0</v>
      </c>
      <c r="CH23" s="126">
        <f t="shared" si="22"/>
        <v>0</v>
      </c>
      <c r="CI23" s="66">
        <f t="shared" si="6"/>
        <v>904578.90123595821</v>
      </c>
      <c r="CJ23" s="66">
        <f t="shared" si="7"/>
        <v>342186.36210064136</v>
      </c>
      <c r="CK23" s="66">
        <f t="shared" si="8"/>
        <v>929710.90544227546</v>
      </c>
    </row>
    <row r="24" spans="1:89" x14ac:dyDescent="0.2">
      <c r="A24" s="101">
        <v>42309</v>
      </c>
      <c r="B24" s="3">
        <f t="shared" si="0"/>
        <v>2015</v>
      </c>
      <c r="C24" s="3">
        <f t="shared" si="24"/>
        <v>11</v>
      </c>
      <c r="D24" s="8">
        <v>30873804.899003249</v>
      </c>
      <c r="E24" s="8">
        <f>IFERROR(VLOOKUP($B24-1,CDM!$L$4:$R$15,2,FALSE)/12,0)+IFERROR(VLOOKUP($B24,CDM!$L$33:$O$44,2,FALSE)/24,0)+IFERROR(VLOOKUP($B24,CDM!$L$33:$O$44,2,FALSE)/2*$C24/78,0)</f>
        <v>459439.48998658918</v>
      </c>
      <c r="F24" s="8">
        <f t="shared" si="25"/>
        <v>31333244.388989836</v>
      </c>
      <c r="G24" s="8">
        <v>42746</v>
      </c>
      <c r="H24" s="2">
        <v>10915111.018168477</v>
      </c>
      <c r="I24" s="8">
        <f>IFERROR(VLOOKUP($B24-1,CDM!$L$4:$R$15,3,FALSE)/12,0)+IFERROR(VLOOKUP($B24,CDM!$L$33:$O$44,3,FALSE)/24,0)+IFERROR(VLOOKUP($B24,CDM!$L$33:$O$44,3,FALSE)/2*$C24/78,0)</f>
        <v>146891.27993774525</v>
      </c>
      <c r="J24" s="8">
        <f t="shared" si="26"/>
        <v>11062002.298106223</v>
      </c>
      <c r="K24" s="8">
        <v>4032</v>
      </c>
      <c r="L24" s="8">
        <v>29535179.096457187</v>
      </c>
      <c r="M24" s="8">
        <f>IFERROR(VLOOKUP($B24-1,CDM!$L$4:$R$15,4,FALSE)/12,0)+IFERROR(VLOOKUP($B24,CDM!$L$33:$O$44,4,FALSE)/24,0)+IFERROR(VLOOKUP($B24,CDM!$L$33:$O$44,4,FALSE)/2*$C24/78,0)</f>
        <v>670424.47127151117</v>
      </c>
      <c r="N24" s="8">
        <f t="shared" si="27"/>
        <v>30205603.567728698</v>
      </c>
      <c r="O24" s="8">
        <v>74099.813572438317</v>
      </c>
      <c r="P24" s="8">
        <v>520</v>
      </c>
      <c r="Q24" s="8">
        <v>765442.14421252371</v>
      </c>
      <c r="R24" s="2">
        <v>1754.9445056775946</v>
      </c>
      <c r="S24" s="7">
        <v>9746</v>
      </c>
      <c r="T24" s="2">
        <v>35099.079696394663</v>
      </c>
      <c r="U24" s="2">
        <v>96.333123821495917</v>
      </c>
      <c r="V24" s="9">
        <v>398</v>
      </c>
      <c r="W24" s="2">
        <v>102104.4834714263</v>
      </c>
      <c r="X24" s="4">
        <v>315</v>
      </c>
      <c r="Y24" s="8">
        <f>Weather!C24</f>
        <v>544.27500000000009</v>
      </c>
      <c r="Z24" s="8">
        <f>Weather!D24</f>
        <v>0</v>
      </c>
      <c r="AA24" s="8">
        <f>Weather!E24</f>
        <v>484.27499999999998</v>
      </c>
      <c r="AB24" s="8">
        <f>Weather!F24</f>
        <v>0</v>
      </c>
      <c r="AC24" s="8">
        <f>Weather!G24</f>
        <v>424.27499999999998</v>
      </c>
      <c r="AD24" s="8">
        <f>Weather!H24</f>
        <v>0</v>
      </c>
      <c r="AE24" s="8">
        <f>Weather!I24</f>
        <v>364.27499999999998</v>
      </c>
      <c r="AF24" s="8">
        <f>Weather!J24</f>
        <v>0</v>
      </c>
      <c r="AG24" s="8">
        <f>Weather!K24</f>
        <v>304.27499999999998</v>
      </c>
      <c r="AH24" s="8">
        <f>Weather!L24</f>
        <v>0</v>
      </c>
      <c r="AI24" s="8">
        <f>Weather!M24</f>
        <v>246.22083333333336</v>
      </c>
      <c r="AJ24" s="8">
        <f>Weather!N24</f>
        <v>1.9458333333333311</v>
      </c>
      <c r="AK24" s="8">
        <f>Weather!O24</f>
        <v>192.30208333333331</v>
      </c>
      <c r="AL24" s="8">
        <f>Weather!P24</f>
        <v>8.02708333333333</v>
      </c>
      <c r="AM24" s="2">
        <f>Weather!Q24</f>
        <v>1.8574999999999993</v>
      </c>
      <c r="AN24" s="8">
        <f>Economic!C24</f>
        <v>6886.2</v>
      </c>
      <c r="AO24" s="8">
        <f>Economic!D24</f>
        <v>6898.2</v>
      </c>
      <c r="AP24" s="8">
        <f>Economic!E24</f>
        <v>79.8</v>
      </c>
      <c r="AQ24" s="8">
        <f>Economic!F24</f>
        <v>80.8</v>
      </c>
      <c r="AR24" s="8">
        <f>Economic!G24</f>
        <v>727609.6</v>
      </c>
      <c r="AS24" s="8">
        <f>Economic!H24</f>
        <v>7729.3</v>
      </c>
      <c r="AT24" s="8">
        <f>Economic!I24</f>
        <v>737784</v>
      </c>
      <c r="AU24" s="8">
        <f>Economic!J24</f>
        <v>8177</v>
      </c>
      <c r="AV24" s="1">
        <f t="shared" si="23"/>
        <v>23</v>
      </c>
      <c r="AW24" s="1">
        <v>0</v>
      </c>
      <c r="AX24" s="1">
        <v>0</v>
      </c>
      <c r="AY24" s="1">
        <v>0</v>
      </c>
      <c r="AZ24" s="1">
        <v>0</v>
      </c>
      <c r="BA24" s="1">
        <v>0</v>
      </c>
      <c r="BB24" s="1">
        <v>0</v>
      </c>
      <c r="BC24" s="1">
        <v>0</v>
      </c>
      <c r="BD24" s="1">
        <v>0</v>
      </c>
      <c r="BE24" s="1">
        <v>0</v>
      </c>
      <c r="BF24" s="1">
        <v>0</v>
      </c>
      <c r="BG24" s="1">
        <v>1</v>
      </c>
      <c r="BH24" s="1">
        <v>0</v>
      </c>
      <c r="BI24" s="1">
        <v>0</v>
      </c>
      <c r="BJ24" s="1">
        <v>1</v>
      </c>
      <c r="BK24" s="1">
        <v>1</v>
      </c>
      <c r="BL24" s="1">
        <v>0</v>
      </c>
      <c r="BM24" s="1">
        <v>0</v>
      </c>
      <c r="BN24" s="1">
        <v>0</v>
      </c>
      <c r="BO24">
        <v>30</v>
      </c>
      <c r="BP24">
        <v>21</v>
      </c>
      <c r="BQ24">
        <v>0</v>
      </c>
      <c r="BR24">
        <v>0</v>
      </c>
      <c r="BS24">
        <v>0</v>
      </c>
      <c r="BT24">
        <v>0</v>
      </c>
      <c r="BU24" s="126">
        <f t="shared" si="9"/>
        <v>0</v>
      </c>
      <c r="BV24" s="126">
        <f t="shared" si="10"/>
        <v>0</v>
      </c>
      <c r="BW24" s="126">
        <f t="shared" si="11"/>
        <v>0</v>
      </c>
      <c r="BX24" s="126">
        <f t="shared" si="12"/>
        <v>0</v>
      </c>
      <c r="BY24" s="126">
        <f t="shared" si="13"/>
        <v>0</v>
      </c>
      <c r="BZ24" s="126">
        <f t="shared" si="14"/>
        <v>0</v>
      </c>
      <c r="CA24" s="126">
        <f t="shared" si="15"/>
        <v>0</v>
      </c>
      <c r="CB24" s="126">
        <f t="shared" si="16"/>
        <v>0</v>
      </c>
      <c r="CC24" s="126">
        <f t="shared" si="17"/>
        <v>0</v>
      </c>
      <c r="CD24" s="126">
        <f t="shared" si="18"/>
        <v>0</v>
      </c>
      <c r="CE24" s="126">
        <f t="shared" si="19"/>
        <v>0</v>
      </c>
      <c r="CF24" s="126">
        <f t="shared" si="20"/>
        <v>0</v>
      </c>
      <c r="CG24" s="126">
        <f t="shared" si="21"/>
        <v>0</v>
      </c>
      <c r="CH24" s="126">
        <f t="shared" si="22"/>
        <v>0</v>
      </c>
      <c r="CI24" s="66">
        <f t="shared" si="6"/>
        <v>1044441.4796329945</v>
      </c>
      <c r="CJ24" s="66">
        <f t="shared" si="7"/>
        <v>363837.03393894923</v>
      </c>
      <c r="CK24" s="66">
        <f t="shared" si="8"/>
        <v>1006853.4522576233</v>
      </c>
    </row>
    <row r="25" spans="1:89" x14ac:dyDescent="0.2">
      <c r="A25" s="101">
        <v>42339</v>
      </c>
      <c r="B25" s="3">
        <f t="shared" si="0"/>
        <v>2015</v>
      </c>
      <c r="C25" s="3">
        <f t="shared" si="24"/>
        <v>12</v>
      </c>
      <c r="D25" s="8">
        <v>36217478.92820438</v>
      </c>
      <c r="E25" s="8">
        <f>IFERROR(VLOOKUP($B25-1,CDM!$L$4:$R$15,2,FALSE)/12,0)+IFERROR(VLOOKUP($B25,CDM!$L$33:$O$44,2,FALSE)/24,0)+IFERROR(VLOOKUP($B25,CDM!$L$33:$O$44,2,FALSE)/2*$C25/78,0)</f>
        <v>475824.66774571233</v>
      </c>
      <c r="F25" s="8">
        <f t="shared" si="25"/>
        <v>36693303.595950089</v>
      </c>
      <c r="G25" s="8">
        <v>42746</v>
      </c>
      <c r="H25" s="2">
        <v>12189773.504297856</v>
      </c>
      <c r="I25" s="8">
        <f>IFERROR(VLOOKUP($B25-1,CDM!$L$4:$R$15,3,FALSE)/12,0)+IFERROR(VLOOKUP($B25,CDM!$L$33:$O$44,3,FALSE)/24,0)+IFERROR(VLOOKUP($B25,CDM!$L$33:$O$44,3,FALSE)/2*$C25/78,0)</f>
        <v>153058.11288663305</v>
      </c>
      <c r="J25" s="8">
        <f t="shared" si="26"/>
        <v>12342831.61718449</v>
      </c>
      <c r="K25" s="8">
        <v>4032</v>
      </c>
      <c r="L25" s="8">
        <v>31672344.136065371</v>
      </c>
      <c r="M25" s="8">
        <f>IFERROR(VLOOKUP($B25-1,CDM!$L$4:$R$15,4,FALSE)/12,0)+IFERROR(VLOOKUP($B25,CDM!$L$33:$O$44,4,FALSE)/24,0)+IFERROR(VLOOKUP($B25,CDM!$L$33:$O$44,4,FALSE)/2*$C25/78,0)</f>
        <v>699990.19975549518</v>
      </c>
      <c r="N25" s="8">
        <f t="shared" si="27"/>
        <v>32372334.335820865</v>
      </c>
      <c r="O25" s="8">
        <v>79461.674778402536</v>
      </c>
      <c r="P25" s="8">
        <v>520</v>
      </c>
      <c r="Q25" s="8">
        <v>832919.84819734341</v>
      </c>
      <c r="R25" s="2">
        <v>1754.9445056775946</v>
      </c>
      <c r="S25" s="7">
        <v>9746</v>
      </c>
      <c r="T25" s="2">
        <v>36271.20493358637</v>
      </c>
      <c r="U25" s="2">
        <v>96.333123821495917</v>
      </c>
      <c r="V25" s="9">
        <v>398</v>
      </c>
      <c r="W25" s="2">
        <v>104886.14546037436</v>
      </c>
      <c r="X25" s="4">
        <v>315</v>
      </c>
      <c r="Y25" s="8">
        <f>Weather!C25</f>
        <v>662.51250000000016</v>
      </c>
      <c r="Z25" s="8">
        <f>Weather!D25</f>
        <v>0</v>
      </c>
      <c r="AA25" s="8">
        <f>Weather!E25</f>
        <v>600.51250000000016</v>
      </c>
      <c r="AB25" s="8">
        <f>Weather!F25</f>
        <v>0</v>
      </c>
      <c r="AC25" s="8">
        <f>Weather!G25</f>
        <v>538.51250000000005</v>
      </c>
      <c r="AD25" s="8">
        <f>Weather!H25</f>
        <v>0</v>
      </c>
      <c r="AE25" s="8">
        <f>Weather!I25</f>
        <v>476.51250000000005</v>
      </c>
      <c r="AF25" s="8">
        <f>Weather!J25</f>
        <v>0</v>
      </c>
      <c r="AG25" s="8">
        <f>Weather!K25</f>
        <v>414.51249999999999</v>
      </c>
      <c r="AH25" s="8">
        <f>Weather!L25</f>
        <v>0</v>
      </c>
      <c r="AI25" s="8">
        <f>Weather!M25</f>
        <v>352.51249999999993</v>
      </c>
      <c r="AJ25" s="8">
        <f>Weather!N25</f>
        <v>0</v>
      </c>
      <c r="AK25" s="8">
        <f>Weather!O25</f>
        <v>290.51249999999999</v>
      </c>
      <c r="AL25" s="8">
        <f>Weather!P25</f>
        <v>0</v>
      </c>
      <c r="AM25" s="2">
        <f>Weather!Q25</f>
        <v>-1.3713709677419357</v>
      </c>
      <c r="AN25" s="8">
        <f>Economic!C25</f>
        <v>6895.6</v>
      </c>
      <c r="AO25" s="8">
        <f>Economic!D25</f>
        <v>6902.3</v>
      </c>
      <c r="AP25" s="8">
        <f>Economic!E25</f>
        <v>79.8</v>
      </c>
      <c r="AQ25" s="8">
        <f>Economic!F25</f>
        <v>80.400000000000006</v>
      </c>
      <c r="AR25" s="8">
        <f>Economic!G25</f>
        <v>727609.6</v>
      </c>
      <c r="AS25" s="8">
        <f>Economic!H25</f>
        <v>7729.3</v>
      </c>
      <c r="AT25" s="8">
        <f>Economic!I25</f>
        <v>737784</v>
      </c>
      <c r="AU25" s="8">
        <f>Economic!J25</f>
        <v>8177</v>
      </c>
      <c r="AV25" s="1">
        <f t="shared" si="23"/>
        <v>24</v>
      </c>
      <c r="AW25" s="1">
        <v>0</v>
      </c>
      <c r="AX25" s="1">
        <v>0</v>
      </c>
      <c r="AY25" s="1">
        <v>0</v>
      </c>
      <c r="AZ25" s="1">
        <v>0</v>
      </c>
      <c r="BA25" s="1">
        <v>0</v>
      </c>
      <c r="BB25" s="1">
        <v>0</v>
      </c>
      <c r="BC25" s="1">
        <v>0</v>
      </c>
      <c r="BD25" s="1">
        <v>0</v>
      </c>
      <c r="BE25" s="1">
        <v>0</v>
      </c>
      <c r="BF25" s="1">
        <v>0</v>
      </c>
      <c r="BG25" s="1">
        <v>0</v>
      </c>
      <c r="BH25" s="1">
        <v>1</v>
      </c>
      <c r="BI25" s="1">
        <v>0</v>
      </c>
      <c r="BJ25" s="1">
        <v>0</v>
      </c>
      <c r="BK25" s="1">
        <v>0</v>
      </c>
      <c r="BL25" s="1">
        <v>0</v>
      </c>
      <c r="BM25" s="1">
        <v>0</v>
      </c>
      <c r="BN25" s="1">
        <v>0</v>
      </c>
      <c r="BO25">
        <v>31</v>
      </c>
      <c r="BP25">
        <v>21</v>
      </c>
      <c r="BQ25">
        <v>0</v>
      </c>
      <c r="BR25">
        <v>0</v>
      </c>
      <c r="BS25">
        <v>0</v>
      </c>
      <c r="BT25">
        <v>0</v>
      </c>
      <c r="BU25" s="126">
        <f t="shared" si="9"/>
        <v>0</v>
      </c>
      <c r="BV25" s="126">
        <f t="shared" si="10"/>
        <v>0</v>
      </c>
      <c r="BW25" s="126">
        <f t="shared" si="11"/>
        <v>0</v>
      </c>
      <c r="BX25" s="126">
        <f t="shared" si="12"/>
        <v>0</v>
      </c>
      <c r="BY25" s="126">
        <f t="shared" si="13"/>
        <v>0</v>
      </c>
      <c r="BZ25" s="126">
        <f t="shared" si="14"/>
        <v>0</v>
      </c>
      <c r="CA25" s="126">
        <f t="shared" si="15"/>
        <v>0</v>
      </c>
      <c r="CB25" s="126">
        <f t="shared" si="16"/>
        <v>0</v>
      </c>
      <c r="CC25" s="126">
        <f t="shared" si="17"/>
        <v>0</v>
      </c>
      <c r="CD25" s="126">
        <f t="shared" si="18"/>
        <v>0</v>
      </c>
      <c r="CE25" s="126">
        <f t="shared" si="19"/>
        <v>0</v>
      </c>
      <c r="CF25" s="126">
        <f t="shared" si="20"/>
        <v>0</v>
      </c>
      <c r="CG25" s="126">
        <f t="shared" si="21"/>
        <v>0</v>
      </c>
      <c r="CH25" s="126">
        <f t="shared" si="22"/>
        <v>0</v>
      </c>
      <c r="CI25" s="66">
        <f t="shared" si="6"/>
        <v>1183654.9547080675</v>
      </c>
      <c r="CJ25" s="66">
        <f t="shared" si="7"/>
        <v>393218.50013864052</v>
      </c>
      <c r="CK25" s="66">
        <f t="shared" si="8"/>
        <v>1044268.8495426086</v>
      </c>
    </row>
    <row r="26" spans="1:89" x14ac:dyDescent="0.2">
      <c r="A26" s="101">
        <v>42370</v>
      </c>
      <c r="B26" s="3">
        <f t="shared" si="0"/>
        <v>2016</v>
      </c>
      <c r="C26" s="3">
        <f t="shared" si="24"/>
        <v>1</v>
      </c>
      <c r="D26" s="8">
        <v>40778117.276427858</v>
      </c>
      <c r="E26" s="8">
        <f>IFERROR(VLOOKUP($B26-1,CDM!$L$4:$R$15,2,FALSE)/12,0)+IFERROR(VLOOKUP($B26,CDM!$L$33:$O$44,2,FALSE)/24,0)+IFERROR(VLOOKUP($B26,CDM!$L$33:$O$44,2,FALSE)/2*$C26/78,0)</f>
        <v>594056.37592149666</v>
      </c>
      <c r="F26" s="8">
        <f t="shared" si="25"/>
        <v>41372173.652349353</v>
      </c>
      <c r="G26" s="8">
        <v>42783</v>
      </c>
      <c r="H26" s="2">
        <v>13300720.562335251</v>
      </c>
      <c r="I26" s="8">
        <f>IFERROR(VLOOKUP($B26-1,CDM!$L$4:$R$15,3,FALSE)/12,0)+IFERROR(VLOOKUP($B26,CDM!$L$33:$O$44,3,FALSE)/24,0)+IFERROR(VLOOKUP($B26,CDM!$L$33:$O$44,3,FALSE)/2*$C26/78,0)</f>
        <v>170766.61513011201</v>
      </c>
      <c r="J26" s="8">
        <f t="shared" si="26"/>
        <v>13471487.177465362</v>
      </c>
      <c r="K26" s="8">
        <v>4055</v>
      </c>
      <c r="L26" s="8">
        <v>34463637.435847543</v>
      </c>
      <c r="M26" s="8">
        <f>IFERROR(VLOOKUP($B26-1,CDM!$L$4:$R$15,4,FALSE)/12,0)+IFERROR(VLOOKUP($B26,CDM!$L$33:$O$44,4,FALSE)/24,0)+IFERROR(VLOOKUP($B26,CDM!$L$33:$O$44,4,FALSE)/2*$C26/78,0)</f>
        <v>783858.78346265119</v>
      </c>
      <c r="N26" s="8">
        <f t="shared" si="27"/>
        <v>35247496.219310194</v>
      </c>
      <c r="O26" s="8">
        <v>87992.458221885143</v>
      </c>
      <c r="P26" s="8">
        <v>498</v>
      </c>
      <c r="Q26" s="8">
        <v>809287.85578747629</v>
      </c>
      <c r="R26" s="2">
        <v>1744.7108369667437</v>
      </c>
      <c r="S26" s="7">
        <v>9743</v>
      </c>
      <c r="T26" s="2">
        <v>36271.178051865936</v>
      </c>
      <c r="U26" s="2">
        <v>91.124835351604005</v>
      </c>
      <c r="V26" s="9">
        <v>398</v>
      </c>
      <c r="W26" s="2">
        <v>104901.63826001009</v>
      </c>
      <c r="X26" s="4">
        <v>316</v>
      </c>
      <c r="Y26" s="8">
        <f>Weather!C26</f>
        <v>925.80416666666679</v>
      </c>
      <c r="Z26" s="8">
        <f>Weather!D26</f>
        <v>0</v>
      </c>
      <c r="AA26" s="8">
        <f>Weather!E26</f>
        <v>863.80416666666667</v>
      </c>
      <c r="AB26" s="8">
        <f>Weather!F26</f>
        <v>0</v>
      </c>
      <c r="AC26" s="8">
        <f>Weather!G26</f>
        <v>801.80416666666679</v>
      </c>
      <c r="AD26" s="8">
        <f>Weather!H26</f>
        <v>0</v>
      </c>
      <c r="AE26" s="8">
        <f>Weather!I26</f>
        <v>739.80416666666667</v>
      </c>
      <c r="AF26" s="8">
        <f>Weather!J26</f>
        <v>0</v>
      </c>
      <c r="AG26" s="8">
        <f>Weather!K26</f>
        <v>677.80416666666667</v>
      </c>
      <c r="AH26" s="8">
        <f>Weather!L26</f>
        <v>0</v>
      </c>
      <c r="AI26" s="8">
        <f>Weather!M26</f>
        <v>615.80416666666679</v>
      </c>
      <c r="AJ26" s="8">
        <f>Weather!N26</f>
        <v>0</v>
      </c>
      <c r="AK26" s="8">
        <f>Weather!O26</f>
        <v>553.80416666666667</v>
      </c>
      <c r="AL26" s="8">
        <f>Weather!P26</f>
        <v>0</v>
      </c>
      <c r="AM26" s="2">
        <f>Weather!Q26</f>
        <v>-9.8646505376344074</v>
      </c>
      <c r="AN26" s="8">
        <f>Economic!C26</f>
        <v>6908.4</v>
      </c>
      <c r="AO26" s="8">
        <f>Economic!D26</f>
        <v>6871.2</v>
      </c>
      <c r="AP26" s="8">
        <f>Economic!E26</f>
        <v>79.599999999999994</v>
      </c>
      <c r="AQ26" s="8">
        <f>Economic!F26</f>
        <v>78.900000000000006</v>
      </c>
      <c r="AR26" s="8">
        <f>Economic!G26</f>
        <v>743976.2</v>
      </c>
      <c r="AS26" s="8">
        <f>Economic!H26</f>
        <v>7852.2</v>
      </c>
      <c r="AT26" s="8">
        <f>Economic!I26</f>
        <v>743287</v>
      </c>
      <c r="AU26" s="8">
        <f>Economic!J26</f>
        <v>8031</v>
      </c>
      <c r="AV26" s="1">
        <f t="shared" si="23"/>
        <v>25</v>
      </c>
      <c r="AW26" s="1">
        <v>1</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v>31</v>
      </c>
      <c r="BP26">
        <v>20</v>
      </c>
      <c r="BQ26">
        <v>0</v>
      </c>
      <c r="BR26">
        <v>0</v>
      </c>
      <c r="BS26">
        <v>0</v>
      </c>
      <c r="BT26">
        <v>0</v>
      </c>
      <c r="BU26" s="126">
        <f t="shared" si="9"/>
        <v>0</v>
      </c>
      <c r="BV26" s="126">
        <f t="shared" si="10"/>
        <v>0</v>
      </c>
      <c r="BW26" s="126">
        <f t="shared" si="11"/>
        <v>0</v>
      </c>
      <c r="BX26" s="126">
        <f t="shared" si="12"/>
        <v>0</v>
      </c>
      <c r="BY26" s="126">
        <f t="shared" si="13"/>
        <v>0</v>
      </c>
      <c r="BZ26" s="126">
        <f t="shared" si="14"/>
        <v>0</v>
      </c>
      <c r="CA26" s="126">
        <f t="shared" si="15"/>
        <v>0</v>
      </c>
      <c r="CB26" s="126">
        <f t="shared" si="16"/>
        <v>0</v>
      </c>
      <c r="CC26" s="126">
        <f t="shared" si="17"/>
        <v>0</v>
      </c>
      <c r="CD26" s="126">
        <f t="shared" si="18"/>
        <v>0</v>
      </c>
      <c r="CE26" s="126">
        <f t="shared" si="19"/>
        <v>0</v>
      </c>
      <c r="CF26" s="126">
        <f t="shared" si="20"/>
        <v>0</v>
      </c>
      <c r="CG26" s="126">
        <f t="shared" si="21"/>
        <v>0</v>
      </c>
      <c r="CH26" s="126">
        <f t="shared" si="22"/>
        <v>0</v>
      </c>
      <c r="CI26" s="66">
        <f t="shared" si="6"/>
        <v>1334586.246849979</v>
      </c>
      <c r="CJ26" s="66">
        <f t="shared" si="7"/>
        <v>429055.50201081455</v>
      </c>
      <c r="CK26" s="66">
        <f t="shared" si="8"/>
        <v>1137016.0070745223</v>
      </c>
    </row>
    <row r="27" spans="1:89" x14ac:dyDescent="0.2">
      <c r="A27" s="101">
        <v>42401</v>
      </c>
      <c r="B27" s="3">
        <f t="shared" si="0"/>
        <v>2016</v>
      </c>
      <c r="C27" s="3">
        <f t="shared" si="24"/>
        <v>2</v>
      </c>
      <c r="D27" s="8">
        <v>37652898.882360131</v>
      </c>
      <c r="E27" s="8">
        <f>IFERROR(VLOOKUP($B27-1,CDM!$L$4:$R$15,2,FALSE)/12,0)+IFERROR(VLOOKUP($B27,CDM!$L$33:$O$44,2,FALSE)/24,0)+IFERROR(VLOOKUP($B27,CDM!$L$33:$O$44,2,FALSE)/2*$C27/78,0)</f>
        <v>621836.40070162481</v>
      </c>
      <c r="F27" s="8">
        <f t="shared" si="25"/>
        <v>38274735.283061758</v>
      </c>
      <c r="G27" s="8">
        <v>42783</v>
      </c>
      <c r="H27" s="2">
        <v>12517469.442093974</v>
      </c>
      <c r="I27" s="8">
        <f>IFERROR(VLOOKUP($B27-1,CDM!$L$4:$R$15,3,FALSE)/12,0)+IFERROR(VLOOKUP($B27,CDM!$L$33:$O$44,3,FALSE)/24,0)+IFERROR(VLOOKUP($B27,CDM!$L$33:$O$44,3,FALSE)/2*$C27/78,0)</f>
        <v>177650.0929250936</v>
      </c>
      <c r="J27" s="8">
        <f t="shared" si="26"/>
        <v>12695119.535019068</v>
      </c>
      <c r="K27" s="8">
        <v>4055</v>
      </c>
      <c r="L27" s="8">
        <v>31642636.084239524</v>
      </c>
      <c r="M27" s="8">
        <f>IFERROR(VLOOKUP($B27-1,CDM!$L$4:$R$15,4,FALSE)/12,0)+IFERROR(VLOOKUP($B27,CDM!$L$33:$O$44,4,FALSE)/24,0)+IFERROR(VLOOKUP($B27,CDM!$L$33:$O$44,4,FALSE)/2*$C27/78,0)</f>
        <v>816722.79551186017</v>
      </c>
      <c r="N27" s="8">
        <f t="shared" si="27"/>
        <v>32459358.879751384</v>
      </c>
      <c r="O27" s="8">
        <v>80789.885828378698</v>
      </c>
      <c r="P27" s="8">
        <v>498</v>
      </c>
      <c r="Q27" s="8">
        <v>691606.22390891844</v>
      </c>
      <c r="R27" s="2">
        <v>1744.7108369667437</v>
      </c>
      <c r="S27" s="7">
        <v>9743</v>
      </c>
      <c r="T27" s="2">
        <v>33927.031941808986</v>
      </c>
      <c r="U27" s="2">
        <v>91.124835351604005</v>
      </c>
      <c r="V27" s="9">
        <v>398</v>
      </c>
      <c r="W27" s="2">
        <v>97967.363414284337</v>
      </c>
      <c r="X27" s="4">
        <v>316</v>
      </c>
      <c r="Y27" s="8">
        <f>Weather!C27</f>
        <v>897.26875000000018</v>
      </c>
      <c r="Z27" s="8">
        <f>Weather!D27</f>
        <v>0</v>
      </c>
      <c r="AA27" s="8">
        <f>Weather!E27</f>
        <v>839.26875000000018</v>
      </c>
      <c r="AB27" s="8">
        <f>Weather!F27</f>
        <v>0</v>
      </c>
      <c r="AC27" s="8">
        <f>Weather!G27</f>
        <v>781.26874999999995</v>
      </c>
      <c r="AD27" s="8">
        <f>Weather!H27</f>
        <v>0</v>
      </c>
      <c r="AE27" s="8">
        <f>Weather!I27</f>
        <v>723.26874999999995</v>
      </c>
      <c r="AF27" s="8">
        <f>Weather!J27</f>
        <v>0</v>
      </c>
      <c r="AG27" s="8">
        <f>Weather!K27</f>
        <v>665.26874999999995</v>
      </c>
      <c r="AH27" s="8">
        <f>Weather!L27</f>
        <v>0</v>
      </c>
      <c r="AI27" s="8">
        <f>Weather!M27</f>
        <v>607.26874999999995</v>
      </c>
      <c r="AJ27" s="8">
        <f>Weather!N27</f>
        <v>0</v>
      </c>
      <c r="AK27" s="8">
        <f>Weather!O27</f>
        <v>549.26874999999995</v>
      </c>
      <c r="AL27" s="8">
        <f>Weather!P27</f>
        <v>0</v>
      </c>
      <c r="AM27" s="2">
        <f>Weather!Q27</f>
        <v>-10.940301724137932</v>
      </c>
      <c r="AN27" s="8">
        <f>Economic!C27</f>
        <v>6922.3</v>
      </c>
      <c r="AO27" s="8">
        <f>Economic!D27</f>
        <v>6850.4</v>
      </c>
      <c r="AP27" s="8">
        <f>Economic!E27</f>
        <v>80.3</v>
      </c>
      <c r="AQ27" s="8">
        <f>Economic!F27</f>
        <v>78.599999999999994</v>
      </c>
      <c r="AR27" s="8">
        <f>Economic!G27</f>
        <v>743976.2</v>
      </c>
      <c r="AS27" s="8">
        <f>Economic!H27</f>
        <v>7852.2</v>
      </c>
      <c r="AT27" s="8">
        <f>Economic!I27</f>
        <v>743287</v>
      </c>
      <c r="AU27" s="8">
        <f>Economic!J27</f>
        <v>8031</v>
      </c>
      <c r="AV27" s="1">
        <f t="shared" si="23"/>
        <v>26</v>
      </c>
      <c r="AW27" s="1">
        <v>0</v>
      </c>
      <c r="AX27" s="1">
        <v>1</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v>29</v>
      </c>
      <c r="BP27">
        <v>20</v>
      </c>
      <c r="BQ27">
        <v>0</v>
      </c>
      <c r="BR27">
        <v>0</v>
      </c>
      <c r="BS27">
        <v>0</v>
      </c>
      <c r="BT27">
        <v>0</v>
      </c>
      <c r="BU27" s="126">
        <f t="shared" si="9"/>
        <v>0</v>
      </c>
      <c r="BV27" s="126">
        <f t="shared" si="10"/>
        <v>0</v>
      </c>
      <c r="BW27" s="126">
        <f t="shared" si="11"/>
        <v>0</v>
      </c>
      <c r="BX27" s="126">
        <f t="shared" si="12"/>
        <v>0</v>
      </c>
      <c r="BY27" s="126">
        <f t="shared" si="13"/>
        <v>0</v>
      </c>
      <c r="BZ27" s="126">
        <f t="shared" si="14"/>
        <v>0</v>
      </c>
      <c r="CA27" s="126">
        <f t="shared" si="15"/>
        <v>0</v>
      </c>
      <c r="CB27" s="126">
        <f t="shared" si="16"/>
        <v>0</v>
      </c>
      <c r="CC27" s="126">
        <f t="shared" si="17"/>
        <v>0</v>
      </c>
      <c r="CD27" s="126">
        <f t="shared" si="18"/>
        <v>0</v>
      </c>
      <c r="CE27" s="126">
        <f t="shared" si="19"/>
        <v>0</v>
      </c>
      <c r="CF27" s="126">
        <f t="shared" si="20"/>
        <v>0</v>
      </c>
      <c r="CG27" s="126">
        <f t="shared" si="21"/>
        <v>0</v>
      </c>
      <c r="CH27" s="126">
        <f t="shared" si="22"/>
        <v>0</v>
      </c>
      <c r="CI27" s="66">
        <f t="shared" si="6"/>
        <v>1319818.4580366123</v>
      </c>
      <c r="CJ27" s="66">
        <f t="shared" si="7"/>
        <v>431636.87731358531</v>
      </c>
      <c r="CK27" s="66">
        <f t="shared" si="8"/>
        <v>1119288.2372328064</v>
      </c>
    </row>
    <row r="28" spans="1:89" x14ac:dyDescent="0.2">
      <c r="A28" s="101">
        <v>42430</v>
      </c>
      <c r="B28" s="3">
        <f t="shared" si="0"/>
        <v>2016</v>
      </c>
      <c r="C28" s="3">
        <f t="shared" si="24"/>
        <v>3</v>
      </c>
      <c r="D28" s="8">
        <v>35688324.077527039</v>
      </c>
      <c r="E28" s="8">
        <f>IFERROR(VLOOKUP($B28-1,CDM!$L$4:$R$15,2,FALSE)/12,0)+IFERROR(VLOOKUP($B28,CDM!$L$33:$O$44,2,FALSE)/24,0)+IFERROR(VLOOKUP($B28,CDM!$L$33:$O$44,2,FALSE)/2*$C28/78,0)</f>
        <v>649616.42548175296</v>
      </c>
      <c r="F28" s="8">
        <f t="shared" si="25"/>
        <v>36337940.50300879</v>
      </c>
      <c r="G28" s="8">
        <v>42783</v>
      </c>
      <c r="H28" s="2">
        <v>12554949.054209501</v>
      </c>
      <c r="I28" s="8">
        <f>IFERROR(VLOOKUP($B28-1,CDM!$L$4:$R$15,3,FALSE)/12,0)+IFERROR(VLOOKUP($B28,CDM!$L$33:$O$44,3,FALSE)/24,0)+IFERROR(VLOOKUP($B28,CDM!$L$33:$O$44,3,FALSE)/2*$C28/78,0)</f>
        <v>184533.57072007522</v>
      </c>
      <c r="J28" s="8">
        <f t="shared" si="26"/>
        <v>12739482.624929575</v>
      </c>
      <c r="K28" s="8">
        <v>4055</v>
      </c>
      <c r="L28" s="8">
        <v>31545143.069663849</v>
      </c>
      <c r="M28" s="8">
        <f>IFERROR(VLOOKUP($B28-1,CDM!$L$4:$R$15,4,FALSE)/12,0)+IFERROR(VLOOKUP($B28,CDM!$L$33:$O$44,4,FALSE)/24,0)+IFERROR(VLOOKUP($B28,CDM!$L$33:$O$44,4,FALSE)/2*$C28/78,0)</f>
        <v>849586.80756106926</v>
      </c>
      <c r="N28" s="8">
        <f t="shared" si="27"/>
        <v>32394729.877224918</v>
      </c>
      <c r="O28" s="8">
        <v>80540.966948938192</v>
      </c>
      <c r="P28" s="8">
        <v>498</v>
      </c>
      <c r="Q28" s="8">
        <v>651198.43453510432</v>
      </c>
      <c r="R28" s="2">
        <v>1744.7108369667437</v>
      </c>
      <c r="S28" s="7">
        <v>9743</v>
      </c>
      <c r="T28" s="2">
        <v>36271.178051865936</v>
      </c>
      <c r="U28" s="2">
        <v>91.124835351604005</v>
      </c>
      <c r="V28" s="9">
        <v>398</v>
      </c>
      <c r="W28" s="2">
        <v>104578.07430779646</v>
      </c>
      <c r="X28" s="4">
        <v>316</v>
      </c>
      <c r="Y28" s="8">
        <f>Weather!C28</f>
        <v>711.50208333333353</v>
      </c>
      <c r="Z28" s="8">
        <f>Weather!D28</f>
        <v>0</v>
      </c>
      <c r="AA28" s="8">
        <f>Weather!E28</f>
        <v>649.50208333333353</v>
      </c>
      <c r="AB28" s="8">
        <f>Weather!F28</f>
        <v>0</v>
      </c>
      <c r="AC28" s="8">
        <f>Weather!G28</f>
        <v>587.50208333333342</v>
      </c>
      <c r="AD28" s="8">
        <f>Weather!H28</f>
        <v>0</v>
      </c>
      <c r="AE28" s="8">
        <f>Weather!I28</f>
        <v>525.5020833333333</v>
      </c>
      <c r="AF28" s="8">
        <f>Weather!J28</f>
        <v>0</v>
      </c>
      <c r="AG28" s="8">
        <f>Weather!K28</f>
        <v>463.5020833333333</v>
      </c>
      <c r="AH28" s="8">
        <f>Weather!L28</f>
        <v>0</v>
      </c>
      <c r="AI28" s="8">
        <f>Weather!M28</f>
        <v>401.50208333333336</v>
      </c>
      <c r="AJ28" s="8">
        <f>Weather!N28</f>
        <v>0</v>
      </c>
      <c r="AK28" s="8">
        <f>Weather!O28</f>
        <v>339.50208333333336</v>
      </c>
      <c r="AL28" s="8">
        <f>Weather!P28</f>
        <v>0</v>
      </c>
      <c r="AM28" s="2">
        <f>Weather!Q28</f>
        <v>-2.9516801075268821</v>
      </c>
      <c r="AN28" s="8">
        <f>Economic!C28</f>
        <v>6930.2</v>
      </c>
      <c r="AO28" s="8">
        <f>Economic!D28</f>
        <v>6827.3</v>
      </c>
      <c r="AP28" s="8">
        <f>Economic!E28</f>
        <v>80.599999999999994</v>
      </c>
      <c r="AQ28" s="8">
        <f>Economic!F28</f>
        <v>78.599999999999994</v>
      </c>
      <c r="AR28" s="8">
        <f>Economic!G28</f>
        <v>743976.2</v>
      </c>
      <c r="AS28" s="8">
        <f>Economic!H28</f>
        <v>7852.2</v>
      </c>
      <c r="AT28" s="8">
        <f>Economic!I28</f>
        <v>743287</v>
      </c>
      <c r="AU28" s="8">
        <f>Economic!J28</f>
        <v>8031</v>
      </c>
      <c r="AV28" s="1">
        <f t="shared" si="23"/>
        <v>27</v>
      </c>
      <c r="AW28" s="1">
        <v>0</v>
      </c>
      <c r="AX28" s="1">
        <v>0</v>
      </c>
      <c r="AY28" s="1">
        <v>1</v>
      </c>
      <c r="AZ28" s="1">
        <v>0</v>
      </c>
      <c r="BA28" s="1">
        <v>0</v>
      </c>
      <c r="BB28" s="1">
        <v>0</v>
      </c>
      <c r="BC28" s="1">
        <v>0</v>
      </c>
      <c r="BD28" s="1">
        <v>0</v>
      </c>
      <c r="BE28" s="1">
        <v>0</v>
      </c>
      <c r="BF28" s="1">
        <v>0</v>
      </c>
      <c r="BG28" s="1">
        <v>0</v>
      </c>
      <c r="BH28" s="1">
        <v>0</v>
      </c>
      <c r="BI28" s="1">
        <v>1</v>
      </c>
      <c r="BJ28" s="1">
        <v>0</v>
      </c>
      <c r="BK28" s="1">
        <v>1</v>
      </c>
      <c r="BL28" s="1">
        <v>0</v>
      </c>
      <c r="BM28" s="1">
        <v>0</v>
      </c>
      <c r="BN28" s="1">
        <v>0</v>
      </c>
      <c r="BO28">
        <v>31</v>
      </c>
      <c r="BP28">
        <v>21</v>
      </c>
      <c r="BQ28">
        <v>0</v>
      </c>
      <c r="BR28">
        <v>0</v>
      </c>
      <c r="BS28">
        <v>0</v>
      </c>
      <c r="BT28">
        <v>0</v>
      </c>
      <c r="BU28" s="126">
        <f t="shared" si="9"/>
        <v>0</v>
      </c>
      <c r="BV28" s="126">
        <f t="shared" si="10"/>
        <v>0</v>
      </c>
      <c r="BW28" s="126">
        <f t="shared" si="11"/>
        <v>0</v>
      </c>
      <c r="BX28" s="126">
        <f t="shared" si="12"/>
        <v>0</v>
      </c>
      <c r="BY28" s="126">
        <f t="shared" si="13"/>
        <v>0</v>
      </c>
      <c r="BZ28" s="126">
        <f t="shared" si="14"/>
        <v>0</v>
      </c>
      <c r="CA28" s="126">
        <f t="shared" si="15"/>
        <v>0</v>
      </c>
      <c r="CB28" s="126">
        <f t="shared" si="16"/>
        <v>0</v>
      </c>
      <c r="CC28" s="126">
        <f t="shared" si="17"/>
        <v>0</v>
      </c>
      <c r="CD28" s="126">
        <f t="shared" si="18"/>
        <v>0</v>
      </c>
      <c r="CE28" s="126">
        <f t="shared" si="19"/>
        <v>0</v>
      </c>
      <c r="CF28" s="126">
        <f t="shared" si="20"/>
        <v>0</v>
      </c>
      <c r="CG28" s="126">
        <f t="shared" si="21"/>
        <v>0</v>
      </c>
      <c r="CH28" s="126">
        <f t="shared" si="22"/>
        <v>0</v>
      </c>
      <c r="CI28" s="66">
        <f t="shared" si="6"/>
        <v>1172191.6291293157</v>
      </c>
      <c r="CJ28" s="66">
        <f t="shared" si="7"/>
        <v>404998.35658740322</v>
      </c>
      <c r="CK28" s="66">
        <f t="shared" si="8"/>
        <v>1044991.2863620941</v>
      </c>
    </row>
    <row r="29" spans="1:89" x14ac:dyDescent="0.2">
      <c r="A29" s="101">
        <v>42461</v>
      </c>
      <c r="B29" s="3">
        <f t="shared" si="0"/>
        <v>2016</v>
      </c>
      <c r="C29" s="3">
        <f t="shared" si="24"/>
        <v>4</v>
      </c>
      <c r="D29" s="8">
        <v>29828586.608667668</v>
      </c>
      <c r="E29" s="8">
        <f>IFERROR(VLOOKUP($B29-1,CDM!$L$4:$R$15,2,FALSE)/12,0)+IFERROR(VLOOKUP($B29,CDM!$L$33:$O$44,2,FALSE)/24,0)+IFERROR(VLOOKUP($B29,CDM!$L$33:$O$44,2,FALSE)/2*$C29/78,0)</f>
        <v>677396.45026188123</v>
      </c>
      <c r="F29" s="8">
        <f t="shared" si="25"/>
        <v>30505983.058929548</v>
      </c>
      <c r="G29" s="8">
        <v>42795</v>
      </c>
      <c r="H29" s="2">
        <v>11114912.315917607</v>
      </c>
      <c r="I29" s="8">
        <f>IFERROR(VLOOKUP($B29-1,CDM!$L$4:$R$15,3,FALSE)/12,0)+IFERROR(VLOOKUP($B29,CDM!$L$33:$O$44,3,FALSE)/24,0)+IFERROR(VLOOKUP($B29,CDM!$L$33:$O$44,3,FALSE)/2*$C29/78,0)</f>
        <v>191417.04851505681</v>
      </c>
      <c r="J29" s="8">
        <f t="shared" si="26"/>
        <v>11306329.364432665</v>
      </c>
      <c r="K29" s="8">
        <v>4048</v>
      </c>
      <c r="L29" s="8">
        <v>28057902.761508156</v>
      </c>
      <c r="M29" s="8">
        <f>IFERROR(VLOOKUP($B29-1,CDM!$L$4:$R$15,4,FALSE)/12,0)+IFERROR(VLOOKUP($B29,CDM!$L$33:$O$44,4,FALSE)/24,0)+IFERROR(VLOOKUP($B29,CDM!$L$33:$O$44,4,FALSE)/2*$C29/78,0)</f>
        <v>882450.81961027824</v>
      </c>
      <c r="N29" s="8">
        <f t="shared" si="27"/>
        <v>28940353.581118435</v>
      </c>
      <c r="O29" s="8">
        <v>71637.355201737897</v>
      </c>
      <c r="P29" s="8">
        <v>508</v>
      </c>
      <c r="Q29" s="8">
        <v>543312.32447817829</v>
      </c>
      <c r="R29" s="2">
        <v>1744.7108369667437</v>
      </c>
      <c r="S29" s="7">
        <v>9743</v>
      </c>
      <c r="T29" s="2">
        <v>35165.656230234039</v>
      </c>
      <c r="U29" s="2">
        <v>90.437964733375821</v>
      </c>
      <c r="V29" s="9">
        <v>403</v>
      </c>
      <c r="W29" s="2">
        <v>101086.94466753547</v>
      </c>
      <c r="X29" s="4">
        <v>312</v>
      </c>
      <c r="Y29" s="8">
        <f>Weather!C29</f>
        <v>591.29166666666652</v>
      </c>
      <c r="Z29" s="8">
        <f>Weather!D29</f>
        <v>0</v>
      </c>
      <c r="AA29" s="8">
        <f>Weather!E29</f>
        <v>531.29166666666652</v>
      </c>
      <c r="AB29" s="8">
        <f>Weather!F29</f>
        <v>0</v>
      </c>
      <c r="AC29" s="8">
        <f>Weather!G29</f>
        <v>471.29166666666652</v>
      </c>
      <c r="AD29" s="8">
        <f>Weather!H29</f>
        <v>0</v>
      </c>
      <c r="AE29" s="8">
        <f>Weather!I29</f>
        <v>411.29166666666652</v>
      </c>
      <c r="AF29" s="8">
        <f>Weather!J29</f>
        <v>0</v>
      </c>
      <c r="AG29" s="8">
        <f>Weather!K29</f>
        <v>351.29166666666657</v>
      </c>
      <c r="AH29" s="8">
        <f>Weather!L29</f>
        <v>0</v>
      </c>
      <c r="AI29" s="8">
        <f>Weather!M29</f>
        <v>293.09999999999997</v>
      </c>
      <c r="AJ29" s="8">
        <f>Weather!N29</f>
        <v>1.8083333333333353</v>
      </c>
      <c r="AK29" s="8">
        <f>Weather!O29</f>
        <v>237.70000000000002</v>
      </c>
      <c r="AL29" s="8">
        <f>Weather!P29</f>
        <v>6.4083333333333368</v>
      </c>
      <c r="AM29" s="2">
        <f>Weather!Q29</f>
        <v>0.29027777777777736</v>
      </c>
      <c r="AN29" s="8">
        <f>Economic!C29</f>
        <v>6931.9</v>
      </c>
      <c r="AO29" s="8">
        <f>Economic!D29</f>
        <v>6843.7</v>
      </c>
      <c r="AP29" s="8">
        <f>Economic!E29</f>
        <v>81.7</v>
      </c>
      <c r="AQ29" s="8">
        <f>Economic!F29</f>
        <v>80</v>
      </c>
      <c r="AR29" s="8">
        <f>Economic!G29</f>
        <v>743976.2</v>
      </c>
      <c r="AS29" s="8">
        <f>Economic!H29</f>
        <v>7852.2</v>
      </c>
      <c r="AT29" s="8">
        <f>Economic!I29</f>
        <v>740632</v>
      </c>
      <c r="AU29" s="8">
        <f>Economic!J29</f>
        <v>7876</v>
      </c>
      <c r="AV29" s="1">
        <f t="shared" si="23"/>
        <v>28</v>
      </c>
      <c r="AW29" s="1">
        <v>0</v>
      </c>
      <c r="AX29" s="1">
        <v>0</v>
      </c>
      <c r="AY29" s="1">
        <v>0</v>
      </c>
      <c r="AZ29" s="1">
        <v>1</v>
      </c>
      <c r="BA29" s="1">
        <v>0</v>
      </c>
      <c r="BB29" s="1">
        <v>0</v>
      </c>
      <c r="BC29" s="1">
        <v>0</v>
      </c>
      <c r="BD29" s="1">
        <v>0</v>
      </c>
      <c r="BE29" s="1">
        <v>0</v>
      </c>
      <c r="BF29" s="1">
        <v>0</v>
      </c>
      <c r="BG29" s="1">
        <v>0</v>
      </c>
      <c r="BH29" s="1">
        <v>0</v>
      </c>
      <c r="BI29" s="1">
        <v>1</v>
      </c>
      <c r="BJ29" s="1">
        <v>0</v>
      </c>
      <c r="BK29" s="1">
        <v>1</v>
      </c>
      <c r="BL29" s="1">
        <v>1</v>
      </c>
      <c r="BM29" s="1">
        <v>0</v>
      </c>
      <c r="BN29" s="1">
        <v>1</v>
      </c>
      <c r="BO29">
        <v>30</v>
      </c>
      <c r="BP29">
        <v>21</v>
      </c>
      <c r="BQ29">
        <v>0</v>
      </c>
      <c r="BR29">
        <v>0</v>
      </c>
      <c r="BS29">
        <v>0</v>
      </c>
      <c r="BT29">
        <v>0</v>
      </c>
      <c r="BU29" s="126">
        <f t="shared" si="9"/>
        <v>0</v>
      </c>
      <c r="BV29" s="126">
        <f t="shared" si="10"/>
        <v>0</v>
      </c>
      <c r="BW29" s="126">
        <f t="shared" si="11"/>
        <v>0</v>
      </c>
      <c r="BX29" s="126">
        <f t="shared" si="12"/>
        <v>0</v>
      </c>
      <c r="BY29" s="126">
        <f t="shared" si="13"/>
        <v>0</v>
      </c>
      <c r="BZ29" s="126">
        <f t="shared" si="14"/>
        <v>0</v>
      </c>
      <c r="CA29" s="126">
        <f t="shared" si="15"/>
        <v>0</v>
      </c>
      <c r="CB29" s="126">
        <f t="shared" si="16"/>
        <v>0</v>
      </c>
      <c r="CC29" s="126">
        <f t="shared" si="17"/>
        <v>0</v>
      </c>
      <c r="CD29" s="126">
        <f t="shared" si="18"/>
        <v>0</v>
      </c>
      <c r="CE29" s="126">
        <f t="shared" si="19"/>
        <v>0</v>
      </c>
      <c r="CF29" s="126">
        <f t="shared" si="20"/>
        <v>0</v>
      </c>
      <c r="CG29" s="126">
        <f t="shared" si="21"/>
        <v>0</v>
      </c>
      <c r="CH29" s="126">
        <f t="shared" si="22"/>
        <v>0</v>
      </c>
      <c r="CI29" s="66">
        <f t="shared" si="6"/>
        <v>1016866.1019643183</v>
      </c>
      <c r="CJ29" s="66">
        <f t="shared" si="7"/>
        <v>370497.07719725359</v>
      </c>
      <c r="CK29" s="66">
        <f t="shared" si="8"/>
        <v>964678.45270394778</v>
      </c>
    </row>
    <row r="30" spans="1:89" x14ac:dyDescent="0.2">
      <c r="A30" s="101">
        <v>42491</v>
      </c>
      <c r="B30" s="3">
        <f t="shared" si="0"/>
        <v>2016</v>
      </c>
      <c r="C30" s="3">
        <f t="shared" si="24"/>
        <v>5</v>
      </c>
      <c r="D30" s="8">
        <v>25352577.294581693</v>
      </c>
      <c r="E30" s="8">
        <f>IFERROR(VLOOKUP($B30-1,CDM!$L$4:$R$15,2,FALSE)/12,0)+IFERROR(VLOOKUP($B30,CDM!$L$33:$O$44,2,FALSE)/24,0)+IFERROR(VLOOKUP($B30,CDM!$L$33:$O$44,2,FALSE)/2*$C30/78,0)</f>
        <v>705176.47504200949</v>
      </c>
      <c r="F30" s="8">
        <f t="shared" si="25"/>
        <v>26057753.769623701</v>
      </c>
      <c r="G30" s="8">
        <v>42795</v>
      </c>
      <c r="H30" s="2">
        <v>10493927.499558283</v>
      </c>
      <c r="I30" s="8">
        <f>IFERROR(VLOOKUP($B30-1,CDM!$L$4:$R$15,3,FALSE)/12,0)+IFERROR(VLOOKUP($B30,CDM!$L$33:$O$44,3,FALSE)/24,0)+IFERROR(VLOOKUP($B30,CDM!$L$33:$O$44,3,FALSE)/2*$C30/78,0)</f>
        <v>198300.5263100384</v>
      </c>
      <c r="J30" s="8">
        <f t="shared" si="26"/>
        <v>10692228.025868321</v>
      </c>
      <c r="K30" s="8">
        <v>4048</v>
      </c>
      <c r="L30" s="8">
        <v>26463366.651918966</v>
      </c>
      <c r="M30" s="8">
        <f>IFERROR(VLOOKUP($B30-1,CDM!$L$4:$R$15,4,FALSE)/12,0)+IFERROR(VLOOKUP($B30,CDM!$L$33:$O$44,4,FALSE)/24,0)+IFERROR(VLOOKUP($B30,CDM!$L$33:$O$44,4,FALSE)/2*$C30/78,0)</f>
        <v>915314.83165948733</v>
      </c>
      <c r="N30" s="8">
        <f t="shared" si="27"/>
        <v>27378681.483578455</v>
      </c>
      <c r="O30" s="8">
        <v>67566.190274138789</v>
      </c>
      <c r="P30" s="8">
        <v>508</v>
      </c>
      <c r="Q30" s="8">
        <v>484418.74762808345</v>
      </c>
      <c r="R30" s="2">
        <v>1744.7108369667437</v>
      </c>
      <c r="S30" s="7">
        <v>9743</v>
      </c>
      <c r="T30" s="2">
        <v>36402.164769133487</v>
      </c>
      <c r="U30" s="2">
        <v>90.437964733375821</v>
      </c>
      <c r="V30" s="9">
        <v>403</v>
      </c>
      <c r="W30" s="2">
        <v>104456.52824386601</v>
      </c>
      <c r="X30" s="4">
        <v>312</v>
      </c>
      <c r="Y30" s="8">
        <f>Weather!C30</f>
        <v>235.00208333333333</v>
      </c>
      <c r="Z30" s="8">
        <f>Weather!D30</f>
        <v>2.8916666666666693</v>
      </c>
      <c r="AA30" s="8">
        <f>Weather!E30</f>
        <v>180.35208333333333</v>
      </c>
      <c r="AB30" s="8">
        <f>Weather!F30</f>
        <v>10.241666666666671</v>
      </c>
      <c r="AC30" s="8">
        <f>Weather!G30</f>
        <v>129.07708333333335</v>
      </c>
      <c r="AD30" s="8">
        <f>Weather!H30</f>
        <v>20.966666666666669</v>
      </c>
      <c r="AE30" s="8">
        <f>Weather!I30</f>
        <v>87.768750000000026</v>
      </c>
      <c r="AF30" s="8">
        <f>Weather!J30</f>
        <v>41.658333333333346</v>
      </c>
      <c r="AG30" s="8">
        <f>Weather!K30</f>
        <v>57.731249999999996</v>
      </c>
      <c r="AH30" s="8">
        <f>Weather!L30</f>
        <v>73.620833333333351</v>
      </c>
      <c r="AI30" s="8">
        <f>Weather!M30</f>
        <v>34.1875</v>
      </c>
      <c r="AJ30" s="8">
        <f>Weather!N30</f>
        <v>112.07708333333336</v>
      </c>
      <c r="AK30" s="8">
        <f>Weather!O30</f>
        <v>19.037500000000001</v>
      </c>
      <c r="AL30" s="8">
        <f>Weather!P30</f>
        <v>158.92708333333331</v>
      </c>
      <c r="AM30" s="2">
        <f>Weather!Q30</f>
        <v>12.512567204301073</v>
      </c>
      <c r="AN30" s="8">
        <f>Economic!C30</f>
        <v>6944.7</v>
      </c>
      <c r="AO30" s="8">
        <f>Economic!D30</f>
        <v>6913.7</v>
      </c>
      <c r="AP30" s="8">
        <f>Economic!E30</f>
        <v>82</v>
      </c>
      <c r="AQ30" s="8">
        <f>Economic!F30</f>
        <v>80.900000000000006</v>
      </c>
      <c r="AR30" s="8">
        <f>Economic!G30</f>
        <v>743976.2</v>
      </c>
      <c r="AS30" s="8">
        <f>Economic!H30</f>
        <v>7852.2</v>
      </c>
      <c r="AT30" s="8">
        <f>Economic!I30</f>
        <v>740632</v>
      </c>
      <c r="AU30" s="8">
        <f>Economic!J30</f>
        <v>7876</v>
      </c>
      <c r="AV30" s="1">
        <f t="shared" si="23"/>
        <v>29</v>
      </c>
      <c r="AW30" s="1">
        <v>0</v>
      </c>
      <c r="AX30" s="1">
        <v>0</v>
      </c>
      <c r="AY30" s="1">
        <v>0</v>
      </c>
      <c r="AZ30" s="1">
        <v>0</v>
      </c>
      <c r="BA30" s="1">
        <v>1</v>
      </c>
      <c r="BB30" s="1">
        <v>0</v>
      </c>
      <c r="BC30" s="1">
        <v>0</v>
      </c>
      <c r="BD30" s="1">
        <v>0</v>
      </c>
      <c r="BE30" s="1">
        <v>0</v>
      </c>
      <c r="BF30" s="1">
        <v>0</v>
      </c>
      <c r="BG30" s="1">
        <v>0</v>
      </c>
      <c r="BH30" s="1">
        <v>0</v>
      </c>
      <c r="BI30" s="1">
        <v>1</v>
      </c>
      <c r="BJ30" s="1">
        <v>0</v>
      </c>
      <c r="BK30" s="1">
        <v>1</v>
      </c>
      <c r="BL30" s="1">
        <v>1</v>
      </c>
      <c r="BM30" s="1">
        <v>0</v>
      </c>
      <c r="BN30" s="1">
        <v>1</v>
      </c>
      <c r="BO30">
        <v>31</v>
      </c>
      <c r="BP30">
        <v>21</v>
      </c>
      <c r="BQ30">
        <v>0</v>
      </c>
      <c r="BR30">
        <v>0</v>
      </c>
      <c r="BS30">
        <v>0</v>
      </c>
      <c r="BT30">
        <v>0</v>
      </c>
      <c r="BU30" s="126">
        <f t="shared" si="9"/>
        <v>0</v>
      </c>
      <c r="BV30" s="126">
        <f t="shared" si="10"/>
        <v>0</v>
      </c>
      <c r="BW30" s="126">
        <f t="shared" si="11"/>
        <v>0</v>
      </c>
      <c r="BX30" s="126">
        <f t="shared" si="12"/>
        <v>0</v>
      </c>
      <c r="BY30" s="126">
        <f t="shared" si="13"/>
        <v>0</v>
      </c>
      <c r="BZ30" s="126">
        <f t="shared" si="14"/>
        <v>0</v>
      </c>
      <c r="CA30" s="126">
        <f t="shared" si="15"/>
        <v>0</v>
      </c>
      <c r="CB30" s="126">
        <f t="shared" si="16"/>
        <v>0</v>
      </c>
      <c r="CC30" s="126">
        <f t="shared" si="17"/>
        <v>0</v>
      </c>
      <c r="CD30" s="126">
        <f t="shared" si="18"/>
        <v>0</v>
      </c>
      <c r="CE30" s="126">
        <f t="shared" si="19"/>
        <v>0</v>
      </c>
      <c r="CF30" s="126">
        <f t="shared" si="20"/>
        <v>0</v>
      </c>
      <c r="CG30" s="126">
        <f t="shared" si="21"/>
        <v>0</v>
      </c>
      <c r="CH30" s="126">
        <f t="shared" si="22"/>
        <v>0</v>
      </c>
      <c r="CI30" s="66">
        <f t="shared" si="6"/>
        <v>840572.70224592579</v>
      </c>
      <c r="CJ30" s="66">
        <f t="shared" si="7"/>
        <v>338513.79030833172</v>
      </c>
      <c r="CK30" s="66">
        <f t="shared" si="8"/>
        <v>883183.27366382116</v>
      </c>
    </row>
    <row r="31" spans="1:89" x14ac:dyDescent="0.2">
      <c r="A31" s="101">
        <v>42522</v>
      </c>
      <c r="B31" s="3">
        <f t="shared" si="0"/>
        <v>2016</v>
      </c>
      <c r="C31" s="3">
        <f t="shared" si="24"/>
        <v>6</v>
      </c>
      <c r="D31" s="8">
        <v>24398256.259960722</v>
      </c>
      <c r="E31" s="8">
        <f>IFERROR(VLOOKUP($B31-1,CDM!$L$4:$R$15,2,FALSE)/12,0)+IFERROR(VLOOKUP($B31,CDM!$L$33:$O$44,2,FALSE)/24,0)+IFERROR(VLOOKUP($B31,CDM!$L$33:$O$44,2,FALSE)/2*$C31/78,0)</f>
        <v>732956.49982213764</v>
      </c>
      <c r="F31" s="8">
        <f t="shared" si="25"/>
        <v>25131212.759782858</v>
      </c>
      <c r="G31" s="8">
        <v>42795</v>
      </c>
      <c r="H31" s="2">
        <v>10262584.004443824</v>
      </c>
      <c r="I31" s="8">
        <f>IFERROR(VLOOKUP($B31-1,CDM!$L$4:$R$15,3,FALSE)/12,0)+IFERROR(VLOOKUP($B31,CDM!$L$33:$O$44,3,FALSE)/24,0)+IFERROR(VLOOKUP($B31,CDM!$L$33:$O$44,3,FALSE)/2*$C31/78,0)</f>
        <v>205184.00410502002</v>
      </c>
      <c r="J31" s="8">
        <f t="shared" si="26"/>
        <v>10467768.008548845</v>
      </c>
      <c r="K31" s="8">
        <v>4048</v>
      </c>
      <c r="L31" s="8">
        <v>26486150.076166298</v>
      </c>
      <c r="M31" s="8">
        <f>IFERROR(VLOOKUP($B31-1,CDM!$L$4:$R$15,4,FALSE)/12,0)+IFERROR(VLOOKUP($B31,CDM!$L$33:$O$44,4,FALSE)/24,0)+IFERROR(VLOOKUP($B31,CDM!$L$33:$O$44,4,FALSE)/2*$C31/78,0)</f>
        <v>948178.84370869631</v>
      </c>
      <c r="N31" s="8">
        <f t="shared" si="27"/>
        <v>27434328.919874996</v>
      </c>
      <c r="O31" s="8">
        <v>67624.360846237192</v>
      </c>
      <c r="P31" s="8">
        <v>508</v>
      </c>
      <c r="Q31" s="8">
        <v>431381.74573055026</v>
      </c>
      <c r="R31" s="2">
        <v>1744.7108369667437</v>
      </c>
      <c r="S31" s="7">
        <v>9743</v>
      </c>
      <c r="T31" s="2">
        <v>35432.060404807096</v>
      </c>
      <c r="U31" s="2">
        <v>90.437964733375821</v>
      </c>
      <c r="V31" s="9">
        <v>403</v>
      </c>
      <c r="W31" s="2">
        <v>100124.48693639949</v>
      </c>
      <c r="X31" s="4">
        <v>312</v>
      </c>
      <c r="Y31" s="8">
        <f>Weather!C31</f>
        <v>107.67083333333335</v>
      </c>
      <c r="Z31" s="8">
        <f>Weather!D31</f>
        <v>15.889583333333327</v>
      </c>
      <c r="AA31" s="8">
        <f>Weather!E31</f>
        <v>68.266666666666652</v>
      </c>
      <c r="AB31" s="8">
        <f>Weather!F31</f>
        <v>36.485416666666666</v>
      </c>
      <c r="AC31" s="8">
        <f>Weather!G31</f>
        <v>38.383333333333319</v>
      </c>
      <c r="AD31" s="8">
        <f>Weather!H31</f>
        <v>66.60208333333334</v>
      </c>
      <c r="AE31" s="8">
        <f>Weather!I31</f>
        <v>15.795833333333331</v>
      </c>
      <c r="AF31" s="8">
        <f>Weather!J31</f>
        <v>104.01458333333335</v>
      </c>
      <c r="AG31" s="8">
        <f>Weather!K31</f>
        <v>5.7208333333333341</v>
      </c>
      <c r="AH31" s="8">
        <f>Weather!L31</f>
        <v>153.93958333333333</v>
      </c>
      <c r="AI31" s="8">
        <f>Weather!M31</f>
        <v>2.2375000000000016</v>
      </c>
      <c r="AJ31" s="8">
        <f>Weather!N31</f>
        <v>210.45624999999993</v>
      </c>
      <c r="AK31" s="8">
        <f>Weather!O31</f>
        <v>0.2375000000000016</v>
      </c>
      <c r="AL31" s="8">
        <f>Weather!P31</f>
        <v>268.45624999999995</v>
      </c>
      <c r="AM31" s="2">
        <f>Weather!Q31</f>
        <v>16.940625000000001</v>
      </c>
      <c r="AN31" s="8">
        <f>Economic!C31</f>
        <v>6955.5</v>
      </c>
      <c r="AO31" s="8">
        <f>Economic!D31</f>
        <v>7000.2</v>
      </c>
      <c r="AP31" s="8">
        <f>Economic!E31</f>
        <v>82.5</v>
      </c>
      <c r="AQ31" s="8">
        <f>Economic!F31</f>
        <v>83</v>
      </c>
      <c r="AR31" s="8">
        <f>Economic!G31</f>
        <v>743976.2</v>
      </c>
      <c r="AS31" s="8">
        <f>Economic!H31</f>
        <v>7852.2</v>
      </c>
      <c r="AT31" s="8">
        <f>Economic!I31</f>
        <v>740632</v>
      </c>
      <c r="AU31" s="8">
        <f>Economic!J31</f>
        <v>7876</v>
      </c>
      <c r="AV31" s="1">
        <f t="shared" si="23"/>
        <v>30</v>
      </c>
      <c r="AW31" s="1">
        <v>0</v>
      </c>
      <c r="AX31" s="1">
        <v>0</v>
      </c>
      <c r="AY31" s="1">
        <v>0</v>
      </c>
      <c r="AZ31" s="1">
        <v>0</v>
      </c>
      <c r="BA31" s="1">
        <v>0</v>
      </c>
      <c r="BB31" s="1">
        <v>1</v>
      </c>
      <c r="BC31" s="1">
        <v>0</v>
      </c>
      <c r="BD31" s="1">
        <v>0</v>
      </c>
      <c r="BE31" s="1">
        <v>0</v>
      </c>
      <c r="BF31" s="1">
        <v>0</v>
      </c>
      <c r="BG31" s="1">
        <v>0</v>
      </c>
      <c r="BH31" s="1">
        <v>0</v>
      </c>
      <c r="BI31" s="1">
        <v>0</v>
      </c>
      <c r="BJ31" s="1">
        <v>0</v>
      </c>
      <c r="BK31" s="1">
        <v>0</v>
      </c>
      <c r="BL31" s="1">
        <v>0</v>
      </c>
      <c r="BM31" s="1">
        <v>0</v>
      </c>
      <c r="BN31" s="1">
        <v>0</v>
      </c>
      <c r="BO31">
        <v>30</v>
      </c>
      <c r="BP31">
        <v>22</v>
      </c>
      <c r="BQ31">
        <v>0</v>
      </c>
      <c r="BR31">
        <v>0</v>
      </c>
      <c r="BS31">
        <v>0</v>
      </c>
      <c r="BT31">
        <v>0</v>
      </c>
      <c r="BU31" s="126">
        <f t="shared" si="9"/>
        <v>0</v>
      </c>
      <c r="BV31" s="126">
        <f t="shared" si="10"/>
        <v>0</v>
      </c>
      <c r="BW31" s="126">
        <f t="shared" si="11"/>
        <v>0</v>
      </c>
      <c r="BX31" s="126">
        <f t="shared" si="12"/>
        <v>0</v>
      </c>
      <c r="BY31" s="126">
        <f t="shared" si="13"/>
        <v>0</v>
      </c>
      <c r="BZ31" s="126">
        <f t="shared" si="14"/>
        <v>0</v>
      </c>
      <c r="CA31" s="126">
        <f t="shared" si="15"/>
        <v>0</v>
      </c>
      <c r="CB31" s="126">
        <f t="shared" si="16"/>
        <v>0</v>
      </c>
      <c r="CC31" s="126">
        <f t="shared" si="17"/>
        <v>0</v>
      </c>
      <c r="CD31" s="126">
        <f t="shared" si="18"/>
        <v>0</v>
      </c>
      <c r="CE31" s="126">
        <f t="shared" si="19"/>
        <v>0</v>
      </c>
      <c r="CF31" s="126">
        <f t="shared" si="20"/>
        <v>0</v>
      </c>
      <c r="CG31" s="126">
        <f t="shared" si="21"/>
        <v>0</v>
      </c>
      <c r="CH31" s="126">
        <f t="shared" si="22"/>
        <v>0</v>
      </c>
      <c r="CI31" s="66">
        <f t="shared" si="6"/>
        <v>837707.09199276194</v>
      </c>
      <c r="CJ31" s="66">
        <f t="shared" si="7"/>
        <v>342086.1334814608</v>
      </c>
      <c r="CK31" s="66">
        <f t="shared" si="8"/>
        <v>914477.63066249981</v>
      </c>
    </row>
    <row r="32" spans="1:89" x14ac:dyDescent="0.2">
      <c r="A32" s="101">
        <v>42552</v>
      </c>
      <c r="B32" s="3">
        <f t="shared" si="0"/>
        <v>2016</v>
      </c>
      <c r="C32" s="3">
        <f t="shared" si="24"/>
        <v>7</v>
      </c>
      <c r="D32" s="8">
        <v>26721353.036009789</v>
      </c>
      <c r="E32" s="8">
        <f>IFERROR(VLOOKUP($B32-1,CDM!$L$4:$R$15,2,FALSE)/12,0)+IFERROR(VLOOKUP($B32,CDM!$L$33:$O$44,2,FALSE)/24,0)+IFERROR(VLOOKUP($B32,CDM!$L$33:$O$44,2,FALSE)/2*$C32/78,0)</f>
        <v>760736.52460226591</v>
      </c>
      <c r="F32" s="8">
        <f t="shared" si="25"/>
        <v>27482089.560612053</v>
      </c>
      <c r="G32" s="8">
        <v>42811</v>
      </c>
      <c r="H32" s="2">
        <v>10921149.736661363</v>
      </c>
      <c r="I32" s="8">
        <f>IFERROR(VLOOKUP($B32-1,CDM!$L$4:$R$15,3,FALSE)/12,0)+IFERROR(VLOOKUP($B32,CDM!$L$33:$O$44,3,FALSE)/24,0)+IFERROR(VLOOKUP($B32,CDM!$L$33:$O$44,3,FALSE)/2*$C32/78,0)</f>
        <v>212067.48190000159</v>
      </c>
      <c r="J32" s="8">
        <f t="shared" si="26"/>
        <v>11133217.218561364</v>
      </c>
      <c r="K32" s="8">
        <v>4053</v>
      </c>
      <c r="L32" s="8">
        <v>28337127.955361649</v>
      </c>
      <c r="M32" s="8">
        <f>IFERROR(VLOOKUP($B32-1,CDM!$L$4:$R$15,4,FALSE)/12,0)+IFERROR(VLOOKUP($B32,CDM!$L$33:$O$44,4,FALSE)/24,0)+IFERROR(VLOOKUP($B32,CDM!$L$33:$O$44,4,FALSE)/2*$C32/78,0)</f>
        <v>981042.8557579054</v>
      </c>
      <c r="N32" s="8">
        <f t="shared" si="27"/>
        <v>29318170.811119556</v>
      </c>
      <c r="O32" s="8">
        <v>72350.272149358032</v>
      </c>
      <c r="P32" s="8">
        <v>509</v>
      </c>
      <c r="Q32" s="8">
        <v>466956.11954459199</v>
      </c>
      <c r="R32" s="2">
        <v>1745.4271300333419</v>
      </c>
      <c r="S32" s="7">
        <v>9747</v>
      </c>
      <c r="T32" s="2">
        <v>36615.286211258725</v>
      </c>
      <c r="U32" s="2">
        <v>89.98005098789038</v>
      </c>
      <c r="V32" s="9">
        <v>401</v>
      </c>
      <c r="W32" s="2">
        <v>102490.50759013298</v>
      </c>
      <c r="X32" s="4">
        <v>308</v>
      </c>
      <c r="Y32" s="8">
        <f>Weather!C32</f>
        <v>37.758333333333326</v>
      </c>
      <c r="Z32" s="8">
        <f>Weather!D32</f>
        <v>28.125000000000011</v>
      </c>
      <c r="AA32" s="8">
        <f>Weather!E32</f>
        <v>17.566666666666663</v>
      </c>
      <c r="AB32" s="8">
        <f>Weather!F32</f>
        <v>69.933333333333337</v>
      </c>
      <c r="AC32" s="8">
        <f>Weather!G32</f>
        <v>6.3541666666666643</v>
      </c>
      <c r="AD32" s="8">
        <f>Weather!H32</f>
        <v>120.72083333333335</v>
      </c>
      <c r="AE32" s="8">
        <f>Weather!I32</f>
        <v>0.6458333333333357</v>
      </c>
      <c r="AF32" s="8">
        <f>Weather!J32</f>
        <v>177.01249999999999</v>
      </c>
      <c r="AG32" s="8">
        <f>Weather!K32</f>
        <v>0</v>
      </c>
      <c r="AH32" s="8">
        <f>Weather!L32</f>
        <v>238.36666666666665</v>
      </c>
      <c r="AI32" s="8">
        <f>Weather!M32</f>
        <v>0</v>
      </c>
      <c r="AJ32" s="8">
        <f>Weather!N32</f>
        <v>300.36666666666656</v>
      </c>
      <c r="AK32" s="8">
        <f>Weather!O32</f>
        <v>0</v>
      </c>
      <c r="AL32" s="8">
        <f>Weather!P32</f>
        <v>362.36666666666679</v>
      </c>
      <c r="AM32" s="2">
        <f>Weather!Q32</f>
        <v>19.689247311827959</v>
      </c>
      <c r="AN32" s="8">
        <f>Economic!C32</f>
        <v>6956.3</v>
      </c>
      <c r="AO32" s="8">
        <f>Economic!D32</f>
        <v>7049.5</v>
      </c>
      <c r="AP32" s="8">
        <f>Economic!E32</f>
        <v>83.1</v>
      </c>
      <c r="AQ32" s="8">
        <f>Economic!F32</f>
        <v>84.7</v>
      </c>
      <c r="AR32" s="8">
        <f>Economic!G32</f>
        <v>743976.2</v>
      </c>
      <c r="AS32" s="8">
        <f>Economic!H32</f>
        <v>7852.2</v>
      </c>
      <c r="AT32" s="8">
        <f>Economic!I32</f>
        <v>746606</v>
      </c>
      <c r="AU32" s="8">
        <f>Economic!J32</f>
        <v>7700</v>
      </c>
      <c r="AV32" s="1">
        <f t="shared" si="23"/>
        <v>31</v>
      </c>
      <c r="AW32" s="1">
        <v>0</v>
      </c>
      <c r="AX32" s="1">
        <v>0</v>
      </c>
      <c r="AY32" s="1">
        <v>0</v>
      </c>
      <c r="AZ32" s="1">
        <v>0</v>
      </c>
      <c r="BA32" s="1">
        <v>0</v>
      </c>
      <c r="BB32" s="1">
        <v>0</v>
      </c>
      <c r="BC32" s="1">
        <v>1</v>
      </c>
      <c r="BD32" s="1">
        <v>0</v>
      </c>
      <c r="BE32" s="1">
        <v>0</v>
      </c>
      <c r="BF32" s="1">
        <v>0</v>
      </c>
      <c r="BG32" s="1">
        <v>0</v>
      </c>
      <c r="BH32" s="1">
        <v>0</v>
      </c>
      <c r="BI32" s="1">
        <v>0</v>
      </c>
      <c r="BJ32" s="1">
        <v>0</v>
      </c>
      <c r="BK32" s="1">
        <v>0</v>
      </c>
      <c r="BL32" s="1">
        <v>0</v>
      </c>
      <c r="BM32" s="1">
        <v>0</v>
      </c>
      <c r="BN32" s="1">
        <v>0</v>
      </c>
      <c r="BO32">
        <v>31</v>
      </c>
      <c r="BP32">
        <v>20</v>
      </c>
      <c r="BQ32">
        <v>0</v>
      </c>
      <c r="BR32">
        <v>0</v>
      </c>
      <c r="BS32">
        <v>0</v>
      </c>
      <c r="BT32">
        <v>0</v>
      </c>
      <c r="BU32" s="126">
        <f t="shared" si="9"/>
        <v>0</v>
      </c>
      <c r="BV32" s="126">
        <f t="shared" si="10"/>
        <v>0</v>
      </c>
      <c r="BW32" s="126">
        <f t="shared" si="11"/>
        <v>0</v>
      </c>
      <c r="BX32" s="126">
        <f t="shared" si="12"/>
        <v>0</v>
      </c>
      <c r="BY32" s="126">
        <f t="shared" si="13"/>
        <v>0</v>
      </c>
      <c r="BZ32" s="126">
        <f t="shared" si="14"/>
        <v>0</v>
      </c>
      <c r="CA32" s="126">
        <f t="shared" si="15"/>
        <v>0</v>
      </c>
      <c r="CB32" s="126">
        <f t="shared" si="16"/>
        <v>0</v>
      </c>
      <c r="CC32" s="126">
        <f t="shared" si="17"/>
        <v>0</v>
      </c>
      <c r="CD32" s="126">
        <f t="shared" si="18"/>
        <v>0</v>
      </c>
      <c r="CE32" s="126">
        <f t="shared" si="19"/>
        <v>0</v>
      </c>
      <c r="CF32" s="126">
        <f t="shared" si="20"/>
        <v>0</v>
      </c>
      <c r="CG32" s="126">
        <f t="shared" si="21"/>
        <v>0</v>
      </c>
      <c r="CH32" s="126">
        <f t="shared" si="22"/>
        <v>0</v>
      </c>
      <c r="CI32" s="66">
        <f t="shared" si="6"/>
        <v>886519.01808425982</v>
      </c>
      <c r="CJ32" s="66">
        <f t="shared" si="7"/>
        <v>352295.15279552783</v>
      </c>
      <c r="CK32" s="66">
        <f t="shared" si="8"/>
        <v>945747.44551998575</v>
      </c>
    </row>
    <row r="33" spans="1:89" x14ac:dyDescent="0.2">
      <c r="A33" s="101">
        <v>42583</v>
      </c>
      <c r="B33" s="3">
        <f t="shared" si="0"/>
        <v>2016</v>
      </c>
      <c r="C33" s="3">
        <f t="shared" si="24"/>
        <v>8</v>
      </c>
      <c r="D33" s="8">
        <v>26103940.427887958</v>
      </c>
      <c r="E33" s="8">
        <f>IFERROR(VLOOKUP($B33-1,CDM!$L$4:$R$15,2,FALSE)/12,0)+IFERROR(VLOOKUP($B33,CDM!$L$33:$O$44,2,FALSE)/24,0)+IFERROR(VLOOKUP($B33,CDM!$L$33:$O$44,2,FALSE)/2*$C33/78,0)</f>
        <v>788516.54938239406</v>
      </c>
      <c r="F33" s="8">
        <f t="shared" si="25"/>
        <v>26892456.97727035</v>
      </c>
      <c r="G33" s="8">
        <v>42811</v>
      </c>
      <c r="H33" s="2">
        <v>10789464.926259849</v>
      </c>
      <c r="I33" s="8">
        <f>IFERROR(VLOOKUP($B33-1,CDM!$L$4:$R$15,3,FALSE)/12,0)+IFERROR(VLOOKUP($B33,CDM!$L$33:$O$44,3,FALSE)/24,0)+IFERROR(VLOOKUP($B33,CDM!$L$33:$O$44,3,FALSE)/2*$C33/78,0)</f>
        <v>218950.9596949832</v>
      </c>
      <c r="J33" s="8">
        <f t="shared" si="26"/>
        <v>11008415.885954833</v>
      </c>
      <c r="K33" s="8">
        <v>4053</v>
      </c>
      <c r="L33" s="8">
        <v>28853298.381097414</v>
      </c>
      <c r="M33" s="8">
        <f>IFERROR(VLOOKUP($B33-1,CDM!$L$4:$R$15,4,FALSE)/12,0)+IFERROR(VLOOKUP($B33,CDM!$L$33:$O$44,4,FALSE)/24,0)+IFERROR(VLOOKUP($B33,CDM!$L$33:$O$44,4,FALSE)/2*$C33/78,0)</f>
        <v>1013906.8678071145</v>
      </c>
      <c r="N33" s="8">
        <f t="shared" si="27"/>
        <v>29867205.248904526</v>
      </c>
      <c r="O33" s="8">
        <v>73668.156969452044</v>
      </c>
      <c r="P33" s="8">
        <v>509</v>
      </c>
      <c r="Q33" s="8">
        <v>535679.53510436427</v>
      </c>
      <c r="R33" s="2">
        <v>1745.4271300333419</v>
      </c>
      <c r="S33" s="7">
        <v>9747</v>
      </c>
      <c r="T33" s="2">
        <v>36554.679000632532</v>
      </c>
      <c r="U33" s="2">
        <v>89.98005098789038</v>
      </c>
      <c r="V33" s="9">
        <v>401</v>
      </c>
      <c r="W33" s="2">
        <v>102210.50759013298</v>
      </c>
      <c r="X33" s="4">
        <v>308</v>
      </c>
      <c r="Y33" s="8">
        <f>Weather!C33</f>
        <v>37.162499999999994</v>
      </c>
      <c r="Z33" s="8">
        <f>Weather!D33</f>
        <v>29.074999999999996</v>
      </c>
      <c r="AA33" s="8">
        <f>Weather!E33</f>
        <v>10.483333333333327</v>
      </c>
      <c r="AB33" s="8">
        <f>Weather!F33</f>
        <v>64.395833333333357</v>
      </c>
      <c r="AC33" s="8">
        <f>Weather!G33</f>
        <v>1.7749999999999986</v>
      </c>
      <c r="AD33" s="8">
        <f>Weather!H33</f>
        <v>117.68750000000001</v>
      </c>
      <c r="AE33" s="8">
        <f>Weather!I33</f>
        <v>0</v>
      </c>
      <c r="AF33" s="8">
        <f>Weather!J33</f>
        <v>177.91250000000002</v>
      </c>
      <c r="AG33" s="8">
        <f>Weather!K33</f>
        <v>0</v>
      </c>
      <c r="AH33" s="8">
        <f>Weather!L33</f>
        <v>239.91250000000002</v>
      </c>
      <c r="AI33" s="8">
        <f>Weather!M33</f>
        <v>0</v>
      </c>
      <c r="AJ33" s="8">
        <f>Weather!N33</f>
        <v>301.91249999999997</v>
      </c>
      <c r="AK33" s="8">
        <f>Weather!O33</f>
        <v>0</v>
      </c>
      <c r="AL33" s="8">
        <f>Weather!P33</f>
        <v>363.91249999999997</v>
      </c>
      <c r="AM33" s="2">
        <f>Weather!Q33</f>
        <v>19.739112903225809</v>
      </c>
      <c r="AN33" s="8">
        <f>Economic!C33</f>
        <v>6953.5</v>
      </c>
      <c r="AO33" s="8">
        <f>Economic!D33</f>
        <v>7045.6</v>
      </c>
      <c r="AP33" s="8">
        <f>Economic!E33</f>
        <v>84.1</v>
      </c>
      <c r="AQ33" s="8">
        <f>Economic!F33</f>
        <v>85.5</v>
      </c>
      <c r="AR33" s="8">
        <f>Economic!G33</f>
        <v>743976.2</v>
      </c>
      <c r="AS33" s="8">
        <f>Economic!H33</f>
        <v>7852.2</v>
      </c>
      <c r="AT33" s="8">
        <f>Economic!I33</f>
        <v>746606</v>
      </c>
      <c r="AU33" s="8">
        <f>Economic!J33</f>
        <v>7700</v>
      </c>
      <c r="AV33" s="1">
        <f t="shared" si="23"/>
        <v>32</v>
      </c>
      <c r="AW33" s="1">
        <v>0</v>
      </c>
      <c r="AX33" s="1">
        <v>0</v>
      </c>
      <c r="AY33" s="1">
        <v>0</v>
      </c>
      <c r="AZ33" s="1">
        <v>0</v>
      </c>
      <c r="BA33" s="1">
        <v>0</v>
      </c>
      <c r="BB33" s="1">
        <v>0</v>
      </c>
      <c r="BC33" s="1">
        <v>0</v>
      </c>
      <c r="BD33" s="1">
        <v>1</v>
      </c>
      <c r="BE33" s="1">
        <v>0</v>
      </c>
      <c r="BF33" s="1">
        <v>0</v>
      </c>
      <c r="BG33" s="1">
        <v>0</v>
      </c>
      <c r="BH33" s="1">
        <v>0</v>
      </c>
      <c r="BI33" s="1">
        <v>0</v>
      </c>
      <c r="BJ33" s="1">
        <v>0</v>
      </c>
      <c r="BK33" s="1">
        <v>0</v>
      </c>
      <c r="BL33" s="1">
        <v>0</v>
      </c>
      <c r="BM33" s="1">
        <v>0</v>
      </c>
      <c r="BN33" s="1">
        <v>0</v>
      </c>
      <c r="BO33">
        <v>31</v>
      </c>
      <c r="BP33">
        <v>22</v>
      </c>
      <c r="BQ33">
        <v>0</v>
      </c>
      <c r="BR33">
        <v>0</v>
      </c>
      <c r="BS33">
        <v>0</v>
      </c>
      <c r="BT33">
        <v>0</v>
      </c>
      <c r="BU33" s="126">
        <f t="shared" si="9"/>
        <v>0</v>
      </c>
      <c r="BV33" s="126">
        <f t="shared" si="10"/>
        <v>0</v>
      </c>
      <c r="BW33" s="126">
        <f t="shared" si="11"/>
        <v>0</v>
      </c>
      <c r="BX33" s="126">
        <f t="shared" si="12"/>
        <v>0</v>
      </c>
      <c r="BY33" s="126">
        <f t="shared" si="13"/>
        <v>0</v>
      </c>
      <c r="BZ33" s="126">
        <f t="shared" si="14"/>
        <v>0</v>
      </c>
      <c r="CA33" s="126">
        <f t="shared" si="15"/>
        <v>0</v>
      </c>
      <c r="CB33" s="126">
        <f t="shared" si="16"/>
        <v>0</v>
      </c>
      <c r="CC33" s="126">
        <f t="shared" si="17"/>
        <v>0</v>
      </c>
      <c r="CD33" s="126">
        <f t="shared" si="18"/>
        <v>0</v>
      </c>
      <c r="CE33" s="126">
        <f t="shared" si="19"/>
        <v>0</v>
      </c>
      <c r="CF33" s="126">
        <f t="shared" si="20"/>
        <v>0</v>
      </c>
      <c r="CG33" s="126">
        <f t="shared" si="21"/>
        <v>0</v>
      </c>
      <c r="CH33" s="126">
        <f t="shared" si="22"/>
        <v>0</v>
      </c>
      <c r="CI33" s="66">
        <f t="shared" si="6"/>
        <v>867498.61217001127</v>
      </c>
      <c r="CJ33" s="66">
        <f t="shared" si="7"/>
        <v>348047.25568580156</v>
      </c>
      <c r="CK33" s="66">
        <f t="shared" si="8"/>
        <v>963458.23383562989</v>
      </c>
    </row>
    <row r="34" spans="1:89" x14ac:dyDescent="0.2">
      <c r="A34" s="101">
        <v>42614</v>
      </c>
      <c r="B34" s="3">
        <f t="shared" si="0"/>
        <v>2016</v>
      </c>
      <c r="C34" s="3">
        <f t="shared" si="24"/>
        <v>9</v>
      </c>
      <c r="D34" s="8">
        <v>23999753.941075258</v>
      </c>
      <c r="E34" s="8">
        <f>IFERROR(VLOOKUP($B34-1,CDM!$L$4:$R$15,2,FALSE)/12,0)+IFERROR(VLOOKUP($B34,CDM!$L$33:$O$44,2,FALSE)/24,0)+IFERROR(VLOOKUP($B34,CDM!$L$33:$O$44,2,FALSE)/2*$C34/78,0)</f>
        <v>816296.57416252233</v>
      </c>
      <c r="F34" s="8">
        <f t="shared" si="25"/>
        <v>24816050.515237778</v>
      </c>
      <c r="G34" s="8">
        <v>42811</v>
      </c>
      <c r="H34" s="2">
        <v>9937199.841262674</v>
      </c>
      <c r="I34" s="8">
        <f>IFERROR(VLOOKUP($B34-1,CDM!$L$4:$R$15,3,FALSE)/12,0)+IFERROR(VLOOKUP($B34,CDM!$L$33:$O$44,3,FALSE)/24,0)+IFERROR(VLOOKUP($B34,CDM!$L$33:$O$44,3,FALSE)/2*$C34/78,0)</f>
        <v>225834.4374899648</v>
      </c>
      <c r="J34" s="8">
        <f t="shared" si="26"/>
        <v>10163034.278752638</v>
      </c>
      <c r="K34" s="8">
        <v>4053</v>
      </c>
      <c r="L34" s="8">
        <v>26583230.017995082</v>
      </c>
      <c r="M34" s="8">
        <f>IFERROR(VLOOKUP($B34-1,CDM!$L$4:$R$15,4,FALSE)/12,0)+IFERROR(VLOOKUP($B34,CDM!$L$33:$O$44,4,FALSE)/24,0)+IFERROR(VLOOKUP($B34,CDM!$L$33:$O$44,4,FALSE)/2*$C34/78,0)</f>
        <v>1046770.8798563235</v>
      </c>
      <c r="N34" s="8">
        <f t="shared" si="27"/>
        <v>27630000.897851404</v>
      </c>
      <c r="O34" s="8">
        <v>67872.225069549459</v>
      </c>
      <c r="P34" s="8">
        <v>509</v>
      </c>
      <c r="Q34" s="8">
        <v>601690.30360531318</v>
      </c>
      <c r="R34" s="2">
        <v>1745.4271300333419</v>
      </c>
      <c r="S34" s="7">
        <v>9747</v>
      </c>
      <c r="T34" s="2">
        <v>34539.386625618004</v>
      </c>
      <c r="U34" s="2">
        <v>89.98005098789038</v>
      </c>
      <c r="V34" s="9">
        <v>401</v>
      </c>
      <c r="W34" s="2">
        <v>98911.48007590101</v>
      </c>
      <c r="X34" s="4">
        <v>308</v>
      </c>
      <c r="Y34" s="8">
        <f>Weather!C34</f>
        <v>150.91041666666669</v>
      </c>
      <c r="Z34" s="8">
        <f>Weather!D34</f>
        <v>3.5000000000000036</v>
      </c>
      <c r="AA34" s="8">
        <f>Weather!E34</f>
        <v>95.339583333333309</v>
      </c>
      <c r="AB34" s="8">
        <f>Weather!F34</f>
        <v>7.9291666666666671</v>
      </c>
      <c r="AC34" s="8">
        <f>Weather!G34</f>
        <v>53.858333333333334</v>
      </c>
      <c r="AD34" s="8">
        <f>Weather!H34</f>
        <v>26.447916666666682</v>
      </c>
      <c r="AE34" s="8">
        <f>Weather!I34</f>
        <v>25.270833333333336</v>
      </c>
      <c r="AF34" s="8">
        <f>Weather!J34</f>
        <v>57.86041666666668</v>
      </c>
      <c r="AG34" s="8">
        <f>Weather!K34</f>
        <v>8.9458333333333382</v>
      </c>
      <c r="AH34" s="8">
        <f>Weather!L34</f>
        <v>101.53541666666669</v>
      </c>
      <c r="AI34" s="8">
        <f>Weather!M34</f>
        <v>1.0041666666666682</v>
      </c>
      <c r="AJ34" s="8">
        <f>Weather!N34</f>
        <v>153.59375</v>
      </c>
      <c r="AK34" s="8">
        <f>Weather!O34</f>
        <v>0</v>
      </c>
      <c r="AL34" s="8">
        <f>Weather!P34</f>
        <v>212.58958333333337</v>
      </c>
      <c r="AM34" s="2">
        <f>Weather!Q34</f>
        <v>15.086319444444447</v>
      </c>
      <c r="AN34" s="8">
        <f>Economic!C34</f>
        <v>6950.1</v>
      </c>
      <c r="AO34" s="8">
        <f>Economic!D34</f>
        <v>6998.1</v>
      </c>
      <c r="AP34" s="8">
        <f>Economic!E34</f>
        <v>84.2</v>
      </c>
      <c r="AQ34" s="8">
        <f>Economic!F34</f>
        <v>84.8</v>
      </c>
      <c r="AR34" s="8">
        <f>Economic!G34</f>
        <v>743976.2</v>
      </c>
      <c r="AS34" s="8">
        <f>Economic!H34</f>
        <v>7852.2</v>
      </c>
      <c r="AT34" s="8">
        <f>Economic!I34</f>
        <v>746606</v>
      </c>
      <c r="AU34" s="8">
        <f>Economic!J34</f>
        <v>7700</v>
      </c>
      <c r="AV34" s="1">
        <f t="shared" si="23"/>
        <v>33</v>
      </c>
      <c r="AW34" s="1">
        <v>0</v>
      </c>
      <c r="AX34" s="1">
        <v>0</v>
      </c>
      <c r="AY34" s="1">
        <v>0</v>
      </c>
      <c r="AZ34" s="1">
        <v>0</v>
      </c>
      <c r="BA34" s="1">
        <v>0</v>
      </c>
      <c r="BB34" s="1">
        <v>0</v>
      </c>
      <c r="BC34" s="1">
        <v>0</v>
      </c>
      <c r="BD34" s="1">
        <v>0</v>
      </c>
      <c r="BE34" s="1">
        <v>1</v>
      </c>
      <c r="BF34" s="1">
        <v>0</v>
      </c>
      <c r="BG34" s="1">
        <v>0</v>
      </c>
      <c r="BH34" s="1">
        <v>0</v>
      </c>
      <c r="BI34" s="1">
        <v>0</v>
      </c>
      <c r="BJ34" s="1">
        <v>1</v>
      </c>
      <c r="BK34" s="1">
        <v>1</v>
      </c>
      <c r="BL34" s="1">
        <v>0</v>
      </c>
      <c r="BM34" s="1">
        <v>1</v>
      </c>
      <c r="BN34" s="1">
        <v>1</v>
      </c>
      <c r="BO34">
        <v>30</v>
      </c>
      <c r="BP34">
        <v>21</v>
      </c>
      <c r="BQ34">
        <v>0</v>
      </c>
      <c r="BR34">
        <v>0</v>
      </c>
      <c r="BS34">
        <v>0</v>
      </c>
      <c r="BT34">
        <v>0</v>
      </c>
      <c r="BU34" s="126">
        <f t="shared" si="9"/>
        <v>0</v>
      </c>
      <c r="BV34" s="126">
        <f t="shared" si="10"/>
        <v>0</v>
      </c>
      <c r="BW34" s="126">
        <f t="shared" si="11"/>
        <v>0</v>
      </c>
      <c r="BX34" s="126">
        <f t="shared" si="12"/>
        <v>0</v>
      </c>
      <c r="BY34" s="126">
        <f t="shared" si="13"/>
        <v>0</v>
      </c>
      <c r="BZ34" s="126">
        <f t="shared" si="14"/>
        <v>0</v>
      </c>
      <c r="CA34" s="126">
        <f t="shared" si="15"/>
        <v>0</v>
      </c>
      <c r="CB34" s="126">
        <f t="shared" si="16"/>
        <v>0</v>
      </c>
      <c r="CC34" s="126">
        <f t="shared" si="17"/>
        <v>0</v>
      </c>
      <c r="CD34" s="126">
        <f t="shared" si="18"/>
        <v>0</v>
      </c>
      <c r="CE34" s="126">
        <f t="shared" si="19"/>
        <v>0</v>
      </c>
      <c r="CF34" s="126">
        <f t="shared" si="20"/>
        <v>0</v>
      </c>
      <c r="CG34" s="126">
        <f t="shared" si="21"/>
        <v>0</v>
      </c>
      <c r="CH34" s="126">
        <f t="shared" si="22"/>
        <v>0</v>
      </c>
      <c r="CI34" s="66">
        <f t="shared" ref="CI34:CI65" si="28">F34/BO34</f>
        <v>827201.68384125934</v>
      </c>
      <c r="CJ34" s="66">
        <f t="shared" ref="CJ34:CJ65" si="29">H34/BO34</f>
        <v>331239.99470875581</v>
      </c>
      <c r="CK34" s="66">
        <f t="shared" ref="CK34:CK65" si="30">N34/BO34</f>
        <v>921000.02992838016</v>
      </c>
    </row>
    <row r="35" spans="1:89" x14ac:dyDescent="0.2">
      <c r="A35" s="101">
        <v>42644</v>
      </c>
      <c r="B35" s="3">
        <f t="shared" si="0"/>
        <v>2016</v>
      </c>
      <c r="C35" s="3">
        <f t="shared" si="24"/>
        <v>10</v>
      </c>
      <c r="D35" s="8">
        <v>25456939.670759201</v>
      </c>
      <c r="E35" s="8">
        <f>IFERROR(VLOOKUP($B35-1,CDM!$L$4:$R$15,2,FALSE)/12,0)+IFERROR(VLOOKUP($B35,CDM!$L$33:$O$44,2,FALSE)/24,0)+IFERROR(VLOOKUP($B35,CDM!$L$33:$O$44,2,FALSE)/2*$C35/78,0)</f>
        <v>844076.59894265048</v>
      </c>
      <c r="F35" s="8">
        <f t="shared" si="25"/>
        <v>26301016.269701853</v>
      </c>
      <c r="G35" s="8">
        <v>42800</v>
      </c>
      <c r="H35" s="2">
        <v>10175926.390142158</v>
      </c>
      <c r="I35" s="8">
        <f>IFERROR(VLOOKUP($B35-1,CDM!$L$4:$R$15,3,FALSE)/12,0)+IFERROR(VLOOKUP($B35,CDM!$L$33:$O$44,3,FALSE)/24,0)+IFERROR(VLOOKUP($B35,CDM!$L$33:$O$44,3,FALSE)/2*$C35/78,0)</f>
        <v>232717.91528494639</v>
      </c>
      <c r="J35" s="8">
        <f t="shared" si="26"/>
        <v>10408644.305427104</v>
      </c>
      <c r="K35" s="8">
        <v>4047</v>
      </c>
      <c r="L35" s="8">
        <v>27189487.124417316</v>
      </c>
      <c r="M35" s="8">
        <f>IFERROR(VLOOKUP($B35-1,CDM!$L$4:$R$15,4,FALSE)/12,0)+IFERROR(VLOOKUP($B35,CDM!$L$33:$O$44,4,FALSE)/24,0)+IFERROR(VLOOKUP($B35,CDM!$L$33:$O$44,4,FALSE)/2*$C35/78,0)</f>
        <v>1079634.8919055325</v>
      </c>
      <c r="N35" s="8">
        <f t="shared" si="27"/>
        <v>28269122.016322847</v>
      </c>
      <c r="O35" s="8">
        <v>69420.118939077336</v>
      </c>
      <c r="P35" s="8">
        <v>515</v>
      </c>
      <c r="Q35" s="8">
        <v>711172.6470588235</v>
      </c>
      <c r="R35" s="2">
        <v>1747.2178626998375</v>
      </c>
      <c r="S35" s="7">
        <v>9757</v>
      </c>
      <c r="T35" s="2">
        <v>35579.515967677427</v>
      </c>
      <c r="U35" s="2">
        <v>87.690482260463142</v>
      </c>
      <c r="V35" s="9">
        <v>391</v>
      </c>
      <c r="W35" s="2">
        <v>102208.52941176522</v>
      </c>
      <c r="X35" s="4">
        <v>308</v>
      </c>
      <c r="Y35" s="8">
        <f>Weather!C35</f>
        <v>387.71666666666664</v>
      </c>
      <c r="Z35" s="8">
        <f>Weather!D35</f>
        <v>0</v>
      </c>
      <c r="AA35" s="8">
        <f>Weather!E35</f>
        <v>325.71666666666675</v>
      </c>
      <c r="AB35" s="8">
        <f>Weather!F35</f>
        <v>0</v>
      </c>
      <c r="AC35" s="8">
        <f>Weather!G35</f>
        <v>266.12083333333339</v>
      </c>
      <c r="AD35" s="8">
        <f>Weather!H35</f>
        <v>2.404166666666665</v>
      </c>
      <c r="AE35" s="8">
        <f>Weather!I35</f>
        <v>210.64166666666668</v>
      </c>
      <c r="AF35" s="8">
        <f>Weather!J35</f>
        <v>8.9250000000000007</v>
      </c>
      <c r="AG35" s="8">
        <f>Weather!K35</f>
        <v>163.39166666666668</v>
      </c>
      <c r="AH35" s="8">
        <f>Weather!L35</f>
        <v>23.674999999999997</v>
      </c>
      <c r="AI35" s="8">
        <f>Weather!M35</f>
        <v>121.99583333333332</v>
      </c>
      <c r="AJ35" s="8">
        <f>Weather!N35</f>
        <v>44.279166666666661</v>
      </c>
      <c r="AK35" s="8">
        <f>Weather!O35</f>
        <v>85.466666666666654</v>
      </c>
      <c r="AL35" s="8">
        <f>Weather!P35</f>
        <v>69.75</v>
      </c>
      <c r="AM35" s="2">
        <f>Weather!Q35</f>
        <v>7.4930107526881713</v>
      </c>
      <c r="AN35" s="8">
        <f>Economic!C35</f>
        <v>6963.9</v>
      </c>
      <c r="AO35" s="8">
        <f>Economic!D35</f>
        <v>6990.5</v>
      </c>
      <c r="AP35" s="8">
        <f>Economic!E35</f>
        <v>84.3</v>
      </c>
      <c r="AQ35" s="8">
        <f>Economic!F35</f>
        <v>85</v>
      </c>
      <c r="AR35" s="8">
        <f>Economic!G35</f>
        <v>743976.2</v>
      </c>
      <c r="AS35" s="8">
        <f>Economic!H35</f>
        <v>7852.2</v>
      </c>
      <c r="AT35" s="8">
        <f>Economic!I35</f>
        <v>745380</v>
      </c>
      <c r="AU35" s="8">
        <f>Economic!J35</f>
        <v>7803</v>
      </c>
      <c r="AV35" s="1">
        <f t="shared" si="23"/>
        <v>34</v>
      </c>
      <c r="AW35" s="1">
        <v>0</v>
      </c>
      <c r="AX35" s="1">
        <v>0</v>
      </c>
      <c r="AY35" s="1">
        <v>0</v>
      </c>
      <c r="AZ35" s="1">
        <v>0</v>
      </c>
      <c r="BA35" s="1">
        <v>0</v>
      </c>
      <c r="BB35" s="1">
        <v>0</v>
      </c>
      <c r="BC35" s="1">
        <v>0</v>
      </c>
      <c r="BD35" s="1">
        <v>0</v>
      </c>
      <c r="BE35" s="1">
        <v>0</v>
      </c>
      <c r="BF35" s="1">
        <v>1</v>
      </c>
      <c r="BG35" s="1">
        <v>0</v>
      </c>
      <c r="BH35" s="1">
        <v>0</v>
      </c>
      <c r="BI35" s="1">
        <v>0</v>
      </c>
      <c r="BJ35" s="1">
        <v>1</v>
      </c>
      <c r="BK35" s="1">
        <v>1</v>
      </c>
      <c r="BL35" s="1">
        <v>0</v>
      </c>
      <c r="BM35" s="1">
        <v>1</v>
      </c>
      <c r="BN35" s="1">
        <v>1</v>
      </c>
      <c r="BO35">
        <v>31</v>
      </c>
      <c r="BP35">
        <v>20</v>
      </c>
      <c r="BQ35">
        <v>0</v>
      </c>
      <c r="BR35">
        <v>0</v>
      </c>
      <c r="BS35">
        <v>0</v>
      </c>
      <c r="BT35">
        <v>0</v>
      </c>
      <c r="BU35" s="126">
        <f t="shared" si="9"/>
        <v>0</v>
      </c>
      <c r="BV35" s="126">
        <f t="shared" si="10"/>
        <v>0</v>
      </c>
      <c r="BW35" s="126">
        <f t="shared" si="11"/>
        <v>0</v>
      </c>
      <c r="BX35" s="126">
        <f t="shared" si="12"/>
        <v>0</v>
      </c>
      <c r="BY35" s="126">
        <f t="shared" si="13"/>
        <v>0</v>
      </c>
      <c r="BZ35" s="126">
        <f t="shared" si="14"/>
        <v>0</v>
      </c>
      <c r="CA35" s="126">
        <f t="shared" si="15"/>
        <v>0</v>
      </c>
      <c r="CB35" s="126">
        <f t="shared" si="16"/>
        <v>0</v>
      </c>
      <c r="CC35" s="126">
        <f t="shared" si="17"/>
        <v>0</v>
      </c>
      <c r="CD35" s="126">
        <f t="shared" si="18"/>
        <v>0</v>
      </c>
      <c r="CE35" s="126">
        <f t="shared" si="19"/>
        <v>0</v>
      </c>
      <c r="CF35" s="126">
        <f t="shared" si="20"/>
        <v>0</v>
      </c>
      <c r="CG35" s="126">
        <f t="shared" si="21"/>
        <v>0</v>
      </c>
      <c r="CH35" s="126">
        <f t="shared" si="22"/>
        <v>0</v>
      </c>
      <c r="CI35" s="66">
        <f t="shared" si="28"/>
        <v>848419.87966780167</v>
      </c>
      <c r="CJ35" s="66">
        <f t="shared" si="29"/>
        <v>328255.69000458572</v>
      </c>
      <c r="CK35" s="66">
        <f t="shared" si="30"/>
        <v>911907.16181686602</v>
      </c>
    </row>
    <row r="36" spans="1:89" x14ac:dyDescent="0.2">
      <c r="A36" s="101">
        <v>42675</v>
      </c>
      <c r="B36" s="3">
        <f t="shared" si="0"/>
        <v>2016</v>
      </c>
      <c r="C36" s="3">
        <f t="shared" si="24"/>
        <v>11</v>
      </c>
      <c r="D36" s="8">
        <v>29282879.755700186</v>
      </c>
      <c r="E36" s="8">
        <f>IFERROR(VLOOKUP($B36-1,CDM!$L$4:$R$15,2,FALSE)/12,0)+IFERROR(VLOOKUP($B36,CDM!$L$33:$O$44,2,FALSE)/24,0)+IFERROR(VLOOKUP($B36,CDM!$L$33:$O$44,2,FALSE)/2*$C36/78,0)</f>
        <v>871856.62372277863</v>
      </c>
      <c r="F36" s="8">
        <f t="shared" si="25"/>
        <v>30154736.379422963</v>
      </c>
      <c r="G36" s="8">
        <v>42800</v>
      </c>
      <c r="H36" s="2">
        <v>10795757.04634227</v>
      </c>
      <c r="I36" s="8">
        <f>IFERROR(VLOOKUP($B36-1,CDM!$L$4:$R$15,3,FALSE)/12,0)+IFERROR(VLOOKUP($B36,CDM!$L$33:$O$44,3,FALSE)/24,0)+IFERROR(VLOOKUP($B36,CDM!$L$33:$O$44,3,FALSE)/2*$C36/78,0)</f>
        <v>239601.39307992801</v>
      </c>
      <c r="J36" s="8">
        <f t="shared" si="26"/>
        <v>11035358.439422198</v>
      </c>
      <c r="K36" s="8">
        <v>4047</v>
      </c>
      <c r="L36" s="8">
        <v>28512555.759896304</v>
      </c>
      <c r="M36" s="8">
        <f>IFERROR(VLOOKUP($B36-1,CDM!$L$4:$R$15,4,FALSE)/12,0)+IFERROR(VLOOKUP($B36,CDM!$L$33:$O$44,4,FALSE)/24,0)+IFERROR(VLOOKUP($B36,CDM!$L$33:$O$44,4,FALSE)/2*$C36/78,0)</f>
        <v>1112498.9039547415</v>
      </c>
      <c r="N36" s="8">
        <f t="shared" si="27"/>
        <v>29625054.663851045</v>
      </c>
      <c r="O36" s="8">
        <v>72798.17390639706</v>
      </c>
      <c r="P36" s="8">
        <v>515</v>
      </c>
      <c r="Q36" s="8">
        <v>764444.39278937376</v>
      </c>
      <c r="R36" s="2">
        <v>1747.2178626998375</v>
      </c>
      <c r="S36" s="7">
        <v>9757</v>
      </c>
      <c r="T36" s="2">
        <v>34147.059938200575</v>
      </c>
      <c r="U36" s="2">
        <v>87.690482260463142</v>
      </c>
      <c r="V36" s="9">
        <v>391</v>
      </c>
      <c r="W36" s="2">
        <v>98912.143637513407</v>
      </c>
      <c r="X36" s="4">
        <v>308</v>
      </c>
      <c r="Y36" s="8">
        <f>Weather!C36</f>
        <v>523.76249999999993</v>
      </c>
      <c r="Z36" s="8">
        <f>Weather!D36</f>
        <v>0</v>
      </c>
      <c r="AA36" s="8">
        <f>Weather!E36</f>
        <v>463.76249999999999</v>
      </c>
      <c r="AB36" s="8">
        <f>Weather!F36</f>
        <v>0</v>
      </c>
      <c r="AC36" s="8">
        <f>Weather!G36</f>
        <v>403.76249999999999</v>
      </c>
      <c r="AD36" s="8">
        <f>Weather!H36</f>
        <v>0</v>
      </c>
      <c r="AE36" s="8">
        <f>Weather!I36</f>
        <v>343.76249999999999</v>
      </c>
      <c r="AF36" s="8">
        <f>Weather!J36</f>
        <v>0</v>
      </c>
      <c r="AG36" s="8">
        <f>Weather!K36</f>
        <v>283.76250000000005</v>
      </c>
      <c r="AH36" s="8">
        <f>Weather!L36</f>
        <v>0</v>
      </c>
      <c r="AI36" s="8">
        <f>Weather!M36</f>
        <v>223.76250000000002</v>
      </c>
      <c r="AJ36" s="8">
        <f>Weather!N36</f>
        <v>0</v>
      </c>
      <c r="AK36" s="8">
        <f>Weather!O36</f>
        <v>165.07083333333335</v>
      </c>
      <c r="AL36" s="8">
        <f>Weather!P36</f>
        <v>1.3083333333333353</v>
      </c>
      <c r="AM36" s="2">
        <f>Weather!Q36</f>
        <v>2.5412500000000002</v>
      </c>
      <c r="AN36" s="8">
        <f>Economic!C36</f>
        <v>6977.8</v>
      </c>
      <c r="AO36" s="8">
        <f>Economic!D36</f>
        <v>6983.4</v>
      </c>
      <c r="AP36" s="8">
        <f>Economic!E36</f>
        <v>84</v>
      </c>
      <c r="AQ36" s="8">
        <f>Economic!F36</f>
        <v>85.3</v>
      </c>
      <c r="AR36" s="8">
        <f>Economic!G36</f>
        <v>743976.2</v>
      </c>
      <c r="AS36" s="8">
        <f>Economic!H36</f>
        <v>7852.2</v>
      </c>
      <c r="AT36" s="8">
        <f>Economic!I36</f>
        <v>745380</v>
      </c>
      <c r="AU36" s="8">
        <f>Economic!J36</f>
        <v>7803</v>
      </c>
      <c r="AV36" s="1">
        <f t="shared" si="23"/>
        <v>35</v>
      </c>
      <c r="AW36" s="1">
        <v>0</v>
      </c>
      <c r="AX36" s="1">
        <v>0</v>
      </c>
      <c r="AY36" s="1">
        <v>0</v>
      </c>
      <c r="AZ36" s="1">
        <v>0</v>
      </c>
      <c r="BA36" s="1">
        <v>0</v>
      </c>
      <c r="BB36" s="1">
        <v>0</v>
      </c>
      <c r="BC36" s="1">
        <v>0</v>
      </c>
      <c r="BD36" s="1">
        <v>0</v>
      </c>
      <c r="BE36" s="1">
        <v>0</v>
      </c>
      <c r="BF36" s="1">
        <v>0</v>
      </c>
      <c r="BG36" s="1">
        <v>1</v>
      </c>
      <c r="BH36" s="1">
        <v>0</v>
      </c>
      <c r="BI36" s="1">
        <v>0</v>
      </c>
      <c r="BJ36" s="1">
        <v>1</v>
      </c>
      <c r="BK36" s="1">
        <v>1</v>
      </c>
      <c r="BL36" s="1">
        <v>0</v>
      </c>
      <c r="BM36" s="1">
        <v>0</v>
      </c>
      <c r="BN36" s="1">
        <v>0</v>
      </c>
      <c r="BO36">
        <v>30</v>
      </c>
      <c r="BP36">
        <v>22</v>
      </c>
      <c r="BQ36">
        <v>0</v>
      </c>
      <c r="BR36">
        <v>0</v>
      </c>
      <c r="BS36">
        <v>0</v>
      </c>
      <c r="BT36">
        <v>0</v>
      </c>
      <c r="BU36" s="126">
        <f t="shared" si="9"/>
        <v>0</v>
      </c>
      <c r="BV36" s="126">
        <f t="shared" si="10"/>
        <v>0</v>
      </c>
      <c r="BW36" s="126">
        <f t="shared" si="11"/>
        <v>0</v>
      </c>
      <c r="BX36" s="126">
        <f t="shared" si="12"/>
        <v>0</v>
      </c>
      <c r="BY36" s="126">
        <f t="shared" si="13"/>
        <v>0</v>
      </c>
      <c r="BZ36" s="126">
        <f t="shared" si="14"/>
        <v>0</v>
      </c>
      <c r="CA36" s="126">
        <f t="shared" si="15"/>
        <v>0</v>
      </c>
      <c r="CB36" s="126">
        <f t="shared" si="16"/>
        <v>0</v>
      </c>
      <c r="CC36" s="126">
        <f t="shared" si="17"/>
        <v>0</v>
      </c>
      <c r="CD36" s="126">
        <f t="shared" si="18"/>
        <v>0</v>
      </c>
      <c r="CE36" s="126">
        <f t="shared" si="19"/>
        <v>0</v>
      </c>
      <c r="CF36" s="126">
        <f t="shared" si="20"/>
        <v>0</v>
      </c>
      <c r="CG36" s="126">
        <f t="shared" si="21"/>
        <v>0</v>
      </c>
      <c r="CH36" s="126">
        <f t="shared" si="22"/>
        <v>0</v>
      </c>
      <c r="CI36" s="66">
        <f t="shared" si="28"/>
        <v>1005157.8793140987</v>
      </c>
      <c r="CJ36" s="66">
        <f t="shared" si="29"/>
        <v>359858.56821140903</v>
      </c>
      <c r="CK36" s="66">
        <f t="shared" si="30"/>
        <v>987501.82212836819</v>
      </c>
    </row>
    <row r="37" spans="1:89" x14ac:dyDescent="0.2">
      <c r="A37" s="101">
        <v>42705</v>
      </c>
      <c r="B37" s="3">
        <f t="shared" si="0"/>
        <v>2016</v>
      </c>
      <c r="C37" s="3">
        <f t="shared" si="24"/>
        <v>12</v>
      </c>
      <c r="D37" s="8">
        <v>38455175.443020679</v>
      </c>
      <c r="E37" s="8">
        <f>IFERROR(VLOOKUP($B37-1,CDM!$L$4:$R$15,2,FALSE)/12,0)+IFERROR(VLOOKUP($B37,CDM!$L$33:$O$44,2,FALSE)/24,0)+IFERROR(VLOOKUP($B37,CDM!$L$33:$O$44,2,FALSE)/2*$C37/78,0)</f>
        <v>899636.6485029069</v>
      </c>
      <c r="F37" s="8">
        <f t="shared" si="25"/>
        <v>39354812.091523588</v>
      </c>
      <c r="G37" s="8">
        <v>42800</v>
      </c>
      <c r="H37" s="2">
        <v>12608735.925325107</v>
      </c>
      <c r="I37" s="8">
        <f>IFERROR(VLOOKUP($B37-1,CDM!$L$4:$R$15,3,FALSE)/12,0)+IFERROR(VLOOKUP($B37,CDM!$L$33:$O$44,3,FALSE)/24,0)+IFERROR(VLOOKUP($B37,CDM!$L$33:$O$44,3,FALSE)/2*$C37/78,0)</f>
        <v>246484.8708749096</v>
      </c>
      <c r="J37" s="8">
        <f t="shared" si="26"/>
        <v>12855220.796200017</v>
      </c>
      <c r="K37" s="8">
        <v>4047</v>
      </c>
      <c r="L37" s="8">
        <v>32089981.034069311</v>
      </c>
      <c r="M37" s="8">
        <f>IFERROR(VLOOKUP($B37-1,CDM!$L$4:$R$15,4,FALSE)/12,0)+IFERROR(VLOOKUP($B37,CDM!$L$33:$O$44,4,FALSE)/24,0)+IFERROR(VLOOKUP($B37,CDM!$L$33:$O$44,4,FALSE)/2*$C37/78,0)</f>
        <v>1145362.9160039506</v>
      </c>
      <c r="N37" s="8">
        <f t="shared" si="27"/>
        <v>33235343.950073261</v>
      </c>
      <c r="O37" s="8">
        <v>81932.045644850237</v>
      </c>
      <c r="P37" s="8">
        <v>515</v>
      </c>
      <c r="Q37" s="8">
        <v>829693.79506641359</v>
      </c>
      <c r="R37" s="2">
        <v>1747.2178626998375</v>
      </c>
      <c r="S37" s="7">
        <v>9757</v>
      </c>
      <c r="T37" s="2">
        <v>35287.430890388969</v>
      </c>
      <c r="U37" s="2">
        <v>87.690482260463142</v>
      </c>
      <c r="V37" s="9">
        <v>391</v>
      </c>
      <c r="W37" s="2">
        <v>101969.83928468806</v>
      </c>
      <c r="X37" s="4">
        <v>308</v>
      </c>
      <c r="Y37" s="8">
        <f>Weather!C37</f>
        <v>844.79583333333323</v>
      </c>
      <c r="Z37" s="8">
        <f>Weather!D37</f>
        <v>0</v>
      </c>
      <c r="AA37" s="8">
        <f>Weather!E37</f>
        <v>782.79583333333323</v>
      </c>
      <c r="AB37" s="8">
        <f>Weather!F37</f>
        <v>0</v>
      </c>
      <c r="AC37" s="8">
        <f>Weather!G37</f>
        <v>720.79583333333323</v>
      </c>
      <c r="AD37" s="8">
        <f>Weather!H37</f>
        <v>0</v>
      </c>
      <c r="AE37" s="8">
        <f>Weather!I37</f>
        <v>658.79583333333323</v>
      </c>
      <c r="AF37" s="8">
        <f>Weather!J37</f>
        <v>0</v>
      </c>
      <c r="AG37" s="8">
        <f>Weather!K37</f>
        <v>596.79583333333335</v>
      </c>
      <c r="AH37" s="8">
        <f>Weather!L37</f>
        <v>0</v>
      </c>
      <c r="AI37" s="8">
        <f>Weather!M37</f>
        <v>534.79583333333335</v>
      </c>
      <c r="AJ37" s="8">
        <f>Weather!N37</f>
        <v>0</v>
      </c>
      <c r="AK37" s="8">
        <f>Weather!O37</f>
        <v>472.79583333333329</v>
      </c>
      <c r="AL37" s="8">
        <f>Weather!P37</f>
        <v>0</v>
      </c>
      <c r="AM37" s="2">
        <f>Weather!Q37</f>
        <v>-7.2514784946236581</v>
      </c>
      <c r="AN37" s="8">
        <f>Economic!C37</f>
        <v>6992.4</v>
      </c>
      <c r="AO37" s="8">
        <f>Economic!D37</f>
        <v>6999.9</v>
      </c>
      <c r="AP37" s="8">
        <f>Economic!E37</f>
        <v>83.5</v>
      </c>
      <c r="AQ37" s="8">
        <f>Economic!F37</f>
        <v>84.2</v>
      </c>
      <c r="AR37" s="8">
        <f>Economic!G37</f>
        <v>743976.2</v>
      </c>
      <c r="AS37" s="8">
        <f>Economic!H37</f>
        <v>7852.2</v>
      </c>
      <c r="AT37" s="8">
        <f>Economic!I37</f>
        <v>745380</v>
      </c>
      <c r="AU37" s="8">
        <f>Economic!J37</f>
        <v>7803</v>
      </c>
      <c r="AV37" s="1">
        <f t="shared" si="23"/>
        <v>36</v>
      </c>
      <c r="AW37" s="1">
        <v>0</v>
      </c>
      <c r="AX37" s="1">
        <v>0</v>
      </c>
      <c r="AY37" s="1">
        <v>0</v>
      </c>
      <c r="AZ37" s="1">
        <v>0</v>
      </c>
      <c r="BA37" s="1">
        <v>0</v>
      </c>
      <c r="BB37" s="1">
        <v>0</v>
      </c>
      <c r="BC37" s="1">
        <v>0</v>
      </c>
      <c r="BD37" s="1">
        <v>0</v>
      </c>
      <c r="BE37" s="1">
        <v>0</v>
      </c>
      <c r="BF37" s="1">
        <v>0</v>
      </c>
      <c r="BG37" s="1">
        <v>0</v>
      </c>
      <c r="BH37" s="1">
        <v>1</v>
      </c>
      <c r="BI37" s="1">
        <v>0</v>
      </c>
      <c r="BJ37" s="1">
        <v>0</v>
      </c>
      <c r="BK37" s="1">
        <v>0</v>
      </c>
      <c r="BL37" s="1">
        <v>0</v>
      </c>
      <c r="BM37" s="1">
        <v>0</v>
      </c>
      <c r="BN37" s="1">
        <v>0</v>
      </c>
      <c r="BO37">
        <v>31</v>
      </c>
      <c r="BP37">
        <v>20</v>
      </c>
      <c r="BQ37">
        <v>0</v>
      </c>
      <c r="BR37">
        <v>0</v>
      </c>
      <c r="BS37">
        <v>0</v>
      </c>
      <c r="BT37">
        <v>0</v>
      </c>
      <c r="BU37" s="126">
        <f t="shared" si="9"/>
        <v>0</v>
      </c>
      <c r="BV37" s="126">
        <f t="shared" si="10"/>
        <v>0</v>
      </c>
      <c r="BW37" s="126">
        <f t="shared" si="11"/>
        <v>0</v>
      </c>
      <c r="BX37" s="126">
        <f t="shared" si="12"/>
        <v>0</v>
      </c>
      <c r="BY37" s="126">
        <f t="shared" si="13"/>
        <v>0</v>
      </c>
      <c r="BZ37" s="126">
        <f t="shared" si="14"/>
        <v>0</v>
      </c>
      <c r="CA37" s="126">
        <f t="shared" si="15"/>
        <v>0</v>
      </c>
      <c r="CB37" s="126">
        <f t="shared" si="16"/>
        <v>0</v>
      </c>
      <c r="CC37" s="126">
        <f t="shared" si="17"/>
        <v>0</v>
      </c>
      <c r="CD37" s="126">
        <f t="shared" si="18"/>
        <v>0</v>
      </c>
      <c r="CE37" s="126">
        <f t="shared" si="19"/>
        <v>0</v>
      </c>
      <c r="CF37" s="126">
        <f t="shared" si="20"/>
        <v>0</v>
      </c>
      <c r="CG37" s="126">
        <f t="shared" si="21"/>
        <v>0</v>
      </c>
      <c r="CH37" s="126">
        <f t="shared" si="22"/>
        <v>0</v>
      </c>
      <c r="CI37" s="66">
        <f t="shared" si="28"/>
        <v>1269510.0674685028</v>
      </c>
      <c r="CJ37" s="66">
        <f t="shared" si="29"/>
        <v>406733.4169459712</v>
      </c>
      <c r="CK37" s="66">
        <f t="shared" si="30"/>
        <v>1072107.869357202</v>
      </c>
    </row>
    <row r="38" spans="1:89" x14ac:dyDescent="0.2">
      <c r="A38" s="101">
        <v>42736</v>
      </c>
      <c r="B38" s="3">
        <f t="shared" si="0"/>
        <v>2017</v>
      </c>
      <c r="C38" s="3">
        <f t="shared" si="24"/>
        <v>1</v>
      </c>
      <c r="D38" s="8">
        <v>39117690.458507761</v>
      </c>
      <c r="E38" s="8">
        <f>IFERROR(VLOOKUP($B38-1,CDM!$L$4:$R$15,2,FALSE)/12,0)+IFERROR(VLOOKUP($B38,CDM!$L$33:$O$44,2,FALSE)/24,0)+IFERROR(VLOOKUP($B38,CDM!$L$33:$O$44,2,FALSE)/2*$C38/78,0)</f>
        <v>1056582.1254804712</v>
      </c>
      <c r="F38" s="8">
        <f t="shared" si="25"/>
        <v>40174272.583988234</v>
      </c>
      <c r="G38" s="8">
        <v>42797</v>
      </c>
      <c r="H38" s="2">
        <v>12969421.034978746</v>
      </c>
      <c r="I38" s="8">
        <f>IFERROR(VLOOKUP($B38-1,CDM!$L$4:$R$15,3,FALSE)/12,0)+IFERROR(VLOOKUP($B38,CDM!$L$33:$O$44,3,FALSE)/24,0)+IFERROR(VLOOKUP($B38,CDM!$L$33:$O$44,3,FALSE)/2*$C38/78,0)</f>
        <v>269326.53081670869</v>
      </c>
      <c r="J38" s="8">
        <f t="shared" si="26"/>
        <v>13238747.565795455</v>
      </c>
      <c r="K38" s="8">
        <v>4052</v>
      </c>
      <c r="L38" s="8">
        <v>32605346.748568937</v>
      </c>
      <c r="M38" s="8">
        <f>IFERROR(VLOOKUP($B38-1,CDM!$L$4:$R$15,4,FALSE)/12,0)+IFERROR(VLOOKUP($B38,CDM!$L$33:$O$44,4,FALSE)/24,0)+IFERROR(VLOOKUP($B38,CDM!$L$33:$O$44,4,FALSE)/2*$C38/78,0)</f>
        <v>1166450.9101337413</v>
      </c>
      <c r="N38" s="8">
        <f t="shared" si="27"/>
        <v>33771797.658702679</v>
      </c>
      <c r="O38" s="8">
        <v>81658.604816549007</v>
      </c>
      <c r="P38" s="8">
        <v>517</v>
      </c>
      <c r="Q38" s="8">
        <v>805506.00569259957</v>
      </c>
      <c r="R38" s="2">
        <v>1738.616007970774</v>
      </c>
      <c r="S38" s="7">
        <v>9776</v>
      </c>
      <c r="T38" s="2">
        <v>35340.578747628118</v>
      </c>
      <c r="U38" s="2">
        <v>94.649470198675488</v>
      </c>
      <c r="V38" s="9">
        <v>385</v>
      </c>
      <c r="W38" s="2">
        <v>101920.02846299864</v>
      </c>
      <c r="X38" s="4">
        <v>306</v>
      </c>
      <c r="Y38" s="8">
        <f>Weather!C38</f>
        <v>850.22916666666663</v>
      </c>
      <c r="Z38" s="8">
        <f>Weather!D38</f>
        <v>0</v>
      </c>
      <c r="AA38" s="8">
        <f>Weather!E38</f>
        <v>788.22916666666674</v>
      </c>
      <c r="AB38" s="8">
        <f>Weather!F38</f>
        <v>0</v>
      </c>
      <c r="AC38" s="8">
        <f>Weather!G38</f>
        <v>726.22916666666686</v>
      </c>
      <c r="AD38" s="8">
        <f>Weather!H38</f>
        <v>0</v>
      </c>
      <c r="AE38" s="8">
        <f>Weather!I38</f>
        <v>664.22916666666686</v>
      </c>
      <c r="AF38" s="8">
        <f>Weather!J38</f>
        <v>0</v>
      </c>
      <c r="AG38" s="8">
        <f>Weather!K38</f>
        <v>602.22916666666686</v>
      </c>
      <c r="AH38" s="8">
        <f>Weather!L38</f>
        <v>0</v>
      </c>
      <c r="AI38" s="8">
        <f>Weather!M38</f>
        <v>540.22916666666674</v>
      </c>
      <c r="AJ38" s="8">
        <f>Weather!N38</f>
        <v>0</v>
      </c>
      <c r="AK38" s="8">
        <f>Weather!O38</f>
        <v>478.2291666666668</v>
      </c>
      <c r="AL38" s="8">
        <f>Weather!P38</f>
        <v>0</v>
      </c>
      <c r="AM38" s="2">
        <f>Weather!Q38</f>
        <v>-7.4267473118279561</v>
      </c>
      <c r="AN38" s="8">
        <f>Economic!C38</f>
        <v>7014.6</v>
      </c>
      <c r="AO38" s="8">
        <f>Economic!D38</f>
        <v>6982.5</v>
      </c>
      <c r="AP38" s="8">
        <f>Economic!E38</f>
        <v>83.1</v>
      </c>
      <c r="AQ38" s="8">
        <f>Economic!F38</f>
        <v>82.2</v>
      </c>
      <c r="AR38" s="8">
        <f>Economic!G38</f>
        <v>764464.8</v>
      </c>
      <c r="AS38" s="8">
        <f>Economic!H38</f>
        <v>7685.1</v>
      </c>
      <c r="AT38" s="8">
        <f>Economic!I38</f>
        <v>756702</v>
      </c>
      <c r="AU38" s="8">
        <f>Economic!J38</f>
        <v>7875</v>
      </c>
      <c r="AV38" s="1">
        <f t="shared" si="23"/>
        <v>37</v>
      </c>
      <c r="AW38" s="1">
        <v>1</v>
      </c>
      <c r="AX38" s="1">
        <v>0</v>
      </c>
      <c r="AY38" s="1">
        <v>0</v>
      </c>
      <c r="AZ38" s="1">
        <v>0</v>
      </c>
      <c r="BA38" s="1">
        <v>0</v>
      </c>
      <c r="BB38" s="1">
        <v>0</v>
      </c>
      <c r="BC38" s="1">
        <v>0</v>
      </c>
      <c r="BD38" s="1">
        <v>0</v>
      </c>
      <c r="BE38" s="1">
        <v>0</v>
      </c>
      <c r="BF38" s="1">
        <v>0</v>
      </c>
      <c r="BG38" s="1">
        <v>0</v>
      </c>
      <c r="BH38" s="1">
        <v>0</v>
      </c>
      <c r="BI38" s="1">
        <v>0</v>
      </c>
      <c r="BJ38" s="1">
        <v>0</v>
      </c>
      <c r="BK38" s="1">
        <v>0</v>
      </c>
      <c r="BL38" s="1">
        <v>0</v>
      </c>
      <c r="BM38" s="1">
        <v>0</v>
      </c>
      <c r="BN38" s="1">
        <v>0</v>
      </c>
      <c r="BO38">
        <v>31</v>
      </c>
      <c r="BP38">
        <v>22</v>
      </c>
      <c r="BQ38">
        <v>0</v>
      </c>
      <c r="BR38">
        <v>0</v>
      </c>
      <c r="BS38">
        <v>0</v>
      </c>
      <c r="BT38">
        <v>0</v>
      </c>
      <c r="BU38" s="126">
        <f t="shared" si="9"/>
        <v>0</v>
      </c>
      <c r="BV38" s="126">
        <f t="shared" si="10"/>
        <v>0</v>
      </c>
      <c r="BW38" s="126">
        <f t="shared" si="11"/>
        <v>0</v>
      </c>
      <c r="BX38" s="126">
        <f t="shared" si="12"/>
        <v>0</v>
      </c>
      <c r="BY38" s="126">
        <f t="shared" si="13"/>
        <v>0</v>
      </c>
      <c r="BZ38" s="126">
        <f t="shared" si="14"/>
        <v>0</v>
      </c>
      <c r="CA38" s="126">
        <f t="shared" si="15"/>
        <v>0</v>
      </c>
      <c r="CB38" s="126">
        <f t="shared" si="16"/>
        <v>0</v>
      </c>
      <c r="CC38" s="126">
        <f t="shared" si="17"/>
        <v>0</v>
      </c>
      <c r="CD38" s="126">
        <f t="shared" si="18"/>
        <v>0</v>
      </c>
      <c r="CE38" s="126">
        <f t="shared" si="19"/>
        <v>0</v>
      </c>
      <c r="CF38" s="126">
        <f t="shared" si="20"/>
        <v>0</v>
      </c>
      <c r="CG38" s="126">
        <f t="shared" si="21"/>
        <v>0</v>
      </c>
      <c r="CH38" s="126">
        <f t="shared" si="22"/>
        <v>0</v>
      </c>
      <c r="CI38" s="66">
        <f t="shared" si="28"/>
        <v>1295944.2769028463</v>
      </c>
      <c r="CJ38" s="66">
        <f t="shared" si="29"/>
        <v>418368.42048318533</v>
      </c>
      <c r="CK38" s="66">
        <f t="shared" si="30"/>
        <v>1089412.8277000864</v>
      </c>
    </row>
    <row r="39" spans="1:89" x14ac:dyDescent="0.2">
      <c r="A39" s="101">
        <v>42767</v>
      </c>
      <c r="B39" s="3">
        <f t="shared" si="0"/>
        <v>2017</v>
      </c>
      <c r="C39" s="3">
        <f t="shared" si="24"/>
        <v>2</v>
      </c>
      <c r="D39" s="8">
        <v>34287533.653769821</v>
      </c>
      <c r="E39" s="8">
        <f>IFERROR(VLOOKUP($B39-1,CDM!$L$4:$R$15,2,FALSE)/12,0)+IFERROR(VLOOKUP($B39,CDM!$L$33:$O$44,2,FALSE)/24,0)+IFERROR(VLOOKUP($B39,CDM!$L$33:$O$44,2,FALSE)/2*$C39/78,0)</f>
        <v>1097880.2072495737</v>
      </c>
      <c r="F39" s="8">
        <f t="shared" si="25"/>
        <v>35385413.861019395</v>
      </c>
      <c r="G39" s="8">
        <v>42797</v>
      </c>
      <c r="H39" s="2">
        <v>11694580.118981019</v>
      </c>
      <c r="I39" s="8">
        <f>IFERROR(VLOOKUP($B39-1,CDM!$L$4:$R$15,3,FALSE)/12,0)+IFERROR(VLOOKUP($B39,CDM!$L$33:$O$44,3,FALSE)/24,0)+IFERROR(VLOOKUP($B39,CDM!$L$33:$O$44,3,FALSE)/2*$C39/78,0)</f>
        <v>277419.96919193509</v>
      </c>
      <c r="J39" s="8">
        <f t="shared" si="26"/>
        <v>11972000.088172954</v>
      </c>
      <c r="K39" s="8">
        <v>4052</v>
      </c>
      <c r="L39" s="8">
        <v>29628301.685792487</v>
      </c>
      <c r="M39" s="8">
        <f>IFERROR(VLOOKUP($B39-1,CDM!$L$4:$R$15,4,FALSE)/12,0)+IFERROR(VLOOKUP($B39,CDM!$L$33:$O$44,4,FALSE)/24,0)+IFERROR(VLOOKUP($B39,CDM!$L$33:$O$44,4,FALSE)/2*$C39/78,0)</f>
        <v>1193362.9181871333</v>
      </c>
      <c r="N39" s="8">
        <f t="shared" si="27"/>
        <v>30821664.603979621</v>
      </c>
      <c r="O39" s="8">
        <v>74202.731147210085</v>
      </c>
      <c r="P39" s="8">
        <v>517</v>
      </c>
      <c r="Q39" s="8">
        <v>664922.79886148009</v>
      </c>
      <c r="R39" s="2">
        <v>1738.616007970774</v>
      </c>
      <c r="S39" s="7">
        <v>9776</v>
      </c>
      <c r="T39" s="2">
        <v>31868.396584440248</v>
      </c>
      <c r="U39" s="2">
        <v>94.649470198675488</v>
      </c>
      <c r="V39" s="9">
        <v>385</v>
      </c>
      <c r="W39" s="2">
        <v>91824.990512333941</v>
      </c>
      <c r="X39" s="4">
        <v>306</v>
      </c>
      <c r="Y39" s="8">
        <f>Weather!C39</f>
        <v>755.37916666666638</v>
      </c>
      <c r="Z39" s="8">
        <f>Weather!D39</f>
        <v>0</v>
      </c>
      <c r="AA39" s="8">
        <f>Weather!E39</f>
        <v>699.37916666666649</v>
      </c>
      <c r="AB39" s="8">
        <f>Weather!F39</f>
        <v>0</v>
      </c>
      <c r="AC39" s="8">
        <f>Weather!G39</f>
        <v>643.37916666666649</v>
      </c>
      <c r="AD39" s="8">
        <f>Weather!H39</f>
        <v>0</v>
      </c>
      <c r="AE39" s="8">
        <f>Weather!I39</f>
        <v>587.37916666666672</v>
      </c>
      <c r="AF39" s="8">
        <f>Weather!J39</f>
        <v>0</v>
      </c>
      <c r="AG39" s="8">
        <f>Weather!K39</f>
        <v>531.37916666666683</v>
      </c>
      <c r="AH39" s="8">
        <f>Weather!L39</f>
        <v>0</v>
      </c>
      <c r="AI39" s="8">
        <f>Weather!M39</f>
        <v>475.37916666666683</v>
      </c>
      <c r="AJ39" s="8">
        <f>Weather!N39</f>
        <v>0</v>
      </c>
      <c r="AK39" s="8">
        <f>Weather!O39</f>
        <v>419.37916666666678</v>
      </c>
      <c r="AL39" s="8">
        <f>Weather!P39</f>
        <v>0</v>
      </c>
      <c r="AM39" s="2">
        <f>Weather!Q39</f>
        <v>-6.9778273809523794</v>
      </c>
      <c r="AN39" s="8">
        <f>Economic!C39</f>
        <v>7031.3</v>
      </c>
      <c r="AO39" s="8">
        <f>Economic!D39</f>
        <v>6962.5</v>
      </c>
      <c r="AP39" s="8">
        <f>Economic!E39</f>
        <v>82.5</v>
      </c>
      <c r="AQ39" s="8">
        <f>Economic!F39</f>
        <v>80.7</v>
      </c>
      <c r="AR39" s="8">
        <f>Economic!G39</f>
        <v>764464.8</v>
      </c>
      <c r="AS39" s="8">
        <f>Economic!H39</f>
        <v>7685.1</v>
      </c>
      <c r="AT39" s="8">
        <f>Economic!I39</f>
        <v>756702</v>
      </c>
      <c r="AU39" s="8">
        <f>Economic!J39</f>
        <v>7875</v>
      </c>
      <c r="AV39" s="1">
        <f t="shared" si="23"/>
        <v>38</v>
      </c>
      <c r="AW39" s="1">
        <v>0</v>
      </c>
      <c r="AX39" s="1">
        <v>1</v>
      </c>
      <c r="AY39" s="1">
        <v>0</v>
      </c>
      <c r="AZ39" s="1">
        <v>0</v>
      </c>
      <c r="BA39" s="1">
        <v>0</v>
      </c>
      <c r="BB39" s="1">
        <v>0</v>
      </c>
      <c r="BC39" s="1">
        <v>0</v>
      </c>
      <c r="BD39" s="1">
        <v>0</v>
      </c>
      <c r="BE39" s="1">
        <v>0</v>
      </c>
      <c r="BF39" s="1">
        <v>0</v>
      </c>
      <c r="BG39" s="1">
        <v>0</v>
      </c>
      <c r="BH39" s="1">
        <v>0</v>
      </c>
      <c r="BI39" s="1">
        <v>0</v>
      </c>
      <c r="BJ39" s="1">
        <v>0</v>
      </c>
      <c r="BK39" s="1">
        <v>0</v>
      </c>
      <c r="BL39" s="1">
        <v>0</v>
      </c>
      <c r="BM39" s="1">
        <v>0</v>
      </c>
      <c r="BN39" s="1">
        <v>0</v>
      </c>
      <c r="BO39">
        <v>28</v>
      </c>
      <c r="BP39">
        <v>19</v>
      </c>
      <c r="BQ39">
        <v>0</v>
      </c>
      <c r="BR39">
        <v>0</v>
      </c>
      <c r="BS39">
        <v>0</v>
      </c>
      <c r="BT39">
        <v>0</v>
      </c>
      <c r="BU39" s="126">
        <f t="shared" si="9"/>
        <v>0</v>
      </c>
      <c r="BV39" s="126">
        <f t="shared" si="10"/>
        <v>0</v>
      </c>
      <c r="BW39" s="126">
        <f t="shared" si="11"/>
        <v>0</v>
      </c>
      <c r="BX39" s="126">
        <f t="shared" si="12"/>
        <v>0</v>
      </c>
      <c r="BY39" s="126">
        <f t="shared" si="13"/>
        <v>0</v>
      </c>
      <c r="BZ39" s="126">
        <f t="shared" si="14"/>
        <v>0</v>
      </c>
      <c r="CA39" s="126">
        <f t="shared" si="15"/>
        <v>0</v>
      </c>
      <c r="CB39" s="126">
        <f t="shared" si="16"/>
        <v>0</v>
      </c>
      <c r="CC39" s="126">
        <f t="shared" si="17"/>
        <v>0</v>
      </c>
      <c r="CD39" s="126">
        <f t="shared" si="18"/>
        <v>0</v>
      </c>
      <c r="CE39" s="126">
        <f t="shared" si="19"/>
        <v>0</v>
      </c>
      <c r="CF39" s="126">
        <f t="shared" si="20"/>
        <v>0</v>
      </c>
      <c r="CG39" s="126">
        <f t="shared" si="21"/>
        <v>0</v>
      </c>
      <c r="CH39" s="126">
        <f t="shared" si="22"/>
        <v>0</v>
      </c>
      <c r="CI39" s="66">
        <f t="shared" si="28"/>
        <v>1263764.7807506926</v>
      </c>
      <c r="CJ39" s="66">
        <f t="shared" si="29"/>
        <v>417663.57567789353</v>
      </c>
      <c r="CK39" s="66">
        <f t="shared" si="30"/>
        <v>1100773.735856415</v>
      </c>
    </row>
    <row r="40" spans="1:89" x14ac:dyDescent="0.2">
      <c r="A40" s="101">
        <v>42795</v>
      </c>
      <c r="B40" s="3">
        <f t="shared" si="0"/>
        <v>2017</v>
      </c>
      <c r="C40" s="3">
        <f t="shared" si="24"/>
        <v>3</v>
      </c>
      <c r="D40" s="8">
        <v>35434684.916161954</v>
      </c>
      <c r="E40" s="8">
        <f>IFERROR(VLOOKUP($B40-1,CDM!$L$4:$R$15,2,FALSE)/12,0)+IFERROR(VLOOKUP($B40,CDM!$L$33:$O$44,2,FALSE)/24,0)+IFERROR(VLOOKUP($B40,CDM!$L$33:$O$44,2,FALSE)/2*$C40/78,0)</f>
        <v>1139178.2890186764</v>
      </c>
      <c r="F40" s="8">
        <f t="shared" si="25"/>
        <v>36573863.20518063</v>
      </c>
      <c r="G40" s="8">
        <v>42797</v>
      </c>
      <c r="H40" s="2">
        <v>12348544.639125146</v>
      </c>
      <c r="I40" s="8">
        <f>IFERROR(VLOOKUP($B40-1,CDM!$L$4:$R$15,3,FALSE)/12,0)+IFERROR(VLOOKUP($B40,CDM!$L$33:$O$44,3,FALSE)/24,0)+IFERROR(VLOOKUP($B40,CDM!$L$33:$O$44,3,FALSE)/2*$C40/78,0)</f>
        <v>285513.40756716148</v>
      </c>
      <c r="J40" s="8">
        <f t="shared" si="26"/>
        <v>12634058.046692308</v>
      </c>
      <c r="K40" s="8">
        <v>4052</v>
      </c>
      <c r="L40" s="8">
        <v>32296856.777361013</v>
      </c>
      <c r="M40" s="8">
        <f>IFERROR(VLOOKUP($B40-1,CDM!$L$4:$R$15,4,FALSE)/12,0)+IFERROR(VLOOKUP($B40,CDM!$L$33:$O$44,4,FALSE)/24,0)+IFERROR(VLOOKUP($B40,CDM!$L$33:$O$44,4,FALSE)/2*$C40/78,0)</f>
        <v>1220274.9262405254</v>
      </c>
      <c r="N40" s="8">
        <f t="shared" si="27"/>
        <v>33517131.703601539</v>
      </c>
      <c r="O40" s="8">
        <v>80886.005744286667</v>
      </c>
      <c r="P40" s="8">
        <v>517</v>
      </c>
      <c r="Q40" s="8">
        <v>650224.85768500948</v>
      </c>
      <c r="R40" s="2">
        <v>1738.616007970774</v>
      </c>
      <c r="S40" s="7">
        <v>9776</v>
      </c>
      <c r="T40" s="2">
        <v>35145.037950664162</v>
      </c>
      <c r="U40" s="2">
        <v>94.649470198675488</v>
      </c>
      <c r="V40" s="9">
        <v>385</v>
      </c>
      <c r="W40" s="2">
        <v>101660.02846299863</v>
      </c>
      <c r="X40" s="4">
        <v>306</v>
      </c>
      <c r="Y40" s="8">
        <f>Weather!C40</f>
        <v>827.80416666666679</v>
      </c>
      <c r="Z40" s="8">
        <f>Weather!D40</f>
        <v>0</v>
      </c>
      <c r="AA40" s="8">
        <f>Weather!E40</f>
        <v>765.80416666666667</v>
      </c>
      <c r="AB40" s="8">
        <f>Weather!F40</f>
        <v>0</v>
      </c>
      <c r="AC40" s="8">
        <f>Weather!G40</f>
        <v>703.80416666666656</v>
      </c>
      <c r="AD40" s="8">
        <f>Weather!H40</f>
        <v>0</v>
      </c>
      <c r="AE40" s="8">
        <f>Weather!I40</f>
        <v>641.80416666666667</v>
      </c>
      <c r="AF40" s="8">
        <f>Weather!J40</f>
        <v>0</v>
      </c>
      <c r="AG40" s="8">
        <f>Weather!K40</f>
        <v>579.80416666666656</v>
      </c>
      <c r="AH40" s="8">
        <f>Weather!L40</f>
        <v>0</v>
      </c>
      <c r="AI40" s="8">
        <f>Weather!M40</f>
        <v>517.80416666666656</v>
      </c>
      <c r="AJ40" s="8">
        <f>Weather!N40</f>
        <v>0</v>
      </c>
      <c r="AK40" s="8">
        <f>Weather!O40</f>
        <v>455.80416666666662</v>
      </c>
      <c r="AL40" s="8">
        <f>Weather!P40</f>
        <v>0</v>
      </c>
      <c r="AM40" s="2">
        <f>Weather!Q40</f>
        <v>-6.7033602150537615</v>
      </c>
      <c r="AN40" s="8">
        <f>Economic!C40</f>
        <v>7049</v>
      </c>
      <c r="AO40" s="8">
        <f>Economic!D40</f>
        <v>6946</v>
      </c>
      <c r="AP40" s="8">
        <f>Economic!E40</f>
        <v>81.900000000000006</v>
      </c>
      <c r="AQ40" s="8">
        <f>Economic!F40</f>
        <v>79.900000000000006</v>
      </c>
      <c r="AR40" s="8">
        <f>Economic!G40</f>
        <v>764464.8</v>
      </c>
      <c r="AS40" s="8">
        <f>Economic!H40</f>
        <v>7685.1</v>
      </c>
      <c r="AT40" s="8">
        <f>Economic!I40</f>
        <v>756702</v>
      </c>
      <c r="AU40" s="8">
        <f>Economic!J40</f>
        <v>7875</v>
      </c>
      <c r="AV40" s="1">
        <f t="shared" si="23"/>
        <v>39</v>
      </c>
      <c r="AW40" s="1">
        <v>0</v>
      </c>
      <c r="AX40" s="1">
        <v>0</v>
      </c>
      <c r="AY40" s="1">
        <v>1</v>
      </c>
      <c r="AZ40" s="1">
        <v>0</v>
      </c>
      <c r="BA40" s="1">
        <v>0</v>
      </c>
      <c r="BB40" s="1">
        <v>0</v>
      </c>
      <c r="BC40" s="1">
        <v>0</v>
      </c>
      <c r="BD40" s="1">
        <v>0</v>
      </c>
      <c r="BE40" s="1">
        <v>0</v>
      </c>
      <c r="BF40" s="1">
        <v>0</v>
      </c>
      <c r="BG40" s="1">
        <v>0</v>
      </c>
      <c r="BH40" s="1">
        <v>0</v>
      </c>
      <c r="BI40" s="1">
        <v>1</v>
      </c>
      <c r="BJ40" s="1">
        <v>0</v>
      </c>
      <c r="BK40" s="1">
        <v>1</v>
      </c>
      <c r="BL40" s="1">
        <v>0</v>
      </c>
      <c r="BM40" s="1">
        <v>0</v>
      </c>
      <c r="BN40" s="1">
        <v>0</v>
      </c>
      <c r="BO40">
        <v>31</v>
      </c>
      <c r="BP40">
        <v>23</v>
      </c>
      <c r="BQ40">
        <v>0</v>
      </c>
      <c r="BR40">
        <v>0</v>
      </c>
      <c r="BS40">
        <v>0</v>
      </c>
      <c r="BT40">
        <v>0</v>
      </c>
      <c r="BU40" s="126">
        <f t="shared" si="9"/>
        <v>0</v>
      </c>
      <c r="BV40" s="126">
        <f t="shared" si="10"/>
        <v>0</v>
      </c>
      <c r="BW40" s="126">
        <f t="shared" si="11"/>
        <v>0</v>
      </c>
      <c r="BX40" s="126">
        <f t="shared" si="12"/>
        <v>0</v>
      </c>
      <c r="BY40" s="126">
        <f t="shared" si="13"/>
        <v>0</v>
      </c>
      <c r="BZ40" s="126">
        <f t="shared" si="14"/>
        <v>0</v>
      </c>
      <c r="CA40" s="126">
        <f t="shared" si="15"/>
        <v>0</v>
      </c>
      <c r="CB40" s="126">
        <f t="shared" si="16"/>
        <v>0</v>
      </c>
      <c r="CC40" s="126">
        <f t="shared" si="17"/>
        <v>0</v>
      </c>
      <c r="CD40" s="126">
        <f t="shared" si="18"/>
        <v>0</v>
      </c>
      <c r="CE40" s="126">
        <f t="shared" si="19"/>
        <v>0</v>
      </c>
      <c r="CF40" s="126">
        <f t="shared" si="20"/>
        <v>0</v>
      </c>
      <c r="CG40" s="126">
        <f t="shared" si="21"/>
        <v>0</v>
      </c>
      <c r="CH40" s="126">
        <f t="shared" si="22"/>
        <v>0</v>
      </c>
      <c r="CI40" s="66">
        <f t="shared" si="28"/>
        <v>1179802.0388767945</v>
      </c>
      <c r="CJ40" s="66">
        <f t="shared" si="29"/>
        <v>398340.14964919828</v>
      </c>
      <c r="CK40" s="66">
        <f t="shared" si="30"/>
        <v>1081197.7968903722</v>
      </c>
    </row>
    <row r="41" spans="1:89" x14ac:dyDescent="0.2">
      <c r="A41" s="101">
        <v>42826</v>
      </c>
      <c r="B41" s="3">
        <f t="shared" si="0"/>
        <v>2017</v>
      </c>
      <c r="C41" s="3">
        <f t="shared" si="24"/>
        <v>4</v>
      </c>
      <c r="D41" s="8">
        <v>28044671.776101463</v>
      </c>
      <c r="E41" s="8">
        <f>IFERROR(VLOOKUP($B41-1,CDM!$L$4:$R$15,2,FALSE)/12,0)+IFERROR(VLOOKUP($B41,CDM!$L$33:$O$44,2,FALSE)/24,0)+IFERROR(VLOOKUP($B41,CDM!$L$33:$O$44,2,FALSE)/2*$C41/78,0)</f>
        <v>1180476.3707877789</v>
      </c>
      <c r="F41" s="8">
        <f t="shared" si="25"/>
        <v>29225148.14688924</v>
      </c>
      <c r="G41" s="8">
        <v>42797</v>
      </c>
      <c r="H41" s="2">
        <v>10386755.94001675</v>
      </c>
      <c r="I41" s="8">
        <f>IFERROR(VLOOKUP($B41-1,CDM!$L$4:$R$15,3,FALSE)/12,0)+IFERROR(VLOOKUP($B41,CDM!$L$33:$O$44,3,FALSE)/24,0)+IFERROR(VLOOKUP($B41,CDM!$L$33:$O$44,3,FALSE)/2*$C41/78,0)</f>
        <v>293606.84594238782</v>
      </c>
      <c r="J41" s="8">
        <f t="shared" si="26"/>
        <v>10680362.785959138</v>
      </c>
      <c r="K41" s="8">
        <v>4052</v>
      </c>
      <c r="L41" s="8">
        <v>26954451.815236881</v>
      </c>
      <c r="M41" s="8">
        <f>IFERROR(VLOOKUP($B41-1,CDM!$L$4:$R$15,4,FALSE)/12,0)+IFERROR(VLOOKUP($B41,CDM!$L$33:$O$44,4,FALSE)/24,0)+IFERROR(VLOOKUP($B41,CDM!$L$33:$O$44,4,FALSE)/2*$C41/78,0)</f>
        <v>1247186.9342939174</v>
      </c>
      <c r="N41" s="8">
        <f t="shared" si="27"/>
        <v>28201638.7495308</v>
      </c>
      <c r="O41" s="8">
        <v>67506.196017490482</v>
      </c>
      <c r="P41" s="8">
        <v>517</v>
      </c>
      <c r="Q41" s="8">
        <v>542531.92599620495</v>
      </c>
      <c r="R41" s="2">
        <v>1739.3273893160974</v>
      </c>
      <c r="S41" s="7">
        <v>9780</v>
      </c>
      <c r="T41" s="2">
        <v>33988.083491461111</v>
      </c>
      <c r="U41" s="2">
        <v>96.406887417218542</v>
      </c>
      <c r="V41" s="9">
        <v>384</v>
      </c>
      <c r="W41" s="2">
        <v>97936.963946868767</v>
      </c>
      <c r="X41" s="4">
        <v>307</v>
      </c>
      <c r="Y41" s="8">
        <f>Weather!C41</f>
        <v>472.65275117675691</v>
      </c>
      <c r="Z41" s="8">
        <f>Weather!D41</f>
        <v>0</v>
      </c>
      <c r="AA41" s="8">
        <f>Weather!E41</f>
        <v>412.65275117675696</v>
      </c>
      <c r="AB41" s="8">
        <f>Weather!F41</f>
        <v>0</v>
      </c>
      <c r="AC41" s="8">
        <f>Weather!G41</f>
        <v>352.65275117675702</v>
      </c>
      <c r="AD41" s="8">
        <f>Weather!H41</f>
        <v>0</v>
      </c>
      <c r="AE41" s="8">
        <f>Weather!I41</f>
        <v>294.36666666666673</v>
      </c>
      <c r="AF41" s="8">
        <f>Weather!J41</f>
        <v>1.7139154899096454</v>
      </c>
      <c r="AG41" s="8">
        <f>Weather!K41</f>
        <v>236.36666666666676</v>
      </c>
      <c r="AH41" s="8">
        <f>Weather!L41</f>
        <v>3.7139154899096454</v>
      </c>
      <c r="AI41" s="8">
        <f>Weather!M41</f>
        <v>178.72500000000002</v>
      </c>
      <c r="AJ41" s="8">
        <f>Weather!N41</f>
        <v>6.0722488232429779</v>
      </c>
      <c r="AK41" s="8">
        <f>Weather!O41</f>
        <v>122.72500000000002</v>
      </c>
      <c r="AL41" s="8">
        <f>Weather!P41</f>
        <v>10.072248823242978</v>
      </c>
      <c r="AM41" s="2">
        <f>Weather!Q41</f>
        <v>4.2449082941080993</v>
      </c>
      <c r="AN41" s="8">
        <f>Economic!C41</f>
        <v>7055.1</v>
      </c>
      <c r="AO41" s="8">
        <f>Economic!D41</f>
        <v>6963.6</v>
      </c>
      <c r="AP41" s="8">
        <f>Economic!E41</f>
        <v>81</v>
      </c>
      <c r="AQ41" s="8">
        <f>Economic!F41</f>
        <v>79.2</v>
      </c>
      <c r="AR41" s="8">
        <f>Economic!G41</f>
        <v>764464.8</v>
      </c>
      <c r="AS41" s="8">
        <f>Economic!H41</f>
        <v>7685.1</v>
      </c>
      <c r="AT41" s="8">
        <f>Economic!I41</f>
        <v>764644</v>
      </c>
      <c r="AU41" s="8">
        <f>Economic!J41</f>
        <v>7641</v>
      </c>
      <c r="AV41" s="1">
        <f t="shared" si="23"/>
        <v>40</v>
      </c>
      <c r="AW41" s="1">
        <v>0</v>
      </c>
      <c r="AX41" s="1">
        <v>0</v>
      </c>
      <c r="AY41" s="1">
        <v>0</v>
      </c>
      <c r="AZ41" s="1">
        <v>1</v>
      </c>
      <c r="BA41" s="1">
        <v>0</v>
      </c>
      <c r="BB41" s="1">
        <v>0</v>
      </c>
      <c r="BC41" s="1">
        <v>0</v>
      </c>
      <c r="BD41" s="1">
        <v>0</v>
      </c>
      <c r="BE41" s="1">
        <v>0</v>
      </c>
      <c r="BF41" s="1">
        <v>0</v>
      </c>
      <c r="BG41" s="1">
        <v>0</v>
      </c>
      <c r="BH41" s="1">
        <v>0</v>
      </c>
      <c r="BI41" s="1">
        <v>1</v>
      </c>
      <c r="BJ41" s="1">
        <v>0</v>
      </c>
      <c r="BK41" s="1">
        <v>1</v>
      </c>
      <c r="BL41" s="1">
        <v>1</v>
      </c>
      <c r="BM41" s="1">
        <v>0</v>
      </c>
      <c r="BN41" s="1">
        <v>1</v>
      </c>
      <c r="BO41">
        <v>30</v>
      </c>
      <c r="BP41">
        <v>19</v>
      </c>
      <c r="BQ41">
        <v>0</v>
      </c>
      <c r="BR41">
        <v>0</v>
      </c>
      <c r="BS41">
        <v>0</v>
      </c>
      <c r="BT41">
        <v>0</v>
      </c>
      <c r="BU41" s="126">
        <f t="shared" si="9"/>
        <v>0</v>
      </c>
      <c r="BV41" s="126">
        <f t="shared" si="10"/>
        <v>0</v>
      </c>
      <c r="BW41" s="126">
        <f t="shared" si="11"/>
        <v>0</v>
      </c>
      <c r="BX41" s="126">
        <f t="shared" si="12"/>
        <v>0</v>
      </c>
      <c r="BY41" s="126">
        <f t="shared" si="13"/>
        <v>0</v>
      </c>
      <c r="BZ41" s="126">
        <f t="shared" si="14"/>
        <v>0</v>
      </c>
      <c r="CA41" s="126">
        <f t="shared" si="15"/>
        <v>0</v>
      </c>
      <c r="CB41" s="126">
        <f t="shared" si="16"/>
        <v>0</v>
      </c>
      <c r="CC41" s="126">
        <f t="shared" si="17"/>
        <v>0</v>
      </c>
      <c r="CD41" s="126">
        <f t="shared" si="18"/>
        <v>0</v>
      </c>
      <c r="CE41" s="126">
        <f t="shared" si="19"/>
        <v>0</v>
      </c>
      <c r="CF41" s="126">
        <f t="shared" si="20"/>
        <v>0</v>
      </c>
      <c r="CG41" s="126">
        <f t="shared" si="21"/>
        <v>0</v>
      </c>
      <c r="CH41" s="126">
        <f t="shared" si="22"/>
        <v>0</v>
      </c>
      <c r="CI41" s="66">
        <f t="shared" si="28"/>
        <v>974171.60489630804</v>
      </c>
      <c r="CJ41" s="66">
        <f t="shared" si="29"/>
        <v>346225.19800055836</v>
      </c>
      <c r="CK41" s="66">
        <f t="shared" si="30"/>
        <v>940054.62498435995</v>
      </c>
    </row>
    <row r="42" spans="1:89" x14ac:dyDescent="0.2">
      <c r="A42" s="101">
        <v>42856</v>
      </c>
      <c r="B42" s="3">
        <f t="shared" si="0"/>
        <v>2017</v>
      </c>
      <c r="C42" s="3">
        <f t="shared" si="24"/>
        <v>5</v>
      </c>
      <c r="D42" s="8">
        <v>24140842.502162836</v>
      </c>
      <c r="E42" s="8">
        <f>IFERROR(VLOOKUP($B42-1,CDM!$L$4:$R$15,2,FALSE)/12,0)+IFERROR(VLOOKUP($B42,CDM!$L$33:$O$44,2,FALSE)/24,0)+IFERROR(VLOOKUP($B42,CDM!$L$33:$O$44,2,FALSE)/2*$C42/78,0)</f>
        <v>1221774.4525568814</v>
      </c>
      <c r="F42" s="8">
        <f t="shared" si="25"/>
        <v>25362616.954719719</v>
      </c>
      <c r="G42" s="8">
        <v>42797</v>
      </c>
      <c r="H42" s="2">
        <v>9860713.3741772659</v>
      </c>
      <c r="I42" s="8">
        <f>IFERROR(VLOOKUP($B42-1,CDM!$L$4:$R$15,3,FALSE)/12,0)+IFERROR(VLOOKUP($B42,CDM!$L$33:$O$44,3,FALSE)/24,0)+IFERROR(VLOOKUP($B42,CDM!$L$33:$O$44,3,FALSE)/2*$C42/78,0)</f>
        <v>301700.28431761422</v>
      </c>
      <c r="J42" s="8">
        <f t="shared" si="26"/>
        <v>10162413.65849488</v>
      </c>
      <c r="K42" s="8">
        <v>4052</v>
      </c>
      <c r="L42" s="8">
        <v>26098101.681442216</v>
      </c>
      <c r="M42" s="8">
        <f>IFERROR(VLOOKUP($B42-1,CDM!$L$4:$R$15,4,FALSE)/12,0)+IFERROR(VLOOKUP($B42,CDM!$L$33:$O$44,4,FALSE)/24,0)+IFERROR(VLOOKUP($B42,CDM!$L$33:$O$44,4,FALSE)/2*$C42/78,0)</f>
        <v>1274098.9423473096</v>
      </c>
      <c r="N42" s="8">
        <f t="shared" si="27"/>
        <v>27372200.623789527</v>
      </c>
      <c r="O42" s="8">
        <v>65361.506138883167</v>
      </c>
      <c r="P42" s="8">
        <v>517</v>
      </c>
      <c r="Q42" s="8">
        <v>483557.79886148003</v>
      </c>
      <c r="R42" s="2">
        <v>1739.3273893160974</v>
      </c>
      <c r="S42" s="7">
        <v>9780</v>
      </c>
      <c r="T42" s="2">
        <v>35121.03415559775</v>
      </c>
      <c r="U42" s="2">
        <v>96.406887417218542</v>
      </c>
      <c r="V42" s="9">
        <v>384</v>
      </c>
      <c r="W42" s="2">
        <v>101169.63577904293</v>
      </c>
      <c r="X42" s="4">
        <v>307</v>
      </c>
      <c r="Y42" s="8">
        <f>Weather!C42</f>
        <v>307.0916666666667</v>
      </c>
      <c r="Z42" s="8">
        <f>Weather!D42</f>
        <v>0</v>
      </c>
      <c r="AA42" s="8">
        <f>Weather!E42</f>
        <v>247.05000000000007</v>
      </c>
      <c r="AB42" s="8">
        <f>Weather!F42</f>
        <v>1.9583333333333321</v>
      </c>
      <c r="AC42" s="8">
        <f>Weather!G42</f>
        <v>188.87916666666672</v>
      </c>
      <c r="AD42" s="8">
        <f>Weather!H42</f>
        <v>5.7874999999999943</v>
      </c>
      <c r="AE42" s="8">
        <f>Weather!I42</f>
        <v>135.26666666666671</v>
      </c>
      <c r="AF42" s="8">
        <f>Weather!J42</f>
        <v>14.174999999999997</v>
      </c>
      <c r="AG42" s="8">
        <f>Weather!K42</f>
        <v>90.116666666666674</v>
      </c>
      <c r="AH42" s="8">
        <f>Weather!L42</f>
        <v>31.024999999999999</v>
      </c>
      <c r="AI42" s="8">
        <f>Weather!M42</f>
        <v>56.574999999999996</v>
      </c>
      <c r="AJ42" s="8">
        <f>Weather!N42</f>
        <v>59.483333333333334</v>
      </c>
      <c r="AK42" s="8">
        <f>Weather!O42</f>
        <v>31.19583333333334</v>
      </c>
      <c r="AL42" s="8">
        <f>Weather!P42</f>
        <v>96.104166666666657</v>
      </c>
      <c r="AM42" s="2">
        <f>Weather!Q42</f>
        <v>10.093817204301072</v>
      </c>
      <c r="AN42" s="8">
        <f>Economic!C42</f>
        <v>7066.7</v>
      </c>
      <c r="AO42" s="8">
        <f>Economic!D42</f>
        <v>7033.4</v>
      </c>
      <c r="AP42" s="8">
        <f>Economic!E42</f>
        <v>80.900000000000006</v>
      </c>
      <c r="AQ42" s="8">
        <f>Economic!F42</f>
        <v>79.7</v>
      </c>
      <c r="AR42" s="8">
        <f>Economic!G42</f>
        <v>764464.8</v>
      </c>
      <c r="AS42" s="8">
        <f>Economic!H42</f>
        <v>7685.1</v>
      </c>
      <c r="AT42" s="8">
        <f>Economic!I42</f>
        <v>764644</v>
      </c>
      <c r="AU42" s="8">
        <f>Economic!J42</f>
        <v>7641</v>
      </c>
      <c r="AV42" s="1">
        <f t="shared" si="23"/>
        <v>41</v>
      </c>
      <c r="AW42" s="1">
        <v>0</v>
      </c>
      <c r="AX42" s="1">
        <v>0</v>
      </c>
      <c r="AY42" s="1">
        <v>0</v>
      </c>
      <c r="AZ42" s="1">
        <v>0</v>
      </c>
      <c r="BA42" s="1">
        <v>1</v>
      </c>
      <c r="BB42" s="1">
        <v>0</v>
      </c>
      <c r="BC42" s="1">
        <v>0</v>
      </c>
      <c r="BD42" s="1">
        <v>0</v>
      </c>
      <c r="BE42" s="1">
        <v>0</v>
      </c>
      <c r="BF42" s="1">
        <v>0</v>
      </c>
      <c r="BG42" s="1">
        <v>0</v>
      </c>
      <c r="BH42" s="1">
        <v>0</v>
      </c>
      <c r="BI42" s="1">
        <v>1</v>
      </c>
      <c r="BJ42" s="1">
        <v>0</v>
      </c>
      <c r="BK42" s="1">
        <v>1</v>
      </c>
      <c r="BL42" s="1">
        <v>1</v>
      </c>
      <c r="BM42" s="1">
        <v>0</v>
      </c>
      <c r="BN42" s="1">
        <v>1</v>
      </c>
      <c r="BO42">
        <v>31</v>
      </c>
      <c r="BP42">
        <v>22</v>
      </c>
      <c r="BQ42">
        <v>0</v>
      </c>
      <c r="BR42">
        <v>0</v>
      </c>
      <c r="BS42">
        <v>0</v>
      </c>
      <c r="BT42">
        <v>0</v>
      </c>
      <c r="BU42" s="126">
        <f t="shared" si="9"/>
        <v>0</v>
      </c>
      <c r="BV42" s="126">
        <f t="shared" si="10"/>
        <v>0</v>
      </c>
      <c r="BW42" s="126">
        <f t="shared" si="11"/>
        <v>0</v>
      </c>
      <c r="BX42" s="126">
        <f t="shared" si="12"/>
        <v>0</v>
      </c>
      <c r="BY42" s="126">
        <f t="shared" si="13"/>
        <v>0</v>
      </c>
      <c r="BZ42" s="126">
        <f t="shared" si="14"/>
        <v>0</v>
      </c>
      <c r="CA42" s="126">
        <f t="shared" si="15"/>
        <v>0</v>
      </c>
      <c r="CB42" s="126">
        <f t="shared" si="16"/>
        <v>0</v>
      </c>
      <c r="CC42" s="126">
        <f t="shared" si="17"/>
        <v>0</v>
      </c>
      <c r="CD42" s="126">
        <f t="shared" si="18"/>
        <v>0</v>
      </c>
      <c r="CE42" s="126">
        <f t="shared" si="19"/>
        <v>0</v>
      </c>
      <c r="CF42" s="126">
        <f t="shared" si="20"/>
        <v>0</v>
      </c>
      <c r="CG42" s="126">
        <f t="shared" si="21"/>
        <v>0</v>
      </c>
      <c r="CH42" s="126">
        <f t="shared" si="22"/>
        <v>0</v>
      </c>
      <c r="CI42" s="66">
        <f t="shared" si="28"/>
        <v>818148.93402321672</v>
      </c>
      <c r="CJ42" s="66">
        <f t="shared" si="29"/>
        <v>318087.52819926664</v>
      </c>
      <c r="CK42" s="66">
        <f t="shared" si="30"/>
        <v>882974.21367062989</v>
      </c>
    </row>
    <row r="43" spans="1:89" x14ac:dyDescent="0.2">
      <c r="A43" s="101">
        <v>42887</v>
      </c>
      <c r="B43" s="3">
        <f t="shared" si="0"/>
        <v>2017</v>
      </c>
      <c r="C43" s="3">
        <f t="shared" si="24"/>
        <v>6</v>
      </c>
      <c r="D43" s="8">
        <v>22388593.985149544</v>
      </c>
      <c r="E43" s="8">
        <f>IFERROR(VLOOKUP($B43-1,CDM!$L$4:$R$15,2,FALSE)/12,0)+IFERROR(VLOOKUP($B43,CDM!$L$33:$O$44,2,FALSE)/24,0)+IFERROR(VLOOKUP($B43,CDM!$L$33:$O$44,2,FALSE)/2*$C43/78,0)</f>
        <v>1263072.5343259841</v>
      </c>
      <c r="F43" s="8">
        <f t="shared" si="25"/>
        <v>23651666.519475527</v>
      </c>
      <c r="G43" s="8">
        <v>42797</v>
      </c>
      <c r="H43" s="2">
        <v>9561012.5151322857</v>
      </c>
      <c r="I43" s="8">
        <f>IFERROR(VLOOKUP($B43-1,CDM!$L$4:$R$15,3,FALSE)/12,0)+IFERROR(VLOOKUP($B43,CDM!$L$33:$O$44,3,FALSE)/24,0)+IFERROR(VLOOKUP($B43,CDM!$L$33:$O$44,3,FALSE)/2*$C43/78,0)</f>
        <v>309793.72269284062</v>
      </c>
      <c r="J43" s="8">
        <f t="shared" si="26"/>
        <v>9870806.2378251255</v>
      </c>
      <c r="K43" s="8">
        <v>4052</v>
      </c>
      <c r="L43" s="8">
        <v>25695923.560246497</v>
      </c>
      <c r="M43" s="8">
        <f>IFERROR(VLOOKUP($B43-1,CDM!$L$4:$R$15,4,FALSE)/12,0)+IFERROR(VLOOKUP($B43,CDM!$L$33:$O$44,4,FALSE)/24,0)+IFERROR(VLOOKUP($B43,CDM!$L$33:$O$44,4,FALSE)/2*$C43/78,0)</f>
        <v>1301010.9504007015</v>
      </c>
      <c r="N43" s="8">
        <f t="shared" si="27"/>
        <v>26996934.5106472</v>
      </c>
      <c r="O43" s="8">
        <v>64354.269365177497</v>
      </c>
      <c r="P43" s="8">
        <v>517</v>
      </c>
      <c r="Q43" s="8">
        <v>430204.53510436433</v>
      </c>
      <c r="R43" s="2">
        <v>1739.3273893160974</v>
      </c>
      <c r="S43" s="7">
        <v>9780</v>
      </c>
      <c r="T43" s="2">
        <v>33955.683111954488</v>
      </c>
      <c r="U43" s="2">
        <v>96.406887417218542</v>
      </c>
      <c r="V43" s="9">
        <v>384</v>
      </c>
      <c r="W43" s="2">
        <v>97526.350938224452</v>
      </c>
      <c r="X43" s="4">
        <v>307</v>
      </c>
      <c r="Y43" s="8">
        <f>Weather!C43</f>
        <v>127.08958333333334</v>
      </c>
      <c r="Z43" s="8">
        <f>Weather!D43</f>
        <v>2.962499999999995</v>
      </c>
      <c r="AA43" s="8">
        <f>Weather!E43</f>
        <v>75.668750000000003</v>
      </c>
      <c r="AB43" s="8">
        <f>Weather!F43</f>
        <v>11.541666666666657</v>
      </c>
      <c r="AC43" s="8">
        <f>Weather!G43</f>
        <v>37.554166666666667</v>
      </c>
      <c r="AD43" s="8">
        <f>Weather!H43</f>
        <v>33.427083333333329</v>
      </c>
      <c r="AE43" s="8">
        <f>Weather!I43</f>
        <v>16.50833333333334</v>
      </c>
      <c r="AF43" s="8">
        <f>Weather!J43</f>
        <v>72.381250000000023</v>
      </c>
      <c r="AG43" s="8">
        <f>Weather!K43</f>
        <v>4.0458333333333361</v>
      </c>
      <c r="AH43" s="8">
        <f>Weather!L43</f>
        <v>119.91875000000002</v>
      </c>
      <c r="AI43" s="8">
        <f>Weather!M43</f>
        <v>0.59999999999999964</v>
      </c>
      <c r="AJ43" s="8">
        <f>Weather!N43</f>
        <v>176.47291666666666</v>
      </c>
      <c r="AK43" s="8">
        <f>Weather!O43</f>
        <v>0</v>
      </c>
      <c r="AL43" s="8">
        <f>Weather!P43</f>
        <v>235.87291666666664</v>
      </c>
      <c r="AM43" s="2">
        <f>Weather!Q43</f>
        <v>15.862430555555552</v>
      </c>
      <c r="AN43" s="8">
        <f>Economic!C43</f>
        <v>7079.8</v>
      </c>
      <c r="AO43" s="8">
        <f>Economic!D43</f>
        <v>7123</v>
      </c>
      <c r="AP43" s="8">
        <f>Economic!E43</f>
        <v>81.7</v>
      </c>
      <c r="AQ43" s="8">
        <f>Economic!F43</f>
        <v>82</v>
      </c>
      <c r="AR43" s="8">
        <f>Economic!G43</f>
        <v>764464.8</v>
      </c>
      <c r="AS43" s="8">
        <f>Economic!H43</f>
        <v>7685.1</v>
      </c>
      <c r="AT43" s="8">
        <f>Economic!I43</f>
        <v>764644</v>
      </c>
      <c r="AU43" s="8">
        <f>Economic!J43</f>
        <v>7641</v>
      </c>
      <c r="AV43" s="1">
        <f t="shared" si="23"/>
        <v>42</v>
      </c>
      <c r="AW43" s="1">
        <v>0</v>
      </c>
      <c r="AX43" s="1">
        <v>0</v>
      </c>
      <c r="AY43" s="1">
        <v>0</v>
      </c>
      <c r="AZ43" s="1">
        <v>0</v>
      </c>
      <c r="BA43" s="1">
        <v>0</v>
      </c>
      <c r="BB43" s="1">
        <v>1</v>
      </c>
      <c r="BC43" s="1">
        <v>0</v>
      </c>
      <c r="BD43" s="1">
        <v>0</v>
      </c>
      <c r="BE43" s="1">
        <v>0</v>
      </c>
      <c r="BF43" s="1">
        <v>0</v>
      </c>
      <c r="BG43" s="1">
        <v>0</v>
      </c>
      <c r="BH43" s="1">
        <v>0</v>
      </c>
      <c r="BI43" s="1">
        <v>0</v>
      </c>
      <c r="BJ43" s="1">
        <v>0</v>
      </c>
      <c r="BK43" s="1">
        <v>0</v>
      </c>
      <c r="BL43" s="1">
        <v>0</v>
      </c>
      <c r="BM43" s="1">
        <v>0</v>
      </c>
      <c r="BN43" s="1">
        <v>0</v>
      </c>
      <c r="BO43">
        <v>30</v>
      </c>
      <c r="BP43">
        <v>22</v>
      </c>
      <c r="BQ43">
        <v>0</v>
      </c>
      <c r="BR43">
        <v>0</v>
      </c>
      <c r="BS43">
        <v>0</v>
      </c>
      <c r="BT43">
        <v>0</v>
      </c>
      <c r="BU43" s="126">
        <f t="shared" si="9"/>
        <v>0</v>
      </c>
      <c r="BV43" s="126">
        <f t="shared" si="10"/>
        <v>0</v>
      </c>
      <c r="BW43" s="126">
        <f t="shared" si="11"/>
        <v>0</v>
      </c>
      <c r="BX43" s="126">
        <f t="shared" si="12"/>
        <v>0</v>
      </c>
      <c r="BY43" s="126">
        <f t="shared" si="13"/>
        <v>0</v>
      </c>
      <c r="BZ43" s="126">
        <f t="shared" si="14"/>
        <v>0</v>
      </c>
      <c r="CA43" s="126">
        <f t="shared" si="15"/>
        <v>0</v>
      </c>
      <c r="CB43" s="126">
        <f t="shared" si="16"/>
        <v>0</v>
      </c>
      <c r="CC43" s="126">
        <f t="shared" si="17"/>
        <v>0</v>
      </c>
      <c r="CD43" s="126">
        <f t="shared" si="18"/>
        <v>0</v>
      </c>
      <c r="CE43" s="126">
        <f t="shared" si="19"/>
        <v>0</v>
      </c>
      <c r="CF43" s="126">
        <f t="shared" si="20"/>
        <v>0</v>
      </c>
      <c r="CG43" s="126">
        <f t="shared" si="21"/>
        <v>0</v>
      </c>
      <c r="CH43" s="126">
        <f t="shared" si="22"/>
        <v>0</v>
      </c>
      <c r="CI43" s="66">
        <f t="shared" si="28"/>
        <v>788388.88398251752</v>
      </c>
      <c r="CJ43" s="66">
        <f t="shared" si="29"/>
        <v>318700.41717107617</v>
      </c>
      <c r="CK43" s="66">
        <f t="shared" si="30"/>
        <v>899897.81702157331</v>
      </c>
    </row>
    <row r="44" spans="1:89" x14ac:dyDescent="0.2">
      <c r="A44" s="101">
        <v>42917</v>
      </c>
      <c r="B44" s="3">
        <f t="shared" si="0"/>
        <v>2017</v>
      </c>
      <c r="C44" s="3">
        <f t="shared" si="24"/>
        <v>7</v>
      </c>
      <c r="D44" s="8">
        <v>24383196.475797318</v>
      </c>
      <c r="E44" s="8">
        <f>IFERROR(VLOOKUP($B44-1,CDM!$L$4:$R$15,2,FALSE)/12,0)+IFERROR(VLOOKUP($B44,CDM!$L$33:$O$44,2,FALSE)/24,0)+IFERROR(VLOOKUP($B44,CDM!$L$33:$O$44,2,FALSE)/2*$C44/78,0)</f>
        <v>1304370.6160950866</v>
      </c>
      <c r="F44" s="8">
        <f t="shared" si="25"/>
        <v>25687567.091892406</v>
      </c>
      <c r="G44" s="8">
        <v>42851</v>
      </c>
      <c r="H44" s="2">
        <v>10410530.141947942</v>
      </c>
      <c r="I44" s="8">
        <f>IFERROR(VLOOKUP($B44-1,CDM!$L$4:$R$15,3,FALSE)/12,0)+IFERROR(VLOOKUP($B44,CDM!$L$33:$O$44,3,FALSE)/24,0)+IFERROR(VLOOKUP($B44,CDM!$L$33:$O$44,3,FALSE)/2*$C44/78,0)</f>
        <v>317887.16106806701</v>
      </c>
      <c r="J44" s="8">
        <f t="shared" si="26"/>
        <v>10728417.303016009</v>
      </c>
      <c r="K44" s="8">
        <v>4080</v>
      </c>
      <c r="L44" s="8">
        <v>28705770.325291783</v>
      </c>
      <c r="M44" s="8">
        <f>IFERROR(VLOOKUP($B44-1,CDM!$L$4:$R$15,4,FALSE)/12,0)+IFERROR(VLOOKUP($B44,CDM!$L$33:$O$44,4,FALSE)/24,0)+IFERROR(VLOOKUP($B44,CDM!$L$33:$O$44,4,FALSE)/2*$C44/78,0)</f>
        <v>1327922.9584540937</v>
      </c>
      <c r="N44" s="8">
        <f t="shared" si="27"/>
        <v>30033693.283745877</v>
      </c>
      <c r="O44" s="8">
        <v>71892.29340278382</v>
      </c>
      <c r="P44" s="8">
        <v>499</v>
      </c>
      <c r="Q44" s="8">
        <v>465110.07590132824</v>
      </c>
      <c r="R44" s="2">
        <v>1741.6393786883991</v>
      </c>
      <c r="S44" s="7">
        <v>9793</v>
      </c>
      <c r="T44" s="2">
        <v>35121.034155597736</v>
      </c>
      <c r="U44" s="2">
        <v>94.147350993377486</v>
      </c>
      <c r="V44" s="9">
        <v>383</v>
      </c>
      <c r="W44" s="2">
        <v>100413.02656546545</v>
      </c>
      <c r="X44" s="4">
        <v>301</v>
      </c>
      <c r="Y44" s="8">
        <f>Weather!C44</f>
        <v>67.291666666666629</v>
      </c>
      <c r="Z44" s="8">
        <f>Weather!D44</f>
        <v>8.1124999999999901</v>
      </c>
      <c r="AA44" s="8">
        <f>Weather!E44</f>
        <v>28.824999999999989</v>
      </c>
      <c r="AB44" s="8">
        <f>Weather!F44</f>
        <v>31.645833333333339</v>
      </c>
      <c r="AC44" s="8">
        <f>Weather!G44</f>
        <v>9.1666666666666607</v>
      </c>
      <c r="AD44" s="8">
        <f>Weather!H44</f>
        <v>73.987499999999997</v>
      </c>
      <c r="AE44" s="8">
        <f>Weather!I44</f>
        <v>1.9166666666666643</v>
      </c>
      <c r="AF44" s="8">
        <f>Weather!J44</f>
        <v>128.73750000000001</v>
      </c>
      <c r="AG44" s="8">
        <f>Weather!K44</f>
        <v>0</v>
      </c>
      <c r="AH44" s="8">
        <f>Weather!L44</f>
        <v>188.82083333333335</v>
      </c>
      <c r="AI44" s="8">
        <f>Weather!M44</f>
        <v>0</v>
      </c>
      <c r="AJ44" s="8">
        <f>Weather!N44</f>
        <v>250.8208333333333</v>
      </c>
      <c r="AK44" s="8">
        <f>Weather!O44</f>
        <v>0</v>
      </c>
      <c r="AL44" s="8">
        <f>Weather!P44</f>
        <v>312.82083333333327</v>
      </c>
      <c r="AM44" s="2">
        <f>Weather!Q44</f>
        <v>18.090994623655909</v>
      </c>
      <c r="AN44" s="8">
        <f>Economic!C44</f>
        <v>7101.9</v>
      </c>
      <c r="AO44" s="8">
        <f>Economic!D44</f>
        <v>7196</v>
      </c>
      <c r="AP44" s="8">
        <f>Economic!E44</f>
        <v>82.6</v>
      </c>
      <c r="AQ44" s="8">
        <f>Economic!F44</f>
        <v>84.3</v>
      </c>
      <c r="AR44" s="8">
        <f>Economic!G44</f>
        <v>764464.8</v>
      </c>
      <c r="AS44" s="8">
        <f>Economic!H44</f>
        <v>7685.1</v>
      </c>
      <c r="AT44" s="8">
        <f>Economic!I44</f>
        <v>765060</v>
      </c>
      <c r="AU44" s="8">
        <f>Economic!J44</f>
        <v>7776</v>
      </c>
      <c r="AV44" s="1">
        <f t="shared" si="23"/>
        <v>43</v>
      </c>
      <c r="AW44" s="1">
        <v>0</v>
      </c>
      <c r="AX44" s="1">
        <v>0</v>
      </c>
      <c r="AY44" s="1">
        <v>0</v>
      </c>
      <c r="AZ44" s="1">
        <v>0</v>
      </c>
      <c r="BA44" s="1">
        <v>0</v>
      </c>
      <c r="BB44" s="1">
        <v>0</v>
      </c>
      <c r="BC44" s="1">
        <v>1</v>
      </c>
      <c r="BD44" s="1">
        <v>0</v>
      </c>
      <c r="BE44" s="1">
        <v>0</v>
      </c>
      <c r="BF44" s="1">
        <v>0</v>
      </c>
      <c r="BG44" s="1">
        <v>0</v>
      </c>
      <c r="BH44" s="1">
        <v>0</v>
      </c>
      <c r="BI44" s="1">
        <v>0</v>
      </c>
      <c r="BJ44" s="1">
        <v>0</v>
      </c>
      <c r="BK44" s="1">
        <v>0</v>
      </c>
      <c r="BL44" s="1">
        <v>0</v>
      </c>
      <c r="BM44" s="1">
        <v>0</v>
      </c>
      <c r="BN44" s="1">
        <v>0</v>
      </c>
      <c r="BO44">
        <v>31</v>
      </c>
      <c r="BP44">
        <v>20</v>
      </c>
      <c r="BQ44">
        <v>0</v>
      </c>
      <c r="BR44">
        <v>0</v>
      </c>
      <c r="BS44">
        <v>0</v>
      </c>
      <c r="BT44">
        <v>0</v>
      </c>
      <c r="BU44" s="126">
        <f t="shared" si="9"/>
        <v>0</v>
      </c>
      <c r="BV44" s="126">
        <f t="shared" si="10"/>
        <v>0</v>
      </c>
      <c r="BW44" s="126">
        <f t="shared" si="11"/>
        <v>0</v>
      </c>
      <c r="BX44" s="126">
        <f t="shared" si="12"/>
        <v>0</v>
      </c>
      <c r="BY44" s="126">
        <f t="shared" si="13"/>
        <v>0</v>
      </c>
      <c r="BZ44" s="126">
        <f t="shared" si="14"/>
        <v>0</v>
      </c>
      <c r="CA44" s="126">
        <f t="shared" si="15"/>
        <v>0</v>
      </c>
      <c r="CB44" s="126">
        <f t="shared" si="16"/>
        <v>0</v>
      </c>
      <c r="CC44" s="126">
        <f t="shared" si="17"/>
        <v>0</v>
      </c>
      <c r="CD44" s="126">
        <f t="shared" si="18"/>
        <v>0</v>
      </c>
      <c r="CE44" s="126">
        <f t="shared" si="19"/>
        <v>0</v>
      </c>
      <c r="CF44" s="126">
        <f t="shared" si="20"/>
        <v>0</v>
      </c>
      <c r="CG44" s="126">
        <f t="shared" si="21"/>
        <v>0</v>
      </c>
      <c r="CH44" s="126">
        <f t="shared" si="22"/>
        <v>0</v>
      </c>
      <c r="CI44" s="66">
        <f t="shared" si="28"/>
        <v>828631.19651265827</v>
      </c>
      <c r="CJ44" s="66">
        <f t="shared" si="29"/>
        <v>335823.55296606262</v>
      </c>
      <c r="CK44" s="66">
        <f t="shared" si="30"/>
        <v>968828.81560470571</v>
      </c>
    </row>
    <row r="45" spans="1:89" x14ac:dyDescent="0.2">
      <c r="A45" s="101">
        <v>42948</v>
      </c>
      <c r="B45" s="3">
        <f t="shared" si="0"/>
        <v>2017</v>
      </c>
      <c r="C45" s="3">
        <f t="shared" si="24"/>
        <v>8</v>
      </c>
      <c r="D45" s="8">
        <v>23477321.5141256</v>
      </c>
      <c r="E45" s="8">
        <f>IFERROR(VLOOKUP($B45-1,CDM!$L$4:$R$15,2,FALSE)/12,0)+IFERROR(VLOOKUP($B45,CDM!$L$33:$O$44,2,FALSE)/24,0)+IFERROR(VLOOKUP($B45,CDM!$L$33:$O$44,2,FALSE)/2*$C45/78,0)</f>
        <v>1345668.6978641893</v>
      </c>
      <c r="F45" s="8">
        <f t="shared" si="25"/>
        <v>24822990.21198979</v>
      </c>
      <c r="G45" s="8">
        <v>42851</v>
      </c>
      <c r="H45" s="2">
        <v>10104022.185566768</v>
      </c>
      <c r="I45" s="8">
        <f>IFERROR(VLOOKUP($B45-1,CDM!$L$4:$R$15,3,FALSE)/12,0)+IFERROR(VLOOKUP($B45,CDM!$L$33:$O$44,3,FALSE)/24,0)+IFERROR(VLOOKUP($B45,CDM!$L$33:$O$44,3,FALSE)/2*$C45/78,0)</f>
        <v>325980.59944329341</v>
      </c>
      <c r="J45" s="8">
        <f t="shared" si="26"/>
        <v>10430002.785010062</v>
      </c>
      <c r="K45" s="8">
        <v>4080</v>
      </c>
      <c r="L45" s="8">
        <v>28455777.023806155</v>
      </c>
      <c r="M45" s="8">
        <f>IFERROR(VLOOKUP($B45-1,CDM!$L$4:$R$15,4,FALSE)/12,0)+IFERROR(VLOOKUP($B45,CDM!$L$33:$O$44,4,FALSE)/24,0)+IFERROR(VLOOKUP($B45,CDM!$L$33:$O$44,4,FALSE)/2*$C45/78,0)</f>
        <v>1354834.9665074856</v>
      </c>
      <c r="N45" s="8">
        <f t="shared" si="27"/>
        <v>29810611.990313642</v>
      </c>
      <c r="O45" s="8">
        <v>71266.196573628171</v>
      </c>
      <c r="P45" s="8">
        <v>499</v>
      </c>
      <c r="Q45" s="8">
        <v>533603.44402277039</v>
      </c>
      <c r="R45" s="2">
        <v>1741.6393786883991</v>
      </c>
      <c r="S45" s="7">
        <v>9793</v>
      </c>
      <c r="T45" s="2">
        <v>34948.055028463015</v>
      </c>
      <c r="U45" s="2">
        <v>94.147350993377486</v>
      </c>
      <c r="V45" s="9">
        <v>383</v>
      </c>
      <c r="W45" s="2">
        <v>100224.02460672149</v>
      </c>
      <c r="X45" s="4">
        <v>301</v>
      </c>
      <c r="Y45" s="8">
        <f>Weather!C45</f>
        <v>119.70833333333333</v>
      </c>
      <c r="Z45" s="8">
        <f>Weather!D45</f>
        <v>2.8916666666666657</v>
      </c>
      <c r="AA45" s="8">
        <f>Weather!E45</f>
        <v>65.024999999999991</v>
      </c>
      <c r="AB45" s="8">
        <f>Weather!F45</f>
        <v>10.208333333333339</v>
      </c>
      <c r="AC45" s="8">
        <f>Weather!G45</f>
        <v>28.216666666666654</v>
      </c>
      <c r="AD45" s="8">
        <f>Weather!H45</f>
        <v>35.399999999999991</v>
      </c>
      <c r="AE45" s="8">
        <f>Weather!I45</f>
        <v>10.395833333333329</v>
      </c>
      <c r="AF45" s="8">
        <f>Weather!J45</f>
        <v>79.579166666666666</v>
      </c>
      <c r="AG45" s="8">
        <f>Weather!K45</f>
        <v>2.2291666666666643</v>
      </c>
      <c r="AH45" s="8">
        <f>Weather!L45</f>
        <v>133.41250000000002</v>
      </c>
      <c r="AI45" s="8">
        <f>Weather!M45</f>
        <v>2.5000000000000355E-2</v>
      </c>
      <c r="AJ45" s="8">
        <f>Weather!N45</f>
        <v>193.20833333333337</v>
      </c>
      <c r="AK45" s="8">
        <f>Weather!O45</f>
        <v>0</v>
      </c>
      <c r="AL45" s="8">
        <f>Weather!P45</f>
        <v>255.18333333333337</v>
      </c>
      <c r="AM45" s="2">
        <f>Weather!Q45</f>
        <v>16.231720430107526</v>
      </c>
      <c r="AN45" s="8">
        <f>Economic!C45</f>
        <v>7121.1</v>
      </c>
      <c r="AO45" s="8">
        <f>Economic!D45</f>
        <v>7216.7</v>
      </c>
      <c r="AP45" s="8">
        <f>Economic!E45</f>
        <v>82.7</v>
      </c>
      <c r="AQ45" s="8">
        <f>Economic!F45</f>
        <v>84.2</v>
      </c>
      <c r="AR45" s="8">
        <f>Economic!G45</f>
        <v>764464.8</v>
      </c>
      <c r="AS45" s="8">
        <f>Economic!H45</f>
        <v>7685.1</v>
      </c>
      <c r="AT45" s="8">
        <f>Economic!I45</f>
        <v>765060</v>
      </c>
      <c r="AU45" s="8">
        <f>Economic!J45</f>
        <v>7776</v>
      </c>
      <c r="AV45" s="1">
        <f t="shared" si="23"/>
        <v>44</v>
      </c>
      <c r="AW45" s="1">
        <v>0</v>
      </c>
      <c r="AX45" s="1">
        <v>0</v>
      </c>
      <c r="AY45" s="1">
        <v>0</v>
      </c>
      <c r="AZ45" s="1">
        <v>0</v>
      </c>
      <c r="BA45" s="1">
        <v>0</v>
      </c>
      <c r="BB45" s="1">
        <v>0</v>
      </c>
      <c r="BC45" s="1">
        <v>0</v>
      </c>
      <c r="BD45" s="1">
        <v>1</v>
      </c>
      <c r="BE45" s="1">
        <v>0</v>
      </c>
      <c r="BF45" s="1">
        <v>0</v>
      </c>
      <c r="BG45" s="1">
        <v>0</v>
      </c>
      <c r="BH45" s="1">
        <v>0</v>
      </c>
      <c r="BI45" s="1">
        <v>0</v>
      </c>
      <c r="BJ45" s="1">
        <v>0</v>
      </c>
      <c r="BK45" s="1">
        <v>0</v>
      </c>
      <c r="BL45" s="1">
        <v>0</v>
      </c>
      <c r="BM45" s="1">
        <v>0</v>
      </c>
      <c r="BN45" s="1">
        <v>0</v>
      </c>
      <c r="BO45">
        <v>31</v>
      </c>
      <c r="BP45">
        <v>22</v>
      </c>
      <c r="BQ45">
        <v>0</v>
      </c>
      <c r="BR45">
        <v>0</v>
      </c>
      <c r="BS45">
        <v>0</v>
      </c>
      <c r="BT45">
        <v>0</v>
      </c>
      <c r="BU45" s="126">
        <f t="shared" si="9"/>
        <v>0</v>
      </c>
      <c r="BV45" s="126">
        <f t="shared" si="10"/>
        <v>0</v>
      </c>
      <c r="BW45" s="126">
        <f t="shared" si="11"/>
        <v>0</v>
      </c>
      <c r="BX45" s="126">
        <f t="shared" si="12"/>
        <v>0</v>
      </c>
      <c r="BY45" s="126">
        <f t="shared" si="13"/>
        <v>0</v>
      </c>
      <c r="BZ45" s="126">
        <f t="shared" si="14"/>
        <v>0</v>
      </c>
      <c r="CA45" s="126">
        <f t="shared" si="15"/>
        <v>0</v>
      </c>
      <c r="CB45" s="126">
        <f t="shared" si="16"/>
        <v>0</v>
      </c>
      <c r="CC45" s="126">
        <f t="shared" si="17"/>
        <v>0</v>
      </c>
      <c r="CD45" s="126">
        <f t="shared" si="18"/>
        <v>0</v>
      </c>
      <c r="CE45" s="126">
        <f t="shared" si="19"/>
        <v>0</v>
      </c>
      <c r="CF45" s="126">
        <f t="shared" si="20"/>
        <v>0</v>
      </c>
      <c r="CG45" s="126">
        <f t="shared" si="21"/>
        <v>0</v>
      </c>
      <c r="CH45" s="126">
        <f t="shared" si="22"/>
        <v>0</v>
      </c>
      <c r="CI45" s="66">
        <f t="shared" si="28"/>
        <v>800741.61974160618</v>
      </c>
      <c r="CJ45" s="66">
        <f t="shared" si="29"/>
        <v>325936.19953441189</v>
      </c>
      <c r="CK45" s="66">
        <f t="shared" si="30"/>
        <v>961632.64484882716</v>
      </c>
    </row>
    <row r="46" spans="1:89" x14ac:dyDescent="0.2">
      <c r="A46" s="101">
        <v>42979</v>
      </c>
      <c r="B46" s="3">
        <f t="shared" si="0"/>
        <v>2017</v>
      </c>
      <c r="C46" s="3">
        <f t="shared" si="24"/>
        <v>9</v>
      </c>
      <c r="D46" s="8">
        <v>22873843.004820667</v>
      </c>
      <c r="E46" s="8">
        <f>IFERROR(VLOOKUP($B46-1,CDM!$L$4:$R$15,2,FALSE)/12,0)+IFERROR(VLOOKUP($B46,CDM!$L$33:$O$44,2,FALSE)/24,0)+IFERROR(VLOOKUP($B46,CDM!$L$33:$O$44,2,FALSE)/2*$C46/78,0)</f>
        <v>1386966.7796332918</v>
      </c>
      <c r="F46" s="8">
        <f t="shared" si="25"/>
        <v>24260809.784453958</v>
      </c>
      <c r="G46" s="8">
        <v>42851</v>
      </c>
      <c r="H46" s="2">
        <v>9804803.2431693282</v>
      </c>
      <c r="I46" s="8">
        <f>IFERROR(VLOOKUP($B46-1,CDM!$L$4:$R$15,3,FALSE)/12,0)+IFERROR(VLOOKUP($B46,CDM!$L$33:$O$44,3,FALSE)/24,0)+IFERROR(VLOOKUP($B46,CDM!$L$33:$O$44,3,FALSE)/2*$C46/78,0)</f>
        <v>334074.03781851981</v>
      </c>
      <c r="J46" s="8">
        <f t="shared" si="26"/>
        <v>10138877.280987848</v>
      </c>
      <c r="K46" s="8">
        <v>4080</v>
      </c>
      <c r="L46" s="8">
        <v>27847918.014235981</v>
      </c>
      <c r="M46" s="8">
        <f>IFERROR(VLOOKUP($B46-1,CDM!$L$4:$R$15,4,FALSE)/12,0)+IFERROR(VLOOKUP($B46,CDM!$L$33:$O$44,4,FALSE)/24,0)+IFERROR(VLOOKUP($B46,CDM!$L$33:$O$44,4,FALSE)/2*$C46/78,0)</f>
        <v>1381746.9745608778</v>
      </c>
      <c r="N46" s="8">
        <f t="shared" si="27"/>
        <v>29229664.98879686</v>
      </c>
      <c r="O46" s="8">
        <v>69743.841389693553</v>
      </c>
      <c r="P46" s="8">
        <v>499</v>
      </c>
      <c r="Q46" s="8">
        <v>599167.87476280832</v>
      </c>
      <c r="R46" s="2">
        <v>1741.6393786883991</v>
      </c>
      <c r="S46" s="7">
        <v>9793</v>
      </c>
      <c r="T46" s="2">
        <v>33820.68311195448</v>
      </c>
      <c r="U46" s="2">
        <v>94.147350993377486</v>
      </c>
      <c r="V46" s="9">
        <v>383</v>
      </c>
      <c r="W46" s="2">
        <v>96784.570972272821</v>
      </c>
      <c r="X46" s="4">
        <v>301</v>
      </c>
      <c r="Y46" s="8">
        <f>Weather!C46</f>
        <v>154.60833333333335</v>
      </c>
      <c r="Z46" s="8">
        <f>Weather!D46</f>
        <v>10.804166666666671</v>
      </c>
      <c r="AA46" s="8">
        <f>Weather!E46</f>
        <v>109.65416666666665</v>
      </c>
      <c r="AB46" s="8">
        <f>Weather!F46</f>
        <v>25.850000000000005</v>
      </c>
      <c r="AC46" s="8">
        <f>Weather!G46</f>
        <v>72.543749999999989</v>
      </c>
      <c r="AD46" s="8">
        <f>Weather!H46</f>
        <v>48.739583333333343</v>
      </c>
      <c r="AE46" s="8">
        <f>Weather!I46</f>
        <v>44.502083333333324</v>
      </c>
      <c r="AF46" s="8">
        <f>Weather!J46</f>
        <v>80.697916666666671</v>
      </c>
      <c r="AG46" s="8">
        <f>Weather!K46</f>
        <v>24.054166666666667</v>
      </c>
      <c r="AH46" s="8">
        <f>Weather!L46</f>
        <v>120.25000000000001</v>
      </c>
      <c r="AI46" s="8">
        <f>Weather!M46</f>
        <v>10.408333333333333</v>
      </c>
      <c r="AJ46" s="8">
        <f>Weather!N46</f>
        <v>166.60416666666671</v>
      </c>
      <c r="AK46" s="8">
        <f>Weather!O46</f>
        <v>2.5083333333333329</v>
      </c>
      <c r="AL46" s="8">
        <f>Weather!P46</f>
        <v>218.70416666666671</v>
      </c>
      <c r="AM46" s="2">
        <f>Weather!Q46</f>
        <v>15.206527777777779</v>
      </c>
      <c r="AN46" s="8">
        <f>Economic!C46</f>
        <v>7144.8</v>
      </c>
      <c r="AO46" s="8">
        <f>Economic!D46</f>
        <v>7193.4</v>
      </c>
      <c r="AP46" s="8">
        <f>Economic!E46</f>
        <v>83</v>
      </c>
      <c r="AQ46" s="8">
        <f>Economic!F46</f>
        <v>83.7</v>
      </c>
      <c r="AR46" s="8">
        <f>Economic!G46</f>
        <v>764464.8</v>
      </c>
      <c r="AS46" s="8">
        <f>Economic!H46</f>
        <v>7685.1</v>
      </c>
      <c r="AT46" s="8">
        <f>Economic!I46</f>
        <v>765060</v>
      </c>
      <c r="AU46" s="8">
        <f>Economic!J46</f>
        <v>7776</v>
      </c>
      <c r="AV46" s="1">
        <f t="shared" si="23"/>
        <v>45</v>
      </c>
      <c r="AW46" s="1">
        <v>0</v>
      </c>
      <c r="AX46" s="1">
        <v>0</v>
      </c>
      <c r="AY46" s="1">
        <v>0</v>
      </c>
      <c r="AZ46" s="1">
        <v>0</v>
      </c>
      <c r="BA46" s="1">
        <v>0</v>
      </c>
      <c r="BB46" s="1">
        <v>0</v>
      </c>
      <c r="BC46" s="1">
        <v>0</v>
      </c>
      <c r="BD46" s="1">
        <v>0</v>
      </c>
      <c r="BE46" s="1">
        <v>1</v>
      </c>
      <c r="BF46" s="1">
        <v>0</v>
      </c>
      <c r="BG46" s="1">
        <v>0</v>
      </c>
      <c r="BH46" s="1">
        <v>0</v>
      </c>
      <c r="BI46" s="1">
        <v>0</v>
      </c>
      <c r="BJ46" s="1">
        <v>1</v>
      </c>
      <c r="BK46" s="1">
        <v>1</v>
      </c>
      <c r="BL46" s="1">
        <v>0</v>
      </c>
      <c r="BM46" s="1">
        <v>1</v>
      </c>
      <c r="BN46" s="1">
        <v>1</v>
      </c>
      <c r="BO46">
        <v>30</v>
      </c>
      <c r="BP46">
        <v>20</v>
      </c>
      <c r="BQ46">
        <v>0</v>
      </c>
      <c r="BR46">
        <v>0</v>
      </c>
      <c r="BS46">
        <v>0</v>
      </c>
      <c r="BT46">
        <v>0</v>
      </c>
      <c r="BU46" s="126">
        <f t="shared" si="9"/>
        <v>0</v>
      </c>
      <c r="BV46" s="126">
        <f t="shared" si="10"/>
        <v>0</v>
      </c>
      <c r="BW46" s="126">
        <f t="shared" si="11"/>
        <v>0</v>
      </c>
      <c r="BX46" s="126">
        <f t="shared" si="12"/>
        <v>0</v>
      </c>
      <c r="BY46" s="126">
        <f t="shared" si="13"/>
        <v>0</v>
      </c>
      <c r="BZ46" s="126">
        <f t="shared" si="14"/>
        <v>0</v>
      </c>
      <c r="CA46" s="126">
        <f t="shared" si="15"/>
        <v>0</v>
      </c>
      <c r="CB46" s="126">
        <f t="shared" si="16"/>
        <v>0</v>
      </c>
      <c r="CC46" s="126">
        <f t="shared" si="17"/>
        <v>0</v>
      </c>
      <c r="CD46" s="126">
        <f t="shared" si="18"/>
        <v>0</v>
      </c>
      <c r="CE46" s="126">
        <f t="shared" si="19"/>
        <v>0</v>
      </c>
      <c r="CF46" s="126">
        <f t="shared" si="20"/>
        <v>0</v>
      </c>
      <c r="CG46" s="126">
        <f t="shared" si="21"/>
        <v>0</v>
      </c>
      <c r="CH46" s="126">
        <f t="shared" si="22"/>
        <v>0</v>
      </c>
      <c r="CI46" s="66">
        <f t="shared" si="28"/>
        <v>808693.65948179865</v>
      </c>
      <c r="CJ46" s="66">
        <f t="shared" si="29"/>
        <v>326826.77477231092</v>
      </c>
      <c r="CK46" s="66">
        <f t="shared" si="30"/>
        <v>974322.16629322863</v>
      </c>
    </row>
    <row r="47" spans="1:89" x14ac:dyDescent="0.2">
      <c r="A47" s="101">
        <v>43009</v>
      </c>
      <c r="B47" s="3">
        <f t="shared" si="0"/>
        <v>2017</v>
      </c>
      <c r="C47" s="3">
        <f t="shared" si="24"/>
        <v>10</v>
      </c>
      <c r="D47" s="8">
        <v>25361040.630483497</v>
      </c>
      <c r="E47" s="8">
        <f>IFERROR(VLOOKUP($B47-1,CDM!$L$4:$R$15,2,FALSE)/12,0)+IFERROR(VLOOKUP($B47,CDM!$L$33:$O$44,2,FALSE)/24,0)+IFERROR(VLOOKUP($B47,CDM!$L$33:$O$44,2,FALSE)/2*$C47/78,0)</f>
        <v>1428264.8614023943</v>
      </c>
      <c r="F47" s="8">
        <f t="shared" si="25"/>
        <v>26789305.491885893</v>
      </c>
      <c r="G47" s="8">
        <v>42827</v>
      </c>
      <c r="H47" s="2">
        <v>10221427.234083645</v>
      </c>
      <c r="I47" s="8">
        <f>IFERROR(VLOOKUP($B47-1,CDM!$L$4:$R$15,3,FALSE)/12,0)+IFERROR(VLOOKUP($B47,CDM!$L$33:$O$44,3,FALSE)/24,0)+IFERROR(VLOOKUP($B47,CDM!$L$33:$O$44,3,FALSE)/2*$C47/78,0)</f>
        <v>342167.4761937462</v>
      </c>
      <c r="J47" s="8">
        <f t="shared" si="26"/>
        <v>10563594.710277392</v>
      </c>
      <c r="K47" s="8">
        <v>4100</v>
      </c>
      <c r="L47" s="8">
        <v>28379622.601520408</v>
      </c>
      <c r="M47" s="8">
        <f>IFERROR(VLOOKUP($B47-1,CDM!$L$4:$R$15,4,FALSE)/12,0)+IFERROR(VLOOKUP($B47,CDM!$L$33:$O$44,4,FALSE)/24,0)+IFERROR(VLOOKUP($B47,CDM!$L$33:$O$44,4,FALSE)/2*$C47/78,0)</f>
        <v>1408658.9826142699</v>
      </c>
      <c r="N47" s="8">
        <f t="shared" si="27"/>
        <v>29788281.584134679</v>
      </c>
      <c r="O47" s="8">
        <v>71075.471294046918</v>
      </c>
      <c r="P47" s="8">
        <v>500</v>
      </c>
      <c r="Q47" s="8">
        <v>708028.95635673625</v>
      </c>
      <c r="R47" s="2">
        <v>1741.81722402473</v>
      </c>
      <c r="S47" s="7">
        <v>9794</v>
      </c>
      <c r="T47" s="2">
        <v>34948.055028463015</v>
      </c>
      <c r="U47" s="2">
        <v>93.896291390728479</v>
      </c>
      <c r="V47" s="9">
        <v>382</v>
      </c>
      <c r="W47" s="2">
        <v>98246.413908672024</v>
      </c>
      <c r="X47" s="4">
        <v>296</v>
      </c>
      <c r="Y47" s="8">
        <f>Weather!C47</f>
        <v>322.61875000000003</v>
      </c>
      <c r="Z47" s="8">
        <f>Weather!D47</f>
        <v>0</v>
      </c>
      <c r="AA47" s="8">
        <f>Weather!E47</f>
        <v>260.61874999999998</v>
      </c>
      <c r="AB47" s="8">
        <f>Weather!F47</f>
        <v>0</v>
      </c>
      <c r="AC47" s="8">
        <f>Weather!G47</f>
        <v>200.76041666666666</v>
      </c>
      <c r="AD47" s="8">
        <f>Weather!H47</f>
        <v>2.1416666666666693</v>
      </c>
      <c r="AE47" s="8">
        <f>Weather!I47</f>
        <v>148.1854166666667</v>
      </c>
      <c r="AF47" s="8">
        <f>Weather!J47</f>
        <v>11.566666666666668</v>
      </c>
      <c r="AG47" s="8">
        <f>Weather!K47</f>
        <v>102.87708333333335</v>
      </c>
      <c r="AH47" s="8">
        <f>Weather!L47</f>
        <v>28.258333333333333</v>
      </c>
      <c r="AI47" s="8">
        <f>Weather!M47</f>
        <v>68.772916666666674</v>
      </c>
      <c r="AJ47" s="8">
        <f>Weather!N47</f>
        <v>56.154166666666654</v>
      </c>
      <c r="AK47" s="8">
        <f>Weather!O47</f>
        <v>46.764583333333334</v>
      </c>
      <c r="AL47" s="8">
        <f>Weather!P47</f>
        <v>96.145833333333343</v>
      </c>
      <c r="AM47" s="2">
        <f>Weather!Q47</f>
        <v>9.5929435483870957</v>
      </c>
      <c r="AN47" s="8">
        <f>Economic!C47</f>
        <v>7161</v>
      </c>
      <c r="AO47" s="8">
        <f>Economic!D47</f>
        <v>7185.2</v>
      </c>
      <c r="AP47" s="8">
        <f>Economic!E47</f>
        <v>83.2</v>
      </c>
      <c r="AQ47" s="8">
        <f>Economic!F47</f>
        <v>84.1</v>
      </c>
      <c r="AR47" s="8">
        <f>Economic!G47</f>
        <v>764464.8</v>
      </c>
      <c r="AS47" s="8">
        <f>Economic!H47</f>
        <v>7685.1</v>
      </c>
      <c r="AT47" s="8">
        <f>Economic!I47</f>
        <v>771453</v>
      </c>
      <c r="AU47" s="8">
        <f>Economic!J47</f>
        <v>7448</v>
      </c>
      <c r="AV47" s="1">
        <f t="shared" si="23"/>
        <v>46</v>
      </c>
      <c r="AW47" s="1">
        <v>0</v>
      </c>
      <c r="AX47" s="1">
        <v>0</v>
      </c>
      <c r="AY47" s="1">
        <v>0</v>
      </c>
      <c r="AZ47" s="1">
        <v>0</v>
      </c>
      <c r="BA47" s="1">
        <v>0</v>
      </c>
      <c r="BB47" s="1">
        <v>0</v>
      </c>
      <c r="BC47" s="1">
        <v>0</v>
      </c>
      <c r="BD47" s="1">
        <v>0</v>
      </c>
      <c r="BE47" s="1">
        <v>0</v>
      </c>
      <c r="BF47" s="1">
        <v>1</v>
      </c>
      <c r="BG47" s="1">
        <v>0</v>
      </c>
      <c r="BH47" s="1">
        <v>0</v>
      </c>
      <c r="BI47" s="1">
        <v>0</v>
      </c>
      <c r="BJ47" s="1">
        <v>1</v>
      </c>
      <c r="BK47" s="1">
        <v>1</v>
      </c>
      <c r="BL47" s="1">
        <v>0</v>
      </c>
      <c r="BM47" s="1">
        <v>1</v>
      </c>
      <c r="BN47" s="1">
        <v>1</v>
      </c>
      <c r="BO47">
        <v>31</v>
      </c>
      <c r="BP47">
        <v>21</v>
      </c>
      <c r="BQ47">
        <v>0</v>
      </c>
      <c r="BR47">
        <v>0</v>
      </c>
      <c r="BS47">
        <v>0</v>
      </c>
      <c r="BT47">
        <v>0</v>
      </c>
      <c r="BU47" s="126">
        <f t="shared" si="9"/>
        <v>0</v>
      </c>
      <c r="BV47" s="126">
        <f t="shared" si="10"/>
        <v>0</v>
      </c>
      <c r="BW47" s="126">
        <f t="shared" si="11"/>
        <v>0</v>
      </c>
      <c r="BX47" s="126">
        <f t="shared" si="12"/>
        <v>0</v>
      </c>
      <c r="BY47" s="126">
        <f t="shared" si="13"/>
        <v>0</v>
      </c>
      <c r="BZ47" s="126">
        <f t="shared" si="14"/>
        <v>0</v>
      </c>
      <c r="CA47" s="126">
        <f t="shared" si="15"/>
        <v>0</v>
      </c>
      <c r="CB47" s="126">
        <f t="shared" si="16"/>
        <v>0</v>
      </c>
      <c r="CC47" s="126">
        <f t="shared" si="17"/>
        <v>0</v>
      </c>
      <c r="CD47" s="126">
        <f t="shared" si="18"/>
        <v>0</v>
      </c>
      <c r="CE47" s="126">
        <f t="shared" si="19"/>
        <v>0</v>
      </c>
      <c r="CF47" s="126">
        <f t="shared" si="20"/>
        <v>0</v>
      </c>
      <c r="CG47" s="126">
        <f t="shared" si="21"/>
        <v>0</v>
      </c>
      <c r="CH47" s="126">
        <f t="shared" si="22"/>
        <v>0</v>
      </c>
      <c r="CI47" s="66">
        <f t="shared" si="28"/>
        <v>864171.14489954489</v>
      </c>
      <c r="CJ47" s="66">
        <f t="shared" si="29"/>
        <v>329723.45916398853</v>
      </c>
      <c r="CK47" s="66">
        <f t="shared" si="30"/>
        <v>960912.3091656348</v>
      </c>
    </row>
    <row r="48" spans="1:89" x14ac:dyDescent="0.2">
      <c r="A48" s="101">
        <v>43040</v>
      </c>
      <c r="B48" s="3">
        <f t="shared" si="0"/>
        <v>2017</v>
      </c>
      <c r="C48" s="3">
        <f t="shared" si="24"/>
        <v>11</v>
      </c>
      <c r="D48" s="8">
        <v>32002528.745849546</v>
      </c>
      <c r="E48" s="8">
        <f>IFERROR(VLOOKUP($B48-1,CDM!$L$4:$R$15,2,FALSE)/12,0)+IFERROR(VLOOKUP($B48,CDM!$L$33:$O$44,2,FALSE)/24,0)+IFERROR(VLOOKUP($B48,CDM!$L$33:$O$44,2,FALSE)/2*$C48/78,0)</f>
        <v>1469562.943171497</v>
      </c>
      <c r="F48" s="8">
        <f t="shared" si="25"/>
        <v>33472091.689021043</v>
      </c>
      <c r="G48" s="8">
        <v>42827</v>
      </c>
      <c r="H48" s="2">
        <v>11444473.119509853</v>
      </c>
      <c r="I48" s="8">
        <f>IFERROR(VLOOKUP($B48-1,CDM!$L$4:$R$15,3,FALSE)/12,0)+IFERROR(VLOOKUP($B48,CDM!$L$33:$O$44,3,FALSE)/24,0)+IFERROR(VLOOKUP($B48,CDM!$L$33:$O$44,3,FALSE)/2*$C48/78,0)</f>
        <v>350260.91456897254</v>
      </c>
      <c r="J48" s="8">
        <f t="shared" si="26"/>
        <v>11794734.034078825</v>
      </c>
      <c r="K48" s="8">
        <v>4100</v>
      </c>
      <c r="L48" s="8">
        <v>30967881.518586181</v>
      </c>
      <c r="M48" s="8">
        <f>IFERROR(VLOOKUP($B48-1,CDM!$L$4:$R$15,4,FALSE)/12,0)+IFERROR(VLOOKUP($B48,CDM!$L$33:$O$44,4,FALSE)/24,0)+IFERROR(VLOOKUP($B48,CDM!$L$33:$O$44,4,FALSE)/2*$C48/78,0)</f>
        <v>1435570.9906676619</v>
      </c>
      <c r="N48" s="8">
        <f t="shared" si="27"/>
        <v>32403452.509253845</v>
      </c>
      <c r="O48" s="8">
        <v>77557.647781891181</v>
      </c>
      <c r="P48" s="8">
        <v>500</v>
      </c>
      <c r="Q48" s="8">
        <v>760894.02277039853</v>
      </c>
      <c r="R48" s="2">
        <v>1741.81722402473</v>
      </c>
      <c r="S48" s="7">
        <v>9794</v>
      </c>
      <c r="T48" s="2">
        <v>33811.802656546512</v>
      </c>
      <c r="U48" s="2">
        <v>93.896291390728479</v>
      </c>
      <c r="V48" s="9">
        <v>382</v>
      </c>
      <c r="W48" s="2">
        <v>94498.965844401973</v>
      </c>
      <c r="X48" s="4">
        <v>296</v>
      </c>
      <c r="Y48" s="8">
        <f>Weather!C48</f>
        <v>668.26249999999993</v>
      </c>
      <c r="Z48" s="8">
        <f>Weather!D48</f>
        <v>0</v>
      </c>
      <c r="AA48" s="8">
        <f>Weather!E48</f>
        <v>608.26250000000005</v>
      </c>
      <c r="AB48" s="8">
        <f>Weather!F48</f>
        <v>0</v>
      </c>
      <c r="AC48" s="8">
        <f>Weather!G48</f>
        <v>548.26250000000005</v>
      </c>
      <c r="AD48" s="8">
        <f>Weather!H48</f>
        <v>0</v>
      </c>
      <c r="AE48" s="8">
        <f>Weather!I48</f>
        <v>488.26249999999999</v>
      </c>
      <c r="AF48" s="8">
        <f>Weather!J48</f>
        <v>0</v>
      </c>
      <c r="AG48" s="8">
        <f>Weather!K48</f>
        <v>428.26250000000005</v>
      </c>
      <c r="AH48" s="8">
        <f>Weather!L48</f>
        <v>0</v>
      </c>
      <c r="AI48" s="8">
        <f>Weather!M48</f>
        <v>368.26250000000005</v>
      </c>
      <c r="AJ48" s="8">
        <f>Weather!N48</f>
        <v>0</v>
      </c>
      <c r="AK48" s="8">
        <f>Weather!O48</f>
        <v>308.26249999999999</v>
      </c>
      <c r="AL48" s="8">
        <f>Weather!P48</f>
        <v>0</v>
      </c>
      <c r="AM48" s="2">
        <f>Weather!Q48</f>
        <v>-2.2754166666666666</v>
      </c>
      <c r="AN48" s="8">
        <f>Economic!C48</f>
        <v>7184.7</v>
      </c>
      <c r="AO48" s="8">
        <f>Economic!D48</f>
        <v>7186</v>
      </c>
      <c r="AP48" s="8">
        <f>Economic!E48</f>
        <v>83.6</v>
      </c>
      <c r="AQ48" s="8">
        <f>Economic!F48</f>
        <v>84.9</v>
      </c>
      <c r="AR48" s="8">
        <f>Economic!G48</f>
        <v>764464.8</v>
      </c>
      <c r="AS48" s="8">
        <f>Economic!H48</f>
        <v>7685.1</v>
      </c>
      <c r="AT48" s="8">
        <f>Economic!I48</f>
        <v>771453</v>
      </c>
      <c r="AU48" s="8">
        <f>Economic!J48</f>
        <v>7448</v>
      </c>
      <c r="AV48" s="1">
        <f t="shared" si="23"/>
        <v>47</v>
      </c>
      <c r="AW48" s="1">
        <v>0</v>
      </c>
      <c r="AX48" s="1">
        <v>0</v>
      </c>
      <c r="AY48" s="1">
        <v>0</v>
      </c>
      <c r="AZ48" s="1">
        <v>0</v>
      </c>
      <c r="BA48" s="1">
        <v>0</v>
      </c>
      <c r="BB48" s="1">
        <v>0</v>
      </c>
      <c r="BC48" s="1">
        <v>0</v>
      </c>
      <c r="BD48" s="1">
        <v>0</v>
      </c>
      <c r="BE48" s="1">
        <v>0</v>
      </c>
      <c r="BF48" s="1">
        <v>0</v>
      </c>
      <c r="BG48" s="1">
        <v>1</v>
      </c>
      <c r="BH48" s="1">
        <v>0</v>
      </c>
      <c r="BI48" s="1">
        <v>0</v>
      </c>
      <c r="BJ48" s="1">
        <v>1</v>
      </c>
      <c r="BK48" s="1">
        <v>1</v>
      </c>
      <c r="BL48" s="1">
        <v>0</v>
      </c>
      <c r="BM48" s="1">
        <v>0</v>
      </c>
      <c r="BN48" s="1">
        <v>0</v>
      </c>
      <c r="BO48">
        <v>30</v>
      </c>
      <c r="BP48">
        <v>22</v>
      </c>
      <c r="BQ48">
        <v>0</v>
      </c>
      <c r="BR48">
        <v>0</v>
      </c>
      <c r="BS48">
        <v>0</v>
      </c>
      <c r="BT48">
        <v>0</v>
      </c>
      <c r="BU48" s="126">
        <f t="shared" si="9"/>
        <v>0</v>
      </c>
      <c r="BV48" s="126">
        <f t="shared" si="10"/>
        <v>0</v>
      </c>
      <c r="BW48" s="126">
        <f t="shared" si="11"/>
        <v>0</v>
      </c>
      <c r="BX48" s="126">
        <f t="shared" si="12"/>
        <v>0</v>
      </c>
      <c r="BY48" s="126">
        <f t="shared" si="13"/>
        <v>0</v>
      </c>
      <c r="BZ48" s="126">
        <f t="shared" si="14"/>
        <v>0</v>
      </c>
      <c r="CA48" s="126">
        <f t="shared" si="15"/>
        <v>0</v>
      </c>
      <c r="CB48" s="126">
        <f t="shared" si="16"/>
        <v>0</v>
      </c>
      <c r="CC48" s="126">
        <f t="shared" si="17"/>
        <v>0</v>
      </c>
      <c r="CD48" s="126">
        <f t="shared" si="18"/>
        <v>0</v>
      </c>
      <c r="CE48" s="126">
        <f t="shared" si="19"/>
        <v>0</v>
      </c>
      <c r="CF48" s="126">
        <f t="shared" si="20"/>
        <v>0</v>
      </c>
      <c r="CG48" s="126">
        <f t="shared" si="21"/>
        <v>0</v>
      </c>
      <c r="CH48" s="126">
        <f t="shared" si="22"/>
        <v>0</v>
      </c>
      <c r="CI48" s="66">
        <f t="shared" si="28"/>
        <v>1115736.3896340348</v>
      </c>
      <c r="CJ48" s="66">
        <f t="shared" si="29"/>
        <v>381482.43731699511</v>
      </c>
      <c r="CK48" s="66">
        <f t="shared" si="30"/>
        <v>1080115.0836417947</v>
      </c>
    </row>
    <row r="49" spans="1:89" x14ac:dyDescent="0.2">
      <c r="A49" s="101">
        <v>43070</v>
      </c>
      <c r="B49" s="3">
        <f t="shared" si="0"/>
        <v>2017</v>
      </c>
      <c r="C49" s="3">
        <f t="shared" si="24"/>
        <v>12</v>
      </c>
      <c r="D49" s="8">
        <v>42913193.252782822</v>
      </c>
      <c r="E49" s="8">
        <f>IFERROR(VLOOKUP($B49-1,CDM!$L$4:$R$15,2,FALSE)/12,0)+IFERROR(VLOOKUP($B49,CDM!$L$33:$O$44,2,FALSE)/24,0)+IFERROR(VLOOKUP($B49,CDM!$L$33:$O$44,2,FALSE)/2*$C49/78,0)</f>
        <v>1510861.0249405995</v>
      </c>
      <c r="F49" s="8">
        <f t="shared" si="25"/>
        <v>44424054.277723424</v>
      </c>
      <c r="G49" s="8">
        <v>42827</v>
      </c>
      <c r="H49" s="2">
        <v>13621029.88340994</v>
      </c>
      <c r="I49" s="8">
        <f>IFERROR(VLOOKUP($B49-1,CDM!$L$4:$R$15,3,FALSE)/12,0)+IFERROR(VLOOKUP($B49,CDM!$L$33:$O$44,3,FALSE)/24,0)+IFERROR(VLOOKUP($B49,CDM!$L$33:$O$44,3,FALSE)/2*$C49/78,0)</f>
        <v>358354.352944199</v>
      </c>
      <c r="J49" s="8">
        <f t="shared" si="26"/>
        <v>13979384.236354139</v>
      </c>
      <c r="K49" s="8">
        <v>4100</v>
      </c>
      <c r="L49" s="8">
        <v>34731435.156052463</v>
      </c>
      <c r="M49" s="8">
        <f>IFERROR(VLOOKUP($B49-1,CDM!$L$4:$R$15,4,FALSE)/12,0)+IFERROR(VLOOKUP($B49,CDM!$L$33:$O$44,4,FALSE)/24,0)+IFERROR(VLOOKUP($B49,CDM!$L$33:$O$44,4,FALSE)/2*$C49/78,0)</f>
        <v>1462482.9987210538</v>
      </c>
      <c r="N49" s="8">
        <f t="shared" si="27"/>
        <v>36193918.154773518</v>
      </c>
      <c r="O49" s="8">
        <v>86983.296328359516</v>
      </c>
      <c r="P49" s="8">
        <v>500</v>
      </c>
      <c r="Q49" s="8">
        <v>828080.42694497155</v>
      </c>
      <c r="R49" s="2">
        <v>1741.81722402473</v>
      </c>
      <c r="S49" s="7">
        <v>9794</v>
      </c>
      <c r="T49" s="2">
        <v>34879.231499051268</v>
      </c>
      <c r="U49" s="2">
        <v>93.896291390728479</v>
      </c>
      <c r="V49" s="9">
        <v>382</v>
      </c>
      <c r="W49" s="2">
        <v>97309.815668202835</v>
      </c>
      <c r="X49" s="4">
        <v>296</v>
      </c>
      <c r="Y49" s="8">
        <f>Weather!C49</f>
        <v>1019.3625</v>
      </c>
      <c r="Z49" s="8">
        <f>Weather!D49</f>
        <v>0</v>
      </c>
      <c r="AA49" s="8">
        <f>Weather!E49</f>
        <v>957.36249999999995</v>
      </c>
      <c r="AB49" s="8">
        <f>Weather!F49</f>
        <v>0</v>
      </c>
      <c r="AC49" s="8">
        <f>Weather!G49</f>
        <v>895.36249999999995</v>
      </c>
      <c r="AD49" s="8">
        <f>Weather!H49</f>
        <v>0</v>
      </c>
      <c r="AE49" s="8">
        <f>Weather!I49</f>
        <v>833.36250000000018</v>
      </c>
      <c r="AF49" s="8">
        <f>Weather!J49</f>
        <v>0</v>
      </c>
      <c r="AG49" s="8">
        <f>Weather!K49</f>
        <v>771.36249999999995</v>
      </c>
      <c r="AH49" s="8">
        <f>Weather!L49</f>
        <v>0</v>
      </c>
      <c r="AI49" s="8">
        <f>Weather!M49</f>
        <v>709.36250000000007</v>
      </c>
      <c r="AJ49" s="8">
        <f>Weather!N49</f>
        <v>0</v>
      </c>
      <c r="AK49" s="8">
        <f>Weather!O49</f>
        <v>647.36249999999995</v>
      </c>
      <c r="AL49" s="8">
        <f>Weather!P49</f>
        <v>0</v>
      </c>
      <c r="AM49" s="2">
        <f>Weather!Q49</f>
        <v>-12.882661290322583</v>
      </c>
      <c r="AN49" s="8">
        <f>Economic!C49</f>
        <v>7199.5</v>
      </c>
      <c r="AO49" s="8">
        <f>Economic!D49</f>
        <v>7206.8</v>
      </c>
      <c r="AP49" s="8">
        <f>Economic!E49</f>
        <v>82.7</v>
      </c>
      <c r="AQ49" s="8">
        <f>Economic!F49</f>
        <v>83.4</v>
      </c>
      <c r="AR49" s="8">
        <f>Economic!G49</f>
        <v>764464.8</v>
      </c>
      <c r="AS49" s="8">
        <f>Economic!H49</f>
        <v>7685.1</v>
      </c>
      <c r="AT49" s="8">
        <f>Economic!I49</f>
        <v>771453</v>
      </c>
      <c r="AU49" s="8">
        <f>Economic!J49</f>
        <v>7448</v>
      </c>
      <c r="AV49" s="1">
        <f t="shared" si="23"/>
        <v>48</v>
      </c>
      <c r="AW49" s="1">
        <v>0</v>
      </c>
      <c r="AX49" s="1">
        <v>0</v>
      </c>
      <c r="AY49" s="1">
        <v>0</v>
      </c>
      <c r="AZ49" s="1">
        <v>0</v>
      </c>
      <c r="BA49" s="1">
        <v>0</v>
      </c>
      <c r="BB49" s="1">
        <v>0</v>
      </c>
      <c r="BC49" s="1">
        <v>0</v>
      </c>
      <c r="BD49" s="1">
        <v>0</v>
      </c>
      <c r="BE49" s="1">
        <v>0</v>
      </c>
      <c r="BF49" s="1">
        <v>0</v>
      </c>
      <c r="BG49" s="1">
        <v>0</v>
      </c>
      <c r="BH49" s="1">
        <v>1</v>
      </c>
      <c r="BI49" s="1">
        <v>0</v>
      </c>
      <c r="BJ49" s="1">
        <v>0</v>
      </c>
      <c r="BK49" s="1">
        <v>0</v>
      </c>
      <c r="BL49" s="1">
        <v>0</v>
      </c>
      <c r="BM49" s="1">
        <v>0</v>
      </c>
      <c r="BN49" s="1">
        <v>0</v>
      </c>
      <c r="BO49">
        <v>31</v>
      </c>
      <c r="BP49">
        <v>19</v>
      </c>
      <c r="BQ49">
        <v>0</v>
      </c>
      <c r="BR49">
        <v>0</v>
      </c>
      <c r="BS49">
        <v>0</v>
      </c>
      <c r="BT49">
        <v>0</v>
      </c>
      <c r="BU49" s="126">
        <f t="shared" si="9"/>
        <v>0</v>
      </c>
      <c r="BV49" s="126">
        <f t="shared" si="10"/>
        <v>0</v>
      </c>
      <c r="BW49" s="126">
        <f t="shared" si="11"/>
        <v>0</v>
      </c>
      <c r="BX49" s="126">
        <f t="shared" si="12"/>
        <v>0</v>
      </c>
      <c r="BY49" s="126">
        <f t="shared" si="13"/>
        <v>0</v>
      </c>
      <c r="BZ49" s="126">
        <f t="shared" si="14"/>
        <v>0</v>
      </c>
      <c r="CA49" s="126">
        <f t="shared" si="15"/>
        <v>0</v>
      </c>
      <c r="CB49" s="126">
        <f t="shared" si="16"/>
        <v>0</v>
      </c>
      <c r="CC49" s="126">
        <f t="shared" si="17"/>
        <v>0</v>
      </c>
      <c r="CD49" s="126">
        <f t="shared" si="18"/>
        <v>0</v>
      </c>
      <c r="CE49" s="126">
        <f t="shared" si="19"/>
        <v>0</v>
      </c>
      <c r="CF49" s="126">
        <f t="shared" si="20"/>
        <v>0</v>
      </c>
      <c r="CG49" s="126">
        <f t="shared" si="21"/>
        <v>0</v>
      </c>
      <c r="CH49" s="126">
        <f t="shared" si="22"/>
        <v>0</v>
      </c>
      <c r="CI49" s="66">
        <f t="shared" si="28"/>
        <v>1433034.00895882</v>
      </c>
      <c r="CJ49" s="66">
        <f t="shared" si="29"/>
        <v>439388.06075515936</v>
      </c>
      <c r="CK49" s="66">
        <f t="shared" si="30"/>
        <v>1167545.746928178</v>
      </c>
    </row>
    <row r="50" spans="1:89" x14ac:dyDescent="0.2">
      <c r="A50" s="101">
        <v>43101</v>
      </c>
      <c r="B50" s="3">
        <f t="shared" si="0"/>
        <v>2018</v>
      </c>
      <c r="C50" s="3">
        <f t="shared" si="24"/>
        <v>1</v>
      </c>
      <c r="D50" s="8">
        <v>44075191.910210773</v>
      </c>
      <c r="E50" s="8">
        <f>IFERROR(VLOOKUP($B50-1,CDM!$L$4:$R$15,2,FALSE)/12,0)+IFERROR(VLOOKUP($B50,CDM!$L$33:$O$44,2,FALSE)/24,0)+IFERROR(VLOOKUP($B50,CDM!$L$33:$O$44,2,FALSE)/2*$C50/78,0)</f>
        <v>1445390.0449887735</v>
      </c>
      <c r="F50" s="8">
        <f t="shared" si="25"/>
        <v>45520581.955199547</v>
      </c>
      <c r="G50" s="8">
        <v>42849</v>
      </c>
      <c r="H50" s="2">
        <v>14200262.817658624</v>
      </c>
      <c r="I50" s="8">
        <f>IFERROR(VLOOKUP($B50-1,CDM!$L$4:$R$15,3,FALSE)/12,0)+IFERROR(VLOOKUP($B50,CDM!$L$33:$O$44,3,FALSE)/24,0)+IFERROR(VLOOKUP($B50,CDM!$L$33:$O$44,3,FALSE)/2*$C50/78,0)</f>
        <v>388918.46479845885</v>
      </c>
      <c r="J50" s="8">
        <f t="shared" si="26"/>
        <v>14589181.282457083</v>
      </c>
      <c r="K50" s="8">
        <v>4111</v>
      </c>
      <c r="L50" s="8">
        <v>35412999.449903227</v>
      </c>
      <c r="M50" s="8">
        <f>IFERROR(VLOOKUP($B50-1,CDM!$L$4:$R$15,4,FALSE)/12,0)+IFERROR(VLOOKUP($B50,CDM!$L$33:$O$44,4,FALSE)/24,0)+IFERROR(VLOOKUP($B50,CDM!$L$33:$O$44,4,FALSE)/2*$C50/78,0)</f>
        <v>1463642.0285444604</v>
      </c>
      <c r="N50" s="8">
        <f t="shared" si="27"/>
        <v>36876641.478447691</v>
      </c>
      <c r="O50" s="8">
        <v>87133.77324431295</v>
      </c>
      <c r="P50" s="8">
        <v>504</v>
      </c>
      <c r="Q50" s="8">
        <v>806449.87666034151</v>
      </c>
      <c r="R50" s="2">
        <v>1738.2813116333309</v>
      </c>
      <c r="S50" s="7">
        <v>9853</v>
      </c>
      <c r="T50" s="2">
        <v>34879.231499051268</v>
      </c>
      <c r="U50" s="2">
        <v>93.962471960520404</v>
      </c>
      <c r="V50" s="9">
        <v>385</v>
      </c>
      <c r="W50" s="2">
        <v>97216.894641727733</v>
      </c>
      <c r="X50" s="4">
        <v>293</v>
      </c>
      <c r="Y50" s="8">
        <f>Weather!C50</f>
        <v>977.3104166666667</v>
      </c>
      <c r="Z50" s="8">
        <f>Weather!D50</f>
        <v>0</v>
      </c>
      <c r="AA50" s="8">
        <f>Weather!E50</f>
        <v>915.3104166666667</v>
      </c>
      <c r="AB50" s="8">
        <f>Weather!F50</f>
        <v>0</v>
      </c>
      <c r="AC50" s="8">
        <f>Weather!G50</f>
        <v>853.3104166666667</v>
      </c>
      <c r="AD50" s="8">
        <f>Weather!H50</f>
        <v>0</v>
      </c>
      <c r="AE50" s="8">
        <f>Weather!I50</f>
        <v>791.3104166666667</v>
      </c>
      <c r="AF50" s="8">
        <f>Weather!J50</f>
        <v>0</v>
      </c>
      <c r="AG50" s="8">
        <f>Weather!K50</f>
        <v>729.3104166666667</v>
      </c>
      <c r="AH50" s="8">
        <f>Weather!L50</f>
        <v>0</v>
      </c>
      <c r="AI50" s="8">
        <f>Weather!M50</f>
        <v>667.31041666666681</v>
      </c>
      <c r="AJ50" s="8">
        <f>Weather!N50</f>
        <v>0</v>
      </c>
      <c r="AK50" s="8">
        <f>Weather!O50</f>
        <v>605.31041666666681</v>
      </c>
      <c r="AL50" s="8">
        <f>Weather!P50</f>
        <v>0</v>
      </c>
      <c r="AM50" s="2">
        <f>Weather!Q50</f>
        <v>-11.526142473118281</v>
      </c>
      <c r="AN50" s="8">
        <f>Economic!C50</f>
        <v>7199.4</v>
      </c>
      <c r="AO50" s="8">
        <f>Economic!D50</f>
        <v>7167.3</v>
      </c>
      <c r="AP50" s="8">
        <f>Economic!E50</f>
        <v>81.8</v>
      </c>
      <c r="AQ50" s="8">
        <f>Economic!F50</f>
        <v>80.900000000000006</v>
      </c>
      <c r="AR50" s="8">
        <f>Economic!G50</f>
        <v>789531.6</v>
      </c>
      <c r="AS50" s="8">
        <f>Economic!H50</f>
        <v>7677.9</v>
      </c>
      <c r="AT50" s="8">
        <f>Economic!I50</f>
        <v>779459</v>
      </c>
      <c r="AU50" s="8">
        <f>Economic!J50</f>
        <v>7571</v>
      </c>
      <c r="AV50" s="1">
        <f t="shared" si="23"/>
        <v>49</v>
      </c>
      <c r="AW50" s="1">
        <v>1</v>
      </c>
      <c r="AX50" s="1">
        <v>0</v>
      </c>
      <c r="AY50" s="1">
        <v>0</v>
      </c>
      <c r="AZ50" s="1">
        <v>0</v>
      </c>
      <c r="BA50" s="1">
        <v>0</v>
      </c>
      <c r="BB50" s="1">
        <v>0</v>
      </c>
      <c r="BC50" s="1">
        <v>0</v>
      </c>
      <c r="BD50" s="1">
        <v>0</v>
      </c>
      <c r="BE50" s="1">
        <v>0</v>
      </c>
      <c r="BF50" s="1">
        <v>0</v>
      </c>
      <c r="BG50" s="1">
        <v>0</v>
      </c>
      <c r="BH50" s="1">
        <v>0</v>
      </c>
      <c r="BI50" s="1">
        <v>0</v>
      </c>
      <c r="BJ50" s="1">
        <v>0</v>
      </c>
      <c r="BK50" s="1">
        <v>0</v>
      </c>
      <c r="BL50" s="1">
        <v>0</v>
      </c>
      <c r="BM50" s="1">
        <v>0</v>
      </c>
      <c r="BN50" s="1">
        <v>0</v>
      </c>
      <c r="BO50">
        <v>31</v>
      </c>
      <c r="BP50">
        <v>22</v>
      </c>
      <c r="BQ50">
        <v>0</v>
      </c>
      <c r="BR50">
        <v>0</v>
      </c>
      <c r="BS50">
        <v>0</v>
      </c>
      <c r="BT50">
        <v>0</v>
      </c>
      <c r="BU50" s="126">
        <f t="shared" si="9"/>
        <v>0</v>
      </c>
      <c r="BV50" s="126">
        <f t="shared" si="10"/>
        <v>0</v>
      </c>
      <c r="BW50" s="126">
        <f t="shared" si="11"/>
        <v>0</v>
      </c>
      <c r="BX50" s="126">
        <f t="shared" si="12"/>
        <v>0</v>
      </c>
      <c r="BY50" s="126">
        <f t="shared" si="13"/>
        <v>0</v>
      </c>
      <c r="BZ50" s="126">
        <f t="shared" si="14"/>
        <v>0</v>
      </c>
      <c r="CA50" s="126">
        <f t="shared" si="15"/>
        <v>0</v>
      </c>
      <c r="CB50" s="126">
        <f t="shared" si="16"/>
        <v>0</v>
      </c>
      <c r="CC50" s="126">
        <f t="shared" si="17"/>
        <v>0</v>
      </c>
      <c r="CD50" s="126">
        <f t="shared" si="18"/>
        <v>0</v>
      </c>
      <c r="CE50" s="126">
        <f t="shared" si="19"/>
        <v>0</v>
      </c>
      <c r="CF50" s="126">
        <f t="shared" si="20"/>
        <v>0</v>
      </c>
      <c r="CG50" s="126">
        <f t="shared" si="21"/>
        <v>0</v>
      </c>
      <c r="CH50" s="126">
        <f t="shared" si="22"/>
        <v>0</v>
      </c>
      <c r="CI50" s="66">
        <f t="shared" si="28"/>
        <v>1468405.869522566</v>
      </c>
      <c r="CJ50" s="66">
        <f t="shared" si="29"/>
        <v>458072.99411802011</v>
      </c>
      <c r="CK50" s="66">
        <f t="shared" si="30"/>
        <v>1189569.0799499254</v>
      </c>
    </row>
    <row r="51" spans="1:89" x14ac:dyDescent="0.2">
      <c r="A51" s="101">
        <v>43132</v>
      </c>
      <c r="B51" s="3">
        <f t="shared" si="0"/>
        <v>2018</v>
      </c>
      <c r="C51" s="3">
        <f t="shared" si="24"/>
        <v>2</v>
      </c>
      <c r="D51" s="8">
        <v>36005143.998726979</v>
      </c>
      <c r="E51" s="8">
        <f>IFERROR(VLOOKUP($B51-1,CDM!$L$4:$R$15,2,FALSE)/12,0)+IFERROR(VLOOKUP($B51,CDM!$L$33:$O$44,2,FALSE)/24,0)+IFERROR(VLOOKUP($B51,CDM!$L$33:$O$44,2,FALSE)/2*$C51/78,0)</f>
        <v>1466945.8409592053</v>
      </c>
      <c r="F51" s="8">
        <f t="shared" si="25"/>
        <v>37472089.839686185</v>
      </c>
      <c r="G51" s="8">
        <v>42849</v>
      </c>
      <c r="H51" s="2">
        <v>12203136.175450346</v>
      </c>
      <c r="I51" s="8">
        <f>IFERROR(VLOOKUP($B51-1,CDM!$L$4:$R$15,3,FALSE)/12,0)+IFERROR(VLOOKUP($B51,CDM!$L$33:$O$44,3,FALSE)/24,0)+IFERROR(VLOOKUP($B51,CDM!$L$33:$O$44,3,FALSE)/2*$C51/78,0)</f>
        <v>398928.86785419285</v>
      </c>
      <c r="J51" s="8">
        <f t="shared" si="26"/>
        <v>12602065.043304538</v>
      </c>
      <c r="K51" s="8">
        <v>4111</v>
      </c>
      <c r="L51" s="8">
        <v>30967285.122607682</v>
      </c>
      <c r="M51" s="8">
        <f>IFERROR(VLOOKUP($B51-1,CDM!$L$4:$R$15,4,FALSE)/12,0)+IFERROR(VLOOKUP($B51,CDM!$L$33:$O$44,4,FALSE)/24,0)+IFERROR(VLOOKUP($B51,CDM!$L$33:$O$44,4,FALSE)/2*$C51/78,0)</f>
        <v>1483532.0384267354</v>
      </c>
      <c r="N51" s="8">
        <f t="shared" si="27"/>
        <v>32450817.161034416</v>
      </c>
      <c r="O51" s="8">
        <v>76195.082082284833</v>
      </c>
      <c r="P51" s="8">
        <v>504</v>
      </c>
      <c r="Q51" s="8">
        <v>666040.46489563561</v>
      </c>
      <c r="R51" s="2">
        <v>1738.2813116333309</v>
      </c>
      <c r="S51" s="7">
        <v>9853</v>
      </c>
      <c r="T51" s="2">
        <v>31568.385980578212</v>
      </c>
      <c r="U51" s="2">
        <v>93.962471960520404</v>
      </c>
      <c r="V51" s="9">
        <v>385</v>
      </c>
      <c r="W51" s="2">
        <v>87385.320050600931</v>
      </c>
      <c r="X51" s="4">
        <v>293</v>
      </c>
      <c r="Y51" s="8">
        <f>Weather!C51</f>
        <v>817.08958333333317</v>
      </c>
      <c r="Z51" s="8">
        <f>Weather!D51</f>
        <v>0</v>
      </c>
      <c r="AA51" s="8">
        <f>Weather!E51</f>
        <v>761.08958333333317</v>
      </c>
      <c r="AB51" s="8">
        <f>Weather!F51</f>
        <v>0</v>
      </c>
      <c r="AC51" s="8">
        <f>Weather!G51</f>
        <v>705.08958333333317</v>
      </c>
      <c r="AD51" s="8">
        <f>Weather!H51</f>
        <v>0</v>
      </c>
      <c r="AE51" s="8">
        <f>Weather!I51</f>
        <v>649.08958333333328</v>
      </c>
      <c r="AF51" s="8">
        <f>Weather!J51</f>
        <v>0</v>
      </c>
      <c r="AG51" s="8">
        <f>Weather!K51</f>
        <v>593.08958333333339</v>
      </c>
      <c r="AH51" s="8">
        <f>Weather!L51</f>
        <v>0</v>
      </c>
      <c r="AI51" s="8">
        <f>Weather!M51</f>
        <v>537.08958333333339</v>
      </c>
      <c r="AJ51" s="8">
        <f>Weather!N51</f>
        <v>0</v>
      </c>
      <c r="AK51" s="8">
        <f>Weather!O51</f>
        <v>481.08958333333334</v>
      </c>
      <c r="AL51" s="8">
        <f>Weather!P51</f>
        <v>0</v>
      </c>
      <c r="AM51" s="2">
        <f>Weather!Q51</f>
        <v>-9.181770833333335</v>
      </c>
      <c r="AN51" s="8">
        <f>Economic!C51</f>
        <v>7188.9</v>
      </c>
      <c r="AO51" s="8">
        <f>Economic!D51</f>
        <v>7120.1</v>
      </c>
      <c r="AP51" s="8">
        <f>Economic!E51</f>
        <v>80.900000000000006</v>
      </c>
      <c r="AQ51" s="8">
        <f>Economic!F51</f>
        <v>79.099999999999994</v>
      </c>
      <c r="AR51" s="8">
        <f>Economic!G51</f>
        <v>789531.6</v>
      </c>
      <c r="AS51" s="8">
        <f>Economic!H51</f>
        <v>7677.9</v>
      </c>
      <c r="AT51" s="8">
        <f>Economic!I51</f>
        <v>779459</v>
      </c>
      <c r="AU51" s="8">
        <f>Economic!J51</f>
        <v>7571</v>
      </c>
      <c r="AV51" s="1">
        <f t="shared" si="23"/>
        <v>50</v>
      </c>
      <c r="AW51" s="1">
        <v>0</v>
      </c>
      <c r="AX51" s="1">
        <v>1</v>
      </c>
      <c r="AY51" s="1">
        <v>0</v>
      </c>
      <c r="AZ51" s="1">
        <v>0</v>
      </c>
      <c r="BA51" s="1">
        <v>0</v>
      </c>
      <c r="BB51" s="1">
        <v>0</v>
      </c>
      <c r="BC51" s="1">
        <v>0</v>
      </c>
      <c r="BD51" s="1">
        <v>0</v>
      </c>
      <c r="BE51" s="1">
        <v>0</v>
      </c>
      <c r="BF51" s="1">
        <v>0</v>
      </c>
      <c r="BG51" s="1">
        <v>0</v>
      </c>
      <c r="BH51" s="1">
        <v>0</v>
      </c>
      <c r="BI51" s="1">
        <v>0</v>
      </c>
      <c r="BJ51" s="1">
        <v>0</v>
      </c>
      <c r="BK51" s="1">
        <v>0</v>
      </c>
      <c r="BL51" s="1">
        <v>0</v>
      </c>
      <c r="BM51" s="1">
        <v>0</v>
      </c>
      <c r="BN51" s="1">
        <v>0</v>
      </c>
      <c r="BO51">
        <v>28</v>
      </c>
      <c r="BP51">
        <v>19</v>
      </c>
      <c r="BQ51">
        <v>0</v>
      </c>
      <c r="BR51">
        <v>0</v>
      </c>
      <c r="BS51">
        <v>0</v>
      </c>
      <c r="BT51">
        <v>0</v>
      </c>
      <c r="BU51" s="126">
        <f t="shared" si="9"/>
        <v>0</v>
      </c>
      <c r="BV51" s="126">
        <f t="shared" si="10"/>
        <v>0</v>
      </c>
      <c r="BW51" s="126">
        <f t="shared" si="11"/>
        <v>0</v>
      </c>
      <c r="BX51" s="126">
        <f t="shared" si="12"/>
        <v>0</v>
      </c>
      <c r="BY51" s="126">
        <f t="shared" si="13"/>
        <v>0</v>
      </c>
      <c r="BZ51" s="126">
        <f t="shared" si="14"/>
        <v>0</v>
      </c>
      <c r="CA51" s="126">
        <f t="shared" si="15"/>
        <v>0</v>
      </c>
      <c r="CB51" s="126">
        <f t="shared" si="16"/>
        <v>0</v>
      </c>
      <c r="CC51" s="126">
        <f t="shared" si="17"/>
        <v>0</v>
      </c>
      <c r="CD51" s="126">
        <f t="shared" si="18"/>
        <v>0</v>
      </c>
      <c r="CE51" s="126">
        <f t="shared" si="19"/>
        <v>0</v>
      </c>
      <c r="CF51" s="126">
        <f t="shared" si="20"/>
        <v>0</v>
      </c>
      <c r="CG51" s="126">
        <f t="shared" si="21"/>
        <v>0</v>
      </c>
      <c r="CH51" s="126">
        <f t="shared" si="22"/>
        <v>0</v>
      </c>
      <c r="CI51" s="66">
        <f t="shared" si="28"/>
        <v>1338288.9228459352</v>
      </c>
      <c r="CJ51" s="66">
        <f t="shared" si="29"/>
        <v>435826.29198036948</v>
      </c>
      <c r="CK51" s="66">
        <f t="shared" si="30"/>
        <v>1158957.7557512291</v>
      </c>
    </row>
    <row r="52" spans="1:89" x14ac:dyDescent="0.2">
      <c r="A52" s="101">
        <v>43160</v>
      </c>
      <c r="B52" s="3">
        <f t="shared" si="0"/>
        <v>2018</v>
      </c>
      <c r="C52" s="3">
        <f t="shared" si="24"/>
        <v>3</v>
      </c>
      <c r="D52" s="8">
        <v>35111666.164224617</v>
      </c>
      <c r="E52" s="8">
        <f>IFERROR(VLOOKUP($B52-1,CDM!$L$4:$R$15,2,FALSE)/12,0)+IFERROR(VLOOKUP($B52,CDM!$L$33:$O$44,2,FALSE)/24,0)+IFERROR(VLOOKUP($B52,CDM!$L$33:$O$44,2,FALSE)/2*$C52/78,0)</f>
        <v>1488501.6369296371</v>
      </c>
      <c r="F52" s="8">
        <f t="shared" si="25"/>
        <v>36600167.801154256</v>
      </c>
      <c r="G52" s="8">
        <v>42849</v>
      </c>
      <c r="H52" s="2">
        <v>12429934.250792505</v>
      </c>
      <c r="I52" s="8">
        <f>IFERROR(VLOOKUP($B52-1,CDM!$L$4:$R$15,3,FALSE)/12,0)+IFERROR(VLOOKUP($B52,CDM!$L$33:$O$44,3,FALSE)/24,0)+IFERROR(VLOOKUP($B52,CDM!$L$33:$O$44,3,FALSE)/2*$C52/78,0)</f>
        <v>408939.27090992685</v>
      </c>
      <c r="J52" s="8">
        <f t="shared" si="26"/>
        <v>12838873.521702431</v>
      </c>
      <c r="K52" s="8">
        <v>4111</v>
      </c>
      <c r="L52" s="8">
        <v>32026897.594194725</v>
      </c>
      <c r="M52" s="8">
        <f>IFERROR(VLOOKUP($B52-1,CDM!$L$4:$R$15,4,FALSE)/12,0)+IFERROR(VLOOKUP($B52,CDM!$L$33:$O$44,4,FALSE)/24,0)+IFERROR(VLOOKUP($B52,CDM!$L$33:$O$44,4,FALSE)/2*$C52/78,0)</f>
        <v>1503422.0483090105</v>
      </c>
      <c r="N52" s="8">
        <f t="shared" si="27"/>
        <v>33530319.642503735</v>
      </c>
      <c r="O52" s="8">
        <v>78802.26120464984</v>
      </c>
      <c r="P52" s="8">
        <v>504</v>
      </c>
      <c r="Q52" s="8">
        <v>651063.17836812139</v>
      </c>
      <c r="R52" s="2">
        <v>1738.2813116333309</v>
      </c>
      <c r="S52" s="7">
        <v>9853</v>
      </c>
      <c r="T52" s="2">
        <v>35087.553298359227</v>
      </c>
      <c r="U52" s="2">
        <v>93.962471960520404</v>
      </c>
      <c r="V52" s="9">
        <v>385</v>
      </c>
      <c r="W52" s="2">
        <v>96699.022770399024</v>
      </c>
      <c r="X52" s="4">
        <v>293</v>
      </c>
      <c r="Y52" s="8">
        <f>Weather!C52</f>
        <v>778.80624999999986</v>
      </c>
      <c r="Z52" s="8">
        <f>Weather!D52</f>
        <v>0</v>
      </c>
      <c r="AA52" s="8">
        <f>Weather!E52</f>
        <v>716.80624999999975</v>
      </c>
      <c r="AB52" s="8">
        <f>Weather!F52</f>
        <v>0</v>
      </c>
      <c r="AC52" s="8">
        <f>Weather!G52</f>
        <v>654.80624999999986</v>
      </c>
      <c r="AD52" s="8">
        <f>Weather!H52</f>
        <v>0</v>
      </c>
      <c r="AE52" s="8">
        <f>Weather!I52</f>
        <v>592.80624999999975</v>
      </c>
      <c r="AF52" s="8">
        <f>Weather!J52</f>
        <v>0</v>
      </c>
      <c r="AG52" s="8">
        <f>Weather!K52</f>
        <v>530.80624999999986</v>
      </c>
      <c r="AH52" s="8">
        <f>Weather!L52</f>
        <v>0</v>
      </c>
      <c r="AI52" s="8">
        <f>Weather!M52</f>
        <v>468.80624999999998</v>
      </c>
      <c r="AJ52" s="8">
        <f>Weather!N52</f>
        <v>0</v>
      </c>
      <c r="AK52" s="8">
        <f>Weather!O52</f>
        <v>406.80624999999998</v>
      </c>
      <c r="AL52" s="8">
        <f>Weather!P52</f>
        <v>0</v>
      </c>
      <c r="AM52" s="2">
        <f>Weather!Q52</f>
        <v>-5.1227822580645173</v>
      </c>
      <c r="AN52" s="8">
        <f>Economic!C52</f>
        <v>7188.8</v>
      </c>
      <c r="AO52" s="8">
        <f>Economic!D52</f>
        <v>7084.1</v>
      </c>
      <c r="AP52" s="8">
        <f>Economic!E52</f>
        <v>81.3</v>
      </c>
      <c r="AQ52" s="8">
        <f>Economic!F52</f>
        <v>79.5</v>
      </c>
      <c r="AR52" s="8">
        <f>Economic!G52</f>
        <v>789531.6</v>
      </c>
      <c r="AS52" s="8">
        <f>Economic!H52</f>
        <v>7677.9</v>
      </c>
      <c r="AT52" s="8">
        <f>Economic!I52</f>
        <v>779459</v>
      </c>
      <c r="AU52" s="8">
        <f>Economic!J52</f>
        <v>7571</v>
      </c>
      <c r="AV52" s="1">
        <f t="shared" si="23"/>
        <v>51</v>
      </c>
      <c r="AW52" s="1">
        <v>0</v>
      </c>
      <c r="AX52" s="1">
        <v>0</v>
      </c>
      <c r="AY52" s="1">
        <v>1</v>
      </c>
      <c r="AZ52" s="1">
        <v>0</v>
      </c>
      <c r="BA52" s="1">
        <v>0</v>
      </c>
      <c r="BB52" s="1">
        <v>0</v>
      </c>
      <c r="BC52" s="1">
        <v>0</v>
      </c>
      <c r="BD52" s="1">
        <v>0</v>
      </c>
      <c r="BE52" s="1">
        <v>0</v>
      </c>
      <c r="BF52" s="1">
        <v>0</v>
      </c>
      <c r="BG52" s="1">
        <v>0</v>
      </c>
      <c r="BH52" s="1">
        <v>0</v>
      </c>
      <c r="BI52" s="1">
        <v>1</v>
      </c>
      <c r="BJ52" s="1">
        <v>0</v>
      </c>
      <c r="BK52" s="1">
        <v>1</v>
      </c>
      <c r="BL52" s="1">
        <v>0</v>
      </c>
      <c r="BM52" s="1">
        <v>0</v>
      </c>
      <c r="BN52" s="1">
        <v>0</v>
      </c>
      <c r="BO52">
        <v>31</v>
      </c>
      <c r="BP52">
        <v>21</v>
      </c>
      <c r="BQ52">
        <v>0</v>
      </c>
      <c r="BR52">
        <v>0</v>
      </c>
      <c r="BS52">
        <v>0</v>
      </c>
      <c r="BT52">
        <v>0</v>
      </c>
      <c r="BU52" s="126">
        <f t="shared" si="9"/>
        <v>0</v>
      </c>
      <c r="BV52" s="126">
        <f t="shared" si="10"/>
        <v>0</v>
      </c>
      <c r="BW52" s="126">
        <f t="shared" si="11"/>
        <v>0</v>
      </c>
      <c r="BX52" s="126">
        <f t="shared" si="12"/>
        <v>0</v>
      </c>
      <c r="BY52" s="126">
        <f t="shared" si="13"/>
        <v>0</v>
      </c>
      <c r="BZ52" s="126">
        <f t="shared" si="14"/>
        <v>0</v>
      </c>
      <c r="CA52" s="126">
        <f t="shared" si="15"/>
        <v>0</v>
      </c>
      <c r="CB52" s="126">
        <f t="shared" si="16"/>
        <v>0</v>
      </c>
      <c r="CC52" s="126">
        <f t="shared" si="17"/>
        <v>0</v>
      </c>
      <c r="CD52" s="126">
        <f t="shared" si="18"/>
        <v>0</v>
      </c>
      <c r="CE52" s="126">
        <f t="shared" si="19"/>
        <v>0</v>
      </c>
      <c r="CF52" s="126">
        <f t="shared" si="20"/>
        <v>0</v>
      </c>
      <c r="CG52" s="126">
        <f t="shared" si="21"/>
        <v>0</v>
      </c>
      <c r="CH52" s="126">
        <f t="shared" si="22"/>
        <v>0</v>
      </c>
      <c r="CI52" s="66">
        <f t="shared" si="28"/>
        <v>1180650.5742307825</v>
      </c>
      <c r="CJ52" s="66">
        <f t="shared" si="29"/>
        <v>400965.62099330663</v>
      </c>
      <c r="CK52" s="66">
        <f t="shared" si="30"/>
        <v>1081623.214274314</v>
      </c>
    </row>
    <row r="53" spans="1:89" x14ac:dyDescent="0.2">
      <c r="A53" s="101">
        <v>43191</v>
      </c>
      <c r="B53" s="3">
        <f t="shared" si="0"/>
        <v>2018</v>
      </c>
      <c r="C53" s="3">
        <f t="shared" si="24"/>
        <v>4</v>
      </c>
      <c r="D53" s="8">
        <v>30256123.129029866</v>
      </c>
      <c r="E53" s="8">
        <f>IFERROR(VLOOKUP($B53-1,CDM!$L$4:$R$15,2,FALSE)/12,0)+IFERROR(VLOOKUP($B53,CDM!$L$33:$O$44,2,FALSE)/24,0)+IFERROR(VLOOKUP($B53,CDM!$L$33:$O$44,2,FALSE)/2*$C53/78,0)</f>
        <v>1510057.4329000688</v>
      </c>
      <c r="F53" s="8">
        <f t="shared" si="25"/>
        <v>31766180.561929934</v>
      </c>
      <c r="G53" s="8">
        <v>42864</v>
      </c>
      <c r="H53" s="2">
        <v>11176765.752282178</v>
      </c>
      <c r="I53" s="8">
        <f>IFERROR(VLOOKUP($B53-1,CDM!$L$4:$R$15,3,FALSE)/12,0)+IFERROR(VLOOKUP($B53,CDM!$L$33:$O$44,3,FALSE)/24,0)+IFERROR(VLOOKUP($B53,CDM!$L$33:$O$44,3,FALSE)/2*$C53/78,0)</f>
        <v>418949.67396566086</v>
      </c>
      <c r="J53" s="8">
        <f t="shared" si="26"/>
        <v>11595715.426247839</v>
      </c>
      <c r="K53" s="8">
        <v>4135</v>
      </c>
      <c r="L53" s="8">
        <v>28915892.91626839</v>
      </c>
      <c r="M53" s="8">
        <f>IFERROR(VLOOKUP($B53-1,CDM!$L$4:$R$15,4,FALSE)/12,0)+IFERROR(VLOOKUP($B53,CDM!$L$33:$O$44,4,FALSE)/24,0)+IFERROR(VLOOKUP($B53,CDM!$L$33:$O$44,4,FALSE)/2*$C53/78,0)</f>
        <v>1523312.0581912857</v>
      </c>
      <c r="N53" s="8">
        <f t="shared" si="27"/>
        <v>30439204.974459674</v>
      </c>
      <c r="O53" s="8">
        <v>71147.626455286052</v>
      </c>
      <c r="P53" s="8">
        <v>490</v>
      </c>
      <c r="Q53" s="8">
        <v>543105.57874762814</v>
      </c>
      <c r="R53" s="2">
        <v>1738.4577331609503</v>
      </c>
      <c r="S53" s="7">
        <v>9854</v>
      </c>
      <c r="T53" s="2">
        <v>33955.685424573072</v>
      </c>
      <c r="U53" s="2">
        <v>93.713234634365179</v>
      </c>
      <c r="V53" s="9">
        <v>384</v>
      </c>
      <c r="W53" s="2">
        <v>93608.965844401973</v>
      </c>
      <c r="X53" s="4">
        <v>293</v>
      </c>
      <c r="Y53" s="8">
        <f>Weather!C53</f>
        <v>636.60625000000005</v>
      </c>
      <c r="Z53" s="8">
        <f>Weather!D53</f>
        <v>0</v>
      </c>
      <c r="AA53" s="8">
        <f>Weather!E53</f>
        <v>576.60624999999993</v>
      </c>
      <c r="AB53" s="8">
        <f>Weather!F53</f>
        <v>0</v>
      </c>
      <c r="AC53" s="8">
        <f>Weather!G53</f>
        <v>516.60624999999993</v>
      </c>
      <c r="AD53" s="8">
        <f>Weather!H53</f>
        <v>0</v>
      </c>
      <c r="AE53" s="8">
        <f>Weather!I53</f>
        <v>456.60625000000005</v>
      </c>
      <c r="AF53" s="8">
        <f>Weather!J53</f>
        <v>0</v>
      </c>
      <c r="AG53" s="8">
        <f>Weather!K53</f>
        <v>396.60624999999999</v>
      </c>
      <c r="AH53" s="8">
        <f>Weather!L53</f>
        <v>0</v>
      </c>
      <c r="AI53" s="8">
        <f>Weather!M53</f>
        <v>336.60624999999999</v>
      </c>
      <c r="AJ53" s="8">
        <f>Weather!N53</f>
        <v>0</v>
      </c>
      <c r="AK53" s="8">
        <f>Weather!O53</f>
        <v>279.26875000000007</v>
      </c>
      <c r="AL53" s="8">
        <f>Weather!P53</f>
        <v>2.6624999999999996</v>
      </c>
      <c r="AM53" s="2">
        <f>Weather!Q53</f>
        <v>-1.2202083333333336</v>
      </c>
      <c r="AN53" s="8">
        <f>Economic!C53</f>
        <v>7201.1</v>
      </c>
      <c r="AO53" s="8">
        <f>Economic!D53</f>
        <v>7111.6</v>
      </c>
      <c r="AP53" s="8">
        <f>Economic!E53</f>
        <v>81.3</v>
      </c>
      <c r="AQ53" s="8">
        <f>Economic!F53</f>
        <v>79.900000000000006</v>
      </c>
      <c r="AR53" s="8">
        <f>Economic!G53</f>
        <v>789531.6</v>
      </c>
      <c r="AS53" s="8">
        <f>Economic!H53</f>
        <v>7677.9</v>
      </c>
      <c r="AT53" s="8">
        <f>Economic!I53</f>
        <v>784896</v>
      </c>
      <c r="AU53" s="8">
        <f>Economic!J53</f>
        <v>7763</v>
      </c>
      <c r="AV53" s="1">
        <f t="shared" si="23"/>
        <v>52</v>
      </c>
      <c r="AW53" s="1">
        <v>0</v>
      </c>
      <c r="AX53" s="1">
        <v>0</v>
      </c>
      <c r="AY53" s="1">
        <v>0</v>
      </c>
      <c r="AZ53" s="1">
        <v>1</v>
      </c>
      <c r="BA53" s="1">
        <v>0</v>
      </c>
      <c r="BB53" s="1">
        <v>0</v>
      </c>
      <c r="BC53" s="1">
        <v>0</v>
      </c>
      <c r="BD53" s="1">
        <v>0</v>
      </c>
      <c r="BE53" s="1">
        <v>0</v>
      </c>
      <c r="BF53" s="1">
        <v>0</v>
      </c>
      <c r="BG53" s="1">
        <v>0</v>
      </c>
      <c r="BH53" s="1">
        <v>0</v>
      </c>
      <c r="BI53" s="1">
        <v>1</v>
      </c>
      <c r="BJ53" s="1">
        <v>0</v>
      </c>
      <c r="BK53" s="1">
        <v>1</v>
      </c>
      <c r="BL53" s="1">
        <v>1</v>
      </c>
      <c r="BM53" s="1">
        <v>0</v>
      </c>
      <c r="BN53" s="1">
        <v>1</v>
      </c>
      <c r="BO53">
        <v>30</v>
      </c>
      <c r="BP53">
        <v>21</v>
      </c>
      <c r="BQ53">
        <v>0</v>
      </c>
      <c r="BR53">
        <v>0</v>
      </c>
      <c r="BS53">
        <v>0</v>
      </c>
      <c r="BT53">
        <v>0</v>
      </c>
      <c r="BU53" s="126">
        <f t="shared" si="9"/>
        <v>0</v>
      </c>
      <c r="BV53" s="126">
        <f t="shared" si="10"/>
        <v>0</v>
      </c>
      <c r="BW53" s="126">
        <f t="shared" si="11"/>
        <v>0</v>
      </c>
      <c r="BX53" s="126">
        <f t="shared" si="12"/>
        <v>0</v>
      </c>
      <c r="BY53" s="126">
        <f t="shared" si="13"/>
        <v>0</v>
      </c>
      <c r="BZ53" s="126">
        <f t="shared" si="14"/>
        <v>0</v>
      </c>
      <c r="CA53" s="126">
        <f t="shared" si="15"/>
        <v>0</v>
      </c>
      <c r="CB53" s="126">
        <f t="shared" si="16"/>
        <v>0</v>
      </c>
      <c r="CC53" s="126">
        <f t="shared" si="17"/>
        <v>0</v>
      </c>
      <c r="CD53" s="126">
        <f t="shared" si="18"/>
        <v>0</v>
      </c>
      <c r="CE53" s="126">
        <f t="shared" si="19"/>
        <v>0</v>
      </c>
      <c r="CF53" s="126">
        <f t="shared" si="20"/>
        <v>0</v>
      </c>
      <c r="CG53" s="126">
        <f t="shared" si="21"/>
        <v>0</v>
      </c>
      <c r="CH53" s="126">
        <f t="shared" si="22"/>
        <v>0</v>
      </c>
      <c r="CI53" s="66">
        <f t="shared" si="28"/>
        <v>1058872.6853976646</v>
      </c>
      <c r="CJ53" s="66">
        <f t="shared" si="29"/>
        <v>372558.85840940592</v>
      </c>
      <c r="CK53" s="66">
        <f t="shared" si="30"/>
        <v>1014640.1658153224</v>
      </c>
    </row>
    <row r="54" spans="1:89" x14ac:dyDescent="0.2">
      <c r="A54" s="101">
        <v>43221</v>
      </c>
      <c r="B54" s="3">
        <f t="shared" si="0"/>
        <v>2018</v>
      </c>
      <c r="C54" s="3">
        <f t="shared" si="24"/>
        <v>5</v>
      </c>
      <c r="D54" s="8">
        <v>24509975.943597607</v>
      </c>
      <c r="E54" s="8">
        <f>IFERROR(VLOOKUP($B54-1,CDM!$L$4:$R$15,2,FALSE)/12,0)+IFERROR(VLOOKUP($B54,CDM!$L$33:$O$44,2,FALSE)/24,0)+IFERROR(VLOOKUP($B54,CDM!$L$33:$O$44,2,FALSE)/2*$C54/78,0)</f>
        <v>1531613.2288705008</v>
      </c>
      <c r="F54" s="8">
        <f t="shared" si="25"/>
        <v>26041589.172468107</v>
      </c>
      <c r="G54" s="8">
        <v>42864</v>
      </c>
      <c r="H54" s="2">
        <v>10375596.952195626</v>
      </c>
      <c r="I54" s="8">
        <f>IFERROR(VLOOKUP($B54-1,CDM!$L$4:$R$15,3,FALSE)/12,0)+IFERROR(VLOOKUP($B54,CDM!$L$33:$O$44,3,FALSE)/24,0)+IFERROR(VLOOKUP($B54,CDM!$L$33:$O$44,3,FALSE)/2*$C54/78,0)</f>
        <v>428960.07702139486</v>
      </c>
      <c r="J54" s="8">
        <f t="shared" si="26"/>
        <v>10804557.02921702</v>
      </c>
      <c r="K54" s="8">
        <v>4135</v>
      </c>
      <c r="L54" s="8">
        <v>27583041.481710307</v>
      </c>
      <c r="M54" s="8">
        <f>IFERROR(VLOOKUP($B54-1,CDM!$L$4:$R$15,4,FALSE)/12,0)+IFERROR(VLOOKUP($B54,CDM!$L$33:$O$44,4,FALSE)/24,0)+IFERROR(VLOOKUP($B54,CDM!$L$33:$O$44,4,FALSE)/2*$C54/78,0)</f>
        <v>1543202.0680735607</v>
      </c>
      <c r="N54" s="8">
        <f t="shared" si="27"/>
        <v>29126243.549783867</v>
      </c>
      <c r="O54" s="8">
        <v>67868.142184787226</v>
      </c>
      <c r="P54" s="8">
        <v>490</v>
      </c>
      <c r="Q54" s="8">
        <v>484001.11005692597</v>
      </c>
      <c r="R54" s="2">
        <v>1738.4577331609503</v>
      </c>
      <c r="S54" s="7">
        <v>9854</v>
      </c>
      <c r="T54" s="2">
        <v>35009.845884724898</v>
      </c>
      <c r="U54" s="2">
        <v>93.713234634365179</v>
      </c>
      <c r="V54" s="9">
        <v>384</v>
      </c>
      <c r="W54" s="2">
        <v>96699.022770399024</v>
      </c>
      <c r="X54" s="4">
        <v>293</v>
      </c>
      <c r="Y54" s="8">
        <f>Weather!C54</f>
        <v>207.95416666666665</v>
      </c>
      <c r="Z54" s="8">
        <f>Weather!D54</f>
        <v>4.0583333333333265</v>
      </c>
      <c r="AA54" s="8">
        <f>Weather!E54</f>
        <v>156.5333333333333</v>
      </c>
      <c r="AB54" s="8">
        <f>Weather!F54</f>
        <v>14.637499999999996</v>
      </c>
      <c r="AC54" s="8">
        <f>Weather!G54</f>
        <v>110.37500000000001</v>
      </c>
      <c r="AD54" s="8">
        <f>Weather!H54</f>
        <v>30.479166666666664</v>
      </c>
      <c r="AE54" s="8">
        <f>Weather!I54</f>
        <v>73.558333333333323</v>
      </c>
      <c r="AF54" s="8">
        <f>Weather!J54</f>
        <v>55.662499999999994</v>
      </c>
      <c r="AG54" s="8">
        <f>Weather!K54</f>
        <v>41.137500000000003</v>
      </c>
      <c r="AH54" s="8">
        <f>Weather!L54</f>
        <v>85.241666666666674</v>
      </c>
      <c r="AI54" s="8">
        <f>Weather!M54</f>
        <v>20.166666666666668</v>
      </c>
      <c r="AJ54" s="8">
        <f>Weather!N54</f>
        <v>126.27083333333333</v>
      </c>
      <c r="AK54" s="8">
        <f>Weather!O54</f>
        <v>7.6416666666666666</v>
      </c>
      <c r="AL54" s="8">
        <f>Weather!P54</f>
        <v>175.74583333333331</v>
      </c>
      <c r="AM54" s="2">
        <f>Weather!Q54</f>
        <v>13.422715053763442</v>
      </c>
      <c r="AN54" s="8">
        <f>Economic!C54</f>
        <v>7208.5</v>
      </c>
      <c r="AO54" s="8">
        <f>Economic!D54</f>
        <v>7176</v>
      </c>
      <c r="AP54" s="8">
        <f>Economic!E54</f>
        <v>81.400000000000006</v>
      </c>
      <c r="AQ54" s="8">
        <f>Economic!F54</f>
        <v>80.5</v>
      </c>
      <c r="AR54" s="8">
        <f>Economic!G54</f>
        <v>789531.6</v>
      </c>
      <c r="AS54" s="8">
        <f>Economic!H54</f>
        <v>7677.9</v>
      </c>
      <c r="AT54" s="8">
        <f>Economic!I54</f>
        <v>784896</v>
      </c>
      <c r="AU54" s="8">
        <f>Economic!J54</f>
        <v>7763</v>
      </c>
      <c r="AV54" s="1">
        <f t="shared" si="23"/>
        <v>53</v>
      </c>
      <c r="AW54" s="1">
        <v>0</v>
      </c>
      <c r="AX54" s="1">
        <v>0</v>
      </c>
      <c r="AY54" s="1">
        <v>0</v>
      </c>
      <c r="AZ54" s="1">
        <v>0</v>
      </c>
      <c r="BA54" s="1">
        <v>1</v>
      </c>
      <c r="BB54" s="1">
        <v>0</v>
      </c>
      <c r="BC54" s="1">
        <v>0</v>
      </c>
      <c r="BD54" s="1">
        <v>0</v>
      </c>
      <c r="BE54" s="1">
        <v>0</v>
      </c>
      <c r="BF54" s="1">
        <v>0</v>
      </c>
      <c r="BG54" s="1">
        <v>0</v>
      </c>
      <c r="BH54" s="1">
        <v>0</v>
      </c>
      <c r="BI54" s="1">
        <v>1</v>
      </c>
      <c r="BJ54" s="1">
        <v>0</v>
      </c>
      <c r="BK54" s="1">
        <v>1</v>
      </c>
      <c r="BL54" s="1">
        <v>1</v>
      </c>
      <c r="BM54" s="1">
        <v>0</v>
      </c>
      <c r="BN54" s="1">
        <v>1</v>
      </c>
      <c r="BO54">
        <v>31</v>
      </c>
      <c r="BP54">
        <v>22</v>
      </c>
      <c r="BQ54">
        <v>0</v>
      </c>
      <c r="BR54">
        <v>0</v>
      </c>
      <c r="BS54">
        <v>0</v>
      </c>
      <c r="BT54">
        <v>0</v>
      </c>
      <c r="BU54" s="126">
        <f t="shared" si="9"/>
        <v>0</v>
      </c>
      <c r="BV54" s="126">
        <f t="shared" si="10"/>
        <v>0</v>
      </c>
      <c r="BW54" s="126">
        <f t="shared" si="11"/>
        <v>0</v>
      </c>
      <c r="BX54" s="126">
        <f t="shared" si="12"/>
        <v>0</v>
      </c>
      <c r="BY54" s="126">
        <f t="shared" si="13"/>
        <v>0</v>
      </c>
      <c r="BZ54" s="126">
        <f t="shared" si="14"/>
        <v>0</v>
      </c>
      <c r="CA54" s="126">
        <f t="shared" si="15"/>
        <v>0</v>
      </c>
      <c r="CB54" s="126">
        <f t="shared" si="16"/>
        <v>0</v>
      </c>
      <c r="CC54" s="126">
        <f t="shared" si="17"/>
        <v>0</v>
      </c>
      <c r="CD54" s="126">
        <f t="shared" si="18"/>
        <v>0</v>
      </c>
      <c r="CE54" s="126">
        <f t="shared" si="19"/>
        <v>0</v>
      </c>
      <c r="CF54" s="126">
        <f t="shared" si="20"/>
        <v>0</v>
      </c>
      <c r="CG54" s="126">
        <f t="shared" si="21"/>
        <v>0</v>
      </c>
      <c r="CH54" s="126">
        <f t="shared" si="22"/>
        <v>0</v>
      </c>
      <c r="CI54" s="66">
        <f t="shared" si="28"/>
        <v>840051.26362800342</v>
      </c>
      <c r="CJ54" s="66">
        <f t="shared" si="29"/>
        <v>334696.67587727826</v>
      </c>
      <c r="CK54" s="66">
        <f t="shared" si="30"/>
        <v>939556.24354141508</v>
      </c>
    </row>
    <row r="55" spans="1:89" x14ac:dyDescent="0.2">
      <c r="A55" s="101">
        <v>43252</v>
      </c>
      <c r="B55" s="3">
        <f t="shared" si="0"/>
        <v>2018</v>
      </c>
      <c r="C55" s="3">
        <f t="shared" si="24"/>
        <v>6</v>
      </c>
      <c r="D55" s="8">
        <v>24651522.048257262</v>
      </c>
      <c r="E55" s="8">
        <f>IFERROR(VLOOKUP($B55-1,CDM!$L$4:$R$15,2,FALSE)/12,0)+IFERROR(VLOOKUP($B55,CDM!$L$33:$O$44,2,FALSE)/24,0)+IFERROR(VLOOKUP($B55,CDM!$L$33:$O$44,2,FALSE)/2*$C55/78,0)</f>
        <v>1553169.0248409326</v>
      </c>
      <c r="F55" s="8">
        <f t="shared" si="25"/>
        <v>26204691.073098194</v>
      </c>
      <c r="G55" s="8">
        <v>42864</v>
      </c>
      <c r="H55" s="2">
        <v>10371086.105908385</v>
      </c>
      <c r="I55" s="8">
        <f>IFERROR(VLOOKUP($B55-1,CDM!$L$4:$R$15,3,FALSE)/12,0)+IFERROR(VLOOKUP($B55,CDM!$L$33:$O$44,3,FALSE)/24,0)+IFERROR(VLOOKUP($B55,CDM!$L$33:$O$44,3,FALSE)/2*$C55/78,0)</f>
        <v>438970.48007712886</v>
      </c>
      <c r="J55" s="8">
        <f t="shared" si="26"/>
        <v>10810056.585985513</v>
      </c>
      <c r="K55" s="8">
        <v>4135</v>
      </c>
      <c r="L55" s="8">
        <v>27322389.893385421</v>
      </c>
      <c r="M55" s="8">
        <f>IFERROR(VLOOKUP($B55-1,CDM!$L$4:$R$15,4,FALSE)/12,0)+IFERROR(VLOOKUP($B55,CDM!$L$33:$O$44,4,FALSE)/24,0)+IFERROR(VLOOKUP($B55,CDM!$L$33:$O$44,4,FALSE)/2*$C55/78,0)</f>
        <v>1563092.0779558357</v>
      </c>
      <c r="N55" s="8">
        <f t="shared" si="27"/>
        <v>28885481.971341256</v>
      </c>
      <c r="O55" s="8">
        <v>67226.808303284211</v>
      </c>
      <c r="P55" s="8">
        <v>490</v>
      </c>
      <c r="Q55" s="8">
        <v>429581.22390891839</v>
      </c>
      <c r="R55" s="2">
        <v>1738.4577331609503</v>
      </c>
      <c r="S55" s="7">
        <v>9854</v>
      </c>
      <c r="T55" s="2">
        <v>33755.882352941197</v>
      </c>
      <c r="U55" s="2">
        <v>93.713234634365179</v>
      </c>
      <c r="V55" s="9">
        <v>384</v>
      </c>
      <c r="W55" s="2">
        <v>93608.965844401973</v>
      </c>
      <c r="X55" s="4">
        <v>293</v>
      </c>
      <c r="Y55" s="8">
        <f>Weather!C55</f>
        <v>108.74583333333337</v>
      </c>
      <c r="Z55" s="8">
        <f>Weather!D55</f>
        <v>7.9708333333333208</v>
      </c>
      <c r="AA55" s="8">
        <f>Weather!E55</f>
        <v>65.32083333333334</v>
      </c>
      <c r="AB55" s="8">
        <f>Weather!F55</f>
        <v>24.545833333333317</v>
      </c>
      <c r="AC55" s="8">
        <f>Weather!G55</f>
        <v>33.812499999999993</v>
      </c>
      <c r="AD55" s="8">
        <f>Weather!H55</f>
        <v>53.03749999999998</v>
      </c>
      <c r="AE55" s="8">
        <f>Weather!I55</f>
        <v>15.445833333333335</v>
      </c>
      <c r="AF55" s="8">
        <f>Weather!J55</f>
        <v>94.67083333333332</v>
      </c>
      <c r="AG55" s="8">
        <f>Weather!K55</f>
        <v>4.9208333333333307</v>
      </c>
      <c r="AH55" s="8">
        <f>Weather!L55</f>
        <v>144.14583333333331</v>
      </c>
      <c r="AI55" s="8">
        <f>Weather!M55</f>
        <v>1.0624999999999982</v>
      </c>
      <c r="AJ55" s="8">
        <f>Weather!N55</f>
        <v>200.28749999999999</v>
      </c>
      <c r="AK55" s="8">
        <f>Weather!O55</f>
        <v>0</v>
      </c>
      <c r="AL55" s="8">
        <f>Weather!P55</f>
        <v>259.22499999999997</v>
      </c>
      <c r="AM55" s="2">
        <f>Weather!Q55</f>
        <v>16.640833333333333</v>
      </c>
      <c r="AN55" s="8">
        <f>Economic!C55</f>
        <v>7221.1</v>
      </c>
      <c r="AO55" s="8">
        <f>Economic!D55</f>
        <v>7264.3</v>
      </c>
      <c r="AP55" s="8">
        <f>Economic!E55</f>
        <v>81.7</v>
      </c>
      <c r="AQ55" s="8">
        <f>Economic!F55</f>
        <v>82.1</v>
      </c>
      <c r="AR55" s="8">
        <f>Economic!G55</f>
        <v>789531.6</v>
      </c>
      <c r="AS55" s="8">
        <f>Economic!H55</f>
        <v>7677.9</v>
      </c>
      <c r="AT55" s="8">
        <f>Economic!I55</f>
        <v>784896</v>
      </c>
      <c r="AU55" s="8">
        <f>Economic!J55</f>
        <v>7763</v>
      </c>
      <c r="AV55" s="1">
        <f t="shared" si="23"/>
        <v>54</v>
      </c>
      <c r="AW55" s="1">
        <v>0</v>
      </c>
      <c r="AX55" s="1">
        <v>0</v>
      </c>
      <c r="AY55" s="1">
        <v>0</v>
      </c>
      <c r="AZ55" s="1">
        <v>0</v>
      </c>
      <c r="BA55" s="1">
        <v>0</v>
      </c>
      <c r="BB55" s="1">
        <v>1</v>
      </c>
      <c r="BC55" s="1">
        <v>0</v>
      </c>
      <c r="BD55" s="1">
        <v>0</v>
      </c>
      <c r="BE55" s="1">
        <v>0</v>
      </c>
      <c r="BF55" s="1">
        <v>0</v>
      </c>
      <c r="BG55" s="1">
        <v>0</v>
      </c>
      <c r="BH55" s="1">
        <v>0</v>
      </c>
      <c r="BI55" s="1">
        <v>0</v>
      </c>
      <c r="BJ55" s="1">
        <v>0</v>
      </c>
      <c r="BK55" s="1">
        <v>0</v>
      </c>
      <c r="BL55" s="1">
        <v>0</v>
      </c>
      <c r="BM55" s="1">
        <v>0</v>
      </c>
      <c r="BN55" s="1">
        <v>0</v>
      </c>
      <c r="BO55">
        <v>30</v>
      </c>
      <c r="BP55">
        <v>21</v>
      </c>
      <c r="BQ55">
        <v>0</v>
      </c>
      <c r="BR55">
        <v>0</v>
      </c>
      <c r="BS55">
        <v>0</v>
      </c>
      <c r="BT55">
        <v>0</v>
      </c>
      <c r="BU55" s="126">
        <f t="shared" si="9"/>
        <v>0</v>
      </c>
      <c r="BV55" s="126">
        <f t="shared" si="10"/>
        <v>0</v>
      </c>
      <c r="BW55" s="126">
        <f t="shared" si="11"/>
        <v>0</v>
      </c>
      <c r="BX55" s="126">
        <f t="shared" si="12"/>
        <v>0</v>
      </c>
      <c r="BY55" s="126">
        <f t="shared" si="13"/>
        <v>0</v>
      </c>
      <c r="BZ55" s="126">
        <f t="shared" si="14"/>
        <v>0</v>
      </c>
      <c r="CA55" s="126">
        <f t="shared" si="15"/>
        <v>0</v>
      </c>
      <c r="CB55" s="126">
        <f t="shared" si="16"/>
        <v>0</v>
      </c>
      <c r="CC55" s="126">
        <f t="shared" si="17"/>
        <v>0</v>
      </c>
      <c r="CD55" s="126">
        <f t="shared" si="18"/>
        <v>0</v>
      </c>
      <c r="CE55" s="126">
        <f t="shared" si="19"/>
        <v>0</v>
      </c>
      <c r="CF55" s="126">
        <f t="shared" si="20"/>
        <v>0</v>
      </c>
      <c r="CG55" s="126">
        <f t="shared" si="21"/>
        <v>0</v>
      </c>
      <c r="CH55" s="126">
        <f t="shared" si="22"/>
        <v>0</v>
      </c>
      <c r="CI55" s="66">
        <f t="shared" si="28"/>
        <v>873489.70243660652</v>
      </c>
      <c r="CJ55" s="66">
        <f t="shared" si="29"/>
        <v>345702.87019694614</v>
      </c>
      <c r="CK55" s="66">
        <f t="shared" si="30"/>
        <v>962849.39904470858</v>
      </c>
    </row>
    <row r="56" spans="1:89" x14ac:dyDescent="0.2">
      <c r="A56" s="101">
        <v>43282</v>
      </c>
      <c r="B56" s="3">
        <f t="shared" si="0"/>
        <v>2018</v>
      </c>
      <c r="C56" s="3">
        <f t="shared" si="24"/>
        <v>7</v>
      </c>
      <c r="D56" s="8">
        <v>28368231.729427487</v>
      </c>
      <c r="E56" s="8">
        <f>IFERROR(VLOOKUP($B56-1,CDM!$L$4:$R$15,2,FALSE)/12,0)+IFERROR(VLOOKUP($B56,CDM!$L$33:$O$44,2,FALSE)/24,0)+IFERROR(VLOOKUP($B56,CDM!$L$33:$O$44,2,FALSE)/2*$C56/78,0)</f>
        <v>1574724.8208113643</v>
      </c>
      <c r="F56" s="8">
        <f t="shared" si="25"/>
        <v>29942956.550238851</v>
      </c>
      <c r="G56" s="8">
        <v>42864</v>
      </c>
      <c r="H56" s="2">
        <v>11289922.850805573</v>
      </c>
      <c r="I56" s="8">
        <f>IFERROR(VLOOKUP($B56-1,CDM!$L$4:$R$15,3,FALSE)/12,0)+IFERROR(VLOOKUP($B56,CDM!$L$33:$O$44,3,FALSE)/24,0)+IFERROR(VLOOKUP($B56,CDM!$L$33:$O$44,3,FALSE)/2*$C56/78,0)</f>
        <v>448980.88313286286</v>
      </c>
      <c r="J56" s="8">
        <f t="shared" si="26"/>
        <v>11738903.733938437</v>
      </c>
      <c r="K56" s="8">
        <v>4135</v>
      </c>
      <c r="L56" s="8">
        <v>29907288.116602711</v>
      </c>
      <c r="M56" s="8">
        <f>IFERROR(VLOOKUP($B56-1,CDM!$L$4:$R$15,4,FALSE)/12,0)+IFERROR(VLOOKUP($B56,CDM!$L$33:$O$44,4,FALSE)/24,0)+IFERROR(VLOOKUP($B56,CDM!$L$33:$O$44,4,FALSE)/2*$C56/78,0)</f>
        <v>1582982.0878381107</v>
      </c>
      <c r="N56" s="8">
        <f t="shared" si="27"/>
        <v>31490270.204440821</v>
      </c>
      <c r="O56" s="8">
        <v>73586.956812027885</v>
      </c>
      <c r="P56" s="8">
        <v>490</v>
      </c>
      <c r="Q56" s="8">
        <v>464113.58633776085</v>
      </c>
      <c r="R56" s="2">
        <v>1738.4577331609503</v>
      </c>
      <c r="S56" s="7">
        <v>9854</v>
      </c>
      <c r="T56" s="2">
        <v>34832.248576850121</v>
      </c>
      <c r="U56" s="2">
        <v>92.217810677433818</v>
      </c>
      <c r="V56" s="9">
        <v>383</v>
      </c>
      <c r="W56" s="2">
        <v>96409.022770399009</v>
      </c>
      <c r="X56" s="4">
        <v>292</v>
      </c>
      <c r="Y56" s="8">
        <f>Weather!C56</f>
        <v>23.839563382567764</v>
      </c>
      <c r="Z56" s="8">
        <f>Weather!D56</f>
        <v>47.427791078288152</v>
      </c>
      <c r="AA56" s="8">
        <f>Weather!E56</f>
        <v>6.3381877941892562</v>
      </c>
      <c r="AB56" s="8">
        <f>Weather!F56</f>
        <v>91.926415489909644</v>
      </c>
      <c r="AC56" s="8">
        <f>Weather!G56</f>
        <v>1.6666666666665719E-2</v>
      </c>
      <c r="AD56" s="8">
        <f>Weather!H56</f>
        <v>147.60489436238706</v>
      </c>
      <c r="AE56" s="8">
        <f>Weather!I56</f>
        <v>0</v>
      </c>
      <c r="AF56" s="8">
        <f>Weather!J56</f>
        <v>209.58822769572041</v>
      </c>
      <c r="AG56" s="8">
        <f>Weather!K56</f>
        <v>0</v>
      </c>
      <c r="AH56" s="8">
        <f>Weather!L56</f>
        <v>271.58822769572043</v>
      </c>
      <c r="AI56" s="8">
        <f>Weather!M56</f>
        <v>0</v>
      </c>
      <c r="AJ56" s="8">
        <f>Weather!N56</f>
        <v>333.58822769572038</v>
      </c>
      <c r="AK56" s="8">
        <f>Weather!O56</f>
        <v>0</v>
      </c>
      <c r="AL56" s="8">
        <f>Weather!P56</f>
        <v>395.58822769572038</v>
      </c>
      <c r="AM56" s="2">
        <f>Weather!Q56</f>
        <v>20.760910570829694</v>
      </c>
      <c r="AN56" s="8">
        <f>Economic!C56</f>
        <v>7255</v>
      </c>
      <c r="AO56" s="8">
        <f>Economic!D56</f>
        <v>7345.7</v>
      </c>
      <c r="AP56" s="8">
        <f>Economic!E56</f>
        <v>82</v>
      </c>
      <c r="AQ56" s="8">
        <f>Economic!F56</f>
        <v>83.3</v>
      </c>
      <c r="AR56" s="8">
        <f>Economic!G56</f>
        <v>789531.6</v>
      </c>
      <c r="AS56" s="8">
        <f>Economic!H56</f>
        <v>7677.9</v>
      </c>
      <c r="AT56" s="8">
        <f>Economic!I56</f>
        <v>794140</v>
      </c>
      <c r="AU56" s="8">
        <f>Economic!J56</f>
        <v>7623</v>
      </c>
      <c r="AV56" s="1">
        <f t="shared" si="23"/>
        <v>55</v>
      </c>
      <c r="AW56" s="1">
        <v>0</v>
      </c>
      <c r="AX56" s="1">
        <v>0</v>
      </c>
      <c r="AY56" s="1">
        <v>0</v>
      </c>
      <c r="AZ56" s="1">
        <v>0</v>
      </c>
      <c r="BA56" s="1">
        <v>0</v>
      </c>
      <c r="BB56" s="1">
        <v>0</v>
      </c>
      <c r="BC56" s="1">
        <v>1</v>
      </c>
      <c r="BD56" s="1">
        <v>0</v>
      </c>
      <c r="BE56" s="1">
        <v>0</v>
      </c>
      <c r="BF56" s="1">
        <v>0</v>
      </c>
      <c r="BG56" s="1">
        <v>0</v>
      </c>
      <c r="BH56" s="1">
        <v>0</v>
      </c>
      <c r="BI56" s="1">
        <v>0</v>
      </c>
      <c r="BJ56" s="1">
        <v>0</v>
      </c>
      <c r="BK56" s="1">
        <v>0</v>
      </c>
      <c r="BL56" s="1">
        <v>0</v>
      </c>
      <c r="BM56" s="1">
        <v>0</v>
      </c>
      <c r="BN56" s="1">
        <v>0</v>
      </c>
      <c r="BO56">
        <v>31</v>
      </c>
      <c r="BP56">
        <v>21</v>
      </c>
      <c r="BQ56">
        <v>0</v>
      </c>
      <c r="BR56">
        <v>0</v>
      </c>
      <c r="BS56">
        <v>0</v>
      </c>
      <c r="BT56">
        <v>0</v>
      </c>
      <c r="BU56" s="126">
        <f t="shared" si="9"/>
        <v>0</v>
      </c>
      <c r="BV56" s="126">
        <f t="shared" si="10"/>
        <v>0</v>
      </c>
      <c r="BW56" s="126">
        <f t="shared" si="11"/>
        <v>0</v>
      </c>
      <c r="BX56" s="126">
        <f t="shared" si="12"/>
        <v>0</v>
      </c>
      <c r="BY56" s="126">
        <f t="shared" si="13"/>
        <v>0</v>
      </c>
      <c r="BZ56" s="126">
        <f t="shared" si="14"/>
        <v>0</v>
      </c>
      <c r="CA56" s="126">
        <f t="shared" si="15"/>
        <v>0</v>
      </c>
      <c r="CB56" s="126">
        <f t="shared" si="16"/>
        <v>0</v>
      </c>
      <c r="CC56" s="126">
        <f t="shared" si="17"/>
        <v>0</v>
      </c>
      <c r="CD56" s="126">
        <f t="shared" si="18"/>
        <v>0</v>
      </c>
      <c r="CE56" s="126">
        <f t="shared" si="19"/>
        <v>0</v>
      </c>
      <c r="CF56" s="126">
        <f t="shared" si="20"/>
        <v>0</v>
      </c>
      <c r="CG56" s="126">
        <f t="shared" si="21"/>
        <v>0</v>
      </c>
      <c r="CH56" s="126">
        <f t="shared" si="22"/>
        <v>0</v>
      </c>
      <c r="CI56" s="66">
        <f t="shared" si="28"/>
        <v>965901.82420125324</v>
      </c>
      <c r="CJ56" s="66">
        <f t="shared" si="29"/>
        <v>364191.0597034056</v>
      </c>
      <c r="CK56" s="66">
        <f t="shared" si="30"/>
        <v>1015815.1678851878</v>
      </c>
    </row>
    <row r="57" spans="1:89" x14ac:dyDescent="0.2">
      <c r="A57" s="101">
        <v>43313</v>
      </c>
      <c r="B57" s="3">
        <f t="shared" si="0"/>
        <v>2018</v>
      </c>
      <c r="C57" s="3">
        <f t="shared" si="24"/>
        <v>8</v>
      </c>
      <c r="D57" s="8">
        <v>27163035.407404374</v>
      </c>
      <c r="E57" s="8">
        <f>IFERROR(VLOOKUP($B57-1,CDM!$L$4:$R$15,2,FALSE)/12,0)+IFERROR(VLOOKUP($B57,CDM!$L$33:$O$44,2,FALSE)/24,0)+IFERROR(VLOOKUP($B57,CDM!$L$33:$O$44,2,FALSE)/2*$C57/78,0)</f>
        <v>1596280.6167817961</v>
      </c>
      <c r="F57" s="8">
        <f t="shared" si="25"/>
        <v>28759316.024186172</v>
      </c>
      <c r="G57" s="8">
        <v>42864</v>
      </c>
      <c r="H57" s="2">
        <v>10911155.375646848</v>
      </c>
      <c r="I57" s="8">
        <f>IFERROR(VLOOKUP($B57-1,CDM!$L$4:$R$15,3,FALSE)/12,0)+IFERROR(VLOOKUP($B57,CDM!$L$33:$O$44,3,FALSE)/24,0)+IFERROR(VLOOKUP($B57,CDM!$L$33:$O$44,3,FALSE)/2*$C57/78,0)</f>
        <v>458991.28618859686</v>
      </c>
      <c r="J57" s="8">
        <f t="shared" si="26"/>
        <v>11370146.661835445</v>
      </c>
      <c r="K57" s="8">
        <v>4135</v>
      </c>
      <c r="L57" s="8">
        <v>29368453.399217535</v>
      </c>
      <c r="M57" s="8">
        <f>IFERROR(VLOOKUP($B57-1,CDM!$L$4:$R$15,4,FALSE)/12,0)+IFERROR(VLOOKUP($B57,CDM!$L$33:$O$44,4,FALSE)/24,0)+IFERROR(VLOOKUP($B57,CDM!$L$33:$O$44,4,FALSE)/2*$C57/78,0)</f>
        <v>1602872.0977203858</v>
      </c>
      <c r="N57" s="8">
        <f t="shared" si="27"/>
        <v>30971325.496937919</v>
      </c>
      <c r="O57" s="8">
        <v>72261.152649428739</v>
      </c>
      <c r="P57" s="8">
        <v>490</v>
      </c>
      <c r="Q57" s="8">
        <v>532044.01328273246</v>
      </c>
      <c r="R57" s="2">
        <v>1738.4577331609503</v>
      </c>
      <c r="S57" s="7">
        <v>9854</v>
      </c>
      <c r="T57" s="2">
        <v>34812.267552182195</v>
      </c>
      <c r="U57" s="2">
        <v>92.217810677433818</v>
      </c>
      <c r="V57" s="9">
        <v>383</v>
      </c>
      <c r="W57" s="2">
        <v>96039.022770399009</v>
      </c>
      <c r="X57" s="4">
        <v>292</v>
      </c>
      <c r="Y57" s="8">
        <f>Weather!C57</f>
        <v>37.42083333333332</v>
      </c>
      <c r="Z57" s="8">
        <f>Weather!D57</f>
        <v>16.529166666666676</v>
      </c>
      <c r="AA57" s="8">
        <f>Weather!E57</f>
        <v>15.641666666666659</v>
      </c>
      <c r="AB57" s="8">
        <f>Weather!F57</f>
        <v>56.750000000000014</v>
      </c>
      <c r="AC57" s="8">
        <f>Weather!G57</f>
        <v>6.458333333333325</v>
      </c>
      <c r="AD57" s="8">
        <f>Weather!H57</f>
        <v>109.56666666666669</v>
      </c>
      <c r="AE57" s="8">
        <f>Weather!I57</f>
        <v>1.8875000000000011</v>
      </c>
      <c r="AF57" s="8">
        <f>Weather!J57</f>
        <v>166.99583333333334</v>
      </c>
      <c r="AG57" s="8">
        <f>Weather!K57</f>
        <v>0</v>
      </c>
      <c r="AH57" s="8">
        <f>Weather!L57</f>
        <v>227.10833333333332</v>
      </c>
      <c r="AI57" s="8">
        <f>Weather!M57</f>
        <v>0</v>
      </c>
      <c r="AJ57" s="8">
        <f>Weather!N57</f>
        <v>289.10833333333341</v>
      </c>
      <c r="AK57" s="8">
        <f>Weather!O57</f>
        <v>0</v>
      </c>
      <c r="AL57" s="8">
        <f>Weather!P57</f>
        <v>351.10833333333335</v>
      </c>
      <c r="AM57" s="2">
        <f>Weather!Q57</f>
        <v>19.326075268817203</v>
      </c>
      <c r="AN57" s="8">
        <f>Economic!C57</f>
        <v>7266.2</v>
      </c>
      <c r="AO57" s="8">
        <f>Economic!D57</f>
        <v>7359.5</v>
      </c>
      <c r="AP57" s="8">
        <f>Economic!E57</f>
        <v>82.6</v>
      </c>
      <c r="AQ57" s="8">
        <f>Economic!F57</f>
        <v>83.8</v>
      </c>
      <c r="AR57" s="8">
        <f>Economic!G57</f>
        <v>789531.6</v>
      </c>
      <c r="AS57" s="8">
        <f>Economic!H57</f>
        <v>7677.9</v>
      </c>
      <c r="AT57" s="8">
        <f>Economic!I57</f>
        <v>794140</v>
      </c>
      <c r="AU57" s="8">
        <f>Economic!J57</f>
        <v>7623</v>
      </c>
      <c r="AV57" s="1">
        <f t="shared" si="23"/>
        <v>56</v>
      </c>
      <c r="AW57" s="1">
        <v>0</v>
      </c>
      <c r="AX57" s="1">
        <v>0</v>
      </c>
      <c r="AY57" s="1">
        <v>0</v>
      </c>
      <c r="AZ57" s="1">
        <v>0</v>
      </c>
      <c r="BA57" s="1">
        <v>0</v>
      </c>
      <c r="BB57" s="1">
        <v>0</v>
      </c>
      <c r="BC57" s="1">
        <v>0</v>
      </c>
      <c r="BD57" s="1">
        <v>1</v>
      </c>
      <c r="BE57" s="1">
        <v>0</v>
      </c>
      <c r="BF57" s="1">
        <v>0</v>
      </c>
      <c r="BG57" s="1">
        <v>0</v>
      </c>
      <c r="BH57" s="1">
        <v>0</v>
      </c>
      <c r="BI57" s="1">
        <v>0</v>
      </c>
      <c r="BJ57" s="1">
        <v>0</v>
      </c>
      <c r="BK57" s="1">
        <v>0</v>
      </c>
      <c r="BL57" s="1">
        <v>0</v>
      </c>
      <c r="BM57" s="1">
        <v>0</v>
      </c>
      <c r="BN57" s="1">
        <v>0</v>
      </c>
      <c r="BO57">
        <v>31</v>
      </c>
      <c r="BP57">
        <v>22</v>
      </c>
      <c r="BQ57">
        <v>0</v>
      </c>
      <c r="BR57">
        <v>0</v>
      </c>
      <c r="BS57">
        <v>0</v>
      </c>
      <c r="BT57">
        <v>0</v>
      </c>
      <c r="BU57" s="126">
        <f t="shared" si="9"/>
        <v>0</v>
      </c>
      <c r="BV57" s="126">
        <f t="shared" si="10"/>
        <v>0</v>
      </c>
      <c r="BW57" s="126">
        <f t="shared" si="11"/>
        <v>0</v>
      </c>
      <c r="BX57" s="126">
        <f t="shared" si="12"/>
        <v>0</v>
      </c>
      <c r="BY57" s="126">
        <f t="shared" si="13"/>
        <v>0</v>
      </c>
      <c r="BZ57" s="126">
        <f t="shared" si="14"/>
        <v>0</v>
      </c>
      <c r="CA57" s="126">
        <f t="shared" si="15"/>
        <v>0</v>
      </c>
      <c r="CB57" s="126">
        <f t="shared" si="16"/>
        <v>0</v>
      </c>
      <c r="CC57" s="126">
        <f t="shared" si="17"/>
        <v>0</v>
      </c>
      <c r="CD57" s="126">
        <f t="shared" si="18"/>
        <v>0</v>
      </c>
      <c r="CE57" s="126">
        <f t="shared" si="19"/>
        <v>0</v>
      </c>
      <c r="CF57" s="126">
        <f t="shared" si="20"/>
        <v>0</v>
      </c>
      <c r="CG57" s="126">
        <f t="shared" si="21"/>
        <v>0</v>
      </c>
      <c r="CH57" s="126">
        <f t="shared" si="22"/>
        <v>0</v>
      </c>
      <c r="CI57" s="66">
        <f t="shared" si="28"/>
        <v>927719.87174794101</v>
      </c>
      <c r="CJ57" s="66">
        <f t="shared" si="29"/>
        <v>351972.75405312411</v>
      </c>
      <c r="CK57" s="66">
        <f t="shared" si="30"/>
        <v>999075.01603025547</v>
      </c>
    </row>
    <row r="58" spans="1:89" x14ac:dyDescent="0.2">
      <c r="A58" s="101">
        <v>43344</v>
      </c>
      <c r="B58" s="3">
        <f t="shared" ref="B58:B61" si="31">YEAR(A58)</f>
        <v>2018</v>
      </c>
      <c r="C58" s="3">
        <f t="shared" si="24"/>
        <v>9</v>
      </c>
      <c r="D58" s="8">
        <v>24017120.038987961</v>
      </c>
      <c r="E58" s="8">
        <f>IFERROR(VLOOKUP($B58-1,CDM!$L$4:$R$15,2,FALSE)/12,0)+IFERROR(VLOOKUP($B58,CDM!$L$33:$O$44,2,FALSE)/24,0)+IFERROR(VLOOKUP($B58,CDM!$L$33:$O$44,2,FALSE)/2*$C58/78,0)</f>
        <v>1617836.4127522279</v>
      </c>
      <c r="F58" s="8">
        <f t="shared" si="25"/>
        <v>25634956.45174019</v>
      </c>
      <c r="G58" s="8">
        <v>42864</v>
      </c>
      <c r="H58" s="2">
        <v>9848379.7358528804</v>
      </c>
      <c r="I58" s="8">
        <f>IFERROR(VLOOKUP($B58-1,CDM!$L$4:$R$15,3,FALSE)/12,0)+IFERROR(VLOOKUP($B58,CDM!$L$33:$O$44,3,FALSE)/24,0)+IFERROR(VLOOKUP($B58,CDM!$L$33:$O$44,3,FALSE)/2*$C58/78,0)</f>
        <v>469001.68924433086</v>
      </c>
      <c r="J58" s="8">
        <f t="shared" si="26"/>
        <v>10317381.425097212</v>
      </c>
      <c r="K58" s="8">
        <v>4135</v>
      </c>
      <c r="L58" s="8">
        <v>27031779.650758974</v>
      </c>
      <c r="M58" s="8">
        <f>IFERROR(VLOOKUP($B58-1,CDM!$L$4:$R$15,4,FALSE)/12,0)+IFERROR(VLOOKUP($B58,CDM!$L$33:$O$44,4,FALSE)/24,0)+IFERROR(VLOOKUP($B58,CDM!$L$33:$O$44,4,FALSE)/2*$C58/78,0)</f>
        <v>1622762.1076026608</v>
      </c>
      <c r="N58" s="8">
        <f t="shared" si="27"/>
        <v>28654541.758361634</v>
      </c>
      <c r="O58" s="8">
        <v>66511.76107834329</v>
      </c>
      <c r="P58" s="8">
        <v>490</v>
      </c>
      <c r="Q58" s="8">
        <v>598572.90322580654</v>
      </c>
      <c r="R58" s="2">
        <v>1738.4577331609503</v>
      </c>
      <c r="S58" s="7">
        <v>9854</v>
      </c>
      <c r="T58" s="2">
        <v>33444.480981542198</v>
      </c>
      <c r="U58" s="2">
        <v>92.217810677433818</v>
      </c>
      <c r="V58" s="9">
        <v>383</v>
      </c>
      <c r="W58" s="2">
        <v>92708.965844401988</v>
      </c>
      <c r="X58" s="4">
        <v>292</v>
      </c>
      <c r="Y58" s="8">
        <f>Weather!C58</f>
        <v>187.00416666666669</v>
      </c>
      <c r="Z58" s="8">
        <f>Weather!D58</f>
        <v>6.2208333333333385</v>
      </c>
      <c r="AA58" s="8">
        <f>Weather!E58</f>
        <v>141.23333333333332</v>
      </c>
      <c r="AB58" s="8">
        <f>Weather!F58</f>
        <v>20.450000000000006</v>
      </c>
      <c r="AC58" s="8">
        <f>Weather!G58</f>
        <v>101.02083333333333</v>
      </c>
      <c r="AD58" s="8">
        <f>Weather!H58</f>
        <v>40.237500000000011</v>
      </c>
      <c r="AE58" s="8">
        <f>Weather!I58</f>
        <v>67.524999999999991</v>
      </c>
      <c r="AF58" s="8">
        <f>Weather!J58</f>
        <v>66.741666666666646</v>
      </c>
      <c r="AG58" s="8">
        <f>Weather!K58</f>
        <v>39.441666666666656</v>
      </c>
      <c r="AH58" s="8">
        <f>Weather!L58</f>
        <v>98.658333333333303</v>
      </c>
      <c r="AI58" s="8">
        <f>Weather!M58</f>
        <v>19.612499999999997</v>
      </c>
      <c r="AJ58" s="8">
        <f>Weather!N58</f>
        <v>138.82916666666668</v>
      </c>
      <c r="AK58" s="8">
        <f>Weather!O58</f>
        <v>10.433333333333334</v>
      </c>
      <c r="AL58" s="8">
        <f>Weather!P58</f>
        <v>189.65000000000003</v>
      </c>
      <c r="AM58" s="2">
        <f>Weather!Q58</f>
        <v>13.97388888888889</v>
      </c>
      <c r="AN58" s="8">
        <f>Economic!C58</f>
        <v>7279.6</v>
      </c>
      <c r="AO58" s="8">
        <f>Economic!D58</f>
        <v>7324.4</v>
      </c>
      <c r="AP58" s="8">
        <f>Economic!E58</f>
        <v>83.7</v>
      </c>
      <c r="AQ58" s="8">
        <f>Economic!F58</f>
        <v>84.4</v>
      </c>
      <c r="AR58" s="8">
        <f>Economic!G58</f>
        <v>789531.6</v>
      </c>
      <c r="AS58" s="8">
        <f>Economic!H58</f>
        <v>7677.9</v>
      </c>
      <c r="AT58" s="8">
        <f>Economic!I58</f>
        <v>794140</v>
      </c>
      <c r="AU58" s="8">
        <f>Economic!J58</f>
        <v>7623</v>
      </c>
      <c r="AV58" s="1">
        <f t="shared" si="23"/>
        <v>57</v>
      </c>
      <c r="AW58" s="1">
        <v>0</v>
      </c>
      <c r="AX58" s="1">
        <v>0</v>
      </c>
      <c r="AY58" s="1">
        <v>0</v>
      </c>
      <c r="AZ58" s="1">
        <v>0</v>
      </c>
      <c r="BA58" s="1">
        <v>0</v>
      </c>
      <c r="BB58" s="1">
        <v>0</v>
      </c>
      <c r="BC58" s="1">
        <v>0</v>
      </c>
      <c r="BD58" s="1">
        <v>0</v>
      </c>
      <c r="BE58" s="1">
        <v>1</v>
      </c>
      <c r="BF58" s="1">
        <v>0</v>
      </c>
      <c r="BG58" s="1">
        <v>0</v>
      </c>
      <c r="BH58" s="1">
        <v>0</v>
      </c>
      <c r="BI58" s="1">
        <v>0</v>
      </c>
      <c r="BJ58" s="1">
        <v>1</v>
      </c>
      <c r="BK58" s="1">
        <v>1</v>
      </c>
      <c r="BL58" s="1">
        <v>0</v>
      </c>
      <c r="BM58" s="1">
        <v>1</v>
      </c>
      <c r="BN58" s="1">
        <v>1</v>
      </c>
      <c r="BO58">
        <v>30</v>
      </c>
      <c r="BP58">
        <v>19</v>
      </c>
      <c r="BQ58">
        <v>0</v>
      </c>
      <c r="BR58">
        <v>0</v>
      </c>
      <c r="BS58">
        <v>0</v>
      </c>
      <c r="BT58">
        <v>0</v>
      </c>
      <c r="BU58" s="126">
        <f t="shared" si="9"/>
        <v>0</v>
      </c>
      <c r="BV58" s="126">
        <f t="shared" si="10"/>
        <v>0</v>
      </c>
      <c r="BW58" s="126">
        <f t="shared" si="11"/>
        <v>0</v>
      </c>
      <c r="BX58" s="126">
        <f t="shared" si="12"/>
        <v>0</v>
      </c>
      <c r="BY58" s="126">
        <f t="shared" si="13"/>
        <v>0</v>
      </c>
      <c r="BZ58" s="126">
        <f t="shared" si="14"/>
        <v>0</v>
      </c>
      <c r="CA58" s="126">
        <f t="shared" si="15"/>
        <v>0</v>
      </c>
      <c r="CB58" s="126">
        <f t="shared" si="16"/>
        <v>0</v>
      </c>
      <c r="CC58" s="126">
        <f t="shared" si="17"/>
        <v>0</v>
      </c>
      <c r="CD58" s="126">
        <f t="shared" si="18"/>
        <v>0</v>
      </c>
      <c r="CE58" s="126">
        <f t="shared" si="19"/>
        <v>0</v>
      </c>
      <c r="CF58" s="126">
        <f t="shared" si="20"/>
        <v>0</v>
      </c>
      <c r="CG58" s="126">
        <f t="shared" si="21"/>
        <v>0</v>
      </c>
      <c r="CH58" s="126">
        <f t="shared" si="22"/>
        <v>0</v>
      </c>
      <c r="CI58" s="66">
        <f t="shared" si="28"/>
        <v>854498.54839133972</v>
      </c>
      <c r="CJ58" s="66">
        <f t="shared" si="29"/>
        <v>328279.32452842937</v>
      </c>
      <c r="CK58" s="66">
        <f t="shared" si="30"/>
        <v>955151.39194538782</v>
      </c>
    </row>
    <row r="59" spans="1:89" x14ac:dyDescent="0.2">
      <c r="A59" s="101">
        <v>43374</v>
      </c>
      <c r="B59" s="3">
        <f t="shared" si="31"/>
        <v>2018</v>
      </c>
      <c r="C59" s="3">
        <f t="shared" si="24"/>
        <v>10</v>
      </c>
      <c r="D59" s="8">
        <v>28236185.529971309</v>
      </c>
      <c r="E59" s="8">
        <f>IFERROR(VLOOKUP($B59-1,CDM!$L$4:$R$15,2,FALSE)/12,0)+IFERROR(VLOOKUP($B59,CDM!$L$33:$O$44,2,FALSE)/24,0)+IFERROR(VLOOKUP($B59,CDM!$L$33:$O$44,2,FALSE)/2*$C59/78,0)</f>
        <v>1639392.2087226596</v>
      </c>
      <c r="F59" s="8">
        <f t="shared" si="25"/>
        <v>29875577.738693967</v>
      </c>
      <c r="G59" s="8">
        <v>42982</v>
      </c>
      <c r="H59" s="2">
        <v>10577306.061697775</v>
      </c>
      <c r="I59" s="8">
        <f>IFERROR(VLOOKUP($B59-1,CDM!$L$4:$R$15,3,FALSE)/12,0)+IFERROR(VLOOKUP($B59,CDM!$L$33:$O$44,3,FALSE)/24,0)+IFERROR(VLOOKUP($B59,CDM!$L$33:$O$44,3,FALSE)/2*$C59/78,0)</f>
        <v>479012.09230006486</v>
      </c>
      <c r="J59" s="8">
        <f t="shared" si="26"/>
        <v>11056318.15399784</v>
      </c>
      <c r="K59" s="8">
        <v>4146</v>
      </c>
      <c r="L59" s="8">
        <v>28708830.983670939</v>
      </c>
      <c r="M59" s="8">
        <f>IFERROR(VLOOKUP($B59-1,CDM!$L$4:$R$15,4,FALSE)/12,0)+IFERROR(VLOOKUP($B59,CDM!$L$33:$O$44,4,FALSE)/24,0)+IFERROR(VLOOKUP($B59,CDM!$L$33:$O$44,4,FALSE)/2*$C59/78,0)</f>
        <v>1642652.117484936</v>
      </c>
      <c r="N59" s="8">
        <f t="shared" si="27"/>
        <v>30351483.101155873</v>
      </c>
      <c r="O59" s="8">
        <v>70638.150055016755</v>
      </c>
      <c r="P59" s="8">
        <v>498</v>
      </c>
      <c r="Q59" s="8">
        <v>707453.66223908903</v>
      </c>
      <c r="R59" s="2">
        <v>1744.1032220447689</v>
      </c>
      <c r="S59" s="7">
        <v>9886</v>
      </c>
      <c r="T59" s="2">
        <v>33181.287519406629</v>
      </c>
      <c r="U59" s="2">
        <v>90.473149394347246</v>
      </c>
      <c r="V59" s="9">
        <v>371</v>
      </c>
      <c r="W59" s="2">
        <v>95769.022770399009</v>
      </c>
      <c r="X59" s="4">
        <v>290</v>
      </c>
      <c r="Y59" s="8">
        <f>Weather!C59</f>
        <v>505.03750000000002</v>
      </c>
      <c r="Z59" s="8">
        <f>Weather!D59</f>
        <v>0</v>
      </c>
      <c r="AA59" s="8">
        <f>Weather!E59</f>
        <v>443.03749999999991</v>
      </c>
      <c r="AB59" s="8">
        <f>Weather!F59</f>
        <v>0</v>
      </c>
      <c r="AC59" s="8">
        <f>Weather!G59</f>
        <v>381.03750000000008</v>
      </c>
      <c r="AD59" s="8">
        <f>Weather!H59</f>
        <v>0</v>
      </c>
      <c r="AE59" s="8">
        <f>Weather!I59</f>
        <v>320.22916666666674</v>
      </c>
      <c r="AF59" s="8">
        <f>Weather!J59</f>
        <v>1.19166666666667</v>
      </c>
      <c r="AG59" s="8">
        <f>Weather!K59</f>
        <v>260.22916666666669</v>
      </c>
      <c r="AH59" s="8">
        <f>Weather!L59</f>
        <v>3.19166666666667</v>
      </c>
      <c r="AI59" s="8">
        <f>Weather!M59</f>
        <v>200.22916666666666</v>
      </c>
      <c r="AJ59" s="8">
        <f>Weather!N59</f>
        <v>5.19166666666667</v>
      </c>
      <c r="AK59" s="8">
        <f>Weather!O59</f>
        <v>144.84583333333333</v>
      </c>
      <c r="AL59" s="8">
        <f>Weather!P59</f>
        <v>11.808333333333337</v>
      </c>
      <c r="AM59" s="2">
        <f>Weather!Q59</f>
        <v>3.7084677419354848</v>
      </c>
      <c r="AN59" s="8">
        <f>Economic!C59</f>
        <v>7270.3</v>
      </c>
      <c r="AO59" s="8">
        <f>Economic!D59</f>
        <v>7290.6</v>
      </c>
      <c r="AP59" s="8">
        <f>Economic!E59</f>
        <v>85</v>
      </c>
      <c r="AQ59" s="8">
        <f>Economic!F59</f>
        <v>85.8</v>
      </c>
      <c r="AR59" s="8">
        <f>Economic!G59</f>
        <v>789531.6</v>
      </c>
      <c r="AS59" s="8">
        <f>Economic!H59</f>
        <v>7677.9</v>
      </c>
      <c r="AT59" s="8">
        <f>Economic!I59</f>
        <v>799632</v>
      </c>
      <c r="AU59" s="8">
        <f>Economic!J59</f>
        <v>7754</v>
      </c>
      <c r="AV59" s="1">
        <f t="shared" si="23"/>
        <v>58</v>
      </c>
      <c r="AW59" s="1">
        <v>0</v>
      </c>
      <c r="AX59" s="1">
        <v>0</v>
      </c>
      <c r="AY59" s="1">
        <v>0</v>
      </c>
      <c r="AZ59" s="1">
        <v>0</v>
      </c>
      <c r="BA59" s="1">
        <v>0</v>
      </c>
      <c r="BB59" s="1">
        <v>0</v>
      </c>
      <c r="BC59" s="1">
        <v>0</v>
      </c>
      <c r="BD59" s="1">
        <v>0</v>
      </c>
      <c r="BE59" s="1">
        <v>0</v>
      </c>
      <c r="BF59" s="1">
        <v>1</v>
      </c>
      <c r="BG59" s="1">
        <v>0</v>
      </c>
      <c r="BH59" s="1">
        <v>0</v>
      </c>
      <c r="BI59" s="1">
        <v>0</v>
      </c>
      <c r="BJ59" s="1">
        <v>1</v>
      </c>
      <c r="BK59" s="1">
        <v>1</v>
      </c>
      <c r="BL59" s="1">
        <v>0</v>
      </c>
      <c r="BM59" s="1">
        <v>1</v>
      </c>
      <c r="BN59" s="1">
        <v>1</v>
      </c>
      <c r="BO59">
        <v>31</v>
      </c>
      <c r="BP59">
        <v>22</v>
      </c>
      <c r="BQ59">
        <v>0</v>
      </c>
      <c r="BR59">
        <v>0</v>
      </c>
      <c r="BS59">
        <v>0</v>
      </c>
      <c r="BT59">
        <v>0</v>
      </c>
      <c r="BU59" s="126">
        <f t="shared" si="9"/>
        <v>0</v>
      </c>
      <c r="BV59" s="126">
        <f t="shared" si="10"/>
        <v>0</v>
      </c>
      <c r="BW59" s="126">
        <f t="shared" si="11"/>
        <v>0</v>
      </c>
      <c r="BX59" s="126">
        <f t="shared" si="12"/>
        <v>0</v>
      </c>
      <c r="BY59" s="126">
        <f t="shared" si="13"/>
        <v>0</v>
      </c>
      <c r="BZ59" s="126">
        <f t="shared" si="14"/>
        <v>0</v>
      </c>
      <c r="CA59" s="126">
        <f t="shared" si="15"/>
        <v>0</v>
      </c>
      <c r="CB59" s="126">
        <f t="shared" si="16"/>
        <v>0</v>
      </c>
      <c r="CC59" s="126">
        <f t="shared" si="17"/>
        <v>0</v>
      </c>
      <c r="CD59" s="126">
        <f t="shared" si="18"/>
        <v>0</v>
      </c>
      <c r="CE59" s="126">
        <f t="shared" si="19"/>
        <v>0</v>
      </c>
      <c r="CF59" s="126">
        <f t="shared" si="20"/>
        <v>0</v>
      </c>
      <c r="CG59" s="126">
        <f t="shared" si="21"/>
        <v>0</v>
      </c>
      <c r="CH59" s="126">
        <f t="shared" si="22"/>
        <v>0</v>
      </c>
      <c r="CI59" s="66">
        <f t="shared" si="28"/>
        <v>963728.31415141828</v>
      </c>
      <c r="CJ59" s="66">
        <f t="shared" si="29"/>
        <v>341203.4213450895</v>
      </c>
      <c r="CK59" s="66">
        <f t="shared" si="30"/>
        <v>979080.10003728629</v>
      </c>
    </row>
    <row r="60" spans="1:89" x14ac:dyDescent="0.2">
      <c r="A60" s="101">
        <v>43405</v>
      </c>
      <c r="B60" s="3">
        <f t="shared" si="31"/>
        <v>2018</v>
      </c>
      <c r="C60" s="3">
        <f t="shared" si="24"/>
        <v>11</v>
      </c>
      <c r="D60" s="8">
        <v>33882452.992128767</v>
      </c>
      <c r="E60" s="8">
        <f>IFERROR(VLOOKUP($B60-1,CDM!$L$4:$R$15,2,FALSE)/12,0)+IFERROR(VLOOKUP($B60,CDM!$L$33:$O$44,2,FALSE)/24,0)+IFERROR(VLOOKUP($B60,CDM!$L$33:$O$44,2,FALSE)/2*$C60/78,0)</f>
        <v>1660948.0046930914</v>
      </c>
      <c r="F60" s="8">
        <f t="shared" si="25"/>
        <v>35543400.996821858</v>
      </c>
      <c r="G60" s="8">
        <v>42982</v>
      </c>
      <c r="H60" s="2">
        <v>11832387.840291785</v>
      </c>
      <c r="I60" s="8">
        <f>IFERROR(VLOOKUP($B60-1,CDM!$L$4:$R$15,3,FALSE)/12,0)+IFERROR(VLOOKUP($B60,CDM!$L$33:$O$44,3,FALSE)/24,0)+IFERROR(VLOOKUP($B60,CDM!$L$33:$O$44,3,FALSE)/2*$C60/78,0)</f>
        <v>489022.49535579886</v>
      </c>
      <c r="J60" s="8">
        <f t="shared" si="26"/>
        <v>12321410.335647583</v>
      </c>
      <c r="K60" s="8">
        <v>4146</v>
      </c>
      <c r="L60" s="8">
        <v>30776403.025795076</v>
      </c>
      <c r="M60" s="8">
        <f>IFERROR(VLOOKUP($B60-1,CDM!$L$4:$R$15,4,FALSE)/12,0)+IFERROR(VLOOKUP($B60,CDM!$L$33:$O$44,4,FALSE)/24,0)+IFERROR(VLOOKUP($B60,CDM!$L$33:$O$44,4,FALSE)/2*$C60/78,0)</f>
        <v>1662542.127367211</v>
      </c>
      <c r="N60" s="8">
        <f t="shared" si="27"/>
        <v>32438945.153162286</v>
      </c>
      <c r="O60" s="8">
        <v>75725.416208215131</v>
      </c>
      <c r="P60" s="8">
        <v>498</v>
      </c>
      <c r="Q60" s="8">
        <v>760899.74383301707</v>
      </c>
      <c r="R60" s="2">
        <v>1744.1032220447689</v>
      </c>
      <c r="S60" s="7">
        <v>9886</v>
      </c>
      <c r="T60" s="2">
        <v>31298.870967741957</v>
      </c>
      <c r="U60" s="2">
        <v>90.473149394347246</v>
      </c>
      <c r="V60" s="9">
        <v>371</v>
      </c>
      <c r="W60" s="2">
        <v>92708.965844401988</v>
      </c>
      <c r="X60" s="4">
        <v>290</v>
      </c>
      <c r="Y60" s="8">
        <f>Weather!C60</f>
        <v>736.37708333333353</v>
      </c>
      <c r="Z60" s="8">
        <f>Weather!D60</f>
        <v>0</v>
      </c>
      <c r="AA60" s="8">
        <f>Weather!E60</f>
        <v>676.37708333333342</v>
      </c>
      <c r="AB60" s="8">
        <f>Weather!F60</f>
        <v>0</v>
      </c>
      <c r="AC60" s="8">
        <f>Weather!G60</f>
        <v>616.37708333333342</v>
      </c>
      <c r="AD60" s="8">
        <f>Weather!H60</f>
        <v>0</v>
      </c>
      <c r="AE60" s="8">
        <f>Weather!I60</f>
        <v>556.3770833333333</v>
      </c>
      <c r="AF60" s="8">
        <f>Weather!J60</f>
        <v>0</v>
      </c>
      <c r="AG60" s="8">
        <f>Weather!K60</f>
        <v>496.37708333333336</v>
      </c>
      <c r="AH60" s="8">
        <f>Weather!L60</f>
        <v>0</v>
      </c>
      <c r="AI60" s="8">
        <f>Weather!M60</f>
        <v>436.37708333333336</v>
      </c>
      <c r="AJ60" s="8">
        <f>Weather!N60</f>
        <v>0</v>
      </c>
      <c r="AK60" s="8">
        <f>Weather!O60</f>
        <v>376.37708333333336</v>
      </c>
      <c r="AL60" s="8">
        <f>Weather!P60</f>
        <v>0</v>
      </c>
      <c r="AM60" s="2">
        <f>Weather!Q60</f>
        <v>-4.5459027777777781</v>
      </c>
      <c r="AN60" s="8">
        <f>Economic!C60</f>
        <v>7290</v>
      </c>
      <c r="AO60" s="8">
        <f>Economic!D60</f>
        <v>7288.9</v>
      </c>
      <c r="AP60" s="8">
        <f>Economic!E60</f>
        <v>86</v>
      </c>
      <c r="AQ60" s="8">
        <f>Economic!F60</f>
        <v>87</v>
      </c>
      <c r="AR60" s="8">
        <f>Economic!G60</f>
        <v>789531.6</v>
      </c>
      <c r="AS60" s="8">
        <f>Economic!H60</f>
        <v>7677.9</v>
      </c>
      <c r="AT60" s="8">
        <f>Economic!I60</f>
        <v>799632</v>
      </c>
      <c r="AU60" s="8">
        <f>Economic!J60</f>
        <v>7754</v>
      </c>
      <c r="AV60" s="1">
        <f t="shared" si="23"/>
        <v>59</v>
      </c>
      <c r="AW60" s="1">
        <v>0</v>
      </c>
      <c r="AX60" s="1">
        <v>0</v>
      </c>
      <c r="AY60" s="1">
        <v>0</v>
      </c>
      <c r="AZ60" s="1">
        <v>0</v>
      </c>
      <c r="BA60" s="1">
        <v>0</v>
      </c>
      <c r="BB60" s="1">
        <v>0</v>
      </c>
      <c r="BC60" s="1">
        <v>0</v>
      </c>
      <c r="BD60" s="1">
        <v>0</v>
      </c>
      <c r="BE60" s="1">
        <v>0</v>
      </c>
      <c r="BF60" s="1">
        <v>0</v>
      </c>
      <c r="BG60" s="1">
        <v>1</v>
      </c>
      <c r="BH60" s="1">
        <v>0</v>
      </c>
      <c r="BI60" s="1">
        <v>0</v>
      </c>
      <c r="BJ60" s="1">
        <v>1</v>
      </c>
      <c r="BK60" s="1">
        <v>1</v>
      </c>
      <c r="BL60" s="1">
        <v>0</v>
      </c>
      <c r="BM60" s="1">
        <v>0</v>
      </c>
      <c r="BN60" s="1">
        <v>0</v>
      </c>
      <c r="BO60">
        <v>30</v>
      </c>
      <c r="BP60">
        <v>22</v>
      </c>
      <c r="BQ60">
        <v>0</v>
      </c>
      <c r="BR60">
        <v>0</v>
      </c>
      <c r="BS60">
        <v>0</v>
      </c>
      <c r="BT60">
        <v>0</v>
      </c>
      <c r="BU60" s="126">
        <f t="shared" si="9"/>
        <v>0</v>
      </c>
      <c r="BV60" s="126">
        <f t="shared" si="10"/>
        <v>0</v>
      </c>
      <c r="BW60" s="126">
        <f t="shared" si="11"/>
        <v>0</v>
      </c>
      <c r="BX60" s="126">
        <f t="shared" si="12"/>
        <v>0</v>
      </c>
      <c r="BY60" s="126">
        <f t="shared" si="13"/>
        <v>0</v>
      </c>
      <c r="BZ60" s="126">
        <f t="shared" si="14"/>
        <v>0</v>
      </c>
      <c r="CA60" s="126">
        <f t="shared" si="15"/>
        <v>0</v>
      </c>
      <c r="CB60" s="126">
        <f t="shared" si="16"/>
        <v>0</v>
      </c>
      <c r="CC60" s="126">
        <f t="shared" si="17"/>
        <v>0</v>
      </c>
      <c r="CD60" s="126">
        <f t="shared" si="18"/>
        <v>0</v>
      </c>
      <c r="CE60" s="126">
        <f t="shared" si="19"/>
        <v>0</v>
      </c>
      <c r="CF60" s="126">
        <f t="shared" si="20"/>
        <v>0</v>
      </c>
      <c r="CG60" s="126">
        <f t="shared" si="21"/>
        <v>0</v>
      </c>
      <c r="CH60" s="126">
        <f t="shared" si="22"/>
        <v>0</v>
      </c>
      <c r="CI60" s="66">
        <f t="shared" si="28"/>
        <v>1184780.0332273953</v>
      </c>
      <c r="CJ60" s="66">
        <f t="shared" si="29"/>
        <v>394412.92800972617</v>
      </c>
      <c r="CK60" s="66">
        <f t="shared" si="30"/>
        <v>1081298.1717720763</v>
      </c>
    </row>
    <row r="61" spans="1:89" x14ac:dyDescent="0.2">
      <c r="A61" s="101">
        <v>43435</v>
      </c>
      <c r="B61" s="3">
        <f t="shared" si="31"/>
        <v>2018</v>
      </c>
      <c r="C61" s="3">
        <f t="shared" si="24"/>
        <v>12</v>
      </c>
      <c r="D61" s="8">
        <v>39584700.53548865</v>
      </c>
      <c r="E61" s="8">
        <f>IFERROR(VLOOKUP($B61-1,CDM!$L$4:$R$15,2,FALSE)/12,0)+IFERROR(VLOOKUP($B61,CDM!$L$33:$O$44,2,FALSE)/24,0)+IFERROR(VLOOKUP($B61,CDM!$L$33:$O$44,2,FALSE)/2*$C61/78,0)</f>
        <v>1682503.8006635234</v>
      </c>
      <c r="F61" s="8">
        <f t="shared" si="25"/>
        <v>41267204.336152174</v>
      </c>
      <c r="G61" s="8">
        <v>42982</v>
      </c>
      <c r="H61" s="2">
        <v>12890088.073693393</v>
      </c>
      <c r="I61" s="8">
        <f>IFERROR(VLOOKUP($B61-1,CDM!$L$4:$R$15,3,FALSE)/12,0)+IFERROR(VLOOKUP($B61,CDM!$L$33:$O$44,3,FALSE)/24,0)+IFERROR(VLOOKUP($B61,CDM!$L$33:$O$44,3,FALSE)/2*$C61/78,0)</f>
        <v>499032.89841153286</v>
      </c>
      <c r="J61" s="8">
        <f t="shared" si="26"/>
        <v>13389120.972104926</v>
      </c>
      <c r="K61" s="8">
        <v>4146</v>
      </c>
      <c r="L61" s="8">
        <v>32533317.938790657</v>
      </c>
      <c r="M61" s="8">
        <f>IFERROR(VLOOKUP($B61-1,CDM!$L$4:$R$15,4,FALSE)/12,0)+IFERROR(VLOOKUP($B61,CDM!$L$33:$O$44,4,FALSE)/24,0)+IFERROR(VLOOKUP($B61,CDM!$L$33:$O$44,4,FALSE)/2*$C61/78,0)</f>
        <v>1682432.1372494861</v>
      </c>
      <c r="N61" s="8">
        <f t="shared" si="27"/>
        <v>34215750.076040141</v>
      </c>
      <c r="O61" s="8">
        <v>80048.309722363003</v>
      </c>
      <c r="P61" s="8">
        <v>498</v>
      </c>
      <c r="Q61" s="8">
        <v>827759.66793168883</v>
      </c>
      <c r="R61" s="2">
        <v>1744.1032220447689</v>
      </c>
      <c r="S61" s="7">
        <v>9886</v>
      </c>
      <c r="T61" s="2">
        <v>31845.559772296048</v>
      </c>
      <c r="U61" s="2">
        <v>90.473149394347246</v>
      </c>
      <c r="V61" s="9">
        <v>371</v>
      </c>
      <c r="W61" s="2">
        <v>95769.022770399009</v>
      </c>
      <c r="X61" s="4">
        <v>290</v>
      </c>
      <c r="Y61" s="8">
        <f>Weather!C61</f>
        <v>846.44791666666663</v>
      </c>
      <c r="Z61" s="8">
        <f>Weather!D61</f>
        <v>0</v>
      </c>
      <c r="AA61" s="8">
        <f>Weather!E61</f>
        <v>784.44791666666663</v>
      </c>
      <c r="AB61" s="8">
        <f>Weather!F61</f>
        <v>0</v>
      </c>
      <c r="AC61" s="8">
        <f>Weather!G61</f>
        <v>722.44791666666663</v>
      </c>
      <c r="AD61" s="8">
        <f>Weather!H61</f>
        <v>0</v>
      </c>
      <c r="AE61" s="8">
        <f>Weather!I61</f>
        <v>660.44791666666663</v>
      </c>
      <c r="AF61" s="8">
        <f>Weather!J61</f>
        <v>0</v>
      </c>
      <c r="AG61" s="8">
        <f>Weather!K61</f>
        <v>598.44791666666663</v>
      </c>
      <c r="AH61" s="8">
        <f>Weather!L61</f>
        <v>0</v>
      </c>
      <c r="AI61" s="8">
        <f>Weather!M61</f>
        <v>536.44791666666663</v>
      </c>
      <c r="AJ61" s="8">
        <f>Weather!N61</f>
        <v>0</v>
      </c>
      <c r="AK61" s="8">
        <f>Weather!O61</f>
        <v>474.44791666666669</v>
      </c>
      <c r="AL61" s="8">
        <f>Weather!P61</f>
        <v>0</v>
      </c>
      <c r="AM61" s="2">
        <f>Weather!Q61</f>
        <v>-7.304771505376344</v>
      </c>
      <c r="AN61" s="8">
        <f>Economic!C61</f>
        <v>7300.1</v>
      </c>
      <c r="AO61" s="8">
        <f>Economic!D61</f>
        <v>7310.7</v>
      </c>
      <c r="AP61" s="8">
        <f>Economic!E61</f>
        <v>86.5</v>
      </c>
      <c r="AQ61" s="8">
        <f>Economic!F61</f>
        <v>87.2</v>
      </c>
      <c r="AR61" s="8">
        <f>Economic!G61</f>
        <v>789531.6</v>
      </c>
      <c r="AS61" s="8">
        <f>Economic!H61</f>
        <v>7677.9</v>
      </c>
      <c r="AT61" s="8">
        <f>Economic!I61</f>
        <v>799632</v>
      </c>
      <c r="AU61" s="8">
        <f>Economic!J61</f>
        <v>7754</v>
      </c>
      <c r="AV61" s="1">
        <f t="shared" si="23"/>
        <v>60</v>
      </c>
      <c r="AW61" s="1">
        <v>0</v>
      </c>
      <c r="AX61" s="1">
        <v>0</v>
      </c>
      <c r="AY61" s="1">
        <v>0</v>
      </c>
      <c r="AZ61" s="1">
        <v>0</v>
      </c>
      <c r="BA61" s="1">
        <v>0</v>
      </c>
      <c r="BB61" s="1">
        <v>0</v>
      </c>
      <c r="BC61" s="1">
        <v>0</v>
      </c>
      <c r="BD61" s="1">
        <v>0</v>
      </c>
      <c r="BE61" s="1">
        <v>0</v>
      </c>
      <c r="BF61" s="1">
        <v>0</v>
      </c>
      <c r="BG61" s="1">
        <v>0</v>
      </c>
      <c r="BH61" s="1">
        <v>1</v>
      </c>
      <c r="BI61" s="1">
        <v>0</v>
      </c>
      <c r="BJ61" s="1">
        <v>0</v>
      </c>
      <c r="BK61" s="1">
        <v>0</v>
      </c>
      <c r="BL61" s="1">
        <v>0</v>
      </c>
      <c r="BM61" s="1">
        <v>0</v>
      </c>
      <c r="BN61" s="1">
        <v>0</v>
      </c>
      <c r="BO61">
        <v>31</v>
      </c>
      <c r="BP61">
        <v>19</v>
      </c>
      <c r="BQ61">
        <v>0</v>
      </c>
      <c r="BR61">
        <v>0</v>
      </c>
      <c r="BS61">
        <v>0</v>
      </c>
      <c r="BT61">
        <v>0</v>
      </c>
      <c r="BU61" s="126">
        <f t="shared" si="9"/>
        <v>0</v>
      </c>
      <c r="BV61" s="126">
        <f t="shared" si="10"/>
        <v>0</v>
      </c>
      <c r="BW61" s="126">
        <f t="shared" si="11"/>
        <v>0</v>
      </c>
      <c r="BX61" s="126">
        <f t="shared" si="12"/>
        <v>0</v>
      </c>
      <c r="BY61" s="126">
        <f t="shared" si="13"/>
        <v>0</v>
      </c>
      <c r="BZ61" s="126">
        <f t="shared" si="14"/>
        <v>0</v>
      </c>
      <c r="CA61" s="126">
        <f t="shared" si="15"/>
        <v>0</v>
      </c>
      <c r="CB61" s="126">
        <f t="shared" si="16"/>
        <v>0</v>
      </c>
      <c r="CC61" s="126">
        <f t="shared" si="17"/>
        <v>0</v>
      </c>
      <c r="CD61" s="126">
        <f t="shared" si="18"/>
        <v>0</v>
      </c>
      <c r="CE61" s="126">
        <f t="shared" si="19"/>
        <v>0</v>
      </c>
      <c r="CF61" s="126">
        <f t="shared" si="20"/>
        <v>0</v>
      </c>
      <c r="CG61" s="126">
        <f t="shared" si="21"/>
        <v>0</v>
      </c>
      <c r="CH61" s="126">
        <f t="shared" si="22"/>
        <v>0</v>
      </c>
      <c r="CI61" s="66">
        <f t="shared" si="28"/>
        <v>1331200.1398758765</v>
      </c>
      <c r="CJ61" s="66">
        <f t="shared" si="29"/>
        <v>415809.29269978689</v>
      </c>
      <c r="CK61" s="66">
        <f t="shared" si="30"/>
        <v>1103733.8734206497</v>
      </c>
    </row>
    <row r="62" spans="1:89" x14ac:dyDescent="0.2">
      <c r="A62" s="101">
        <v>43466</v>
      </c>
      <c r="B62" s="3">
        <v>2019</v>
      </c>
      <c r="C62" s="3">
        <v>1</v>
      </c>
      <c r="D62" s="8">
        <v>44747347.009999998</v>
      </c>
      <c r="E62" s="8">
        <f>IFERROR(VLOOKUP($B62-1,CDM!$L$4:$R$15,2,FALSE)/12,0)+IFERROR(VLOOKUP($B62,CDM!$L$33:$O$44,2,FALSE)/24,0)+IFERROR(VLOOKUP($B62,CDM!$L$33:$O$44,2,FALSE)/2*$C62/78,0)</f>
        <v>1602641.2496343642</v>
      </c>
      <c r="F62" s="8">
        <f t="shared" si="25"/>
        <v>46349988.259634361</v>
      </c>
      <c r="G62" s="8">
        <v>42986</v>
      </c>
      <c r="H62" s="2">
        <v>14111889.539999999</v>
      </c>
      <c r="I62" s="8">
        <f>IFERROR(VLOOKUP($B62-1,CDM!$L$4:$R$15,3,FALSE)/12,0)+IFERROR(VLOOKUP($B62,CDM!$L$33:$O$44,3,FALSE)/24,0)+IFERROR(VLOOKUP($B62,CDM!$L$33:$O$44,3,FALSE)/2*$C62/78,0)</f>
        <v>486214.48043769482</v>
      </c>
      <c r="J62" s="8">
        <f t="shared" si="26"/>
        <v>14598104.020437693</v>
      </c>
      <c r="K62" s="8">
        <v>4154</v>
      </c>
      <c r="L62" s="8">
        <v>34632517.210000001</v>
      </c>
      <c r="M62" s="8">
        <f>IFERROR(VLOOKUP($B62-1,CDM!$L$4:$R$15,4,FALSE)/12,0)+IFERROR(VLOOKUP($B62,CDM!$L$33:$O$44,4,FALSE)/24,0)+IFERROR(VLOOKUP($B62,CDM!$L$33:$O$44,4,FALSE)/2*$C62/78,0)</f>
        <v>1648608.6567917389</v>
      </c>
      <c r="N62" s="8">
        <f t="shared" si="27"/>
        <v>36281125.86679174</v>
      </c>
      <c r="O62" s="8">
        <v>84339.026897245189</v>
      </c>
      <c r="P62" s="8">
        <v>506</v>
      </c>
      <c r="Q62" s="8">
        <v>804819.63</v>
      </c>
      <c r="R62" s="2">
        <v>1736.2856593642068</v>
      </c>
      <c r="S62" s="8">
        <v>9885</v>
      </c>
      <c r="T62" s="2">
        <v>31772.36</v>
      </c>
      <c r="U62" s="2">
        <v>86.77010466439134</v>
      </c>
      <c r="V62" s="9">
        <v>371</v>
      </c>
      <c r="W62" s="2">
        <v>95769</v>
      </c>
      <c r="X62" s="1">
        <v>292</v>
      </c>
      <c r="Y62" s="8">
        <f>Weather!C62</f>
        <v>1109.2395833333335</v>
      </c>
      <c r="Z62" s="8">
        <f>Weather!D62</f>
        <v>0</v>
      </c>
      <c r="AA62" s="8">
        <f>Weather!E62</f>
        <v>1047.2395833333335</v>
      </c>
      <c r="AB62" s="8">
        <f>Weather!F62</f>
        <v>0</v>
      </c>
      <c r="AC62" s="8">
        <f>Weather!G62</f>
        <v>985.23958333333337</v>
      </c>
      <c r="AD62" s="8">
        <f>Weather!H62</f>
        <v>0</v>
      </c>
      <c r="AE62" s="8">
        <f>Weather!I62</f>
        <v>923.23958333333337</v>
      </c>
      <c r="AF62" s="8">
        <f>Weather!J62</f>
        <v>0</v>
      </c>
      <c r="AG62" s="8">
        <f>Weather!K62</f>
        <v>861.23958333333326</v>
      </c>
      <c r="AH62" s="8">
        <f>Weather!L62</f>
        <v>0</v>
      </c>
      <c r="AI62" s="8">
        <f>Weather!M62</f>
        <v>799.23958333333326</v>
      </c>
      <c r="AJ62" s="8">
        <f>Weather!N62</f>
        <v>0</v>
      </c>
      <c r="AK62" s="8">
        <f>Weather!O62</f>
        <v>737.23958333333337</v>
      </c>
      <c r="AL62" s="8">
        <f>Weather!P62</f>
        <v>0</v>
      </c>
      <c r="AM62" s="2">
        <f>Weather!Q62</f>
        <v>-15.781922043010757</v>
      </c>
      <c r="AN62" s="8">
        <f>Economic!C62</f>
        <v>7318</v>
      </c>
      <c r="AO62" s="8">
        <f>Economic!D62</f>
        <v>7289.4</v>
      </c>
      <c r="AP62" s="8">
        <f>Economic!E62</f>
        <v>87.3</v>
      </c>
      <c r="AQ62" s="8">
        <f>Economic!F62</f>
        <v>86.4</v>
      </c>
      <c r="AR62" s="8">
        <f>Economic!G62</f>
        <v>807274.5</v>
      </c>
      <c r="AS62" s="8">
        <f>Economic!H62</f>
        <v>7405</v>
      </c>
      <c r="AT62" s="8">
        <f>Economic!I62</f>
        <v>800724</v>
      </c>
      <c r="AU62" s="8">
        <f>Economic!J62</f>
        <v>7368</v>
      </c>
      <c r="AV62" s="1">
        <f t="shared" si="23"/>
        <v>61</v>
      </c>
      <c r="AW62" s="1">
        <v>1</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v>31</v>
      </c>
      <c r="BP62" s="1">
        <v>22</v>
      </c>
      <c r="BQ62">
        <v>0</v>
      </c>
      <c r="BR62">
        <v>0</v>
      </c>
      <c r="BS62">
        <v>0</v>
      </c>
      <c r="BT62">
        <v>0</v>
      </c>
      <c r="BU62" s="126">
        <f t="shared" si="9"/>
        <v>0</v>
      </c>
      <c r="BV62" s="126">
        <f t="shared" si="10"/>
        <v>0</v>
      </c>
      <c r="BW62" s="126">
        <f t="shared" si="11"/>
        <v>0</v>
      </c>
      <c r="BX62" s="126">
        <f t="shared" si="12"/>
        <v>0</v>
      </c>
      <c r="BY62" s="126">
        <f t="shared" si="13"/>
        <v>0</v>
      </c>
      <c r="BZ62" s="126">
        <f t="shared" si="14"/>
        <v>0</v>
      </c>
      <c r="CA62" s="126">
        <f t="shared" si="15"/>
        <v>0</v>
      </c>
      <c r="CB62" s="126">
        <f t="shared" si="16"/>
        <v>0</v>
      </c>
      <c r="CC62" s="126">
        <f t="shared" si="17"/>
        <v>0</v>
      </c>
      <c r="CD62" s="126">
        <f t="shared" si="18"/>
        <v>0</v>
      </c>
      <c r="CE62" s="126">
        <f t="shared" si="19"/>
        <v>0</v>
      </c>
      <c r="CF62" s="126">
        <f t="shared" si="20"/>
        <v>0</v>
      </c>
      <c r="CG62" s="126">
        <f t="shared" si="21"/>
        <v>0</v>
      </c>
      <c r="CH62" s="126">
        <f t="shared" si="22"/>
        <v>0</v>
      </c>
      <c r="CI62" s="66">
        <f t="shared" si="28"/>
        <v>1495160.9116011085</v>
      </c>
      <c r="CJ62" s="66">
        <f t="shared" si="29"/>
        <v>455222.24322580645</v>
      </c>
      <c r="CK62" s="66">
        <f t="shared" si="30"/>
        <v>1170358.8989287659</v>
      </c>
    </row>
    <row r="63" spans="1:89" x14ac:dyDescent="0.2">
      <c r="A63" s="101">
        <v>43497</v>
      </c>
      <c r="B63" s="3">
        <v>2019</v>
      </c>
      <c r="C63" s="3">
        <v>2</v>
      </c>
      <c r="D63" s="8">
        <v>38656470.649999999</v>
      </c>
      <c r="E63" s="8">
        <f>IFERROR(VLOOKUP($B63-1,CDM!$L$4:$R$15,2,FALSE)/12,0)+IFERROR(VLOOKUP($B63,CDM!$L$33:$O$44,2,FALSE)/24,0)+IFERROR(VLOOKUP($B63,CDM!$L$33:$O$44,2,FALSE)/2*$C63/78,0)</f>
        <v>1607800.4932087928</v>
      </c>
      <c r="F63" s="8">
        <f t="shared" si="25"/>
        <v>40264271.143208794</v>
      </c>
      <c r="G63" s="8">
        <v>42986</v>
      </c>
      <c r="H63" s="2">
        <v>12666666.800000001</v>
      </c>
      <c r="I63" s="8">
        <f>IFERROR(VLOOKUP($B63-1,CDM!$L$4:$R$15,3,FALSE)/12,0)+IFERROR(VLOOKUP($B63,CDM!$L$33:$O$44,3,FALSE)/24,0)+IFERROR(VLOOKUP($B63,CDM!$L$33:$O$44,3,FALSE)/2*$C63/78,0)</f>
        <v>491846.32028205472</v>
      </c>
      <c r="J63" s="8">
        <f t="shared" si="26"/>
        <v>13158513.120282056</v>
      </c>
      <c r="K63" s="8">
        <v>4154</v>
      </c>
      <c r="L63" s="8">
        <v>30813799.239999998</v>
      </c>
      <c r="M63" s="8">
        <f>IFERROR(VLOOKUP($B63-1,CDM!$L$4:$R$15,4,FALSE)/12,0)+IFERROR(VLOOKUP($B63,CDM!$L$33:$O$44,4,FALSE)/24,0)+IFERROR(VLOOKUP($B63,CDM!$L$33:$O$44,4,FALSE)/2*$C63/78,0)</f>
        <v>1658684.8666443743</v>
      </c>
      <c r="N63" s="8">
        <f t="shared" si="27"/>
        <v>32472484.106644373</v>
      </c>
      <c r="O63" s="8">
        <v>75039.473081046453</v>
      </c>
      <c r="P63" s="8">
        <v>506</v>
      </c>
      <c r="Q63" s="8">
        <v>665127.41</v>
      </c>
      <c r="R63" s="2">
        <v>1736.2856593642068</v>
      </c>
      <c r="S63" s="8">
        <v>9885</v>
      </c>
      <c r="T63" s="2">
        <v>28760.240000000002</v>
      </c>
      <c r="U63" s="2">
        <v>86.77010466439134</v>
      </c>
      <c r="V63" s="9">
        <v>371</v>
      </c>
      <c r="W63" s="2">
        <v>86505</v>
      </c>
      <c r="X63" s="1">
        <v>292</v>
      </c>
      <c r="Y63" s="8">
        <f>Weather!C63</f>
        <v>894.45833333333337</v>
      </c>
      <c r="Z63" s="8">
        <f>Weather!D63</f>
        <v>0</v>
      </c>
      <c r="AA63" s="8">
        <f>Weather!E63</f>
        <v>838.45833333333326</v>
      </c>
      <c r="AB63" s="8">
        <f>Weather!F63</f>
        <v>0</v>
      </c>
      <c r="AC63" s="8">
        <f>Weather!G63</f>
        <v>782.45833333333337</v>
      </c>
      <c r="AD63" s="8">
        <f>Weather!H63</f>
        <v>0</v>
      </c>
      <c r="AE63" s="8">
        <f>Weather!I63</f>
        <v>726.45833333333337</v>
      </c>
      <c r="AF63" s="8">
        <f>Weather!J63</f>
        <v>0</v>
      </c>
      <c r="AG63" s="8">
        <f>Weather!K63</f>
        <v>670.45833333333337</v>
      </c>
      <c r="AH63" s="8">
        <f>Weather!L63</f>
        <v>0</v>
      </c>
      <c r="AI63" s="8">
        <f>Weather!M63</f>
        <v>614.45833333333326</v>
      </c>
      <c r="AJ63" s="8">
        <f>Weather!N63</f>
        <v>0</v>
      </c>
      <c r="AK63" s="8">
        <f>Weather!O63</f>
        <v>558.45833333333337</v>
      </c>
      <c r="AL63" s="8">
        <f>Weather!P63</f>
        <v>0</v>
      </c>
      <c r="AM63" s="2">
        <f>Weather!Q63</f>
        <v>-11.944940476190476</v>
      </c>
      <c r="AN63" s="8">
        <f>Economic!C63</f>
        <v>7345.4</v>
      </c>
      <c r="AO63" s="8">
        <f>Economic!D63</f>
        <v>7278.4</v>
      </c>
      <c r="AP63" s="8">
        <f>Economic!E63</f>
        <v>88.3</v>
      </c>
      <c r="AQ63" s="8">
        <f>Economic!F63</f>
        <v>86.7</v>
      </c>
      <c r="AR63" s="8">
        <f>Economic!G63</f>
        <v>807274.5</v>
      </c>
      <c r="AS63" s="8">
        <f>Economic!H63</f>
        <v>7405</v>
      </c>
      <c r="AT63" s="8">
        <f>Economic!I63</f>
        <v>800724</v>
      </c>
      <c r="AU63" s="8">
        <f>Economic!J63</f>
        <v>7368</v>
      </c>
      <c r="AV63" s="1">
        <f t="shared" si="23"/>
        <v>62</v>
      </c>
      <c r="AW63" s="1">
        <v>0</v>
      </c>
      <c r="AX63" s="1">
        <v>1</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v>28</v>
      </c>
      <c r="BP63" s="1">
        <v>19</v>
      </c>
      <c r="BQ63">
        <v>0</v>
      </c>
      <c r="BR63">
        <v>0</v>
      </c>
      <c r="BS63">
        <v>0</v>
      </c>
      <c r="BT63">
        <v>0</v>
      </c>
      <c r="BU63" s="126">
        <f t="shared" si="9"/>
        <v>0</v>
      </c>
      <c r="BV63" s="126">
        <f t="shared" si="10"/>
        <v>0</v>
      </c>
      <c r="BW63" s="126">
        <f t="shared" si="11"/>
        <v>0</v>
      </c>
      <c r="BX63" s="126">
        <f t="shared" si="12"/>
        <v>0</v>
      </c>
      <c r="BY63" s="126">
        <f t="shared" si="13"/>
        <v>0</v>
      </c>
      <c r="BZ63" s="126">
        <f t="shared" si="14"/>
        <v>0</v>
      </c>
      <c r="CA63" s="126">
        <f t="shared" si="15"/>
        <v>0</v>
      </c>
      <c r="CB63" s="126">
        <f t="shared" si="16"/>
        <v>0</v>
      </c>
      <c r="CC63" s="126">
        <f t="shared" si="17"/>
        <v>0</v>
      </c>
      <c r="CD63" s="126">
        <f t="shared" si="18"/>
        <v>0</v>
      </c>
      <c r="CE63" s="126">
        <f t="shared" si="19"/>
        <v>0</v>
      </c>
      <c r="CF63" s="126">
        <f t="shared" si="20"/>
        <v>0</v>
      </c>
      <c r="CG63" s="126">
        <f t="shared" si="21"/>
        <v>0</v>
      </c>
      <c r="CH63" s="126">
        <f t="shared" si="22"/>
        <v>0</v>
      </c>
      <c r="CI63" s="66">
        <f t="shared" si="28"/>
        <v>1438009.6836860285</v>
      </c>
      <c r="CJ63" s="66">
        <f t="shared" si="29"/>
        <v>452380.95714285719</v>
      </c>
      <c r="CK63" s="66">
        <f t="shared" si="30"/>
        <v>1159731.5752372991</v>
      </c>
    </row>
    <row r="64" spans="1:89" x14ac:dyDescent="0.2">
      <c r="A64" s="101">
        <v>43525</v>
      </c>
      <c r="B64" s="3">
        <v>2019</v>
      </c>
      <c r="C64" s="3">
        <v>3</v>
      </c>
      <c r="D64" s="8">
        <v>36433117.420000002</v>
      </c>
      <c r="E64" s="8">
        <f>IFERROR(VLOOKUP($B64-1,CDM!$L$4:$R$15,2,FALSE)/12,0)+IFERROR(VLOOKUP($B64,CDM!$L$33:$O$44,2,FALSE)/24,0)+IFERROR(VLOOKUP($B64,CDM!$L$33:$O$44,2,FALSE)/2*$C64/78,0)</f>
        <v>1612959.7367832216</v>
      </c>
      <c r="F64" s="8">
        <f t="shared" si="25"/>
        <v>38046077.156783223</v>
      </c>
      <c r="G64" s="8">
        <v>42986</v>
      </c>
      <c r="H64" s="2">
        <v>12740567.68</v>
      </c>
      <c r="I64" s="8">
        <f>IFERROR(VLOOKUP($B64-1,CDM!$L$4:$R$15,3,FALSE)/12,0)+IFERROR(VLOOKUP($B64,CDM!$L$33:$O$44,3,FALSE)/24,0)+IFERROR(VLOOKUP($B64,CDM!$L$33:$O$44,3,FALSE)/2*$C64/78,0)</f>
        <v>497478.16012641456</v>
      </c>
      <c r="J64" s="8">
        <f t="shared" si="26"/>
        <v>13238045.840126414</v>
      </c>
      <c r="K64" s="8">
        <v>4154</v>
      </c>
      <c r="L64" s="8">
        <v>31664136.43</v>
      </c>
      <c r="M64" s="8">
        <f>IFERROR(VLOOKUP($B64-1,CDM!$L$4:$R$15,4,FALSE)/12,0)+IFERROR(VLOOKUP($B64,CDM!$L$33:$O$44,4,FALSE)/24,0)+IFERROR(VLOOKUP($B64,CDM!$L$33:$O$44,4,FALSE)/2*$C64/78,0)</f>
        <v>1668761.0764970097</v>
      </c>
      <c r="N64" s="8">
        <f t="shared" si="27"/>
        <v>33332897.506497011</v>
      </c>
      <c r="O64" s="8">
        <v>77110.261372416455</v>
      </c>
      <c r="P64" s="8">
        <v>506</v>
      </c>
      <c r="Q64" s="8">
        <v>650655.53</v>
      </c>
      <c r="R64" s="2">
        <v>1736.2856593642068</v>
      </c>
      <c r="S64" s="8">
        <v>9885</v>
      </c>
      <c r="T64" s="2">
        <v>31841.72</v>
      </c>
      <c r="U64" s="2">
        <v>86.77010466439134</v>
      </c>
      <c r="V64" s="9">
        <v>371</v>
      </c>
      <c r="W64" s="2">
        <v>95769</v>
      </c>
      <c r="X64" s="1">
        <v>292</v>
      </c>
      <c r="Y64" s="8">
        <f>Weather!C64</f>
        <v>803.16666666666663</v>
      </c>
      <c r="Z64" s="8">
        <f>Weather!D64</f>
        <v>0</v>
      </c>
      <c r="AA64" s="8">
        <f>Weather!E64</f>
        <v>741.16666666666674</v>
      </c>
      <c r="AB64" s="8">
        <f>Weather!F64</f>
        <v>0</v>
      </c>
      <c r="AC64" s="8">
        <f>Weather!G64</f>
        <v>679.16666666666674</v>
      </c>
      <c r="AD64" s="8">
        <f>Weather!H64</f>
        <v>0</v>
      </c>
      <c r="AE64" s="8">
        <f>Weather!I64</f>
        <v>617.16666666666674</v>
      </c>
      <c r="AF64" s="8">
        <f>Weather!J64</f>
        <v>0</v>
      </c>
      <c r="AG64" s="8">
        <f>Weather!K64</f>
        <v>555.16666666666674</v>
      </c>
      <c r="AH64" s="8">
        <f>Weather!L64</f>
        <v>0</v>
      </c>
      <c r="AI64" s="8">
        <f>Weather!M64</f>
        <v>493.16666666666669</v>
      </c>
      <c r="AJ64" s="8">
        <f>Weather!N64</f>
        <v>0</v>
      </c>
      <c r="AK64" s="8">
        <f>Weather!O64</f>
        <v>431.16666666666669</v>
      </c>
      <c r="AL64" s="8">
        <f>Weather!P64</f>
        <v>0</v>
      </c>
      <c r="AM64" s="2">
        <f>Weather!Q64</f>
        <v>-5.9086021505376349</v>
      </c>
      <c r="AN64" s="8">
        <f>Economic!C64</f>
        <v>7361.3</v>
      </c>
      <c r="AO64" s="8">
        <f>Economic!D64</f>
        <v>7256.9</v>
      </c>
      <c r="AP64" s="8">
        <f>Economic!E64</f>
        <v>88.6</v>
      </c>
      <c r="AQ64" s="8">
        <f>Economic!F64</f>
        <v>86.8</v>
      </c>
      <c r="AR64" s="8">
        <f>Economic!G64</f>
        <v>807274.5</v>
      </c>
      <c r="AS64" s="8">
        <f>Economic!H64</f>
        <v>7405</v>
      </c>
      <c r="AT64" s="8">
        <f>Economic!I64</f>
        <v>800724</v>
      </c>
      <c r="AU64" s="8">
        <f>Economic!J64</f>
        <v>7368</v>
      </c>
      <c r="AV64" s="1">
        <f t="shared" si="23"/>
        <v>63</v>
      </c>
      <c r="AW64" s="1">
        <v>0</v>
      </c>
      <c r="AX64" s="1">
        <v>0</v>
      </c>
      <c r="AY64" s="1">
        <v>1</v>
      </c>
      <c r="AZ64" s="1">
        <v>0</v>
      </c>
      <c r="BA64" s="1">
        <v>0</v>
      </c>
      <c r="BB64" s="1">
        <v>0</v>
      </c>
      <c r="BC64" s="1">
        <v>0</v>
      </c>
      <c r="BD64" s="1">
        <v>0</v>
      </c>
      <c r="BE64" s="1">
        <v>0</v>
      </c>
      <c r="BF64" s="1">
        <v>0</v>
      </c>
      <c r="BG64" s="1">
        <v>0</v>
      </c>
      <c r="BH64" s="1">
        <v>0</v>
      </c>
      <c r="BI64" s="1">
        <v>1</v>
      </c>
      <c r="BJ64" s="1">
        <v>0</v>
      </c>
      <c r="BK64" s="1">
        <v>1</v>
      </c>
      <c r="BL64" s="1">
        <v>0</v>
      </c>
      <c r="BM64" s="1">
        <v>0</v>
      </c>
      <c r="BN64" s="1">
        <v>0</v>
      </c>
      <c r="BO64">
        <v>31</v>
      </c>
      <c r="BP64" s="1">
        <v>22</v>
      </c>
      <c r="BQ64">
        <v>0</v>
      </c>
      <c r="BR64">
        <v>0</v>
      </c>
      <c r="BS64">
        <v>0</v>
      </c>
      <c r="BT64">
        <v>0</v>
      </c>
      <c r="BU64" s="126">
        <f t="shared" si="9"/>
        <v>0</v>
      </c>
      <c r="BV64" s="126">
        <f t="shared" si="10"/>
        <v>0</v>
      </c>
      <c r="BW64" s="126">
        <f t="shared" si="11"/>
        <v>0</v>
      </c>
      <c r="BX64" s="126">
        <f t="shared" si="12"/>
        <v>0</v>
      </c>
      <c r="BY64" s="126">
        <f t="shared" si="13"/>
        <v>0</v>
      </c>
      <c r="BZ64" s="126">
        <f t="shared" si="14"/>
        <v>0</v>
      </c>
      <c r="CA64" s="126">
        <f t="shared" si="15"/>
        <v>0</v>
      </c>
      <c r="CB64" s="126">
        <f t="shared" si="16"/>
        <v>0</v>
      </c>
      <c r="CC64" s="126">
        <f t="shared" si="17"/>
        <v>0</v>
      </c>
      <c r="CD64" s="126">
        <f t="shared" si="18"/>
        <v>0</v>
      </c>
      <c r="CE64" s="126">
        <f t="shared" si="19"/>
        <v>0</v>
      </c>
      <c r="CF64" s="126">
        <f t="shared" si="20"/>
        <v>0</v>
      </c>
      <c r="CG64" s="126">
        <f t="shared" si="21"/>
        <v>0</v>
      </c>
      <c r="CH64" s="126">
        <f t="shared" si="22"/>
        <v>0</v>
      </c>
      <c r="CI64" s="66">
        <f t="shared" si="28"/>
        <v>1227292.8115091363</v>
      </c>
      <c r="CJ64" s="66">
        <f t="shared" si="29"/>
        <v>410986.05419354839</v>
      </c>
      <c r="CK64" s="66">
        <f t="shared" si="30"/>
        <v>1075254.7582740972</v>
      </c>
    </row>
    <row r="65" spans="1:89" x14ac:dyDescent="0.2">
      <c r="A65" s="101">
        <v>43556</v>
      </c>
      <c r="B65" s="3">
        <v>2019</v>
      </c>
      <c r="C65" s="3">
        <v>4</v>
      </c>
      <c r="D65" s="8">
        <v>30202595.469999999</v>
      </c>
      <c r="E65" s="8">
        <f>IFERROR(VLOOKUP($B65-1,CDM!$L$4:$R$15,2,FALSE)/12,0)+IFERROR(VLOOKUP($B65,CDM!$L$33:$O$44,2,FALSE)/24,0)+IFERROR(VLOOKUP($B65,CDM!$L$33:$O$44,2,FALSE)/2*$C65/78,0)</f>
        <v>1618118.9803576502</v>
      </c>
      <c r="F65" s="8">
        <f t="shared" si="25"/>
        <v>31820714.450357649</v>
      </c>
      <c r="G65" s="8">
        <v>42987</v>
      </c>
      <c r="H65" s="2">
        <v>10904695.630000001</v>
      </c>
      <c r="I65" s="8">
        <f>IFERROR(VLOOKUP($B65-1,CDM!$L$4:$R$15,3,FALSE)/12,0)+IFERROR(VLOOKUP($B65,CDM!$L$33:$O$44,3,FALSE)/24,0)+IFERROR(VLOOKUP($B65,CDM!$L$33:$O$44,3,FALSE)/2*$C65/78,0)</f>
        <v>503109.99997077446</v>
      </c>
      <c r="J65" s="8">
        <f t="shared" si="26"/>
        <v>11407805.629970776</v>
      </c>
      <c r="K65" s="8">
        <v>4171</v>
      </c>
      <c r="L65" s="8">
        <v>27467771.170000002</v>
      </c>
      <c r="M65" s="8">
        <f>IFERROR(VLOOKUP($B65-1,CDM!$L$4:$R$15,4,FALSE)/12,0)+IFERROR(VLOOKUP($B65,CDM!$L$33:$O$44,4,FALSE)/24,0)+IFERROR(VLOOKUP($B65,CDM!$L$33:$O$44,4,FALSE)/2*$C65/78,0)</f>
        <v>1678837.2863496454</v>
      </c>
      <c r="N65" s="8">
        <f t="shared" si="27"/>
        <v>29146608.456349649</v>
      </c>
      <c r="O65" s="8">
        <v>66891.039928368118</v>
      </c>
      <c r="P65" s="8">
        <v>496</v>
      </c>
      <c r="Q65" s="8">
        <v>542688.87</v>
      </c>
      <c r="R65" s="2">
        <v>1735.9343623162831</v>
      </c>
      <c r="S65" s="8">
        <v>9883</v>
      </c>
      <c r="T65" s="2">
        <v>30814.560000000001</v>
      </c>
      <c r="U65" s="2">
        <v>86.77010466439134</v>
      </c>
      <c r="V65" s="9">
        <v>371</v>
      </c>
      <c r="W65" s="2">
        <v>92709</v>
      </c>
      <c r="X65" s="1">
        <v>292</v>
      </c>
      <c r="Y65" s="8">
        <f>Weather!C65</f>
        <v>547.67708333333337</v>
      </c>
      <c r="Z65" s="8">
        <f>Weather!D65</f>
        <v>0</v>
      </c>
      <c r="AA65" s="8">
        <f>Weather!E65</f>
        <v>487.67708333333331</v>
      </c>
      <c r="AB65" s="8">
        <f>Weather!F65</f>
        <v>0</v>
      </c>
      <c r="AC65" s="8">
        <f>Weather!G65</f>
        <v>427.67708333333331</v>
      </c>
      <c r="AD65" s="8">
        <f>Weather!H65</f>
        <v>0</v>
      </c>
      <c r="AE65" s="8">
        <f>Weather!I65</f>
        <v>367.67708333333331</v>
      </c>
      <c r="AF65" s="8">
        <f>Weather!J65</f>
        <v>0</v>
      </c>
      <c r="AG65" s="8">
        <f>Weather!K65</f>
        <v>307.67708333333331</v>
      </c>
      <c r="AH65" s="8">
        <f>Weather!L65</f>
        <v>0</v>
      </c>
      <c r="AI65" s="8">
        <f>Weather!M65</f>
        <v>247.67708333333331</v>
      </c>
      <c r="AJ65" s="8">
        <f>Weather!N65</f>
        <v>0</v>
      </c>
      <c r="AK65" s="8">
        <f>Weather!O65</f>
        <v>187.72291666666666</v>
      </c>
      <c r="AL65" s="8">
        <f>Weather!P65</f>
        <v>4.5833333333332504E-2</v>
      </c>
      <c r="AM65" s="2">
        <f>Weather!Q65</f>
        <v>1.7440972222222226</v>
      </c>
      <c r="AN65" s="8">
        <f>Economic!C65</f>
        <v>7382.3</v>
      </c>
      <c r="AO65" s="8">
        <f>Economic!D65</f>
        <v>7294</v>
      </c>
      <c r="AP65" s="8">
        <f>Economic!E65</f>
        <v>89</v>
      </c>
      <c r="AQ65" s="8">
        <f>Economic!F65</f>
        <v>87.8</v>
      </c>
      <c r="AR65" s="8">
        <f>Economic!G65</f>
        <v>807274.5</v>
      </c>
      <c r="AS65" s="8">
        <f>Economic!H65</f>
        <v>7405</v>
      </c>
      <c r="AT65" s="8">
        <f>Economic!I65</f>
        <v>806630</v>
      </c>
      <c r="AU65" s="8">
        <f>Economic!J65</f>
        <v>7613</v>
      </c>
      <c r="AV65" s="1">
        <f t="shared" si="23"/>
        <v>64</v>
      </c>
      <c r="AW65" s="1">
        <v>0</v>
      </c>
      <c r="AX65" s="1">
        <v>0</v>
      </c>
      <c r="AY65" s="1">
        <v>0</v>
      </c>
      <c r="AZ65" s="1">
        <v>1</v>
      </c>
      <c r="BA65" s="1">
        <v>0</v>
      </c>
      <c r="BB65" s="1">
        <v>0</v>
      </c>
      <c r="BC65" s="1">
        <v>0</v>
      </c>
      <c r="BD65" s="1">
        <v>0</v>
      </c>
      <c r="BE65" s="1">
        <v>0</v>
      </c>
      <c r="BF65" s="1">
        <v>0</v>
      </c>
      <c r="BG65" s="1">
        <v>0</v>
      </c>
      <c r="BH65" s="1">
        <v>0</v>
      </c>
      <c r="BI65" s="1">
        <v>1</v>
      </c>
      <c r="BJ65" s="1">
        <v>0</v>
      </c>
      <c r="BK65" s="1">
        <v>1</v>
      </c>
      <c r="BL65" s="1">
        <v>1</v>
      </c>
      <c r="BM65" s="1">
        <v>0</v>
      </c>
      <c r="BN65" s="1">
        <v>1</v>
      </c>
      <c r="BO65">
        <v>30</v>
      </c>
      <c r="BP65" s="1">
        <v>21</v>
      </c>
      <c r="BQ65">
        <v>0</v>
      </c>
      <c r="BR65">
        <v>0</v>
      </c>
      <c r="BS65">
        <v>0</v>
      </c>
      <c r="BT65">
        <v>0</v>
      </c>
      <c r="BU65" s="126">
        <f t="shared" si="9"/>
        <v>0</v>
      </c>
      <c r="BV65" s="126">
        <f t="shared" si="10"/>
        <v>0</v>
      </c>
      <c r="BW65" s="126">
        <f t="shared" si="11"/>
        <v>0</v>
      </c>
      <c r="BX65" s="126">
        <f t="shared" si="12"/>
        <v>0</v>
      </c>
      <c r="BY65" s="126">
        <f t="shared" si="13"/>
        <v>0</v>
      </c>
      <c r="BZ65" s="126">
        <f t="shared" si="14"/>
        <v>0</v>
      </c>
      <c r="CA65" s="126">
        <f t="shared" si="15"/>
        <v>0</v>
      </c>
      <c r="CB65" s="126">
        <f t="shared" si="16"/>
        <v>0</v>
      </c>
      <c r="CC65" s="126">
        <f t="shared" si="17"/>
        <v>0</v>
      </c>
      <c r="CD65" s="126">
        <f t="shared" si="18"/>
        <v>0</v>
      </c>
      <c r="CE65" s="126">
        <f t="shared" si="19"/>
        <v>0</v>
      </c>
      <c r="CF65" s="126">
        <f t="shared" si="20"/>
        <v>0</v>
      </c>
      <c r="CG65" s="126">
        <f t="shared" si="21"/>
        <v>0</v>
      </c>
      <c r="CH65" s="126">
        <f t="shared" si="22"/>
        <v>0</v>
      </c>
      <c r="CI65" s="66">
        <f t="shared" si="28"/>
        <v>1060690.4816785883</v>
      </c>
      <c r="CJ65" s="66">
        <f t="shared" si="29"/>
        <v>363489.85433333338</v>
      </c>
      <c r="CK65" s="66">
        <f t="shared" si="30"/>
        <v>971553.61521165492</v>
      </c>
    </row>
    <row r="66" spans="1:89" x14ac:dyDescent="0.2">
      <c r="A66" s="101">
        <v>43586</v>
      </c>
      <c r="B66" s="3">
        <v>2019</v>
      </c>
      <c r="C66" s="3">
        <v>5</v>
      </c>
      <c r="D66" s="8">
        <v>24943162.420000002</v>
      </c>
      <c r="E66" s="8">
        <f>IFERROR(VLOOKUP($B66-1,CDM!$L$4:$R$15,2,FALSE)/12,0)+IFERROR(VLOOKUP($B66,CDM!$L$33:$O$44,2,FALSE)/24,0)+IFERROR(VLOOKUP($B66,CDM!$L$33:$O$44,2,FALSE)/2*$C66/78,0)</f>
        <v>1623278.223932079</v>
      </c>
      <c r="F66" s="8">
        <f t="shared" si="25"/>
        <v>26566440.643932082</v>
      </c>
      <c r="G66" s="8">
        <v>42987</v>
      </c>
      <c r="H66" s="2">
        <v>10077217.550000001</v>
      </c>
      <c r="I66" s="8">
        <f>IFERROR(VLOOKUP($B66-1,CDM!$L$4:$R$15,3,FALSE)/12,0)+IFERROR(VLOOKUP($B66,CDM!$L$33:$O$44,3,FALSE)/24,0)+IFERROR(VLOOKUP($B66,CDM!$L$33:$O$44,3,FALSE)/2*$C66/78,0)</f>
        <v>508741.8398151343</v>
      </c>
      <c r="J66" s="8">
        <f t="shared" si="26"/>
        <v>10585959.389815135</v>
      </c>
      <c r="K66" s="8">
        <v>4171</v>
      </c>
      <c r="L66" s="8">
        <v>26250432.809999999</v>
      </c>
      <c r="M66" s="8">
        <f>IFERROR(VLOOKUP($B66-1,CDM!$L$4:$R$15,4,FALSE)/12,0)+IFERROR(VLOOKUP($B66,CDM!$L$33:$O$44,4,FALSE)/24,0)+IFERROR(VLOOKUP($B66,CDM!$L$33:$O$44,4,FALSE)/2*$C66/78,0)</f>
        <v>1688913.4962022807</v>
      </c>
      <c r="N66" s="8">
        <f t="shared" si="27"/>
        <v>27939346.306202278</v>
      </c>
      <c r="O66" s="8">
        <v>63926.510031088706</v>
      </c>
      <c r="P66" s="8">
        <v>496</v>
      </c>
      <c r="Q66" s="8">
        <v>483835.59</v>
      </c>
      <c r="R66" s="2">
        <v>1735.9343623162831</v>
      </c>
      <c r="S66" s="8">
        <v>9883</v>
      </c>
      <c r="T66" s="2">
        <v>31841.72</v>
      </c>
      <c r="U66" s="2">
        <v>86.77010466439134</v>
      </c>
      <c r="V66" s="9">
        <v>371</v>
      </c>
      <c r="W66" s="2">
        <v>95769</v>
      </c>
      <c r="X66" s="1">
        <v>292</v>
      </c>
      <c r="Y66" s="8">
        <f>Weather!C66</f>
        <v>347.69791666666663</v>
      </c>
      <c r="Z66" s="8">
        <f>Weather!D66</f>
        <v>0</v>
      </c>
      <c r="AA66" s="8">
        <f>Weather!E66</f>
        <v>285.69791666666669</v>
      </c>
      <c r="AB66" s="8">
        <f>Weather!F66</f>
        <v>0</v>
      </c>
      <c r="AC66" s="8">
        <f>Weather!G66</f>
        <v>223.69791666666666</v>
      </c>
      <c r="AD66" s="8">
        <f>Weather!H66</f>
        <v>0</v>
      </c>
      <c r="AE66" s="8">
        <f>Weather!I66</f>
        <v>162.75208333333333</v>
      </c>
      <c r="AF66" s="8">
        <f>Weather!J66</f>
        <v>1.0541666666666618</v>
      </c>
      <c r="AG66" s="8">
        <f>Weather!K66</f>
        <v>108.52291666666665</v>
      </c>
      <c r="AH66" s="8">
        <f>Weather!L66</f>
        <v>8.8249999999999922</v>
      </c>
      <c r="AI66" s="8">
        <f>Weather!M66</f>
        <v>65.560416666666669</v>
      </c>
      <c r="AJ66" s="8">
        <f>Weather!N66</f>
        <v>27.86249999999999</v>
      </c>
      <c r="AK66" s="8">
        <f>Weather!O66</f>
        <v>33.952083333333341</v>
      </c>
      <c r="AL66" s="8">
        <f>Weather!P66</f>
        <v>58.254166666666656</v>
      </c>
      <c r="AM66" s="2">
        <f>Weather!Q66</f>
        <v>8.7839381720430101</v>
      </c>
      <c r="AN66" s="8">
        <f>Economic!C66</f>
        <v>7398.9</v>
      </c>
      <c r="AO66" s="8">
        <f>Economic!D66</f>
        <v>7366.8</v>
      </c>
      <c r="AP66" s="8">
        <f>Economic!E66</f>
        <v>89</v>
      </c>
      <c r="AQ66" s="8">
        <f>Economic!F66</f>
        <v>88.4</v>
      </c>
      <c r="AR66" s="8">
        <f>Economic!G66</f>
        <v>807274.5</v>
      </c>
      <c r="AS66" s="8">
        <f>Economic!H66</f>
        <v>7405</v>
      </c>
      <c r="AT66" s="8">
        <f>Economic!I66</f>
        <v>806630</v>
      </c>
      <c r="AU66" s="8">
        <f>Economic!J66</f>
        <v>7613</v>
      </c>
      <c r="AV66" s="1">
        <f t="shared" si="23"/>
        <v>65</v>
      </c>
      <c r="AW66" s="1">
        <v>0</v>
      </c>
      <c r="AX66" s="1">
        <v>0</v>
      </c>
      <c r="AY66" s="1">
        <v>0</v>
      </c>
      <c r="AZ66" s="1">
        <v>0</v>
      </c>
      <c r="BA66" s="1">
        <v>1</v>
      </c>
      <c r="BB66" s="1">
        <v>0</v>
      </c>
      <c r="BC66" s="1">
        <v>0</v>
      </c>
      <c r="BD66" s="1">
        <v>0</v>
      </c>
      <c r="BE66" s="1">
        <v>0</v>
      </c>
      <c r="BF66" s="1">
        <v>0</v>
      </c>
      <c r="BG66" s="1">
        <v>0</v>
      </c>
      <c r="BH66" s="1">
        <v>0</v>
      </c>
      <c r="BI66" s="1">
        <v>1</v>
      </c>
      <c r="BJ66" s="1">
        <v>0</v>
      </c>
      <c r="BK66" s="1">
        <v>1</v>
      </c>
      <c r="BL66" s="1">
        <v>1</v>
      </c>
      <c r="BM66" s="1">
        <v>0</v>
      </c>
      <c r="BN66" s="1">
        <v>1</v>
      </c>
      <c r="BO66">
        <v>31</v>
      </c>
      <c r="BP66" s="1">
        <v>20</v>
      </c>
      <c r="BQ66">
        <v>0</v>
      </c>
      <c r="BR66">
        <v>0</v>
      </c>
      <c r="BS66">
        <v>0</v>
      </c>
      <c r="BT66">
        <v>0</v>
      </c>
      <c r="BU66" s="126">
        <f t="shared" si="9"/>
        <v>0</v>
      </c>
      <c r="BV66" s="126">
        <f t="shared" si="10"/>
        <v>0</v>
      </c>
      <c r="BW66" s="126">
        <f t="shared" si="11"/>
        <v>0</v>
      </c>
      <c r="BX66" s="126">
        <f t="shared" si="12"/>
        <v>0</v>
      </c>
      <c r="BY66" s="126">
        <f t="shared" si="13"/>
        <v>0</v>
      </c>
      <c r="BZ66" s="126">
        <f t="shared" si="14"/>
        <v>0</v>
      </c>
      <c r="CA66" s="126">
        <f t="shared" si="15"/>
        <v>0</v>
      </c>
      <c r="CB66" s="126">
        <f t="shared" si="16"/>
        <v>0</v>
      </c>
      <c r="CC66" s="126">
        <f t="shared" si="17"/>
        <v>0</v>
      </c>
      <c r="CD66" s="126">
        <f t="shared" si="18"/>
        <v>0</v>
      </c>
      <c r="CE66" s="126">
        <f t="shared" si="19"/>
        <v>0</v>
      </c>
      <c r="CF66" s="126">
        <f t="shared" si="20"/>
        <v>0</v>
      </c>
      <c r="CG66" s="126">
        <f t="shared" si="21"/>
        <v>0</v>
      </c>
      <c r="CH66" s="126">
        <f t="shared" si="22"/>
        <v>0</v>
      </c>
      <c r="CI66" s="66">
        <f t="shared" ref="CI66:CI97" si="32">F66/BO66</f>
        <v>856981.95625587355</v>
      </c>
      <c r="CJ66" s="66">
        <f t="shared" ref="CJ66:CJ97" si="33">H66/BO66</f>
        <v>325071.53387096775</v>
      </c>
      <c r="CK66" s="66">
        <f t="shared" ref="CK66:CK97" si="34">N66/BO66</f>
        <v>901269.23568394443</v>
      </c>
    </row>
    <row r="67" spans="1:89" x14ac:dyDescent="0.2">
      <c r="A67" s="101">
        <v>43617</v>
      </c>
      <c r="B67" s="3">
        <v>2019</v>
      </c>
      <c r="C67" s="3">
        <v>6</v>
      </c>
      <c r="D67" s="8">
        <v>23898986.699999999</v>
      </c>
      <c r="E67" s="8">
        <f>IFERROR(VLOOKUP($B67-1,CDM!$L$4:$R$15,2,FALSE)/12,0)+IFERROR(VLOOKUP($B67,CDM!$L$33:$O$44,2,FALSE)/24,0)+IFERROR(VLOOKUP($B67,CDM!$L$33:$O$44,2,FALSE)/2*$C67/78,0)</f>
        <v>1628437.4675065076</v>
      </c>
      <c r="F67" s="8">
        <f t="shared" si="25"/>
        <v>25527424.167506509</v>
      </c>
      <c r="G67" s="8">
        <v>42987</v>
      </c>
      <c r="H67" s="2">
        <v>9957686.0600000005</v>
      </c>
      <c r="I67" s="8">
        <f>IFERROR(VLOOKUP($B67-1,CDM!$L$4:$R$15,3,FALSE)/12,0)+IFERROR(VLOOKUP($B67,CDM!$L$33:$O$44,3,FALSE)/24,0)+IFERROR(VLOOKUP($B67,CDM!$L$33:$O$44,3,FALSE)/2*$C67/78,0)</f>
        <v>514373.6796594942</v>
      </c>
      <c r="J67" s="8">
        <f t="shared" si="26"/>
        <v>10472059.739659496</v>
      </c>
      <c r="K67" s="8">
        <v>4171</v>
      </c>
      <c r="L67" s="8">
        <v>25754265.93</v>
      </c>
      <c r="M67" s="8">
        <f>IFERROR(VLOOKUP($B67-1,CDM!$L$4:$R$15,4,FALSE)/12,0)+IFERROR(VLOOKUP($B67,CDM!$L$33:$O$44,4,FALSE)/24,0)+IFERROR(VLOOKUP($B67,CDM!$L$33:$O$44,4,FALSE)/2*$C67/78,0)</f>
        <v>1698989.7060549161</v>
      </c>
      <c r="N67" s="8">
        <f t="shared" si="27"/>
        <v>27453255.636054914</v>
      </c>
      <c r="O67" s="8">
        <v>62718.21692365731</v>
      </c>
      <c r="P67" s="8">
        <v>496</v>
      </c>
      <c r="Q67" s="8">
        <v>429505.67</v>
      </c>
      <c r="R67" s="2">
        <v>1735.9343623162831</v>
      </c>
      <c r="S67" s="8">
        <v>9883</v>
      </c>
      <c r="T67" s="2">
        <v>30765.72</v>
      </c>
      <c r="U67" s="2">
        <v>86.77010466439134</v>
      </c>
      <c r="V67" s="9">
        <v>371</v>
      </c>
      <c r="W67" s="2">
        <v>92709</v>
      </c>
      <c r="X67" s="1">
        <v>292</v>
      </c>
      <c r="Y67" s="8">
        <f>Weather!C67</f>
        <v>132.03262558837852</v>
      </c>
      <c r="Z67" s="8">
        <f>Weather!D67</f>
        <v>2.37083333333333</v>
      </c>
      <c r="AA67" s="8">
        <f>Weather!E67</f>
        <v>83.111792255045174</v>
      </c>
      <c r="AB67" s="8">
        <f>Weather!F67</f>
        <v>13.45</v>
      </c>
      <c r="AC67" s="8">
        <f>Weather!G67</f>
        <v>48.532625588378508</v>
      </c>
      <c r="AD67" s="8">
        <f>Weather!H67</f>
        <v>38.87083333333333</v>
      </c>
      <c r="AE67" s="8">
        <f>Weather!I67</f>
        <v>24.593042255045169</v>
      </c>
      <c r="AF67" s="8">
        <f>Weather!J67</f>
        <v>74.931250000000006</v>
      </c>
      <c r="AG67" s="8">
        <f>Weather!K67</f>
        <v>10.513875588378506</v>
      </c>
      <c r="AH67" s="8">
        <f>Weather!L67</f>
        <v>120.85208333333333</v>
      </c>
      <c r="AI67" s="8">
        <f>Weather!M67</f>
        <v>3.5374999999999988</v>
      </c>
      <c r="AJ67" s="8">
        <f>Weather!N67</f>
        <v>173.87570774495484</v>
      </c>
      <c r="AK67" s="8">
        <f>Weather!O67</f>
        <v>1.0125000000000002</v>
      </c>
      <c r="AL67" s="8">
        <f>Weather!P67</f>
        <v>231.35070774495486</v>
      </c>
      <c r="AM67" s="2">
        <f>Weather!Q67</f>
        <v>15.67794025816516</v>
      </c>
      <c r="AN67" s="8">
        <f>Economic!C67</f>
        <v>7420.3</v>
      </c>
      <c r="AO67" s="8">
        <f>Economic!D67</f>
        <v>7460.9</v>
      </c>
      <c r="AP67" s="8">
        <f>Economic!E67</f>
        <v>88.2</v>
      </c>
      <c r="AQ67" s="8">
        <f>Economic!F67</f>
        <v>88.5</v>
      </c>
      <c r="AR67" s="8">
        <f>Economic!G67</f>
        <v>807274.5</v>
      </c>
      <c r="AS67" s="8">
        <f>Economic!H67</f>
        <v>7405</v>
      </c>
      <c r="AT67" s="8">
        <f>Economic!I67</f>
        <v>806630</v>
      </c>
      <c r="AU67" s="8">
        <f>Economic!J67</f>
        <v>7613</v>
      </c>
      <c r="AV67" s="1">
        <f t="shared" si="23"/>
        <v>66</v>
      </c>
      <c r="AW67" s="1">
        <v>0</v>
      </c>
      <c r="AX67" s="1">
        <v>0</v>
      </c>
      <c r="AY67" s="1">
        <v>0</v>
      </c>
      <c r="AZ67" s="1">
        <v>0</v>
      </c>
      <c r="BA67" s="1">
        <v>0</v>
      </c>
      <c r="BB67" s="1">
        <v>1</v>
      </c>
      <c r="BC67" s="1">
        <v>0</v>
      </c>
      <c r="BD67" s="1">
        <v>0</v>
      </c>
      <c r="BE67" s="1">
        <v>0</v>
      </c>
      <c r="BF67" s="1">
        <v>0</v>
      </c>
      <c r="BG67" s="1">
        <v>0</v>
      </c>
      <c r="BH67" s="1">
        <v>0</v>
      </c>
      <c r="BI67" s="1">
        <v>0</v>
      </c>
      <c r="BJ67" s="1">
        <v>0</v>
      </c>
      <c r="BK67" s="1">
        <v>0</v>
      </c>
      <c r="BL67" s="1">
        <v>0</v>
      </c>
      <c r="BM67" s="1">
        <v>0</v>
      </c>
      <c r="BN67" s="1">
        <v>0</v>
      </c>
      <c r="BO67">
        <v>30</v>
      </c>
      <c r="BP67" s="1">
        <v>22</v>
      </c>
      <c r="BQ67">
        <v>0</v>
      </c>
      <c r="BR67">
        <v>0</v>
      </c>
      <c r="BS67">
        <v>0</v>
      </c>
      <c r="BT67">
        <v>0</v>
      </c>
      <c r="BU67" s="126">
        <f t="shared" ref="BU67:BU119" si="35">$BQ67*Y67</f>
        <v>0</v>
      </c>
      <c r="BV67" s="126">
        <f t="shared" ref="BV67:BV119" si="36">$BQ67*Z67</f>
        <v>0</v>
      </c>
      <c r="BW67" s="126">
        <f t="shared" ref="BW67:BW119" si="37">$BQ67*AA67</f>
        <v>0</v>
      </c>
      <c r="BX67" s="126">
        <f t="shared" ref="BX67:BX119" si="38">$BQ67*AB67</f>
        <v>0</v>
      </c>
      <c r="BY67" s="126">
        <f t="shared" ref="BY67:BY119" si="39">$BQ67*AC67</f>
        <v>0</v>
      </c>
      <c r="BZ67" s="126">
        <f t="shared" ref="BZ67:BZ119" si="40">$BQ67*AD67</f>
        <v>0</v>
      </c>
      <c r="CA67" s="126">
        <f t="shared" ref="CA67:CA119" si="41">$BQ67*AE67</f>
        <v>0</v>
      </c>
      <c r="CB67" s="126">
        <f t="shared" ref="CB67:CB119" si="42">$BQ67*AF67</f>
        <v>0</v>
      </c>
      <c r="CC67" s="126">
        <f t="shared" ref="CC67:CC119" si="43">$BQ67*AG67</f>
        <v>0</v>
      </c>
      <c r="CD67" s="126">
        <f t="shared" ref="CD67:CD119" si="44">$BQ67*AH67</f>
        <v>0</v>
      </c>
      <c r="CE67" s="126">
        <f t="shared" ref="CE67:CE119" si="45">$BQ67*AI67</f>
        <v>0</v>
      </c>
      <c r="CF67" s="126">
        <f t="shared" ref="CF67:CF119" si="46">$BQ67*AJ67</f>
        <v>0</v>
      </c>
      <c r="CG67" s="126">
        <f t="shared" ref="CG67:CG119" si="47">$BQ67*AK67</f>
        <v>0</v>
      </c>
      <c r="CH67" s="126">
        <f t="shared" ref="CH67:CH119" si="48">$BQ67*AL67</f>
        <v>0</v>
      </c>
      <c r="CI67" s="66">
        <f t="shared" si="32"/>
        <v>850914.13891688362</v>
      </c>
      <c r="CJ67" s="66">
        <f t="shared" si="33"/>
        <v>331922.86866666668</v>
      </c>
      <c r="CK67" s="66">
        <f t="shared" si="34"/>
        <v>915108.52120183047</v>
      </c>
    </row>
    <row r="68" spans="1:89" x14ac:dyDescent="0.2">
      <c r="A68" s="101">
        <v>43647</v>
      </c>
      <c r="B68" s="3">
        <v>2019</v>
      </c>
      <c r="C68" s="3">
        <v>7</v>
      </c>
      <c r="D68" s="8">
        <v>28029405.460000001</v>
      </c>
      <c r="E68" s="8">
        <f>IFERROR(VLOOKUP($B68-1,CDM!$L$4:$R$15,2,FALSE)/12,0)+IFERROR(VLOOKUP($B68,CDM!$L$33:$O$44,2,FALSE)/24,0)+IFERROR(VLOOKUP($B68,CDM!$L$33:$O$44,2,FALSE)/2*$C68/78,0)</f>
        <v>1633596.7110809365</v>
      </c>
      <c r="F68" s="8">
        <f t="shared" si="25"/>
        <v>29663002.171080936</v>
      </c>
      <c r="G68" s="8">
        <v>43023</v>
      </c>
      <c r="H68" s="2">
        <v>11033364.15</v>
      </c>
      <c r="I68" s="8">
        <f>IFERROR(VLOOKUP($B68-1,CDM!$L$4:$R$15,3,FALSE)/12,0)+IFERROR(VLOOKUP($B68,CDM!$L$33:$O$44,3,FALSE)/24,0)+IFERROR(VLOOKUP($B68,CDM!$L$33:$O$44,3,FALSE)/2*$C68/78,0)</f>
        <v>520005.51950385404</v>
      </c>
      <c r="J68" s="8">
        <f t="shared" si="26"/>
        <v>11553369.669503855</v>
      </c>
      <c r="K68" s="8">
        <v>4170</v>
      </c>
      <c r="L68" s="8">
        <v>28557899.260000002</v>
      </c>
      <c r="M68" s="8">
        <f>IFERROR(VLOOKUP($B68-1,CDM!$L$4:$R$15,4,FALSE)/12,0)+IFERROR(VLOOKUP($B68,CDM!$L$33:$O$44,4,FALSE)/24,0)+IFERROR(VLOOKUP($B68,CDM!$L$33:$O$44,4,FALSE)/2*$C68/78,0)</f>
        <v>1709065.9159075515</v>
      </c>
      <c r="N68" s="8">
        <f t="shared" si="27"/>
        <v>30266965.175907552</v>
      </c>
      <c r="O68" s="8">
        <v>69545.780320077349</v>
      </c>
      <c r="P68" s="8">
        <v>500</v>
      </c>
      <c r="Q68" s="8">
        <v>463440.44</v>
      </c>
      <c r="R68" s="2">
        <v>1745.4193826102301</v>
      </c>
      <c r="S68" s="8">
        <v>9937</v>
      </c>
      <c r="T68" s="2">
        <v>31622.240000000002</v>
      </c>
      <c r="U68" s="2">
        <v>85.834577929465297</v>
      </c>
      <c r="V68" s="9">
        <v>367</v>
      </c>
      <c r="W68" s="2">
        <v>95569</v>
      </c>
      <c r="X68" s="1">
        <v>297</v>
      </c>
      <c r="Y68" s="8">
        <f>Weather!C68</f>
        <v>19.483333333333356</v>
      </c>
      <c r="Z68" s="8">
        <f>Weather!D68</f>
        <v>29.431250000000006</v>
      </c>
      <c r="AA68" s="8">
        <f>Weather!E68</f>
        <v>3.2125000000000092</v>
      </c>
      <c r="AB68" s="8">
        <f>Weather!F68</f>
        <v>75.160416666666691</v>
      </c>
      <c r="AC68" s="8">
        <f>Weather!G68</f>
        <v>0</v>
      </c>
      <c r="AD68" s="8">
        <f>Weather!H68</f>
        <v>133.94791666666666</v>
      </c>
      <c r="AE68" s="8">
        <f>Weather!I68</f>
        <v>0</v>
      </c>
      <c r="AF68" s="8">
        <f>Weather!J68</f>
        <v>195.94791666666663</v>
      </c>
      <c r="AG68" s="8">
        <f>Weather!K68</f>
        <v>0</v>
      </c>
      <c r="AH68" s="8">
        <f>Weather!L68</f>
        <v>257.94791666666663</v>
      </c>
      <c r="AI68" s="8">
        <f>Weather!M68</f>
        <v>0</v>
      </c>
      <c r="AJ68" s="8">
        <f>Weather!N68</f>
        <v>319.94791666666669</v>
      </c>
      <c r="AK68" s="8">
        <f>Weather!O68</f>
        <v>0</v>
      </c>
      <c r="AL68" s="8">
        <f>Weather!P68</f>
        <v>381.94791666666669</v>
      </c>
      <c r="AM68" s="2">
        <f>Weather!Q68</f>
        <v>20.320900537634408</v>
      </c>
      <c r="AN68" s="8">
        <f>Economic!C68</f>
        <v>7423.6</v>
      </c>
      <c r="AO68" s="8">
        <f>Economic!D68</f>
        <v>7509.9</v>
      </c>
      <c r="AP68" s="8">
        <f>Economic!E68</f>
        <v>87.5</v>
      </c>
      <c r="AQ68" s="8">
        <f>Economic!F68</f>
        <v>88.8</v>
      </c>
      <c r="AR68" s="8">
        <f>Economic!G68</f>
        <v>807274.5</v>
      </c>
      <c r="AS68" s="8">
        <f>Economic!H68</f>
        <v>7405</v>
      </c>
      <c r="AT68" s="8">
        <f>Economic!I68</f>
        <v>810347</v>
      </c>
      <c r="AU68" s="8">
        <f>Economic!J68</f>
        <v>7299</v>
      </c>
      <c r="AV68" s="1">
        <f t="shared" ref="AV68:AV73" si="49">AV67+1</f>
        <v>67</v>
      </c>
      <c r="AW68" s="1">
        <v>0</v>
      </c>
      <c r="AX68" s="1">
        <v>0</v>
      </c>
      <c r="AY68" s="1">
        <v>0</v>
      </c>
      <c r="AZ68" s="1">
        <v>0</v>
      </c>
      <c r="BA68" s="1">
        <v>0</v>
      </c>
      <c r="BB68" s="1">
        <v>0</v>
      </c>
      <c r="BC68" s="1">
        <v>1</v>
      </c>
      <c r="BD68" s="1">
        <v>0</v>
      </c>
      <c r="BE68" s="1">
        <v>0</v>
      </c>
      <c r="BF68" s="1">
        <v>0</v>
      </c>
      <c r="BG68" s="1">
        <v>0</v>
      </c>
      <c r="BH68" s="1">
        <v>0</v>
      </c>
      <c r="BI68" s="1">
        <v>0</v>
      </c>
      <c r="BJ68" s="1">
        <v>0</v>
      </c>
      <c r="BK68" s="1">
        <v>0</v>
      </c>
      <c r="BL68" s="1">
        <v>0</v>
      </c>
      <c r="BM68" s="1">
        <v>0</v>
      </c>
      <c r="BN68" s="1">
        <v>0</v>
      </c>
      <c r="BO68">
        <v>31</v>
      </c>
      <c r="BP68" s="1">
        <v>22</v>
      </c>
      <c r="BQ68">
        <v>0</v>
      </c>
      <c r="BR68">
        <v>0</v>
      </c>
      <c r="BS68">
        <v>0</v>
      </c>
      <c r="BT68">
        <v>0</v>
      </c>
      <c r="BU68" s="126">
        <f t="shared" si="35"/>
        <v>0</v>
      </c>
      <c r="BV68" s="126">
        <f t="shared" si="36"/>
        <v>0</v>
      </c>
      <c r="BW68" s="126">
        <f t="shared" si="37"/>
        <v>0</v>
      </c>
      <c r="BX68" s="126">
        <f t="shared" si="38"/>
        <v>0</v>
      </c>
      <c r="BY68" s="126">
        <f t="shared" si="39"/>
        <v>0</v>
      </c>
      <c r="BZ68" s="126">
        <f t="shared" si="40"/>
        <v>0</v>
      </c>
      <c r="CA68" s="126">
        <f t="shared" si="41"/>
        <v>0</v>
      </c>
      <c r="CB68" s="126">
        <f t="shared" si="42"/>
        <v>0</v>
      </c>
      <c r="CC68" s="126">
        <f t="shared" si="43"/>
        <v>0</v>
      </c>
      <c r="CD68" s="126">
        <f t="shared" si="44"/>
        <v>0</v>
      </c>
      <c r="CE68" s="126">
        <f t="shared" si="45"/>
        <v>0</v>
      </c>
      <c r="CF68" s="126">
        <f t="shared" si="46"/>
        <v>0</v>
      </c>
      <c r="CG68" s="126">
        <f t="shared" si="47"/>
        <v>0</v>
      </c>
      <c r="CH68" s="126">
        <f t="shared" si="48"/>
        <v>0</v>
      </c>
      <c r="CI68" s="66">
        <f t="shared" si="32"/>
        <v>956871.03777680441</v>
      </c>
      <c r="CJ68" s="66">
        <f t="shared" si="33"/>
        <v>355914.97258064518</v>
      </c>
      <c r="CK68" s="66">
        <f t="shared" si="34"/>
        <v>976353.71535185655</v>
      </c>
    </row>
    <row r="69" spans="1:89" x14ac:dyDescent="0.2">
      <c r="A69" s="101">
        <v>43678</v>
      </c>
      <c r="B69" s="3">
        <v>2019</v>
      </c>
      <c r="C69" s="3">
        <v>8</v>
      </c>
      <c r="D69" s="8">
        <v>25462979.010000002</v>
      </c>
      <c r="E69" s="8">
        <f>IFERROR(VLOOKUP($B69-1,CDM!$L$4:$R$15,2,FALSE)/12,0)+IFERROR(VLOOKUP($B69,CDM!$L$33:$O$44,2,FALSE)/24,0)+IFERROR(VLOOKUP($B69,CDM!$L$33:$O$44,2,FALSE)/2*$C69/78,0)</f>
        <v>1638755.9546553651</v>
      </c>
      <c r="F69" s="8">
        <f t="shared" si="25"/>
        <v>27101734.964655366</v>
      </c>
      <c r="G69" s="8">
        <v>43023</v>
      </c>
      <c r="H69" s="2">
        <v>10361262.16</v>
      </c>
      <c r="I69" s="8">
        <f>IFERROR(VLOOKUP($B69-1,CDM!$L$4:$R$15,3,FALSE)/12,0)+IFERROR(VLOOKUP($B69,CDM!$L$33:$O$44,3,FALSE)/24,0)+IFERROR(VLOOKUP($B69,CDM!$L$33:$O$44,3,FALSE)/2*$C69/78,0)</f>
        <v>525637.35934821388</v>
      </c>
      <c r="J69" s="8">
        <f t="shared" si="26"/>
        <v>10886899.519348213</v>
      </c>
      <c r="K69" s="8">
        <v>4170</v>
      </c>
      <c r="L69" s="8">
        <v>27452914.399999999</v>
      </c>
      <c r="M69" s="8">
        <f>IFERROR(VLOOKUP($B69-1,CDM!$L$4:$R$15,4,FALSE)/12,0)+IFERROR(VLOOKUP($B69,CDM!$L$33:$O$44,4,FALSE)/24,0)+IFERROR(VLOOKUP($B69,CDM!$L$33:$O$44,4,FALSE)/2*$C69/78,0)</f>
        <v>1719142.1257601869</v>
      </c>
      <c r="N69" s="8">
        <f t="shared" si="27"/>
        <v>29172056.525760185</v>
      </c>
      <c r="O69" s="8">
        <v>66854.859897992661</v>
      </c>
      <c r="P69" s="8">
        <v>500</v>
      </c>
      <c r="Q69" s="8">
        <v>533191.44999999995</v>
      </c>
      <c r="R69" s="2">
        <v>1745.4193826102301</v>
      </c>
      <c r="S69" s="8">
        <v>9937</v>
      </c>
      <c r="T69" s="2">
        <v>31588.76</v>
      </c>
      <c r="U69" s="2">
        <v>85.834577929465297</v>
      </c>
      <c r="V69" s="9">
        <v>367</v>
      </c>
      <c r="W69" s="2">
        <v>97909.17</v>
      </c>
      <c r="X69" s="1">
        <v>297</v>
      </c>
      <c r="Y69" s="8">
        <f>Weather!C69</f>
        <v>80.250000000000014</v>
      </c>
      <c r="Z69" s="8">
        <f>Weather!D69</f>
        <v>3.6124999999999972</v>
      </c>
      <c r="AA69" s="8">
        <f>Weather!E69</f>
        <v>36.795833333333341</v>
      </c>
      <c r="AB69" s="8">
        <f>Weather!F69</f>
        <v>22.158333333333331</v>
      </c>
      <c r="AC69" s="8">
        <f>Weather!G69</f>
        <v>13.158333333333335</v>
      </c>
      <c r="AD69" s="8">
        <f>Weather!H69</f>
        <v>60.520833333333321</v>
      </c>
      <c r="AE69" s="8">
        <f>Weather!I69</f>
        <v>3.345833333333335</v>
      </c>
      <c r="AF69" s="8">
        <f>Weather!J69</f>
        <v>112.70833333333331</v>
      </c>
      <c r="AG69" s="8">
        <f>Weather!K69</f>
        <v>0</v>
      </c>
      <c r="AH69" s="8">
        <f>Weather!L69</f>
        <v>171.36250000000001</v>
      </c>
      <c r="AI69" s="8">
        <f>Weather!M69</f>
        <v>0</v>
      </c>
      <c r="AJ69" s="8">
        <f>Weather!N69</f>
        <v>233.36250000000001</v>
      </c>
      <c r="AK69" s="8">
        <f>Weather!O69</f>
        <v>0</v>
      </c>
      <c r="AL69" s="8">
        <f>Weather!P69</f>
        <v>295.36250000000001</v>
      </c>
      <c r="AM69" s="2">
        <f>Weather!Q69</f>
        <v>17.527822580645164</v>
      </c>
      <c r="AN69" s="8">
        <f>Economic!C69</f>
        <v>7433.8</v>
      </c>
      <c r="AO69" s="8">
        <f>Economic!D69</f>
        <v>7523.3</v>
      </c>
      <c r="AP69" s="8">
        <f>Economic!E69</f>
        <v>86.8</v>
      </c>
      <c r="AQ69" s="8">
        <f>Economic!F69</f>
        <v>88</v>
      </c>
      <c r="AR69" s="8">
        <f>Economic!G69</f>
        <v>807274.5</v>
      </c>
      <c r="AS69" s="8">
        <f>Economic!H69</f>
        <v>7405</v>
      </c>
      <c r="AT69" s="8">
        <f>Economic!I69</f>
        <v>810347</v>
      </c>
      <c r="AU69" s="8">
        <f>Economic!J69</f>
        <v>7299</v>
      </c>
      <c r="AV69" s="1">
        <f t="shared" si="49"/>
        <v>68</v>
      </c>
      <c r="AW69" s="1">
        <v>0</v>
      </c>
      <c r="AX69" s="1">
        <v>0</v>
      </c>
      <c r="AY69" s="1">
        <v>0</v>
      </c>
      <c r="AZ69" s="1">
        <v>0</v>
      </c>
      <c r="BA69" s="1">
        <v>0</v>
      </c>
      <c r="BB69" s="1">
        <v>0</v>
      </c>
      <c r="BC69" s="1">
        <v>0</v>
      </c>
      <c r="BD69" s="1">
        <v>1</v>
      </c>
      <c r="BE69" s="1">
        <v>0</v>
      </c>
      <c r="BF69" s="1">
        <v>0</v>
      </c>
      <c r="BG69" s="1">
        <v>0</v>
      </c>
      <c r="BH69" s="1">
        <v>0</v>
      </c>
      <c r="BI69" s="1">
        <v>0</v>
      </c>
      <c r="BJ69" s="1">
        <v>0</v>
      </c>
      <c r="BK69" s="1">
        <v>0</v>
      </c>
      <c r="BL69" s="1">
        <v>0</v>
      </c>
      <c r="BM69" s="1">
        <v>0</v>
      </c>
      <c r="BN69" s="1">
        <v>0</v>
      </c>
      <c r="BO69">
        <v>31</v>
      </c>
      <c r="BP69" s="1">
        <v>20</v>
      </c>
      <c r="BQ69">
        <v>0</v>
      </c>
      <c r="BR69">
        <v>0</v>
      </c>
      <c r="BS69">
        <v>0</v>
      </c>
      <c r="BT69">
        <v>0</v>
      </c>
      <c r="BU69" s="126">
        <f t="shared" si="35"/>
        <v>0</v>
      </c>
      <c r="BV69" s="126">
        <f t="shared" si="36"/>
        <v>0</v>
      </c>
      <c r="BW69" s="126">
        <f t="shared" si="37"/>
        <v>0</v>
      </c>
      <c r="BX69" s="126">
        <f t="shared" si="38"/>
        <v>0</v>
      </c>
      <c r="BY69" s="126">
        <f t="shared" si="39"/>
        <v>0</v>
      </c>
      <c r="BZ69" s="126">
        <f t="shared" si="40"/>
        <v>0</v>
      </c>
      <c r="CA69" s="126">
        <f t="shared" si="41"/>
        <v>0</v>
      </c>
      <c r="CB69" s="126">
        <f t="shared" si="42"/>
        <v>0</v>
      </c>
      <c r="CC69" s="126">
        <f t="shared" si="43"/>
        <v>0</v>
      </c>
      <c r="CD69" s="126">
        <f t="shared" si="44"/>
        <v>0</v>
      </c>
      <c r="CE69" s="126">
        <f t="shared" si="45"/>
        <v>0</v>
      </c>
      <c r="CF69" s="126">
        <f t="shared" si="46"/>
        <v>0</v>
      </c>
      <c r="CG69" s="126">
        <f t="shared" si="47"/>
        <v>0</v>
      </c>
      <c r="CH69" s="126">
        <f t="shared" si="48"/>
        <v>0</v>
      </c>
      <c r="CI69" s="66">
        <f t="shared" si="32"/>
        <v>874249.51498888282</v>
      </c>
      <c r="CJ69" s="66">
        <f t="shared" si="33"/>
        <v>334234.26322580647</v>
      </c>
      <c r="CK69" s="66">
        <f t="shared" si="34"/>
        <v>941034.08147613495</v>
      </c>
    </row>
    <row r="70" spans="1:89" x14ac:dyDescent="0.2">
      <c r="A70" s="101">
        <v>43709</v>
      </c>
      <c r="B70" s="3">
        <v>2019</v>
      </c>
      <c r="C70" s="3">
        <v>9</v>
      </c>
      <c r="D70" s="8">
        <v>22569548.68</v>
      </c>
      <c r="E70" s="8">
        <f>IFERROR(VLOOKUP($B70-1,CDM!$L$4:$R$15,2,FALSE)/12,0)+IFERROR(VLOOKUP($B70,CDM!$L$33:$O$44,2,FALSE)/24,0)+IFERROR(VLOOKUP($B70,CDM!$L$33:$O$44,2,FALSE)/2*$C70/78,0)</f>
        <v>1643915.1982297939</v>
      </c>
      <c r="F70" s="8">
        <f t="shared" si="25"/>
        <v>24213463.878229793</v>
      </c>
      <c r="G70" s="8">
        <v>43023</v>
      </c>
      <c r="H70" s="2">
        <v>9401526.0999999996</v>
      </c>
      <c r="I70" s="8">
        <f>IFERROR(VLOOKUP($B70-1,CDM!$L$4:$R$15,3,FALSE)/12,0)+IFERROR(VLOOKUP($B70,CDM!$L$33:$O$44,3,FALSE)/24,0)+IFERROR(VLOOKUP($B70,CDM!$L$33:$O$44,3,FALSE)/2*$C70/78,0)</f>
        <v>531269.19919257378</v>
      </c>
      <c r="J70" s="8">
        <f t="shared" si="26"/>
        <v>9932795.2991925739</v>
      </c>
      <c r="K70" s="8">
        <v>4170</v>
      </c>
      <c r="L70" s="8">
        <v>25453984.359999999</v>
      </c>
      <c r="M70" s="8">
        <f>IFERROR(VLOOKUP($B70-1,CDM!$L$4:$R$15,4,FALSE)/12,0)+IFERROR(VLOOKUP($B70,CDM!$L$33:$O$44,4,FALSE)/24,0)+IFERROR(VLOOKUP($B70,CDM!$L$33:$O$44,4,FALSE)/2*$C70/78,0)</f>
        <v>1729218.3356128223</v>
      </c>
      <c r="N70" s="8">
        <f t="shared" si="27"/>
        <v>27183202.695612822</v>
      </c>
      <c r="O70" s="8">
        <v>61986.954588453314</v>
      </c>
      <c r="P70" s="8">
        <v>500</v>
      </c>
      <c r="Q70" s="8">
        <v>600369.16</v>
      </c>
      <c r="R70" s="2">
        <v>1745.4193826102301</v>
      </c>
      <c r="S70" s="8">
        <v>9937</v>
      </c>
      <c r="T70" s="2">
        <v>30521.52</v>
      </c>
      <c r="U70" s="2">
        <v>85.834577929465297</v>
      </c>
      <c r="V70" s="9">
        <v>367</v>
      </c>
      <c r="W70" s="2">
        <v>94783.83</v>
      </c>
      <c r="X70" s="1">
        <v>297</v>
      </c>
      <c r="Y70" s="8">
        <f>Weather!C70</f>
        <v>204.99791666666664</v>
      </c>
      <c r="Z70" s="8">
        <f>Weather!D70</f>
        <v>0</v>
      </c>
      <c r="AA70" s="8">
        <f>Weather!E70</f>
        <v>147.32291666666666</v>
      </c>
      <c r="AB70" s="8">
        <f>Weather!F70</f>
        <v>2.3249999999999993</v>
      </c>
      <c r="AC70" s="8">
        <f>Weather!G70</f>
        <v>94.785416666666663</v>
      </c>
      <c r="AD70" s="8">
        <f>Weather!H70</f>
        <v>9.7875000000000014</v>
      </c>
      <c r="AE70" s="8">
        <f>Weather!I70</f>
        <v>47.39791666666666</v>
      </c>
      <c r="AF70" s="8">
        <f>Weather!J70</f>
        <v>22.400000000000009</v>
      </c>
      <c r="AG70" s="8">
        <f>Weather!K70</f>
        <v>15.400000000000002</v>
      </c>
      <c r="AH70" s="8">
        <f>Weather!L70</f>
        <v>50.402083333333358</v>
      </c>
      <c r="AI70" s="8">
        <f>Weather!M70</f>
        <v>2.8083333333333336</v>
      </c>
      <c r="AJ70" s="8">
        <f>Weather!N70</f>
        <v>97.810416666666683</v>
      </c>
      <c r="AK70" s="8">
        <f>Weather!O70</f>
        <v>0</v>
      </c>
      <c r="AL70" s="8">
        <f>Weather!P70</f>
        <v>155.00208333333336</v>
      </c>
      <c r="AM70" s="2">
        <f>Weather!Q70</f>
        <v>13.16673611111111</v>
      </c>
      <c r="AN70" s="8">
        <f>Economic!C70</f>
        <v>7448.5</v>
      </c>
      <c r="AO70" s="8">
        <f>Economic!D70</f>
        <v>7505.1</v>
      </c>
      <c r="AP70" s="8">
        <f>Economic!E70</f>
        <v>86.1</v>
      </c>
      <c r="AQ70" s="8">
        <f>Economic!F70</f>
        <v>87</v>
      </c>
      <c r="AR70" s="8">
        <f>Economic!G70</f>
        <v>807274.5</v>
      </c>
      <c r="AS70" s="8">
        <f>Economic!H70</f>
        <v>7405</v>
      </c>
      <c r="AT70" s="8">
        <f>Economic!I70</f>
        <v>810347</v>
      </c>
      <c r="AU70" s="8">
        <f>Economic!J70</f>
        <v>7299</v>
      </c>
      <c r="AV70" s="1">
        <f t="shared" si="49"/>
        <v>69</v>
      </c>
      <c r="AW70" s="1">
        <v>0</v>
      </c>
      <c r="AX70" s="1">
        <v>0</v>
      </c>
      <c r="AY70" s="1">
        <v>0</v>
      </c>
      <c r="AZ70" s="1">
        <v>0</v>
      </c>
      <c r="BA70" s="1">
        <v>0</v>
      </c>
      <c r="BB70" s="1">
        <v>0</v>
      </c>
      <c r="BC70" s="1">
        <v>0</v>
      </c>
      <c r="BD70" s="1">
        <v>0</v>
      </c>
      <c r="BE70" s="1">
        <v>1</v>
      </c>
      <c r="BF70" s="1">
        <v>0</v>
      </c>
      <c r="BG70" s="1">
        <v>0</v>
      </c>
      <c r="BH70" s="1">
        <v>0</v>
      </c>
      <c r="BI70" s="1">
        <v>0</v>
      </c>
      <c r="BJ70" s="1">
        <v>1</v>
      </c>
      <c r="BK70" s="1">
        <v>1</v>
      </c>
      <c r="BL70" s="1">
        <v>0</v>
      </c>
      <c r="BM70" s="1">
        <v>1</v>
      </c>
      <c r="BN70" s="1">
        <v>1</v>
      </c>
      <c r="BO70">
        <v>30</v>
      </c>
      <c r="BP70" s="1">
        <v>21</v>
      </c>
      <c r="BQ70">
        <v>0</v>
      </c>
      <c r="BR70">
        <v>0</v>
      </c>
      <c r="BS70">
        <v>0</v>
      </c>
      <c r="BT70">
        <v>0</v>
      </c>
      <c r="BU70" s="126">
        <f t="shared" si="35"/>
        <v>0</v>
      </c>
      <c r="BV70" s="126">
        <f t="shared" si="36"/>
        <v>0</v>
      </c>
      <c r="BW70" s="126">
        <f t="shared" si="37"/>
        <v>0</v>
      </c>
      <c r="BX70" s="126">
        <f t="shared" si="38"/>
        <v>0</v>
      </c>
      <c r="BY70" s="126">
        <f t="shared" si="39"/>
        <v>0</v>
      </c>
      <c r="BZ70" s="126">
        <f t="shared" si="40"/>
        <v>0</v>
      </c>
      <c r="CA70" s="126">
        <f t="shared" si="41"/>
        <v>0</v>
      </c>
      <c r="CB70" s="126">
        <f t="shared" si="42"/>
        <v>0</v>
      </c>
      <c r="CC70" s="126">
        <f t="shared" si="43"/>
        <v>0</v>
      </c>
      <c r="CD70" s="126">
        <f t="shared" si="44"/>
        <v>0</v>
      </c>
      <c r="CE70" s="126">
        <f t="shared" si="45"/>
        <v>0</v>
      </c>
      <c r="CF70" s="126">
        <f t="shared" si="46"/>
        <v>0</v>
      </c>
      <c r="CG70" s="126">
        <f t="shared" si="47"/>
        <v>0</v>
      </c>
      <c r="CH70" s="126">
        <f t="shared" si="48"/>
        <v>0</v>
      </c>
      <c r="CI70" s="66">
        <f t="shared" si="32"/>
        <v>807115.46260765975</v>
      </c>
      <c r="CJ70" s="66">
        <f t="shared" si="33"/>
        <v>313384.20333333331</v>
      </c>
      <c r="CK70" s="66">
        <f t="shared" si="34"/>
        <v>906106.75652042741</v>
      </c>
    </row>
    <row r="71" spans="1:89" x14ac:dyDescent="0.2">
      <c r="A71" s="101">
        <v>43739</v>
      </c>
      <c r="B71" s="3">
        <v>2019</v>
      </c>
      <c r="C71" s="3">
        <v>10</v>
      </c>
      <c r="D71" s="8">
        <v>25983390.649999999</v>
      </c>
      <c r="E71" s="8">
        <f>IFERROR(VLOOKUP($B71-1,CDM!$L$4:$R$15,2,FALSE)/12,0)+IFERROR(VLOOKUP($B71,CDM!$L$33:$O$44,2,FALSE)/24,0)+IFERROR(VLOOKUP($B71,CDM!$L$33:$O$44,2,FALSE)/2*$C71/78,0)</f>
        <v>1649074.4418042225</v>
      </c>
      <c r="F71" s="8">
        <f t="shared" ref="F71:F132" si="50">D71+E71</f>
        <v>27632465.091804221</v>
      </c>
      <c r="G71" s="8">
        <v>43049</v>
      </c>
      <c r="H71" s="2">
        <v>10075741.560000001</v>
      </c>
      <c r="I71" s="8">
        <f>IFERROR(VLOOKUP($B71-1,CDM!$L$4:$R$15,3,FALSE)/12,0)+IFERROR(VLOOKUP($B71,CDM!$L$33:$O$44,3,FALSE)/24,0)+IFERROR(VLOOKUP($B71,CDM!$L$33:$O$44,3,FALSE)/2*$C71/78,0)</f>
        <v>536901.03903693368</v>
      </c>
      <c r="J71" s="8">
        <f t="shared" ref="J71:J121" si="51">H71+I71</f>
        <v>10612642.599036934</v>
      </c>
      <c r="K71" s="8">
        <v>4173</v>
      </c>
      <c r="L71" s="8">
        <v>27292393.370000001</v>
      </c>
      <c r="M71" s="8">
        <f>IFERROR(VLOOKUP($B71-1,CDM!$L$4:$R$15,4,FALSE)/12,0)+IFERROR(VLOOKUP($B71,CDM!$L$33:$O$44,4,FALSE)/24,0)+IFERROR(VLOOKUP($B71,CDM!$L$33:$O$44,4,FALSE)/2*$C71/78,0)</f>
        <v>1739294.545465458</v>
      </c>
      <c r="N71" s="8">
        <f t="shared" ref="N71:N121" si="52">L71+M71</f>
        <v>29031687.915465459</v>
      </c>
      <c r="O71" s="8">
        <v>66463.950181997934</v>
      </c>
      <c r="P71" s="8">
        <v>503</v>
      </c>
      <c r="Q71" s="8">
        <v>709833.73</v>
      </c>
      <c r="R71" s="2">
        <v>1749.8105957092798</v>
      </c>
      <c r="S71" s="8">
        <v>9962</v>
      </c>
      <c r="T71" s="2">
        <v>31428.799999999999</v>
      </c>
      <c r="U71" s="2">
        <v>83.26187940841865</v>
      </c>
      <c r="V71" s="9">
        <v>356</v>
      </c>
      <c r="W71" s="2">
        <v>97909</v>
      </c>
      <c r="X71" s="1">
        <v>293</v>
      </c>
      <c r="Y71" s="8">
        <f>Weather!C71</f>
        <v>423.1117922550452</v>
      </c>
      <c r="Z71" s="8">
        <f>Weather!D71</f>
        <v>0</v>
      </c>
      <c r="AA71" s="8">
        <f>Weather!E71</f>
        <v>361.11179225504515</v>
      </c>
      <c r="AB71" s="8">
        <f>Weather!F71</f>
        <v>0</v>
      </c>
      <c r="AC71" s="8">
        <f>Weather!G71</f>
        <v>299.11179225504515</v>
      </c>
      <c r="AD71" s="8">
        <f>Weather!H71</f>
        <v>0</v>
      </c>
      <c r="AE71" s="8">
        <f>Weather!I71</f>
        <v>238.55345892171184</v>
      </c>
      <c r="AF71" s="8">
        <f>Weather!J71</f>
        <v>1.4416666666666682</v>
      </c>
      <c r="AG71" s="8">
        <f>Weather!K71</f>
        <v>179.78262558837852</v>
      </c>
      <c r="AH71" s="8">
        <f>Weather!L71</f>
        <v>4.6708333333333343</v>
      </c>
      <c r="AI71" s="8">
        <f>Weather!M71</f>
        <v>124.45762558837849</v>
      </c>
      <c r="AJ71" s="8">
        <f>Weather!N71</f>
        <v>11.345833333333335</v>
      </c>
      <c r="AK71" s="8">
        <f>Weather!O71</f>
        <v>76.520125588378491</v>
      </c>
      <c r="AL71" s="8">
        <f>Weather!P71</f>
        <v>25.408333333333331</v>
      </c>
      <c r="AM71" s="2">
        <f>Weather!Q71</f>
        <v>6.3512325079017691</v>
      </c>
      <c r="AN71" s="8">
        <f>Economic!C71</f>
        <v>7462.2</v>
      </c>
      <c r="AO71" s="8">
        <f>Economic!D71</f>
        <v>7501.2</v>
      </c>
      <c r="AP71" s="8">
        <f>Economic!E71</f>
        <v>85.3</v>
      </c>
      <c r="AQ71" s="8">
        <f>Economic!F71</f>
        <v>86</v>
      </c>
      <c r="AR71" s="8">
        <f>Economic!G71</f>
        <v>807274.5</v>
      </c>
      <c r="AS71" s="8">
        <f>Economic!H71</f>
        <v>7405</v>
      </c>
      <c r="AT71" s="8">
        <f>Economic!I71</f>
        <v>811397</v>
      </c>
      <c r="AU71" s="8">
        <f>Economic!J71</f>
        <v>7340</v>
      </c>
      <c r="AV71" s="1">
        <f t="shared" si="49"/>
        <v>70</v>
      </c>
      <c r="AW71" s="1">
        <v>0</v>
      </c>
      <c r="AX71" s="1">
        <v>0</v>
      </c>
      <c r="AY71" s="1">
        <v>0</v>
      </c>
      <c r="AZ71" s="1">
        <v>0</v>
      </c>
      <c r="BA71" s="1">
        <v>0</v>
      </c>
      <c r="BB71" s="1">
        <v>0</v>
      </c>
      <c r="BC71" s="1">
        <v>0</v>
      </c>
      <c r="BD71" s="1">
        <v>0</v>
      </c>
      <c r="BE71" s="1">
        <v>0</v>
      </c>
      <c r="BF71" s="1">
        <v>1</v>
      </c>
      <c r="BG71" s="1">
        <v>0</v>
      </c>
      <c r="BH71" s="1">
        <v>0</v>
      </c>
      <c r="BI71" s="1">
        <v>0</v>
      </c>
      <c r="BJ71" s="1">
        <v>1</v>
      </c>
      <c r="BK71" s="1">
        <v>1</v>
      </c>
      <c r="BL71" s="1">
        <v>0</v>
      </c>
      <c r="BM71" s="1">
        <v>1</v>
      </c>
      <c r="BN71" s="1">
        <v>1</v>
      </c>
      <c r="BO71">
        <v>31</v>
      </c>
      <c r="BP71" s="1">
        <v>21</v>
      </c>
      <c r="BQ71">
        <v>0</v>
      </c>
      <c r="BR71">
        <v>0</v>
      </c>
      <c r="BS71">
        <v>0</v>
      </c>
      <c r="BT71">
        <v>0</v>
      </c>
      <c r="BU71" s="126">
        <f t="shared" si="35"/>
        <v>0</v>
      </c>
      <c r="BV71" s="126">
        <f t="shared" si="36"/>
        <v>0</v>
      </c>
      <c r="BW71" s="126">
        <f t="shared" si="37"/>
        <v>0</v>
      </c>
      <c r="BX71" s="126">
        <f t="shared" si="38"/>
        <v>0</v>
      </c>
      <c r="BY71" s="126">
        <f t="shared" si="39"/>
        <v>0</v>
      </c>
      <c r="BZ71" s="126">
        <f t="shared" si="40"/>
        <v>0</v>
      </c>
      <c r="CA71" s="126">
        <f t="shared" si="41"/>
        <v>0</v>
      </c>
      <c r="CB71" s="126">
        <f t="shared" si="42"/>
        <v>0</v>
      </c>
      <c r="CC71" s="126">
        <f t="shared" si="43"/>
        <v>0</v>
      </c>
      <c r="CD71" s="126">
        <f t="shared" si="44"/>
        <v>0</v>
      </c>
      <c r="CE71" s="126">
        <f t="shared" si="45"/>
        <v>0</v>
      </c>
      <c r="CF71" s="126">
        <f t="shared" si="46"/>
        <v>0</v>
      </c>
      <c r="CG71" s="126">
        <f t="shared" si="47"/>
        <v>0</v>
      </c>
      <c r="CH71" s="126">
        <f t="shared" si="48"/>
        <v>0</v>
      </c>
      <c r="CI71" s="66">
        <f t="shared" si="32"/>
        <v>891369.84167110396</v>
      </c>
      <c r="CJ71" s="66">
        <f t="shared" si="33"/>
        <v>325023.92129032261</v>
      </c>
      <c r="CK71" s="66">
        <f t="shared" si="34"/>
        <v>936506.06178920832</v>
      </c>
    </row>
    <row r="72" spans="1:89" x14ac:dyDescent="0.2">
      <c r="A72" s="101">
        <v>43770</v>
      </c>
      <c r="B72" s="3">
        <v>2019</v>
      </c>
      <c r="C72" s="3">
        <v>11</v>
      </c>
      <c r="D72" s="8">
        <v>34907954.280000001</v>
      </c>
      <c r="E72" s="8">
        <f>IFERROR(VLOOKUP($B72-1,CDM!$L$4:$R$15,2,FALSE)/12,0)+IFERROR(VLOOKUP($B72,CDM!$L$33:$O$44,2,FALSE)/24,0)+IFERROR(VLOOKUP($B72,CDM!$L$33:$O$44,2,FALSE)/2*$C72/78,0)</f>
        <v>1654233.6853786514</v>
      </c>
      <c r="F72" s="8">
        <f t="shared" si="50"/>
        <v>36562187.96537865</v>
      </c>
      <c r="G72" s="8">
        <v>43049</v>
      </c>
      <c r="H72" s="2">
        <v>11927608.880000001</v>
      </c>
      <c r="I72" s="8">
        <f>IFERROR(VLOOKUP($B72-1,CDM!$L$4:$R$15,3,FALSE)/12,0)+IFERROR(VLOOKUP($B72,CDM!$L$33:$O$44,3,FALSE)/24,0)+IFERROR(VLOOKUP($B72,CDM!$L$33:$O$44,3,FALSE)/2*$C72/78,0)</f>
        <v>542532.87888129347</v>
      </c>
      <c r="J72" s="8">
        <f t="shared" si="51"/>
        <v>12470141.758881295</v>
      </c>
      <c r="K72" s="8">
        <v>4173</v>
      </c>
      <c r="L72" s="8">
        <v>30036509.489999998</v>
      </c>
      <c r="M72" s="8">
        <f>IFERROR(VLOOKUP($B72-1,CDM!$L$4:$R$15,4,FALSE)/12,0)+IFERROR(VLOOKUP($B72,CDM!$L$33:$O$44,4,FALSE)/24,0)+IFERROR(VLOOKUP($B72,CDM!$L$33:$O$44,4,FALSE)/2*$C72/78,0)</f>
        <v>1749370.7553180933</v>
      </c>
      <c r="N72" s="8">
        <f t="shared" si="52"/>
        <v>31785880.245318092</v>
      </c>
      <c r="O72" s="8">
        <v>73146.573967340839</v>
      </c>
      <c r="P72" s="8">
        <v>503</v>
      </c>
      <c r="Q72" s="8">
        <v>763611.61</v>
      </c>
      <c r="R72" s="2">
        <v>1749.8105957092798</v>
      </c>
      <c r="S72" s="8">
        <v>9962</v>
      </c>
      <c r="T72" s="2">
        <v>30414.959999999999</v>
      </c>
      <c r="U72" s="2">
        <v>83.26187940841865</v>
      </c>
      <c r="V72" s="9">
        <v>356</v>
      </c>
      <c r="W72" s="2">
        <v>94764</v>
      </c>
      <c r="X72" s="1">
        <v>293</v>
      </c>
      <c r="Y72" s="8">
        <f>Weather!C72</f>
        <v>731.92083333333346</v>
      </c>
      <c r="Z72" s="8">
        <f>Weather!D72</f>
        <v>0</v>
      </c>
      <c r="AA72" s="8">
        <f>Weather!E72</f>
        <v>671.92083333333335</v>
      </c>
      <c r="AB72" s="8">
        <f>Weather!F72</f>
        <v>0</v>
      </c>
      <c r="AC72" s="8">
        <f>Weather!G72</f>
        <v>611.92083333333323</v>
      </c>
      <c r="AD72" s="8">
        <f>Weather!H72</f>
        <v>0</v>
      </c>
      <c r="AE72" s="8">
        <f>Weather!I72</f>
        <v>551.92083333333323</v>
      </c>
      <c r="AF72" s="8">
        <f>Weather!J72</f>
        <v>0</v>
      </c>
      <c r="AG72" s="8">
        <f>Weather!K72</f>
        <v>491.92083333333318</v>
      </c>
      <c r="AH72" s="8">
        <f>Weather!L72</f>
        <v>0</v>
      </c>
      <c r="AI72" s="8">
        <f>Weather!M72</f>
        <v>431.92083333333318</v>
      </c>
      <c r="AJ72" s="8">
        <f>Weather!N72</f>
        <v>0</v>
      </c>
      <c r="AK72" s="8">
        <f>Weather!O72</f>
        <v>371.92083333333318</v>
      </c>
      <c r="AL72" s="8">
        <f>Weather!P72</f>
        <v>0</v>
      </c>
      <c r="AM72" s="2">
        <f>Weather!Q72</f>
        <v>-4.3973611111111106</v>
      </c>
      <c r="AN72" s="8">
        <f>Economic!C72</f>
        <v>7470.1</v>
      </c>
      <c r="AO72" s="8">
        <f>Economic!D72</f>
        <v>7488.3</v>
      </c>
      <c r="AP72" s="8">
        <f>Economic!E72</f>
        <v>85</v>
      </c>
      <c r="AQ72" s="8">
        <f>Economic!F72</f>
        <v>85.9</v>
      </c>
      <c r="AR72" s="8">
        <f>Economic!G72</f>
        <v>807274.5</v>
      </c>
      <c r="AS72" s="8">
        <f>Economic!H72</f>
        <v>7405</v>
      </c>
      <c r="AT72" s="8">
        <f>Economic!I72</f>
        <v>811397</v>
      </c>
      <c r="AU72" s="8">
        <f>Economic!J72</f>
        <v>7340</v>
      </c>
      <c r="AV72" s="1">
        <f t="shared" si="49"/>
        <v>71</v>
      </c>
      <c r="AW72" s="1">
        <v>0</v>
      </c>
      <c r="AX72" s="1">
        <v>0</v>
      </c>
      <c r="AY72" s="1">
        <v>0</v>
      </c>
      <c r="AZ72" s="1">
        <v>0</v>
      </c>
      <c r="BA72" s="1">
        <v>0</v>
      </c>
      <c r="BB72" s="1">
        <v>0</v>
      </c>
      <c r="BC72" s="1">
        <v>0</v>
      </c>
      <c r="BD72" s="1">
        <v>0</v>
      </c>
      <c r="BE72" s="1">
        <v>0</v>
      </c>
      <c r="BF72" s="1">
        <v>0</v>
      </c>
      <c r="BG72" s="1">
        <v>1</v>
      </c>
      <c r="BH72" s="1">
        <v>0</v>
      </c>
      <c r="BI72" s="1">
        <v>0</v>
      </c>
      <c r="BJ72" s="1">
        <v>1</v>
      </c>
      <c r="BK72" s="1">
        <v>1</v>
      </c>
      <c r="BL72" s="1">
        <v>0</v>
      </c>
      <c r="BM72" s="1">
        <v>0</v>
      </c>
      <c r="BN72" s="1">
        <v>0</v>
      </c>
      <c r="BO72">
        <v>30</v>
      </c>
      <c r="BP72" s="1">
        <v>21</v>
      </c>
      <c r="BQ72">
        <v>0</v>
      </c>
      <c r="BR72">
        <v>0</v>
      </c>
      <c r="BS72">
        <v>0</v>
      </c>
      <c r="BT72">
        <v>0</v>
      </c>
      <c r="BU72" s="126">
        <f t="shared" si="35"/>
        <v>0</v>
      </c>
      <c r="BV72" s="126">
        <f t="shared" si="36"/>
        <v>0</v>
      </c>
      <c r="BW72" s="126">
        <f t="shared" si="37"/>
        <v>0</v>
      </c>
      <c r="BX72" s="126">
        <f t="shared" si="38"/>
        <v>0</v>
      </c>
      <c r="BY72" s="126">
        <f t="shared" si="39"/>
        <v>0</v>
      </c>
      <c r="BZ72" s="126">
        <f t="shared" si="40"/>
        <v>0</v>
      </c>
      <c r="CA72" s="126">
        <f t="shared" si="41"/>
        <v>0</v>
      </c>
      <c r="CB72" s="126">
        <f t="shared" si="42"/>
        <v>0</v>
      </c>
      <c r="CC72" s="126">
        <f t="shared" si="43"/>
        <v>0</v>
      </c>
      <c r="CD72" s="126">
        <f t="shared" si="44"/>
        <v>0</v>
      </c>
      <c r="CE72" s="126">
        <f t="shared" si="45"/>
        <v>0</v>
      </c>
      <c r="CF72" s="126">
        <f t="shared" si="46"/>
        <v>0</v>
      </c>
      <c r="CG72" s="126">
        <f t="shared" si="47"/>
        <v>0</v>
      </c>
      <c r="CH72" s="126">
        <f t="shared" si="48"/>
        <v>0</v>
      </c>
      <c r="CI72" s="66">
        <f t="shared" si="32"/>
        <v>1218739.598845955</v>
      </c>
      <c r="CJ72" s="66">
        <f t="shared" si="33"/>
        <v>397586.96266666672</v>
      </c>
      <c r="CK72" s="66">
        <f t="shared" si="34"/>
        <v>1059529.341510603</v>
      </c>
    </row>
    <row r="73" spans="1:89" x14ac:dyDescent="0.2">
      <c r="A73" s="101">
        <v>43800</v>
      </c>
      <c r="B73" s="3">
        <v>2019</v>
      </c>
      <c r="C73" s="3">
        <v>12</v>
      </c>
      <c r="D73" s="8">
        <v>39300927.240000002</v>
      </c>
      <c r="E73" s="8">
        <f>IFERROR(VLOOKUP($B73-1,CDM!$L$4:$R$15,2,FALSE)/12,0)+IFERROR(VLOOKUP($B73,CDM!$L$33:$O$44,2,FALSE)/24,0)+IFERROR(VLOOKUP($B73,CDM!$L$33:$O$44,2,FALSE)/2*$C73/78,0)</f>
        <v>1659392.92895308</v>
      </c>
      <c r="F73" s="8">
        <f t="shared" si="50"/>
        <v>40960320.168953083</v>
      </c>
      <c r="G73" s="8">
        <v>43049</v>
      </c>
      <c r="H73" s="2">
        <v>12690063.119999999</v>
      </c>
      <c r="I73" s="8">
        <f>IFERROR(VLOOKUP($B73-1,CDM!$L$4:$R$15,3,FALSE)/12,0)+IFERROR(VLOOKUP($B73,CDM!$L$33:$O$44,3,FALSE)/24,0)+IFERROR(VLOOKUP($B73,CDM!$L$33:$O$44,3,FALSE)/2*$C73/78,0)</f>
        <v>548164.71872565337</v>
      </c>
      <c r="J73" s="8">
        <f t="shared" si="51"/>
        <v>13238227.838725653</v>
      </c>
      <c r="K73" s="8">
        <v>4173</v>
      </c>
      <c r="L73" s="8">
        <v>32154352.530000001</v>
      </c>
      <c r="M73" s="8">
        <f>IFERROR(VLOOKUP($B73-1,CDM!$L$4:$R$15,4,FALSE)/12,0)+IFERROR(VLOOKUP($B73,CDM!$L$33:$O$44,4,FALSE)/24,0)+IFERROR(VLOOKUP($B73,CDM!$L$33:$O$44,4,FALSE)/2*$C73/78,0)</f>
        <v>1759446.9651707287</v>
      </c>
      <c r="N73" s="8">
        <f t="shared" si="52"/>
        <v>33913799.495170727</v>
      </c>
      <c r="O73" s="8">
        <v>78304.062810315532</v>
      </c>
      <c r="P73" s="8">
        <v>503</v>
      </c>
      <c r="Q73" s="8">
        <v>834172.82</v>
      </c>
      <c r="R73" s="2">
        <v>1749.8105957092798</v>
      </c>
      <c r="S73" s="8">
        <v>9962</v>
      </c>
      <c r="T73" s="2">
        <v>31169.18</v>
      </c>
      <c r="U73" s="2">
        <v>83.26187940841865</v>
      </c>
      <c r="V73" s="9">
        <v>356</v>
      </c>
      <c r="W73" s="2">
        <v>93722</v>
      </c>
      <c r="X73" s="1">
        <v>293</v>
      </c>
      <c r="Y73" s="8">
        <f>Weather!C73</f>
        <v>852.69583333333355</v>
      </c>
      <c r="Z73" s="8">
        <f>Weather!D73</f>
        <v>0</v>
      </c>
      <c r="AA73" s="8">
        <f>Weather!E73</f>
        <v>790.69583333333355</v>
      </c>
      <c r="AB73" s="8">
        <f>Weather!F73</f>
        <v>0</v>
      </c>
      <c r="AC73" s="8">
        <f>Weather!G73</f>
        <v>728.69583333333355</v>
      </c>
      <c r="AD73" s="8">
        <f>Weather!H73</f>
        <v>0</v>
      </c>
      <c r="AE73" s="8">
        <f>Weather!I73</f>
        <v>666.69583333333344</v>
      </c>
      <c r="AF73" s="8">
        <f>Weather!J73</f>
        <v>0</v>
      </c>
      <c r="AG73" s="8">
        <f>Weather!K73</f>
        <v>604.69583333333333</v>
      </c>
      <c r="AH73" s="8">
        <f>Weather!L73</f>
        <v>0</v>
      </c>
      <c r="AI73" s="8">
        <f>Weather!M73</f>
        <v>542.69583333333344</v>
      </c>
      <c r="AJ73" s="8">
        <f>Weather!N73</f>
        <v>0</v>
      </c>
      <c r="AK73" s="8">
        <f>Weather!O73</f>
        <v>480.69583333333338</v>
      </c>
      <c r="AL73" s="8">
        <f>Weather!P73</f>
        <v>0</v>
      </c>
      <c r="AM73" s="2">
        <f>Weather!Q73</f>
        <v>-7.506317204301074</v>
      </c>
      <c r="AN73" s="8">
        <f>Economic!C73</f>
        <v>7482.6</v>
      </c>
      <c r="AO73" s="8">
        <f>Economic!D73</f>
        <v>7493.8</v>
      </c>
      <c r="AP73" s="8">
        <f>Economic!E73</f>
        <v>86.3</v>
      </c>
      <c r="AQ73" s="8">
        <f>Economic!F73</f>
        <v>86.9</v>
      </c>
      <c r="AR73" s="8">
        <f>Economic!G73</f>
        <v>807274.5</v>
      </c>
      <c r="AS73" s="8">
        <f>Economic!H73</f>
        <v>7405</v>
      </c>
      <c r="AT73" s="8">
        <f>Economic!I73</f>
        <v>811397</v>
      </c>
      <c r="AU73" s="8">
        <f>Economic!J73</f>
        <v>7340</v>
      </c>
      <c r="AV73" s="1">
        <f t="shared" si="49"/>
        <v>72</v>
      </c>
      <c r="AW73" s="1">
        <v>0</v>
      </c>
      <c r="AX73" s="1">
        <v>0</v>
      </c>
      <c r="AY73" s="1">
        <v>0</v>
      </c>
      <c r="AZ73" s="1">
        <v>0</v>
      </c>
      <c r="BA73" s="1">
        <v>0</v>
      </c>
      <c r="BB73" s="1">
        <v>0</v>
      </c>
      <c r="BC73" s="1">
        <v>0</v>
      </c>
      <c r="BD73" s="1">
        <v>0</v>
      </c>
      <c r="BE73" s="1">
        <v>0</v>
      </c>
      <c r="BF73" s="1">
        <v>0</v>
      </c>
      <c r="BG73" s="1">
        <v>0</v>
      </c>
      <c r="BH73" s="1">
        <v>1</v>
      </c>
      <c r="BI73" s="1">
        <v>0</v>
      </c>
      <c r="BJ73" s="1">
        <v>0</v>
      </c>
      <c r="BK73" s="1">
        <v>0</v>
      </c>
      <c r="BL73" s="1">
        <v>0</v>
      </c>
      <c r="BM73" s="1">
        <v>0</v>
      </c>
      <c r="BN73" s="1">
        <v>0</v>
      </c>
      <c r="BO73">
        <v>31</v>
      </c>
      <c r="BP73" s="1">
        <v>21</v>
      </c>
      <c r="BQ73">
        <v>0</v>
      </c>
      <c r="BR73">
        <v>0</v>
      </c>
      <c r="BS73">
        <v>0</v>
      </c>
      <c r="BT73">
        <v>0</v>
      </c>
      <c r="BU73" s="126">
        <f t="shared" si="35"/>
        <v>0</v>
      </c>
      <c r="BV73" s="126">
        <f t="shared" si="36"/>
        <v>0</v>
      </c>
      <c r="BW73" s="126">
        <f t="shared" si="37"/>
        <v>0</v>
      </c>
      <c r="BX73" s="126">
        <f t="shared" si="38"/>
        <v>0</v>
      </c>
      <c r="BY73" s="126">
        <f t="shared" si="39"/>
        <v>0</v>
      </c>
      <c r="BZ73" s="126">
        <f t="shared" si="40"/>
        <v>0</v>
      </c>
      <c r="CA73" s="126">
        <f t="shared" si="41"/>
        <v>0</v>
      </c>
      <c r="CB73" s="126">
        <f t="shared" si="42"/>
        <v>0</v>
      </c>
      <c r="CC73" s="126">
        <f t="shared" si="43"/>
        <v>0</v>
      </c>
      <c r="CD73" s="126">
        <f t="shared" si="44"/>
        <v>0</v>
      </c>
      <c r="CE73" s="126">
        <f t="shared" si="45"/>
        <v>0</v>
      </c>
      <c r="CF73" s="126">
        <f t="shared" si="46"/>
        <v>0</v>
      </c>
      <c r="CG73" s="126">
        <f t="shared" si="47"/>
        <v>0</v>
      </c>
      <c r="CH73" s="126">
        <f t="shared" si="48"/>
        <v>0</v>
      </c>
      <c r="CI73" s="66">
        <f t="shared" si="32"/>
        <v>1321300.6506113899</v>
      </c>
      <c r="CJ73" s="66">
        <f t="shared" si="33"/>
        <v>409356.87483870966</v>
      </c>
      <c r="CK73" s="66">
        <f t="shared" si="34"/>
        <v>1093993.5321022815</v>
      </c>
    </row>
    <row r="74" spans="1:89" x14ac:dyDescent="0.2">
      <c r="A74" s="101">
        <v>43831</v>
      </c>
      <c r="B74" s="1">
        <f>YEAR(A74)</f>
        <v>2020</v>
      </c>
      <c r="C74" s="1">
        <f>MONTH(A74)</f>
        <v>1</v>
      </c>
      <c r="D74" s="8">
        <v>39499664.759999998</v>
      </c>
      <c r="E74" s="8">
        <f>IFERROR(VLOOKUP($B74-1,CDM!$L$4:$R$15,2,FALSE)/12,0)+IFERROR(VLOOKUP($B74,CDM!$L$33:$O$44,2,FALSE)/24,0)+IFERROR(VLOOKUP($B74,CDM!$L$33:$O$44,2,FALSE)/2*$C74/78,0)</f>
        <v>1614886.2028674399</v>
      </c>
      <c r="F74" s="8">
        <f t="shared" si="50"/>
        <v>41114550.962867439</v>
      </c>
      <c r="G74" s="8">
        <v>43052</v>
      </c>
      <c r="H74" s="8">
        <v>13118237.65</v>
      </c>
      <c r="I74" s="8">
        <f>IFERROR(VLOOKUP($B74-1,CDM!$L$4:$R$15,3,FALSE)/12,0)+IFERROR(VLOOKUP($B74,CDM!$L$33:$O$44,3,FALSE)/24,0)+IFERROR(VLOOKUP($B74,CDM!$L$33:$O$44,3,FALSE)/2*$C74/78,0)</f>
        <v>534579.0605562086</v>
      </c>
      <c r="J74" s="8">
        <f t="shared" si="51"/>
        <v>13652816.710556209</v>
      </c>
      <c r="K74" s="8">
        <v>4173</v>
      </c>
      <c r="L74" s="8">
        <v>32117814.739</v>
      </c>
      <c r="M74" s="8">
        <f>IFERROR(VLOOKUP($B74-1,CDM!$L$4:$R$15,4,FALSE)/12,0)+IFERROR(VLOOKUP($B74,CDM!$L$33:$O$44,4,FALSE)/24,0)+IFERROR(VLOOKUP($B74,CDM!$L$33:$O$44,4,FALSE)/2*$C74/78,0)</f>
        <v>1778306.2869198341</v>
      </c>
      <c r="N74" s="8">
        <f t="shared" si="52"/>
        <v>33896121.025919832</v>
      </c>
      <c r="O74" s="4">
        <v>58790.160000000011</v>
      </c>
      <c r="P74" s="8">
        <v>503</v>
      </c>
      <c r="Q74" s="8">
        <v>811667.19</v>
      </c>
      <c r="R74" s="420">
        <v>1752.3700000000001</v>
      </c>
      <c r="S74" s="8">
        <v>10012</v>
      </c>
      <c r="T74" s="8">
        <v>30820.58</v>
      </c>
      <c r="U74" s="420">
        <v>84.04</v>
      </c>
      <c r="V74" s="8">
        <v>355</v>
      </c>
      <c r="W74" s="8">
        <v>92682.6</v>
      </c>
      <c r="X74" s="8">
        <v>291</v>
      </c>
      <c r="Y74" s="8">
        <f>Weather!C74</f>
        <v>870.02637558837841</v>
      </c>
      <c r="Z74" s="8">
        <f>Weather!D74</f>
        <v>0</v>
      </c>
      <c r="AA74" s="8">
        <f>Weather!E74</f>
        <v>808.02637558837841</v>
      </c>
      <c r="AB74" s="8">
        <f>Weather!F74</f>
        <v>0</v>
      </c>
      <c r="AC74" s="8">
        <f>Weather!G74</f>
        <v>746.02637558837841</v>
      </c>
      <c r="AD74" s="8">
        <f>Weather!H74</f>
        <v>0</v>
      </c>
      <c r="AE74" s="8">
        <f>Weather!I74</f>
        <v>684.0263755883783</v>
      </c>
      <c r="AF74" s="8">
        <f>Weather!J74</f>
        <v>0</v>
      </c>
      <c r="AG74" s="8">
        <f>Weather!K74</f>
        <v>622.02637558837841</v>
      </c>
      <c r="AH74" s="8">
        <f>Weather!L74</f>
        <v>0</v>
      </c>
      <c r="AI74" s="8">
        <f>Weather!M74</f>
        <v>560.02637558837853</v>
      </c>
      <c r="AJ74" s="8">
        <f>Weather!N74</f>
        <v>0</v>
      </c>
      <c r="AK74" s="8">
        <f>Weather!O74</f>
        <v>498.02637558837858</v>
      </c>
      <c r="AL74" s="8">
        <f>Weather!P74</f>
        <v>0</v>
      </c>
      <c r="AM74" s="2">
        <f>Weather!Q74</f>
        <v>-8.0653669544638209</v>
      </c>
      <c r="AN74" s="8">
        <f>Economic!C74</f>
        <v>7504.9</v>
      </c>
      <c r="AO74" s="8">
        <f>Economic!D74</f>
        <v>7471.6</v>
      </c>
      <c r="AP74" s="8">
        <f>Economic!E74</f>
        <v>87.3</v>
      </c>
      <c r="AQ74" s="8">
        <f>Economic!F74</f>
        <v>86.6</v>
      </c>
      <c r="AR74" s="8">
        <f>Economic!G74</f>
        <v>769942</v>
      </c>
      <c r="AS74" s="8">
        <f>Economic!H74</f>
        <v>6539.9</v>
      </c>
      <c r="AT74" s="8">
        <f>Economic!I74</f>
        <v>800126</v>
      </c>
      <c r="AU74" s="8">
        <f>Economic!J74</f>
        <v>7407</v>
      </c>
      <c r="AV74" s="1">
        <f>AV73+1</f>
        <v>73</v>
      </c>
      <c r="AW74" s="1">
        <f>AW62</f>
        <v>1</v>
      </c>
      <c r="AX74" s="1">
        <f t="shared" ref="AX74:BM74" si="53">AX62</f>
        <v>0</v>
      </c>
      <c r="AY74" s="1">
        <f t="shared" si="53"/>
        <v>0</v>
      </c>
      <c r="AZ74" s="1">
        <f t="shared" si="53"/>
        <v>0</v>
      </c>
      <c r="BA74" s="1">
        <f t="shared" si="53"/>
        <v>0</v>
      </c>
      <c r="BB74" s="1">
        <f t="shared" si="53"/>
        <v>0</v>
      </c>
      <c r="BC74" s="1">
        <f t="shared" si="53"/>
        <v>0</v>
      </c>
      <c r="BD74" s="1">
        <f t="shared" si="53"/>
        <v>0</v>
      </c>
      <c r="BE74" s="1">
        <f t="shared" si="53"/>
        <v>0</v>
      </c>
      <c r="BF74" s="1">
        <f t="shared" si="53"/>
        <v>0</v>
      </c>
      <c r="BG74" s="1">
        <f t="shared" si="53"/>
        <v>0</v>
      </c>
      <c r="BH74" s="1">
        <f t="shared" si="53"/>
        <v>0</v>
      </c>
      <c r="BI74" s="1">
        <f t="shared" si="53"/>
        <v>0</v>
      </c>
      <c r="BJ74" s="1">
        <f t="shared" si="53"/>
        <v>0</v>
      </c>
      <c r="BK74" s="1">
        <f t="shared" si="53"/>
        <v>0</v>
      </c>
      <c r="BL74" s="1">
        <f t="shared" si="53"/>
        <v>0</v>
      </c>
      <c r="BM74" s="1">
        <f t="shared" si="53"/>
        <v>0</v>
      </c>
      <c r="BN74" s="1">
        <f>BN62</f>
        <v>0</v>
      </c>
      <c r="BO74" s="1">
        <f>BO26</f>
        <v>31</v>
      </c>
      <c r="BP74" s="1">
        <v>22</v>
      </c>
      <c r="BQ74">
        <v>0</v>
      </c>
      <c r="BR74">
        <v>0</v>
      </c>
      <c r="BS74">
        <v>0</v>
      </c>
      <c r="BT74">
        <v>0</v>
      </c>
      <c r="BU74" s="126">
        <f t="shared" si="35"/>
        <v>0</v>
      </c>
      <c r="BV74" s="126">
        <f t="shared" si="36"/>
        <v>0</v>
      </c>
      <c r="BW74" s="126">
        <f t="shared" si="37"/>
        <v>0</v>
      </c>
      <c r="BX74" s="126">
        <f t="shared" si="38"/>
        <v>0</v>
      </c>
      <c r="BY74" s="126">
        <f t="shared" si="39"/>
        <v>0</v>
      </c>
      <c r="BZ74" s="126">
        <f t="shared" si="40"/>
        <v>0</v>
      </c>
      <c r="CA74" s="126">
        <f t="shared" si="41"/>
        <v>0</v>
      </c>
      <c r="CB74" s="126">
        <f t="shared" si="42"/>
        <v>0</v>
      </c>
      <c r="CC74" s="126">
        <f t="shared" si="43"/>
        <v>0</v>
      </c>
      <c r="CD74" s="126">
        <f t="shared" si="44"/>
        <v>0</v>
      </c>
      <c r="CE74" s="126">
        <f t="shared" si="45"/>
        <v>0</v>
      </c>
      <c r="CF74" s="126">
        <f t="shared" si="46"/>
        <v>0</v>
      </c>
      <c r="CG74" s="126">
        <f t="shared" si="47"/>
        <v>0</v>
      </c>
      <c r="CH74" s="126">
        <f t="shared" si="48"/>
        <v>0</v>
      </c>
      <c r="CI74" s="66">
        <f t="shared" si="32"/>
        <v>1326275.8375118528</v>
      </c>
      <c r="CJ74" s="66">
        <f t="shared" si="33"/>
        <v>423168.95645161293</v>
      </c>
      <c r="CK74" s="66">
        <f t="shared" si="34"/>
        <v>1093423.2589006398</v>
      </c>
    </row>
    <row r="75" spans="1:89" x14ac:dyDescent="0.2">
      <c r="A75" s="101">
        <v>43862</v>
      </c>
      <c r="B75" s="1">
        <f t="shared" ref="B75:B121" si="54">YEAR(A75)</f>
        <v>2020</v>
      </c>
      <c r="C75" s="1">
        <f t="shared" ref="C75:C121" si="55">MONTH(A75)</f>
        <v>2</v>
      </c>
      <c r="D75" s="8">
        <v>36204649.509999998</v>
      </c>
      <c r="E75" s="8">
        <f>IFERROR(VLOOKUP($B75-1,CDM!$L$4:$R$15,2,FALSE)/12,0)+IFERROR(VLOOKUP($B75,CDM!$L$33:$O$44,2,FALSE)/24,0)+IFERROR(VLOOKUP($B75,CDM!$L$33:$O$44,2,FALSE)/2*$C75/78,0)</f>
        <v>1612735.4180106025</v>
      </c>
      <c r="F75" s="8">
        <f t="shared" si="50"/>
        <v>37817384.928010598</v>
      </c>
      <c r="G75" s="8">
        <v>43053</v>
      </c>
      <c r="H75" s="8">
        <v>12196685.34</v>
      </c>
      <c r="I75" s="8">
        <f>IFERROR(VLOOKUP($B75-1,CDM!$L$4:$R$15,3,FALSE)/12,0)+IFERROR(VLOOKUP($B75,CDM!$L$33:$O$44,3,FALSE)/24,0)+IFERROR(VLOOKUP($B75,CDM!$L$33:$O$44,3,FALSE)/2*$C75/78,0)</f>
        <v>536897.65535281319</v>
      </c>
      <c r="J75" s="8">
        <f t="shared" si="51"/>
        <v>12733582.995352812</v>
      </c>
      <c r="K75" s="8">
        <v>4197</v>
      </c>
      <c r="L75" s="8">
        <v>30307310.443999998</v>
      </c>
      <c r="M75" s="8">
        <f>IFERROR(VLOOKUP($B75-1,CDM!$L$4:$R$15,4,FALSE)/12,0)+IFERROR(VLOOKUP($B75,CDM!$L$33:$O$44,4,FALSE)/24,0)+IFERROR(VLOOKUP($B75,CDM!$L$33:$O$44,4,FALSE)/2*$C75/78,0)</f>
        <v>1788210.0837116474</v>
      </c>
      <c r="N75" s="8">
        <f t="shared" si="52"/>
        <v>32095520.527711645</v>
      </c>
      <c r="O75" s="4">
        <v>71904.47</v>
      </c>
      <c r="P75" s="8">
        <v>503</v>
      </c>
      <c r="Q75" s="8">
        <v>694282.76</v>
      </c>
      <c r="R75" s="420">
        <v>1754.0500000000002</v>
      </c>
      <c r="S75" s="8">
        <v>10012</v>
      </c>
      <c r="T75" s="8">
        <v>28832.14</v>
      </c>
      <c r="U75" s="420">
        <v>84.04</v>
      </c>
      <c r="V75" s="8">
        <v>355</v>
      </c>
      <c r="W75" s="8">
        <v>84657.68</v>
      </c>
      <c r="X75" s="8">
        <v>290</v>
      </c>
      <c r="Y75" s="8">
        <f>Weather!C75</f>
        <v>851.21666666666647</v>
      </c>
      <c r="Z75" s="8">
        <f>Weather!D75</f>
        <v>0</v>
      </c>
      <c r="AA75" s="8">
        <f>Weather!E75</f>
        <v>793.21666666666647</v>
      </c>
      <c r="AB75" s="8">
        <f>Weather!F75</f>
        <v>0</v>
      </c>
      <c r="AC75" s="8">
        <f>Weather!G75</f>
        <v>735.21666666666658</v>
      </c>
      <c r="AD75" s="8">
        <f>Weather!H75</f>
        <v>0</v>
      </c>
      <c r="AE75" s="8">
        <f>Weather!I75</f>
        <v>677.21666666666658</v>
      </c>
      <c r="AF75" s="8">
        <f>Weather!J75</f>
        <v>0</v>
      </c>
      <c r="AG75" s="8">
        <f>Weather!K75</f>
        <v>619.21666666666658</v>
      </c>
      <c r="AH75" s="8">
        <f>Weather!L75</f>
        <v>0</v>
      </c>
      <c r="AI75" s="8">
        <f>Weather!M75</f>
        <v>561.2166666666667</v>
      </c>
      <c r="AJ75" s="8">
        <f>Weather!N75</f>
        <v>0</v>
      </c>
      <c r="AK75" s="8">
        <f>Weather!O75</f>
        <v>503.21666666666675</v>
      </c>
      <c r="AL75" s="8">
        <f>Weather!P75</f>
        <v>0</v>
      </c>
      <c r="AM75" s="2">
        <f>Weather!Q75</f>
        <v>-9.3522988505747122</v>
      </c>
      <c r="AN75" s="8">
        <f>Economic!C75</f>
        <v>7512.3</v>
      </c>
      <c r="AO75" s="8">
        <f>Economic!D75</f>
        <v>7442.1</v>
      </c>
      <c r="AP75" s="8">
        <f>Economic!E75</f>
        <v>88.2</v>
      </c>
      <c r="AQ75" s="8">
        <f>Economic!F75</f>
        <v>86.8</v>
      </c>
      <c r="AR75" s="8">
        <f>Economic!G75</f>
        <v>769942</v>
      </c>
      <c r="AS75" s="8">
        <f>Economic!H75</f>
        <v>6539.9</v>
      </c>
      <c r="AT75" s="8">
        <f>Economic!I75</f>
        <v>800126</v>
      </c>
      <c r="AU75" s="8">
        <f>Economic!J75</f>
        <v>7407</v>
      </c>
      <c r="AV75" s="1">
        <f t="shared" ref="AV75:AV133" si="56">AV74+1</f>
        <v>74</v>
      </c>
      <c r="AW75" s="1">
        <f t="shared" ref="AW75:BN75" si="57">AW63</f>
        <v>0</v>
      </c>
      <c r="AX75" s="1">
        <f t="shared" si="57"/>
        <v>1</v>
      </c>
      <c r="AY75" s="1">
        <f t="shared" si="57"/>
        <v>0</v>
      </c>
      <c r="AZ75" s="1">
        <f t="shared" si="57"/>
        <v>0</v>
      </c>
      <c r="BA75" s="1">
        <f t="shared" si="57"/>
        <v>0</v>
      </c>
      <c r="BB75" s="1">
        <f t="shared" si="57"/>
        <v>0</v>
      </c>
      <c r="BC75" s="1">
        <f t="shared" si="57"/>
        <v>0</v>
      </c>
      <c r="BD75" s="1">
        <f t="shared" si="57"/>
        <v>0</v>
      </c>
      <c r="BE75" s="1">
        <f t="shared" si="57"/>
        <v>0</v>
      </c>
      <c r="BF75" s="1">
        <f t="shared" si="57"/>
        <v>0</v>
      </c>
      <c r="BG75" s="1">
        <f t="shared" si="57"/>
        <v>0</v>
      </c>
      <c r="BH75" s="1">
        <f t="shared" si="57"/>
        <v>0</v>
      </c>
      <c r="BI75" s="1">
        <f t="shared" si="57"/>
        <v>0</v>
      </c>
      <c r="BJ75" s="1">
        <f t="shared" si="57"/>
        <v>0</v>
      </c>
      <c r="BK75" s="1">
        <f t="shared" si="57"/>
        <v>0</v>
      </c>
      <c r="BL75" s="1">
        <f t="shared" si="57"/>
        <v>0</v>
      </c>
      <c r="BM75" s="1">
        <f t="shared" si="57"/>
        <v>0</v>
      </c>
      <c r="BN75" s="1">
        <f t="shared" si="57"/>
        <v>0</v>
      </c>
      <c r="BO75" s="1">
        <f t="shared" ref="BO75:BO133" si="58">BO27</f>
        <v>29</v>
      </c>
      <c r="BP75" s="1">
        <v>19</v>
      </c>
      <c r="BQ75">
        <v>0</v>
      </c>
      <c r="BR75">
        <v>0</v>
      </c>
      <c r="BS75">
        <v>0</v>
      </c>
      <c r="BT75">
        <v>0</v>
      </c>
      <c r="BU75" s="126">
        <f t="shared" si="35"/>
        <v>0</v>
      </c>
      <c r="BV75" s="126">
        <f t="shared" si="36"/>
        <v>0</v>
      </c>
      <c r="BW75" s="126">
        <f t="shared" si="37"/>
        <v>0</v>
      </c>
      <c r="BX75" s="126">
        <f t="shared" si="38"/>
        <v>0</v>
      </c>
      <c r="BY75" s="126">
        <f t="shared" si="39"/>
        <v>0</v>
      </c>
      <c r="BZ75" s="126">
        <f t="shared" si="40"/>
        <v>0</v>
      </c>
      <c r="CA75" s="126">
        <f t="shared" si="41"/>
        <v>0</v>
      </c>
      <c r="CB75" s="126">
        <f t="shared" si="42"/>
        <v>0</v>
      </c>
      <c r="CC75" s="126">
        <f t="shared" si="43"/>
        <v>0</v>
      </c>
      <c r="CD75" s="126">
        <f t="shared" si="44"/>
        <v>0</v>
      </c>
      <c r="CE75" s="126">
        <f t="shared" si="45"/>
        <v>0</v>
      </c>
      <c r="CF75" s="126">
        <f t="shared" si="46"/>
        <v>0</v>
      </c>
      <c r="CG75" s="126">
        <f t="shared" si="47"/>
        <v>0</v>
      </c>
      <c r="CH75" s="126">
        <f t="shared" si="48"/>
        <v>0</v>
      </c>
      <c r="CI75" s="66">
        <f t="shared" si="32"/>
        <v>1304047.7561382966</v>
      </c>
      <c r="CJ75" s="66">
        <f t="shared" si="33"/>
        <v>420575.35655172414</v>
      </c>
      <c r="CK75" s="66">
        <f t="shared" si="34"/>
        <v>1106742.0871624704</v>
      </c>
    </row>
    <row r="76" spans="1:89" x14ac:dyDescent="0.2">
      <c r="A76" s="101">
        <v>43891</v>
      </c>
      <c r="B76" s="1">
        <f t="shared" si="54"/>
        <v>2020</v>
      </c>
      <c r="C76" s="1">
        <f t="shared" si="55"/>
        <v>3</v>
      </c>
      <c r="D76" s="8">
        <v>35229796.780000001</v>
      </c>
      <c r="E76" s="8">
        <f>IFERROR(VLOOKUP($B76-1,CDM!$L$4:$R$15,2,FALSE)/12,0)+IFERROR(VLOOKUP($B76,CDM!$L$33:$O$44,2,FALSE)/24,0)+IFERROR(VLOOKUP($B76,CDM!$L$33:$O$44,2,FALSE)/2*$C76/78,0)</f>
        <v>1610584.6331537648</v>
      </c>
      <c r="F76" s="8">
        <f t="shared" si="50"/>
        <v>36840381.413153768</v>
      </c>
      <c r="G76" s="8">
        <v>43049</v>
      </c>
      <c r="H76" s="8">
        <v>11511006.09</v>
      </c>
      <c r="I76" s="8">
        <f>IFERROR(VLOOKUP($B76-1,CDM!$L$4:$R$15,3,FALSE)/12,0)+IFERROR(VLOOKUP($B76,CDM!$L$33:$O$44,3,FALSE)/24,0)+IFERROR(VLOOKUP($B76,CDM!$L$33:$O$44,3,FALSE)/2*$C76/78,0)</f>
        <v>539216.25014941778</v>
      </c>
      <c r="J76" s="8">
        <f t="shared" si="51"/>
        <v>12050222.340149418</v>
      </c>
      <c r="K76" s="8">
        <v>4189</v>
      </c>
      <c r="L76" s="8">
        <v>29222623.34</v>
      </c>
      <c r="M76" s="8">
        <f>IFERROR(VLOOKUP($B76-1,CDM!$L$4:$R$15,4,FALSE)/12,0)+IFERROR(VLOOKUP($B76,CDM!$L$33:$O$44,4,FALSE)/24,0)+IFERROR(VLOOKUP($B76,CDM!$L$33:$O$44,4,FALSE)/2*$C76/78,0)</f>
        <v>1798113.880503461</v>
      </c>
      <c r="N76" s="8">
        <f t="shared" si="52"/>
        <v>31020737.220503461</v>
      </c>
      <c r="O76" s="4">
        <v>70607.029999999984</v>
      </c>
      <c r="P76" s="8">
        <v>502</v>
      </c>
      <c r="Q76" s="8">
        <v>653338.27</v>
      </c>
      <c r="R76" s="420">
        <v>1751.73</v>
      </c>
      <c r="S76" s="8">
        <v>10021</v>
      </c>
      <c r="T76" s="8">
        <v>30820.58</v>
      </c>
      <c r="U76" s="420">
        <v>83.3</v>
      </c>
      <c r="V76" s="8">
        <v>355</v>
      </c>
      <c r="W76" s="8">
        <v>88045.72</v>
      </c>
      <c r="X76" s="8">
        <v>282</v>
      </c>
      <c r="Y76" s="8">
        <f>Weather!C76</f>
        <v>699.14720892171169</v>
      </c>
      <c r="Z76" s="8">
        <f>Weather!D76</f>
        <v>0</v>
      </c>
      <c r="AA76" s="8">
        <f>Weather!E76</f>
        <v>637.14720892171169</v>
      </c>
      <c r="AB76" s="8">
        <f>Weather!F76</f>
        <v>0</v>
      </c>
      <c r="AC76" s="8">
        <f>Weather!G76</f>
        <v>575.14720892171181</v>
      </c>
      <c r="AD76" s="8">
        <f>Weather!H76</f>
        <v>0</v>
      </c>
      <c r="AE76" s="8">
        <f>Weather!I76</f>
        <v>513.14720892171192</v>
      </c>
      <c r="AF76" s="8">
        <f>Weather!J76</f>
        <v>0</v>
      </c>
      <c r="AG76" s="8">
        <f>Weather!K76</f>
        <v>451.14720892171192</v>
      </c>
      <c r="AH76" s="8">
        <f>Weather!L76</f>
        <v>0</v>
      </c>
      <c r="AI76" s="8">
        <f>Weather!M76</f>
        <v>389.14720892171187</v>
      </c>
      <c r="AJ76" s="8">
        <f>Weather!N76</f>
        <v>0</v>
      </c>
      <c r="AK76" s="8">
        <f>Weather!O76</f>
        <v>327.14720892171192</v>
      </c>
      <c r="AL76" s="8">
        <f>Weather!P76</f>
        <v>0</v>
      </c>
      <c r="AM76" s="2">
        <f>Weather!Q76</f>
        <v>-2.5531357716681242</v>
      </c>
      <c r="AN76" s="8">
        <f>Economic!C76</f>
        <v>7358</v>
      </c>
      <c r="AO76" s="8">
        <f>Economic!D76</f>
        <v>7256.2</v>
      </c>
      <c r="AP76" s="8">
        <f>Economic!E76</f>
        <v>85.5</v>
      </c>
      <c r="AQ76" s="8">
        <f>Economic!F76</f>
        <v>84.1</v>
      </c>
      <c r="AR76" s="8">
        <f>Economic!G76</f>
        <v>769942</v>
      </c>
      <c r="AS76" s="8">
        <f>Economic!H76</f>
        <v>6539.9</v>
      </c>
      <c r="AT76" s="8">
        <f>Economic!I76</f>
        <v>800126</v>
      </c>
      <c r="AU76" s="8">
        <f>Economic!J76</f>
        <v>7407</v>
      </c>
      <c r="AV76" s="1">
        <f t="shared" si="56"/>
        <v>75</v>
      </c>
      <c r="AW76" s="1">
        <f t="shared" ref="AW76:BN76" si="59">AW64</f>
        <v>0</v>
      </c>
      <c r="AX76" s="1">
        <f t="shared" si="59"/>
        <v>0</v>
      </c>
      <c r="AY76" s="1">
        <f t="shared" si="59"/>
        <v>1</v>
      </c>
      <c r="AZ76" s="1">
        <f t="shared" si="59"/>
        <v>0</v>
      </c>
      <c r="BA76" s="1">
        <f t="shared" si="59"/>
        <v>0</v>
      </c>
      <c r="BB76" s="1">
        <f t="shared" si="59"/>
        <v>0</v>
      </c>
      <c r="BC76" s="1">
        <f t="shared" si="59"/>
        <v>0</v>
      </c>
      <c r="BD76" s="1">
        <f t="shared" si="59"/>
        <v>0</v>
      </c>
      <c r="BE76" s="1">
        <f t="shared" si="59"/>
        <v>0</v>
      </c>
      <c r="BF76" s="1">
        <f t="shared" si="59"/>
        <v>0</v>
      </c>
      <c r="BG76" s="1">
        <f t="shared" si="59"/>
        <v>0</v>
      </c>
      <c r="BH76" s="1">
        <f t="shared" si="59"/>
        <v>0</v>
      </c>
      <c r="BI76" s="1">
        <f t="shared" si="59"/>
        <v>1</v>
      </c>
      <c r="BJ76" s="1">
        <f t="shared" si="59"/>
        <v>0</v>
      </c>
      <c r="BK76" s="1">
        <f t="shared" si="59"/>
        <v>1</v>
      </c>
      <c r="BL76" s="1">
        <f t="shared" si="59"/>
        <v>0</v>
      </c>
      <c r="BM76" s="1">
        <f t="shared" si="59"/>
        <v>0</v>
      </c>
      <c r="BN76" s="1">
        <f t="shared" si="59"/>
        <v>0</v>
      </c>
      <c r="BO76" s="1">
        <f t="shared" si="58"/>
        <v>31</v>
      </c>
      <c r="BP76" s="1">
        <v>22</v>
      </c>
      <c r="BQ76">
        <v>1</v>
      </c>
      <c r="BR76">
        <v>0.5</v>
      </c>
      <c r="BS76">
        <v>0.5</v>
      </c>
      <c r="BT76">
        <v>0.5</v>
      </c>
      <c r="BU76" s="126">
        <f t="shared" si="35"/>
        <v>699.14720892171169</v>
      </c>
      <c r="BV76" s="126">
        <f t="shared" si="36"/>
        <v>0</v>
      </c>
      <c r="BW76" s="126">
        <f t="shared" si="37"/>
        <v>637.14720892171169</v>
      </c>
      <c r="BX76" s="126">
        <f t="shared" si="38"/>
        <v>0</v>
      </c>
      <c r="BY76" s="126">
        <f t="shared" si="39"/>
        <v>575.14720892171181</v>
      </c>
      <c r="BZ76" s="126">
        <f t="shared" si="40"/>
        <v>0</v>
      </c>
      <c r="CA76" s="126">
        <f t="shared" si="41"/>
        <v>513.14720892171192</v>
      </c>
      <c r="CB76" s="126">
        <f t="shared" si="42"/>
        <v>0</v>
      </c>
      <c r="CC76" s="126">
        <f t="shared" si="43"/>
        <v>451.14720892171192</v>
      </c>
      <c r="CD76" s="126">
        <f t="shared" si="44"/>
        <v>0</v>
      </c>
      <c r="CE76" s="126">
        <f t="shared" si="45"/>
        <v>389.14720892171187</v>
      </c>
      <c r="CF76" s="126">
        <f t="shared" si="46"/>
        <v>0</v>
      </c>
      <c r="CG76" s="126">
        <f t="shared" si="47"/>
        <v>327.14720892171192</v>
      </c>
      <c r="CH76" s="126">
        <f t="shared" si="48"/>
        <v>0</v>
      </c>
      <c r="CI76" s="66">
        <f t="shared" si="32"/>
        <v>1188399.4004243151</v>
      </c>
      <c r="CJ76" s="66">
        <f t="shared" si="33"/>
        <v>371322.7770967742</v>
      </c>
      <c r="CK76" s="66">
        <f t="shared" si="34"/>
        <v>1000668.9425968858</v>
      </c>
    </row>
    <row r="77" spans="1:89" x14ac:dyDescent="0.2">
      <c r="A77" s="101">
        <v>43922</v>
      </c>
      <c r="B77" s="1">
        <f t="shared" si="54"/>
        <v>2020</v>
      </c>
      <c r="C77" s="1">
        <f t="shared" si="55"/>
        <v>4</v>
      </c>
      <c r="D77" s="8">
        <v>30715476.789999999</v>
      </c>
      <c r="E77" s="8">
        <f>IFERROR(VLOOKUP($B77-1,CDM!$L$4:$R$15,2,FALSE)/12,0)+IFERROR(VLOOKUP($B77,CDM!$L$33:$O$44,2,FALSE)/24,0)+IFERROR(VLOOKUP($B77,CDM!$L$33:$O$44,2,FALSE)/2*$C77/78,0)</f>
        <v>1608433.8482969273</v>
      </c>
      <c r="F77" s="8">
        <f t="shared" si="50"/>
        <v>32323910.638296925</v>
      </c>
      <c r="G77" s="8">
        <v>43046</v>
      </c>
      <c r="H77" s="8">
        <v>9175205.4700000007</v>
      </c>
      <c r="I77" s="8">
        <f>IFERROR(VLOOKUP($B77-1,CDM!$L$4:$R$15,3,FALSE)/12,0)+IFERROR(VLOOKUP($B77,CDM!$L$33:$O$44,3,FALSE)/24,0)+IFERROR(VLOOKUP($B77,CDM!$L$33:$O$44,3,FALSE)/2*$C77/78,0)</f>
        <v>541534.84494602238</v>
      </c>
      <c r="J77" s="8">
        <f t="shared" si="51"/>
        <v>9716740.3149460237</v>
      </c>
      <c r="K77" s="8">
        <v>4190</v>
      </c>
      <c r="L77" s="8">
        <v>23759045.487999998</v>
      </c>
      <c r="M77" s="8">
        <f>IFERROR(VLOOKUP($B77-1,CDM!$L$4:$R$15,4,FALSE)/12,0)+IFERROR(VLOOKUP($B77,CDM!$L$33:$O$44,4,FALSE)/24,0)+IFERROR(VLOOKUP($B77,CDM!$L$33:$O$44,4,FALSE)/2*$C77/78,0)</f>
        <v>1808017.6772952743</v>
      </c>
      <c r="N77" s="8">
        <f t="shared" si="52"/>
        <v>25567063.165295273</v>
      </c>
      <c r="O77" s="4">
        <v>54661.300000000017</v>
      </c>
      <c r="P77" s="8">
        <v>502</v>
      </c>
      <c r="Q77" s="8">
        <v>545488.77</v>
      </c>
      <c r="R77" s="420">
        <v>1752.96</v>
      </c>
      <c r="S77" s="8">
        <v>10021</v>
      </c>
      <c r="T77" s="8">
        <v>29819.52</v>
      </c>
      <c r="U77" s="420">
        <v>81.819999999999993</v>
      </c>
      <c r="V77" s="8">
        <v>355</v>
      </c>
      <c r="W77" s="8">
        <v>84619</v>
      </c>
      <c r="X77" s="8">
        <v>280</v>
      </c>
      <c r="Y77" s="8">
        <f>Weather!C77</f>
        <v>539.53541666666661</v>
      </c>
      <c r="Z77" s="8">
        <f>Weather!D77</f>
        <v>0</v>
      </c>
      <c r="AA77" s="8">
        <f>Weather!E77</f>
        <v>479.53541666666666</v>
      </c>
      <c r="AB77" s="8">
        <f>Weather!F77</f>
        <v>0</v>
      </c>
      <c r="AC77" s="8">
        <f>Weather!G77</f>
        <v>419.53541666666666</v>
      </c>
      <c r="AD77" s="8">
        <f>Weather!H77</f>
        <v>0</v>
      </c>
      <c r="AE77" s="8">
        <f>Weather!I77</f>
        <v>359.53541666666661</v>
      </c>
      <c r="AF77" s="8">
        <f>Weather!J77</f>
        <v>0</v>
      </c>
      <c r="AG77" s="8">
        <f>Weather!K77</f>
        <v>299.53541666666661</v>
      </c>
      <c r="AH77" s="8">
        <f>Weather!L77</f>
        <v>0</v>
      </c>
      <c r="AI77" s="8">
        <f>Weather!M77</f>
        <v>239.53541666666663</v>
      </c>
      <c r="AJ77" s="8">
        <f>Weather!N77</f>
        <v>0</v>
      </c>
      <c r="AK77" s="8">
        <f>Weather!O77</f>
        <v>179.53541666666666</v>
      </c>
      <c r="AL77" s="8">
        <f>Weather!P77</f>
        <v>0</v>
      </c>
      <c r="AM77" s="2">
        <f>Weather!Q77</f>
        <v>2.0154861111111111</v>
      </c>
      <c r="AN77" s="8">
        <f>Economic!C77</f>
        <v>6963.7</v>
      </c>
      <c r="AO77" s="8">
        <f>Economic!D77</f>
        <v>6885.2</v>
      </c>
      <c r="AP77" s="8">
        <f>Economic!E77</f>
        <v>80.900000000000006</v>
      </c>
      <c r="AQ77" s="8">
        <f>Economic!F77</f>
        <v>80.2</v>
      </c>
      <c r="AR77" s="8">
        <f>Economic!G77</f>
        <v>769942</v>
      </c>
      <c r="AS77" s="8">
        <f>Economic!H77</f>
        <v>6539.9</v>
      </c>
      <c r="AT77" s="8">
        <f>Economic!I77</f>
        <v>706539</v>
      </c>
      <c r="AU77" s="8">
        <f>Economic!J77</f>
        <v>6073</v>
      </c>
      <c r="AV77" s="1">
        <f t="shared" si="56"/>
        <v>76</v>
      </c>
      <c r="AW77" s="1">
        <f t="shared" ref="AW77:BN77" si="60">AW65</f>
        <v>0</v>
      </c>
      <c r="AX77" s="1">
        <f t="shared" si="60"/>
        <v>0</v>
      </c>
      <c r="AY77" s="1">
        <f t="shared" si="60"/>
        <v>0</v>
      </c>
      <c r="AZ77" s="1">
        <f t="shared" si="60"/>
        <v>1</v>
      </c>
      <c r="BA77" s="1">
        <f t="shared" si="60"/>
        <v>0</v>
      </c>
      <c r="BB77" s="1">
        <f t="shared" si="60"/>
        <v>0</v>
      </c>
      <c r="BC77" s="1">
        <f t="shared" si="60"/>
        <v>0</v>
      </c>
      <c r="BD77" s="1">
        <f t="shared" si="60"/>
        <v>0</v>
      </c>
      <c r="BE77" s="1">
        <f t="shared" si="60"/>
        <v>0</v>
      </c>
      <c r="BF77" s="1">
        <f t="shared" si="60"/>
        <v>0</v>
      </c>
      <c r="BG77" s="1">
        <f t="shared" si="60"/>
        <v>0</v>
      </c>
      <c r="BH77" s="1">
        <f t="shared" si="60"/>
        <v>0</v>
      </c>
      <c r="BI77" s="1">
        <f t="shared" si="60"/>
        <v>1</v>
      </c>
      <c r="BJ77" s="1">
        <f t="shared" si="60"/>
        <v>0</v>
      </c>
      <c r="BK77" s="1">
        <f t="shared" si="60"/>
        <v>1</v>
      </c>
      <c r="BL77" s="1">
        <f t="shared" si="60"/>
        <v>1</v>
      </c>
      <c r="BM77" s="1">
        <f t="shared" si="60"/>
        <v>0</v>
      </c>
      <c r="BN77" s="1">
        <f t="shared" si="60"/>
        <v>1</v>
      </c>
      <c r="BO77" s="1">
        <f t="shared" si="58"/>
        <v>30</v>
      </c>
      <c r="BP77" s="1">
        <v>21</v>
      </c>
      <c r="BQ77">
        <v>1</v>
      </c>
      <c r="BR77">
        <v>1</v>
      </c>
      <c r="BS77">
        <v>1</v>
      </c>
      <c r="BT77">
        <v>1</v>
      </c>
      <c r="BU77" s="126">
        <f t="shared" si="35"/>
        <v>539.53541666666661</v>
      </c>
      <c r="BV77" s="126">
        <f t="shared" si="36"/>
        <v>0</v>
      </c>
      <c r="BW77" s="126">
        <f t="shared" si="37"/>
        <v>479.53541666666666</v>
      </c>
      <c r="BX77" s="126">
        <f t="shared" si="38"/>
        <v>0</v>
      </c>
      <c r="BY77" s="126">
        <f t="shared" si="39"/>
        <v>419.53541666666666</v>
      </c>
      <c r="BZ77" s="126">
        <f t="shared" si="40"/>
        <v>0</v>
      </c>
      <c r="CA77" s="126">
        <f t="shared" si="41"/>
        <v>359.53541666666661</v>
      </c>
      <c r="CB77" s="126">
        <f t="shared" si="42"/>
        <v>0</v>
      </c>
      <c r="CC77" s="126">
        <f t="shared" si="43"/>
        <v>299.53541666666661</v>
      </c>
      <c r="CD77" s="126">
        <f t="shared" si="44"/>
        <v>0</v>
      </c>
      <c r="CE77" s="126">
        <f t="shared" si="45"/>
        <v>239.53541666666663</v>
      </c>
      <c r="CF77" s="126">
        <f t="shared" si="46"/>
        <v>0</v>
      </c>
      <c r="CG77" s="126">
        <f t="shared" si="47"/>
        <v>179.53541666666666</v>
      </c>
      <c r="CH77" s="126">
        <f t="shared" si="48"/>
        <v>0</v>
      </c>
      <c r="CI77" s="66">
        <f t="shared" si="32"/>
        <v>1077463.6879432308</v>
      </c>
      <c r="CJ77" s="66">
        <f t="shared" si="33"/>
        <v>305840.18233333336</v>
      </c>
      <c r="CK77" s="66">
        <f t="shared" si="34"/>
        <v>852235.43884317577</v>
      </c>
    </row>
    <row r="78" spans="1:89" x14ac:dyDescent="0.2">
      <c r="A78" s="101">
        <v>43952</v>
      </c>
      <c r="B78" s="1">
        <f t="shared" si="54"/>
        <v>2020</v>
      </c>
      <c r="C78" s="1">
        <f t="shared" si="55"/>
        <v>5</v>
      </c>
      <c r="D78" s="8">
        <v>28122246.469999999</v>
      </c>
      <c r="E78" s="8">
        <f>IFERROR(VLOOKUP($B78-1,CDM!$L$4:$R$15,2,FALSE)/12,0)+IFERROR(VLOOKUP($B78,CDM!$L$33:$O$44,2,FALSE)/24,0)+IFERROR(VLOOKUP($B78,CDM!$L$33:$O$44,2,FALSE)/2*$C78/78,0)</f>
        <v>1606283.0634400896</v>
      </c>
      <c r="F78" s="8">
        <f t="shared" si="50"/>
        <v>29728529.533440087</v>
      </c>
      <c r="G78" s="8">
        <v>43047</v>
      </c>
      <c r="H78" s="8">
        <v>9150846.4100000001</v>
      </c>
      <c r="I78" s="8">
        <f>IFERROR(VLOOKUP($B78-1,CDM!$L$4:$R$15,3,FALSE)/12,0)+IFERROR(VLOOKUP($B78,CDM!$L$33:$O$44,3,FALSE)/24,0)+IFERROR(VLOOKUP($B78,CDM!$L$33:$O$44,3,FALSE)/2*$C78/78,0)</f>
        <v>543853.43974262697</v>
      </c>
      <c r="J78" s="8">
        <f t="shared" si="51"/>
        <v>9694699.8497426268</v>
      </c>
      <c r="K78" s="8">
        <v>4182</v>
      </c>
      <c r="L78" s="8">
        <v>23314198.035</v>
      </c>
      <c r="M78" s="8">
        <f>IFERROR(VLOOKUP($B78-1,CDM!$L$4:$R$15,4,FALSE)/12,0)+IFERROR(VLOOKUP($B78,CDM!$L$33:$O$44,4,FALSE)/24,0)+IFERROR(VLOOKUP($B78,CDM!$L$33:$O$44,4,FALSE)/2*$C78/78,0)</f>
        <v>1817921.4740870877</v>
      </c>
      <c r="N78" s="8">
        <f t="shared" si="52"/>
        <v>25132119.509087089</v>
      </c>
      <c r="O78" s="4">
        <v>60821.030000000042</v>
      </c>
      <c r="P78" s="8">
        <v>500</v>
      </c>
      <c r="Q78" s="8">
        <v>486483.4</v>
      </c>
      <c r="R78" s="420">
        <v>1752.8899999999999</v>
      </c>
      <c r="S78" s="8">
        <v>10026</v>
      </c>
      <c r="T78" s="8">
        <v>30783.200000000001</v>
      </c>
      <c r="U78" s="420">
        <v>83.4</v>
      </c>
      <c r="V78" s="8">
        <v>354</v>
      </c>
      <c r="W78" s="8">
        <v>87003</v>
      </c>
      <c r="X78" s="8">
        <v>279</v>
      </c>
      <c r="Y78" s="8">
        <f>Weather!C78</f>
        <v>324.04791666666671</v>
      </c>
      <c r="Z78" s="8">
        <f>Weather!D78</f>
        <v>8.3749999999999964</v>
      </c>
      <c r="AA78" s="8">
        <f>Weather!E78</f>
        <v>272.61875000000003</v>
      </c>
      <c r="AB78" s="8">
        <f>Weather!F78</f>
        <v>18.945833333333326</v>
      </c>
      <c r="AC78" s="8">
        <f>Weather!G78</f>
        <v>224.81458333333342</v>
      </c>
      <c r="AD78" s="8">
        <f>Weather!H78</f>
        <v>33.141666666666659</v>
      </c>
      <c r="AE78" s="8">
        <f>Weather!I78</f>
        <v>180.78333333333342</v>
      </c>
      <c r="AF78" s="8">
        <f>Weather!J78</f>
        <v>51.110416666666673</v>
      </c>
      <c r="AG78" s="8">
        <f>Weather!K78</f>
        <v>140.3354166666667</v>
      </c>
      <c r="AH78" s="8">
        <f>Weather!L78</f>
        <v>72.662499999999994</v>
      </c>
      <c r="AI78" s="8">
        <f>Weather!M78</f>
        <v>104.33541666666667</v>
      </c>
      <c r="AJ78" s="8">
        <f>Weather!N78</f>
        <v>98.662499999999994</v>
      </c>
      <c r="AK78" s="8">
        <f>Weather!O78</f>
        <v>72.089583333333337</v>
      </c>
      <c r="AL78" s="8">
        <f>Weather!P78</f>
        <v>128.41666666666666</v>
      </c>
      <c r="AM78" s="2">
        <f>Weather!Q78</f>
        <v>9.817002688172046</v>
      </c>
      <c r="AN78" s="8">
        <f>Economic!C78</f>
        <v>6568.2</v>
      </c>
      <c r="AO78" s="8">
        <f>Economic!D78</f>
        <v>6536.7</v>
      </c>
      <c r="AP78" s="8">
        <f>Economic!E78</f>
        <v>76.7</v>
      </c>
      <c r="AQ78" s="8">
        <f>Economic!F78</f>
        <v>76.400000000000006</v>
      </c>
      <c r="AR78" s="8">
        <f>Economic!G78</f>
        <v>769942</v>
      </c>
      <c r="AS78" s="8">
        <f>Economic!H78</f>
        <v>6539.9</v>
      </c>
      <c r="AT78" s="8">
        <f>Economic!I78</f>
        <v>706539</v>
      </c>
      <c r="AU78" s="8">
        <f>Economic!J78</f>
        <v>6073</v>
      </c>
      <c r="AV78" s="1">
        <f t="shared" si="56"/>
        <v>77</v>
      </c>
      <c r="AW78" s="1">
        <f t="shared" ref="AW78:BN78" si="61">AW66</f>
        <v>0</v>
      </c>
      <c r="AX78" s="1">
        <f t="shared" si="61"/>
        <v>0</v>
      </c>
      <c r="AY78" s="1">
        <f t="shared" si="61"/>
        <v>0</v>
      </c>
      <c r="AZ78" s="1">
        <f t="shared" si="61"/>
        <v>0</v>
      </c>
      <c r="BA78" s="1">
        <f t="shared" si="61"/>
        <v>1</v>
      </c>
      <c r="BB78" s="1">
        <f t="shared" si="61"/>
        <v>0</v>
      </c>
      <c r="BC78" s="1">
        <f t="shared" si="61"/>
        <v>0</v>
      </c>
      <c r="BD78" s="1">
        <f t="shared" si="61"/>
        <v>0</v>
      </c>
      <c r="BE78" s="1">
        <f t="shared" si="61"/>
        <v>0</v>
      </c>
      <c r="BF78" s="1">
        <f t="shared" si="61"/>
        <v>0</v>
      </c>
      <c r="BG78" s="1">
        <f t="shared" si="61"/>
        <v>0</v>
      </c>
      <c r="BH78" s="1">
        <f t="shared" si="61"/>
        <v>0</v>
      </c>
      <c r="BI78" s="1">
        <f t="shared" si="61"/>
        <v>1</v>
      </c>
      <c r="BJ78" s="1">
        <f t="shared" si="61"/>
        <v>0</v>
      </c>
      <c r="BK78" s="1">
        <f t="shared" si="61"/>
        <v>1</v>
      </c>
      <c r="BL78" s="1">
        <f t="shared" si="61"/>
        <v>1</v>
      </c>
      <c r="BM78" s="1">
        <f t="shared" si="61"/>
        <v>0</v>
      </c>
      <c r="BN78" s="1">
        <f t="shared" si="61"/>
        <v>1</v>
      </c>
      <c r="BO78" s="1">
        <f t="shared" si="58"/>
        <v>31</v>
      </c>
      <c r="BP78" s="1">
        <v>20</v>
      </c>
      <c r="BQ78">
        <v>1</v>
      </c>
      <c r="BR78">
        <v>1</v>
      </c>
      <c r="BS78">
        <v>1</v>
      </c>
      <c r="BT78">
        <v>1</v>
      </c>
      <c r="BU78" s="126">
        <f t="shared" si="35"/>
        <v>324.04791666666671</v>
      </c>
      <c r="BV78" s="126">
        <f t="shared" si="36"/>
        <v>8.3749999999999964</v>
      </c>
      <c r="BW78" s="126">
        <f t="shared" si="37"/>
        <v>272.61875000000003</v>
      </c>
      <c r="BX78" s="126">
        <f t="shared" si="38"/>
        <v>18.945833333333326</v>
      </c>
      <c r="BY78" s="126">
        <f t="shared" si="39"/>
        <v>224.81458333333342</v>
      </c>
      <c r="BZ78" s="126">
        <f t="shared" si="40"/>
        <v>33.141666666666659</v>
      </c>
      <c r="CA78" s="126">
        <f t="shared" si="41"/>
        <v>180.78333333333342</v>
      </c>
      <c r="CB78" s="126">
        <f t="shared" si="42"/>
        <v>51.110416666666673</v>
      </c>
      <c r="CC78" s="126">
        <f t="shared" si="43"/>
        <v>140.3354166666667</v>
      </c>
      <c r="CD78" s="126">
        <f t="shared" si="44"/>
        <v>72.662499999999994</v>
      </c>
      <c r="CE78" s="126">
        <f t="shared" si="45"/>
        <v>104.33541666666667</v>
      </c>
      <c r="CF78" s="126">
        <f t="shared" si="46"/>
        <v>98.662499999999994</v>
      </c>
      <c r="CG78" s="126">
        <f t="shared" si="47"/>
        <v>72.089583333333337</v>
      </c>
      <c r="CH78" s="126">
        <f t="shared" si="48"/>
        <v>128.41666666666666</v>
      </c>
      <c r="CI78" s="66">
        <f t="shared" si="32"/>
        <v>958984.82365935761</v>
      </c>
      <c r="CJ78" s="66">
        <f t="shared" si="33"/>
        <v>295188.59387096774</v>
      </c>
      <c r="CK78" s="66">
        <f t="shared" si="34"/>
        <v>810713.5325511964</v>
      </c>
    </row>
    <row r="79" spans="1:89" x14ac:dyDescent="0.2">
      <c r="A79" s="101">
        <v>43983</v>
      </c>
      <c r="B79" s="1">
        <f t="shared" si="54"/>
        <v>2020</v>
      </c>
      <c r="C79" s="1">
        <f t="shared" si="55"/>
        <v>6</v>
      </c>
      <c r="D79" s="8">
        <v>27953695.18</v>
      </c>
      <c r="E79" s="8">
        <f>IFERROR(VLOOKUP($B79-1,CDM!$L$4:$R$15,2,FALSE)/12,0)+IFERROR(VLOOKUP($B79,CDM!$L$33:$O$44,2,FALSE)/24,0)+IFERROR(VLOOKUP($B79,CDM!$L$33:$O$44,2,FALSE)/2*$C79/78,0)</f>
        <v>1604132.2785832521</v>
      </c>
      <c r="F79" s="8">
        <f t="shared" si="50"/>
        <v>29557827.458583251</v>
      </c>
      <c r="G79" s="8">
        <v>43047</v>
      </c>
      <c r="H79" s="8">
        <v>9679496.4299999997</v>
      </c>
      <c r="I79" s="8">
        <f>IFERROR(VLOOKUP($B79-1,CDM!$L$4:$R$15,3,FALSE)/12,0)+IFERROR(VLOOKUP($B79,CDM!$L$33:$O$44,3,FALSE)/24,0)+IFERROR(VLOOKUP($B79,CDM!$L$33:$O$44,3,FALSE)/2*$C79/78,0)</f>
        <v>546172.03453923156</v>
      </c>
      <c r="J79" s="8">
        <f t="shared" si="51"/>
        <v>10225668.464539232</v>
      </c>
      <c r="K79" s="8">
        <v>4222</v>
      </c>
      <c r="L79" s="8">
        <v>23331403.017000001</v>
      </c>
      <c r="M79" s="8">
        <f>IFERROR(VLOOKUP($B79-1,CDM!$L$4:$R$15,4,FALSE)/12,0)+IFERROR(VLOOKUP($B79,CDM!$L$33:$O$44,4,FALSE)/24,0)+IFERROR(VLOOKUP($B79,CDM!$L$33:$O$44,4,FALSE)/2*$C79/78,0)</f>
        <v>1827825.270878901</v>
      </c>
      <c r="N79" s="8">
        <f t="shared" si="52"/>
        <v>25159228.287878901</v>
      </c>
      <c r="O79" s="4">
        <v>60724.82</v>
      </c>
      <c r="P79" s="8">
        <v>462</v>
      </c>
      <c r="Q79" s="8">
        <v>432971.1</v>
      </c>
      <c r="R79" s="420">
        <v>1752.69</v>
      </c>
      <c r="S79" s="8">
        <v>10026</v>
      </c>
      <c r="T79" s="8">
        <v>29891.16</v>
      </c>
      <c r="U79" s="420">
        <v>83.59</v>
      </c>
      <c r="V79" s="8">
        <v>354</v>
      </c>
      <c r="W79" s="8">
        <v>83828</v>
      </c>
      <c r="X79" s="8">
        <v>277</v>
      </c>
      <c r="Y79" s="8">
        <f>Weather!C79</f>
        <v>98.004166666666663</v>
      </c>
      <c r="Z79" s="8">
        <f>Weather!D79</f>
        <v>20.064583333333339</v>
      </c>
      <c r="AA79" s="8">
        <f>Weather!E79</f>
        <v>61.88333333333334</v>
      </c>
      <c r="AB79" s="8">
        <f>Weather!F79</f>
        <v>43.943750000000009</v>
      </c>
      <c r="AC79" s="8">
        <f>Weather!G79</f>
        <v>35.118750000000006</v>
      </c>
      <c r="AD79" s="8">
        <f>Weather!H79</f>
        <v>77.17916666666666</v>
      </c>
      <c r="AE79" s="8">
        <f>Weather!I79</f>
        <v>15.577083333333341</v>
      </c>
      <c r="AF79" s="8">
        <f>Weather!J79</f>
        <v>117.6375</v>
      </c>
      <c r="AG79" s="8">
        <f>Weather!K79</f>
        <v>5.8562500000000046</v>
      </c>
      <c r="AH79" s="8">
        <f>Weather!L79</f>
        <v>167.91666666666669</v>
      </c>
      <c r="AI79" s="8">
        <f>Weather!M79</f>
        <v>1.7916666666666679</v>
      </c>
      <c r="AJ79" s="8">
        <f>Weather!N79</f>
        <v>223.85208333333333</v>
      </c>
      <c r="AK79" s="8">
        <f>Weather!O79</f>
        <v>0</v>
      </c>
      <c r="AL79" s="8">
        <f>Weather!P79</f>
        <v>282.06041666666664</v>
      </c>
      <c r="AM79" s="2">
        <f>Weather!Q79</f>
        <v>17.402013888888884</v>
      </c>
      <c r="AN79" s="8">
        <f>Economic!C79</f>
        <v>6459.7</v>
      </c>
      <c r="AO79" s="8">
        <f>Economic!D79</f>
        <v>6498.5</v>
      </c>
      <c r="AP79" s="8">
        <f>Economic!E79</f>
        <v>75.7</v>
      </c>
      <c r="AQ79" s="8">
        <f>Economic!F79</f>
        <v>76.099999999999994</v>
      </c>
      <c r="AR79" s="8">
        <f>Economic!G79</f>
        <v>769942</v>
      </c>
      <c r="AS79" s="8">
        <f>Economic!H79</f>
        <v>6539.9</v>
      </c>
      <c r="AT79" s="8">
        <f>Economic!I79</f>
        <v>706539</v>
      </c>
      <c r="AU79" s="8">
        <f>Economic!J79</f>
        <v>6073</v>
      </c>
      <c r="AV79" s="1">
        <f t="shared" si="56"/>
        <v>78</v>
      </c>
      <c r="AW79" s="1">
        <f t="shared" ref="AW79:BN79" si="62">AW67</f>
        <v>0</v>
      </c>
      <c r="AX79" s="1">
        <f t="shared" si="62"/>
        <v>0</v>
      </c>
      <c r="AY79" s="1">
        <f t="shared" si="62"/>
        <v>0</v>
      </c>
      <c r="AZ79" s="1">
        <f t="shared" si="62"/>
        <v>0</v>
      </c>
      <c r="BA79" s="1">
        <f t="shared" si="62"/>
        <v>0</v>
      </c>
      <c r="BB79" s="1">
        <f t="shared" si="62"/>
        <v>1</v>
      </c>
      <c r="BC79" s="1">
        <f t="shared" si="62"/>
        <v>0</v>
      </c>
      <c r="BD79" s="1">
        <f t="shared" si="62"/>
        <v>0</v>
      </c>
      <c r="BE79" s="1">
        <f t="shared" si="62"/>
        <v>0</v>
      </c>
      <c r="BF79" s="1">
        <f t="shared" si="62"/>
        <v>0</v>
      </c>
      <c r="BG79" s="1">
        <f t="shared" si="62"/>
        <v>0</v>
      </c>
      <c r="BH79" s="1">
        <f t="shared" si="62"/>
        <v>0</v>
      </c>
      <c r="BI79" s="1">
        <f t="shared" si="62"/>
        <v>0</v>
      </c>
      <c r="BJ79" s="1">
        <f t="shared" si="62"/>
        <v>0</v>
      </c>
      <c r="BK79" s="1">
        <f t="shared" si="62"/>
        <v>0</v>
      </c>
      <c r="BL79" s="1">
        <f t="shared" si="62"/>
        <v>0</v>
      </c>
      <c r="BM79" s="1">
        <f t="shared" si="62"/>
        <v>0</v>
      </c>
      <c r="BN79" s="1">
        <f t="shared" si="62"/>
        <v>0</v>
      </c>
      <c r="BO79" s="1">
        <f t="shared" si="58"/>
        <v>30</v>
      </c>
      <c r="BP79" s="1">
        <v>22</v>
      </c>
      <c r="BQ79">
        <v>1</v>
      </c>
      <c r="BR79">
        <v>0.5</v>
      </c>
      <c r="BS79">
        <v>1</v>
      </c>
      <c r="BT79">
        <v>0.5</v>
      </c>
      <c r="BU79" s="126">
        <f t="shared" si="35"/>
        <v>98.004166666666663</v>
      </c>
      <c r="BV79" s="126">
        <f t="shared" si="36"/>
        <v>20.064583333333339</v>
      </c>
      <c r="BW79" s="126">
        <f t="shared" si="37"/>
        <v>61.88333333333334</v>
      </c>
      <c r="BX79" s="126">
        <f t="shared" si="38"/>
        <v>43.943750000000009</v>
      </c>
      <c r="BY79" s="126">
        <f t="shared" si="39"/>
        <v>35.118750000000006</v>
      </c>
      <c r="BZ79" s="126">
        <f t="shared" si="40"/>
        <v>77.17916666666666</v>
      </c>
      <c r="CA79" s="126">
        <f t="shared" si="41"/>
        <v>15.577083333333341</v>
      </c>
      <c r="CB79" s="126">
        <f t="shared" si="42"/>
        <v>117.6375</v>
      </c>
      <c r="CC79" s="126">
        <f t="shared" si="43"/>
        <v>5.8562500000000046</v>
      </c>
      <c r="CD79" s="126">
        <f t="shared" si="44"/>
        <v>167.91666666666669</v>
      </c>
      <c r="CE79" s="126">
        <f t="shared" si="45"/>
        <v>1.7916666666666679</v>
      </c>
      <c r="CF79" s="126">
        <f t="shared" si="46"/>
        <v>223.85208333333333</v>
      </c>
      <c r="CG79" s="126">
        <f t="shared" si="47"/>
        <v>0</v>
      </c>
      <c r="CH79" s="126">
        <f t="shared" si="48"/>
        <v>282.06041666666664</v>
      </c>
      <c r="CI79" s="66">
        <f t="shared" si="32"/>
        <v>985260.91528610839</v>
      </c>
      <c r="CJ79" s="66">
        <f t="shared" si="33"/>
        <v>322649.88099999999</v>
      </c>
      <c r="CK79" s="66">
        <f t="shared" si="34"/>
        <v>838640.94292929664</v>
      </c>
    </row>
    <row r="80" spans="1:89" x14ac:dyDescent="0.2">
      <c r="A80" s="101">
        <v>44013</v>
      </c>
      <c r="B80" s="1">
        <f t="shared" si="54"/>
        <v>2020</v>
      </c>
      <c r="C80" s="1">
        <f t="shared" si="55"/>
        <v>7</v>
      </c>
      <c r="D80" s="8">
        <v>31771169.710000001</v>
      </c>
      <c r="E80" s="8">
        <f>IFERROR(VLOOKUP($B80-1,CDM!$L$4:$R$15,2,FALSE)/12,0)+IFERROR(VLOOKUP($B80,CDM!$L$33:$O$44,2,FALSE)/24,0)+IFERROR(VLOOKUP($B80,CDM!$L$33:$O$44,2,FALSE)/2*$C80/78,0)</f>
        <v>1601981.4937264144</v>
      </c>
      <c r="F80" s="8">
        <f t="shared" si="50"/>
        <v>33373151.203726415</v>
      </c>
      <c r="G80" s="8">
        <v>43057</v>
      </c>
      <c r="H80" s="8">
        <v>10794611.18</v>
      </c>
      <c r="I80" s="8">
        <f>IFERROR(VLOOKUP($B80-1,CDM!$L$4:$R$15,3,FALSE)/12,0)+IFERROR(VLOOKUP($B80,CDM!$L$33:$O$44,3,FALSE)/24,0)+IFERROR(VLOOKUP($B80,CDM!$L$33:$O$44,3,FALSE)/2*$C80/78,0)</f>
        <v>548490.62933583616</v>
      </c>
      <c r="J80" s="8">
        <f t="shared" si="51"/>
        <v>11343101.809335835</v>
      </c>
      <c r="K80" s="8">
        <v>4224</v>
      </c>
      <c r="L80" s="8">
        <v>26914064.700999998</v>
      </c>
      <c r="M80" s="8">
        <f>IFERROR(VLOOKUP($B80-1,CDM!$L$4:$R$15,4,FALSE)/12,0)+IFERROR(VLOOKUP($B80,CDM!$L$33:$O$44,4,FALSE)/24,0)+IFERROR(VLOOKUP($B80,CDM!$L$33:$O$44,4,FALSE)/2*$C80/78,0)</f>
        <v>1837729.0676707143</v>
      </c>
      <c r="N80" s="8">
        <f t="shared" si="52"/>
        <v>28751793.768670712</v>
      </c>
      <c r="O80" s="4">
        <v>64163.67</v>
      </c>
      <c r="P80" s="8">
        <v>462</v>
      </c>
      <c r="Q80" s="8">
        <v>468821.45</v>
      </c>
      <c r="R80" s="420">
        <v>1752.7199999999998</v>
      </c>
      <c r="S80" s="8">
        <v>10026</v>
      </c>
      <c r="T80" s="8">
        <v>30869.18</v>
      </c>
      <c r="U80" s="420">
        <v>83.59</v>
      </c>
      <c r="V80" s="8">
        <v>354</v>
      </c>
      <c r="W80" s="8">
        <v>86559</v>
      </c>
      <c r="X80" s="8">
        <v>277</v>
      </c>
      <c r="Y80" s="8">
        <f>Weather!C80</f>
        <v>19.943749999999984</v>
      </c>
      <c r="Z80" s="8">
        <f>Weather!D80</f>
        <v>47.920833333333348</v>
      </c>
      <c r="AA80" s="8">
        <f>Weather!E80</f>
        <v>4.3479166666666558</v>
      </c>
      <c r="AB80" s="8">
        <f>Weather!F80</f>
        <v>94.325000000000017</v>
      </c>
      <c r="AC80" s="8">
        <f>Weather!G80</f>
        <v>0</v>
      </c>
      <c r="AD80" s="8">
        <f>Weather!H80</f>
        <v>151.97708333333338</v>
      </c>
      <c r="AE80" s="8">
        <f>Weather!I80</f>
        <v>0</v>
      </c>
      <c r="AF80" s="8">
        <f>Weather!J80</f>
        <v>213.97708333333338</v>
      </c>
      <c r="AG80" s="8">
        <f>Weather!K80</f>
        <v>0</v>
      </c>
      <c r="AH80" s="8">
        <f>Weather!L80</f>
        <v>275.97708333333338</v>
      </c>
      <c r="AI80" s="8">
        <f>Weather!M80</f>
        <v>0</v>
      </c>
      <c r="AJ80" s="8">
        <f>Weather!N80</f>
        <v>337.97708333333338</v>
      </c>
      <c r="AK80" s="8">
        <f>Weather!O80</f>
        <v>0</v>
      </c>
      <c r="AL80" s="8">
        <f>Weather!P80</f>
        <v>399.9770833333335</v>
      </c>
      <c r="AM80" s="2">
        <f>Weather!Q80</f>
        <v>20.902486559139781</v>
      </c>
      <c r="AN80" s="8">
        <f>Economic!C80</f>
        <v>6643.5</v>
      </c>
      <c r="AO80" s="8">
        <f>Economic!D80</f>
        <v>6711.9</v>
      </c>
      <c r="AP80" s="8">
        <f>Economic!E80</f>
        <v>77.8</v>
      </c>
      <c r="AQ80" s="8">
        <f>Economic!F80</f>
        <v>79.099999999999994</v>
      </c>
      <c r="AR80" s="8">
        <f>Economic!G80</f>
        <v>769942</v>
      </c>
      <c r="AS80" s="8">
        <f>Economic!H80</f>
        <v>6539.9</v>
      </c>
      <c r="AT80" s="8">
        <f>Economic!I80</f>
        <v>777225</v>
      </c>
      <c r="AU80" s="8">
        <f>Economic!J80</f>
        <v>6188</v>
      </c>
      <c r="AV80" s="1">
        <f t="shared" si="56"/>
        <v>79</v>
      </c>
      <c r="AW80" s="1">
        <f t="shared" ref="AW80:BN80" si="63">AW68</f>
        <v>0</v>
      </c>
      <c r="AX80" s="1">
        <f t="shared" si="63"/>
        <v>0</v>
      </c>
      <c r="AY80" s="1">
        <f t="shared" si="63"/>
        <v>0</v>
      </c>
      <c r="AZ80" s="1">
        <f t="shared" si="63"/>
        <v>0</v>
      </c>
      <c r="BA80" s="1">
        <f t="shared" si="63"/>
        <v>0</v>
      </c>
      <c r="BB80" s="1">
        <f t="shared" si="63"/>
        <v>0</v>
      </c>
      <c r="BC80" s="1">
        <f t="shared" si="63"/>
        <v>1</v>
      </c>
      <c r="BD80" s="1">
        <f t="shared" si="63"/>
        <v>0</v>
      </c>
      <c r="BE80" s="1">
        <f t="shared" si="63"/>
        <v>0</v>
      </c>
      <c r="BF80" s="1">
        <f t="shared" si="63"/>
        <v>0</v>
      </c>
      <c r="BG80" s="1">
        <f t="shared" si="63"/>
        <v>0</v>
      </c>
      <c r="BH80" s="1">
        <f t="shared" si="63"/>
        <v>0</v>
      </c>
      <c r="BI80" s="1">
        <f t="shared" si="63"/>
        <v>0</v>
      </c>
      <c r="BJ80" s="1">
        <f t="shared" si="63"/>
        <v>0</v>
      </c>
      <c r="BK80" s="1">
        <f t="shared" si="63"/>
        <v>0</v>
      </c>
      <c r="BL80" s="1">
        <f t="shared" si="63"/>
        <v>0</v>
      </c>
      <c r="BM80" s="1">
        <f t="shared" si="63"/>
        <v>0</v>
      </c>
      <c r="BN80" s="1">
        <f t="shared" si="63"/>
        <v>0</v>
      </c>
      <c r="BO80" s="1">
        <f t="shared" si="58"/>
        <v>31</v>
      </c>
      <c r="BP80" s="1">
        <v>22</v>
      </c>
      <c r="BQ80">
        <v>1</v>
      </c>
      <c r="BR80">
        <v>0.5</v>
      </c>
      <c r="BS80">
        <v>1</v>
      </c>
      <c r="BT80">
        <v>0</v>
      </c>
      <c r="BU80" s="126">
        <f t="shared" si="35"/>
        <v>19.943749999999984</v>
      </c>
      <c r="BV80" s="126">
        <f t="shared" si="36"/>
        <v>47.920833333333348</v>
      </c>
      <c r="BW80" s="126">
        <f t="shared" si="37"/>
        <v>4.3479166666666558</v>
      </c>
      <c r="BX80" s="126">
        <f t="shared" si="38"/>
        <v>94.325000000000017</v>
      </c>
      <c r="BY80" s="126">
        <f t="shared" si="39"/>
        <v>0</v>
      </c>
      <c r="BZ80" s="126">
        <f t="shared" si="40"/>
        <v>151.97708333333338</v>
      </c>
      <c r="CA80" s="126">
        <f t="shared" si="41"/>
        <v>0</v>
      </c>
      <c r="CB80" s="126">
        <f t="shared" si="42"/>
        <v>213.97708333333338</v>
      </c>
      <c r="CC80" s="126">
        <f t="shared" si="43"/>
        <v>0</v>
      </c>
      <c r="CD80" s="126">
        <f t="shared" si="44"/>
        <v>275.97708333333338</v>
      </c>
      <c r="CE80" s="126">
        <f t="shared" si="45"/>
        <v>0</v>
      </c>
      <c r="CF80" s="126">
        <f t="shared" si="46"/>
        <v>337.97708333333338</v>
      </c>
      <c r="CG80" s="126">
        <f t="shared" si="47"/>
        <v>0</v>
      </c>
      <c r="CH80" s="126">
        <f t="shared" si="48"/>
        <v>399.9770833333335</v>
      </c>
      <c r="CI80" s="66">
        <f t="shared" si="32"/>
        <v>1076553.2646363359</v>
      </c>
      <c r="CJ80" s="66">
        <f t="shared" si="33"/>
        <v>348213.26387096773</v>
      </c>
      <c r="CK80" s="66">
        <f t="shared" si="34"/>
        <v>927477.21834421647</v>
      </c>
    </row>
    <row r="81" spans="1:89" x14ac:dyDescent="0.2">
      <c r="A81" s="101">
        <v>44044</v>
      </c>
      <c r="B81" s="1">
        <f t="shared" si="54"/>
        <v>2020</v>
      </c>
      <c r="C81" s="1">
        <f t="shared" si="55"/>
        <v>8</v>
      </c>
      <c r="D81" s="8">
        <v>28093845.960000001</v>
      </c>
      <c r="E81" s="8">
        <f>IFERROR(VLOOKUP($B81-1,CDM!$L$4:$R$15,2,FALSE)/12,0)+IFERROR(VLOOKUP($B81,CDM!$L$33:$O$44,2,FALSE)/24,0)+IFERROR(VLOOKUP($B81,CDM!$L$33:$O$44,2,FALSE)/2*$C81/78,0)</f>
        <v>1599830.7088695769</v>
      </c>
      <c r="F81" s="8">
        <f t="shared" si="50"/>
        <v>29693676.668869577</v>
      </c>
      <c r="G81" s="8">
        <v>43070</v>
      </c>
      <c r="H81" s="8">
        <v>10229926.720000001</v>
      </c>
      <c r="I81" s="8">
        <f>IFERROR(VLOOKUP($B81-1,CDM!$L$4:$R$15,3,FALSE)/12,0)+IFERROR(VLOOKUP($B81,CDM!$L$33:$O$44,3,FALSE)/24,0)+IFERROR(VLOOKUP($B81,CDM!$L$33:$O$44,3,FALSE)/2*$C81/78,0)</f>
        <v>550809.22413244075</v>
      </c>
      <c r="J81" s="8">
        <f t="shared" si="51"/>
        <v>10780735.944132442</v>
      </c>
      <c r="K81" s="8">
        <v>4231</v>
      </c>
      <c r="L81" s="8">
        <v>25285476.090999998</v>
      </c>
      <c r="M81" s="8">
        <f>IFERROR(VLOOKUP($B81-1,CDM!$L$4:$R$15,4,FALSE)/12,0)+IFERROR(VLOOKUP($B81,CDM!$L$33:$O$44,4,FALSE)/24,0)+IFERROR(VLOOKUP($B81,CDM!$L$33:$O$44,4,FALSE)/2*$C81/78,0)</f>
        <v>1847632.8644625279</v>
      </c>
      <c r="N81" s="8">
        <f t="shared" si="52"/>
        <v>27133108.955462527</v>
      </c>
      <c r="O81" s="4">
        <v>62464.6</v>
      </c>
      <c r="P81" s="8">
        <v>465</v>
      </c>
      <c r="Q81" s="8">
        <v>527384.02</v>
      </c>
      <c r="R81" s="420">
        <v>1718.2399999999998</v>
      </c>
      <c r="S81" s="8">
        <v>10030</v>
      </c>
      <c r="T81" s="8">
        <v>30809.42</v>
      </c>
      <c r="U81" s="420">
        <v>83.12</v>
      </c>
      <c r="V81" s="8">
        <v>354</v>
      </c>
      <c r="W81" s="8">
        <v>86279</v>
      </c>
      <c r="X81" s="8">
        <v>277</v>
      </c>
      <c r="Y81" s="8">
        <f>Weather!C81</f>
        <v>93.145833333333343</v>
      </c>
      <c r="Z81" s="8">
        <f>Weather!D81</f>
        <v>14.204166666666683</v>
      </c>
      <c r="AA81" s="8">
        <f>Weather!E81</f>
        <v>54.837499999999999</v>
      </c>
      <c r="AB81" s="8">
        <f>Weather!F81</f>
        <v>37.895833333333343</v>
      </c>
      <c r="AC81" s="8">
        <f>Weather!G81</f>
        <v>24.360416666666666</v>
      </c>
      <c r="AD81" s="8">
        <f>Weather!H81</f>
        <v>69.418750000000003</v>
      </c>
      <c r="AE81" s="8">
        <f>Weather!I81</f>
        <v>4.2041666666666604</v>
      </c>
      <c r="AF81" s="8">
        <f>Weather!J81</f>
        <v>111.26250000000002</v>
      </c>
      <c r="AG81" s="8">
        <f>Weather!K81</f>
        <v>0.56666666666666465</v>
      </c>
      <c r="AH81" s="8">
        <f>Weather!L81</f>
        <v>169.62500000000006</v>
      </c>
      <c r="AI81" s="8">
        <f>Weather!M81</f>
        <v>0</v>
      </c>
      <c r="AJ81" s="8">
        <f>Weather!N81</f>
        <v>231.05833333333342</v>
      </c>
      <c r="AK81" s="8">
        <f>Weather!O81</f>
        <v>0</v>
      </c>
      <c r="AL81" s="8">
        <f>Weather!P81</f>
        <v>293.05833333333339</v>
      </c>
      <c r="AM81" s="2">
        <f>Weather!Q81</f>
        <v>17.453494623655914</v>
      </c>
      <c r="AN81" s="8">
        <f>Economic!C81</f>
        <v>6879.1</v>
      </c>
      <c r="AO81" s="8">
        <f>Economic!D81</f>
        <v>6950.9</v>
      </c>
      <c r="AP81" s="8">
        <f>Economic!E81</f>
        <v>79.5</v>
      </c>
      <c r="AQ81" s="8">
        <f>Economic!F81</f>
        <v>81</v>
      </c>
      <c r="AR81" s="8">
        <f>Economic!G81</f>
        <v>769942</v>
      </c>
      <c r="AS81" s="8">
        <f>Economic!H81</f>
        <v>6539.9</v>
      </c>
      <c r="AT81" s="8">
        <f>Economic!I81</f>
        <v>777225</v>
      </c>
      <c r="AU81" s="8">
        <f>Economic!J81</f>
        <v>6188</v>
      </c>
      <c r="AV81" s="1">
        <f t="shared" si="56"/>
        <v>80</v>
      </c>
      <c r="AW81" s="1">
        <f t="shared" ref="AW81:BN81" si="64">AW69</f>
        <v>0</v>
      </c>
      <c r="AX81" s="1">
        <f t="shared" si="64"/>
        <v>0</v>
      </c>
      <c r="AY81" s="1">
        <f t="shared" si="64"/>
        <v>0</v>
      </c>
      <c r="AZ81" s="1">
        <f t="shared" si="64"/>
        <v>0</v>
      </c>
      <c r="BA81" s="1">
        <f t="shared" si="64"/>
        <v>0</v>
      </c>
      <c r="BB81" s="1">
        <f t="shared" si="64"/>
        <v>0</v>
      </c>
      <c r="BC81" s="1">
        <f t="shared" si="64"/>
        <v>0</v>
      </c>
      <c r="BD81" s="1">
        <f t="shared" si="64"/>
        <v>1</v>
      </c>
      <c r="BE81" s="1">
        <f t="shared" si="64"/>
        <v>0</v>
      </c>
      <c r="BF81" s="1">
        <f t="shared" si="64"/>
        <v>0</v>
      </c>
      <c r="BG81" s="1">
        <f t="shared" si="64"/>
        <v>0</v>
      </c>
      <c r="BH81" s="1">
        <f t="shared" si="64"/>
        <v>0</v>
      </c>
      <c r="BI81" s="1">
        <f t="shared" si="64"/>
        <v>0</v>
      </c>
      <c r="BJ81" s="1">
        <f t="shared" si="64"/>
        <v>0</v>
      </c>
      <c r="BK81" s="1">
        <f t="shared" si="64"/>
        <v>0</v>
      </c>
      <c r="BL81" s="1">
        <f t="shared" si="64"/>
        <v>0</v>
      </c>
      <c r="BM81" s="1">
        <f t="shared" si="64"/>
        <v>0</v>
      </c>
      <c r="BN81" s="1">
        <f t="shared" si="64"/>
        <v>0</v>
      </c>
      <c r="BO81" s="1">
        <f t="shared" si="58"/>
        <v>31</v>
      </c>
      <c r="BP81" s="1">
        <v>20</v>
      </c>
      <c r="BQ81">
        <v>1</v>
      </c>
      <c r="BR81">
        <v>0.5</v>
      </c>
      <c r="BS81">
        <v>1</v>
      </c>
      <c r="BT81">
        <v>0</v>
      </c>
      <c r="BU81" s="126">
        <f t="shared" si="35"/>
        <v>93.145833333333343</v>
      </c>
      <c r="BV81" s="126">
        <f t="shared" si="36"/>
        <v>14.204166666666683</v>
      </c>
      <c r="BW81" s="126">
        <f t="shared" si="37"/>
        <v>54.837499999999999</v>
      </c>
      <c r="BX81" s="126">
        <f t="shared" si="38"/>
        <v>37.895833333333343</v>
      </c>
      <c r="BY81" s="126">
        <f t="shared" si="39"/>
        <v>24.360416666666666</v>
      </c>
      <c r="BZ81" s="126">
        <f t="shared" si="40"/>
        <v>69.418750000000003</v>
      </c>
      <c r="CA81" s="126">
        <f t="shared" si="41"/>
        <v>4.2041666666666604</v>
      </c>
      <c r="CB81" s="126">
        <f t="shared" si="42"/>
        <v>111.26250000000002</v>
      </c>
      <c r="CC81" s="126">
        <f t="shared" si="43"/>
        <v>0.56666666666666465</v>
      </c>
      <c r="CD81" s="126">
        <f t="shared" si="44"/>
        <v>169.62500000000006</v>
      </c>
      <c r="CE81" s="126">
        <f t="shared" si="45"/>
        <v>0</v>
      </c>
      <c r="CF81" s="126">
        <f t="shared" si="46"/>
        <v>231.05833333333342</v>
      </c>
      <c r="CG81" s="126">
        <f t="shared" si="47"/>
        <v>0</v>
      </c>
      <c r="CH81" s="126">
        <f t="shared" si="48"/>
        <v>293.05833333333339</v>
      </c>
      <c r="CI81" s="66">
        <f t="shared" si="32"/>
        <v>957860.53770547023</v>
      </c>
      <c r="CJ81" s="66">
        <f t="shared" si="33"/>
        <v>329997.6361290323</v>
      </c>
      <c r="CK81" s="66">
        <f t="shared" si="34"/>
        <v>875261.57920846855</v>
      </c>
    </row>
    <row r="82" spans="1:89" x14ac:dyDescent="0.2">
      <c r="A82" s="101">
        <v>44075</v>
      </c>
      <c r="B82" s="1">
        <f t="shared" si="54"/>
        <v>2020</v>
      </c>
      <c r="C82" s="1">
        <f t="shared" si="55"/>
        <v>9</v>
      </c>
      <c r="D82" s="8">
        <v>24347210.300000001</v>
      </c>
      <c r="E82" s="8">
        <f>IFERROR(VLOOKUP($B82-1,CDM!$L$4:$R$15,2,FALSE)/12,0)+IFERROR(VLOOKUP($B82,CDM!$L$33:$O$44,2,FALSE)/24,0)+IFERROR(VLOOKUP($B82,CDM!$L$33:$O$44,2,FALSE)/2*$C82/78,0)</f>
        <v>1597679.9240127392</v>
      </c>
      <c r="F82" s="8">
        <f t="shared" si="50"/>
        <v>25944890.22401274</v>
      </c>
      <c r="G82" s="8">
        <v>43084</v>
      </c>
      <c r="H82" s="8">
        <v>9259958.0999999996</v>
      </c>
      <c r="I82" s="8">
        <f>IFERROR(VLOOKUP($B82-1,CDM!$L$4:$R$15,3,FALSE)/12,0)+IFERROR(VLOOKUP($B82,CDM!$L$33:$O$44,3,FALSE)/24,0)+IFERROR(VLOOKUP($B82,CDM!$L$33:$O$44,3,FALSE)/2*$C82/78,0)</f>
        <v>553127.81892904534</v>
      </c>
      <c r="J82" s="8">
        <f t="shared" si="51"/>
        <v>9813085.9189290442</v>
      </c>
      <c r="K82" s="8">
        <v>4237</v>
      </c>
      <c r="L82" s="8">
        <v>23344370.892000001</v>
      </c>
      <c r="M82" s="8">
        <f>IFERROR(VLOOKUP($B82-1,CDM!$L$4:$R$15,4,FALSE)/12,0)+IFERROR(VLOOKUP($B82,CDM!$L$33:$O$44,4,FALSE)/24,0)+IFERROR(VLOOKUP($B82,CDM!$L$33:$O$44,4,FALSE)/2*$C82/78,0)</f>
        <v>1857536.6612543412</v>
      </c>
      <c r="N82" s="8">
        <f t="shared" si="52"/>
        <v>25201907.553254344</v>
      </c>
      <c r="O82" s="4">
        <v>60447</v>
      </c>
      <c r="P82" s="8">
        <v>466</v>
      </c>
      <c r="Q82" s="8">
        <v>449420.65</v>
      </c>
      <c r="R82" s="420">
        <v>1302.8600000000001</v>
      </c>
      <c r="S82" s="8">
        <v>10037</v>
      </c>
      <c r="T82" s="8">
        <v>29691.360000000001</v>
      </c>
      <c r="U82" s="420">
        <v>83.59</v>
      </c>
      <c r="V82" s="8">
        <v>354</v>
      </c>
      <c r="W82" s="8">
        <v>83528</v>
      </c>
      <c r="X82" s="8">
        <v>276</v>
      </c>
      <c r="Y82" s="8">
        <f>Weather!C82</f>
        <v>249.07637558837854</v>
      </c>
      <c r="Z82" s="8">
        <f>Weather!D82</f>
        <v>0</v>
      </c>
      <c r="AA82" s="8">
        <f>Weather!E82</f>
        <v>189.07637558837848</v>
      </c>
      <c r="AB82" s="8">
        <f>Weather!F82</f>
        <v>0</v>
      </c>
      <c r="AC82" s="8">
        <f>Weather!G82</f>
        <v>132.51387558837851</v>
      </c>
      <c r="AD82" s="8">
        <f>Weather!H82</f>
        <v>3.4374999999999964</v>
      </c>
      <c r="AE82" s="8">
        <f>Weather!I82</f>
        <v>83.647208921711837</v>
      </c>
      <c r="AF82" s="8">
        <f>Weather!J82</f>
        <v>14.570833333333328</v>
      </c>
      <c r="AG82" s="8">
        <f>Weather!K82</f>
        <v>45.793042255045179</v>
      </c>
      <c r="AH82" s="8">
        <f>Weather!L82</f>
        <v>36.716666666666654</v>
      </c>
      <c r="AI82" s="8">
        <f>Weather!M82</f>
        <v>19.81666666666667</v>
      </c>
      <c r="AJ82" s="8">
        <f>Weather!N82</f>
        <v>70.740291078288152</v>
      </c>
      <c r="AK82" s="8">
        <f>Weather!O82</f>
        <v>5.720833333333335</v>
      </c>
      <c r="AL82" s="8">
        <f>Weather!P82</f>
        <v>116.64445774495482</v>
      </c>
      <c r="AM82" s="2">
        <f>Weather!Q82</f>
        <v>11.697454147054049</v>
      </c>
      <c r="AN82" s="8">
        <f>Economic!C82</f>
        <v>7040.8</v>
      </c>
      <c r="AO82" s="8">
        <f>Economic!D82</f>
        <v>7075.5</v>
      </c>
      <c r="AP82" s="8">
        <f>Economic!E82</f>
        <v>80.900000000000006</v>
      </c>
      <c r="AQ82" s="8">
        <f>Economic!F82</f>
        <v>81.7</v>
      </c>
      <c r="AR82" s="8">
        <f>Economic!G82</f>
        <v>769942</v>
      </c>
      <c r="AS82" s="8">
        <f>Economic!H82</f>
        <v>6539.9</v>
      </c>
      <c r="AT82" s="8">
        <f>Economic!I82</f>
        <v>777225</v>
      </c>
      <c r="AU82" s="8">
        <f>Economic!J82</f>
        <v>6188</v>
      </c>
      <c r="AV82" s="1">
        <f t="shared" si="56"/>
        <v>81</v>
      </c>
      <c r="AW82" s="1">
        <f t="shared" ref="AW82:BN82" si="65">AW70</f>
        <v>0</v>
      </c>
      <c r="AX82" s="1">
        <f t="shared" si="65"/>
        <v>0</v>
      </c>
      <c r="AY82" s="1">
        <f t="shared" si="65"/>
        <v>0</v>
      </c>
      <c r="AZ82" s="1">
        <f t="shared" si="65"/>
        <v>0</v>
      </c>
      <c r="BA82" s="1">
        <f t="shared" si="65"/>
        <v>0</v>
      </c>
      <c r="BB82" s="1">
        <f t="shared" si="65"/>
        <v>0</v>
      </c>
      <c r="BC82" s="1">
        <f t="shared" si="65"/>
        <v>0</v>
      </c>
      <c r="BD82" s="1">
        <f t="shared" si="65"/>
        <v>0</v>
      </c>
      <c r="BE82" s="1">
        <f t="shared" si="65"/>
        <v>1</v>
      </c>
      <c r="BF82" s="1">
        <f t="shared" si="65"/>
        <v>0</v>
      </c>
      <c r="BG82" s="1">
        <f t="shared" si="65"/>
        <v>0</v>
      </c>
      <c r="BH82" s="1">
        <f t="shared" si="65"/>
        <v>0</v>
      </c>
      <c r="BI82" s="1">
        <f t="shared" si="65"/>
        <v>0</v>
      </c>
      <c r="BJ82" s="1">
        <f t="shared" si="65"/>
        <v>1</v>
      </c>
      <c r="BK82" s="1">
        <f t="shared" si="65"/>
        <v>1</v>
      </c>
      <c r="BL82" s="1">
        <f t="shared" si="65"/>
        <v>0</v>
      </c>
      <c r="BM82" s="1">
        <f t="shared" si="65"/>
        <v>1</v>
      </c>
      <c r="BN82" s="1">
        <f t="shared" si="65"/>
        <v>1</v>
      </c>
      <c r="BO82" s="1">
        <f t="shared" si="58"/>
        <v>30</v>
      </c>
      <c r="BP82" s="1">
        <v>21</v>
      </c>
      <c r="BQ82">
        <v>1</v>
      </c>
      <c r="BR82">
        <v>0.5</v>
      </c>
      <c r="BS82">
        <v>1</v>
      </c>
      <c r="BT82">
        <v>0</v>
      </c>
      <c r="BU82" s="126">
        <f t="shared" si="35"/>
        <v>249.07637558837854</v>
      </c>
      <c r="BV82" s="126">
        <f t="shared" si="36"/>
        <v>0</v>
      </c>
      <c r="BW82" s="126">
        <f t="shared" si="37"/>
        <v>189.07637558837848</v>
      </c>
      <c r="BX82" s="126">
        <f t="shared" si="38"/>
        <v>0</v>
      </c>
      <c r="BY82" s="126">
        <f t="shared" si="39"/>
        <v>132.51387558837851</v>
      </c>
      <c r="BZ82" s="126">
        <f t="shared" si="40"/>
        <v>3.4374999999999964</v>
      </c>
      <c r="CA82" s="126">
        <f t="shared" si="41"/>
        <v>83.647208921711837</v>
      </c>
      <c r="CB82" s="126">
        <f t="shared" si="42"/>
        <v>14.570833333333328</v>
      </c>
      <c r="CC82" s="126">
        <f t="shared" si="43"/>
        <v>45.793042255045179</v>
      </c>
      <c r="CD82" s="126">
        <f t="shared" si="44"/>
        <v>36.716666666666654</v>
      </c>
      <c r="CE82" s="126">
        <f t="shared" si="45"/>
        <v>19.81666666666667</v>
      </c>
      <c r="CF82" s="126">
        <f t="shared" si="46"/>
        <v>70.740291078288152</v>
      </c>
      <c r="CG82" s="126">
        <f t="shared" si="47"/>
        <v>5.720833333333335</v>
      </c>
      <c r="CH82" s="126">
        <f t="shared" si="48"/>
        <v>116.64445774495482</v>
      </c>
      <c r="CI82" s="66">
        <f t="shared" si="32"/>
        <v>864829.67413375794</v>
      </c>
      <c r="CJ82" s="66">
        <f t="shared" si="33"/>
        <v>308665.26999999996</v>
      </c>
      <c r="CK82" s="66">
        <f t="shared" si="34"/>
        <v>840063.58510847809</v>
      </c>
    </row>
    <row r="83" spans="1:89" x14ac:dyDescent="0.2">
      <c r="A83" s="101">
        <v>44105</v>
      </c>
      <c r="B83" s="1">
        <f t="shared" si="54"/>
        <v>2020</v>
      </c>
      <c r="C83" s="1">
        <f t="shared" si="55"/>
        <v>10</v>
      </c>
      <c r="D83" s="8">
        <v>28584859.530000001</v>
      </c>
      <c r="E83" s="8">
        <f>IFERROR(VLOOKUP($B83-1,CDM!$L$4:$R$15,2,FALSE)/12,0)+IFERROR(VLOOKUP($B83,CDM!$L$33:$O$44,2,FALSE)/24,0)+IFERROR(VLOOKUP($B83,CDM!$L$33:$O$44,2,FALSE)/2*$C83/78,0)</f>
        <v>1595529.1391559017</v>
      </c>
      <c r="F83" s="8">
        <f t="shared" si="50"/>
        <v>30180388.669155903</v>
      </c>
      <c r="G83" s="8">
        <v>43101</v>
      </c>
      <c r="H83" s="8">
        <v>10197705.43</v>
      </c>
      <c r="I83" s="8">
        <f>IFERROR(VLOOKUP($B83-1,CDM!$L$4:$R$15,3,FALSE)/12,0)+IFERROR(VLOOKUP($B83,CDM!$L$33:$O$44,3,FALSE)/24,0)+IFERROR(VLOOKUP($B83,CDM!$L$33:$O$44,3,FALSE)/2*$C83/78,0)</f>
        <v>555446.41372564994</v>
      </c>
      <c r="J83" s="8">
        <f t="shared" si="51"/>
        <v>10753151.84372565</v>
      </c>
      <c r="K83" s="8">
        <v>4236</v>
      </c>
      <c r="L83" s="8">
        <v>25702050.085000001</v>
      </c>
      <c r="M83" s="8">
        <f>IFERROR(VLOOKUP($B83-1,CDM!$L$4:$R$15,4,FALSE)/12,0)+IFERROR(VLOOKUP($B83,CDM!$L$33:$O$44,4,FALSE)/24,0)+IFERROR(VLOOKUP($B83,CDM!$L$33:$O$44,4,FALSE)/2*$C83/78,0)</f>
        <v>1867440.4580461546</v>
      </c>
      <c r="N83" s="8">
        <f t="shared" si="52"/>
        <v>27569490.543046154</v>
      </c>
      <c r="O83" s="4">
        <v>61717.460000000006</v>
      </c>
      <c r="P83" s="8">
        <v>468</v>
      </c>
      <c r="Q83" s="8">
        <v>481162.6</v>
      </c>
      <c r="R83" s="420">
        <v>1180.7199999999998</v>
      </c>
      <c r="S83" s="8">
        <v>10044</v>
      </c>
      <c r="T83" s="8">
        <v>30681.08</v>
      </c>
      <c r="U83" s="420">
        <v>82.57</v>
      </c>
      <c r="V83" s="8">
        <v>353</v>
      </c>
      <c r="W83" s="8">
        <v>86247</v>
      </c>
      <c r="X83" s="8">
        <v>275</v>
      </c>
      <c r="Y83" s="8">
        <f>Weather!C83</f>
        <v>505.96041666666662</v>
      </c>
      <c r="Z83" s="8">
        <f>Weather!D83</f>
        <v>0</v>
      </c>
      <c r="AA83" s="8">
        <f>Weather!E83</f>
        <v>443.96041666666656</v>
      </c>
      <c r="AB83" s="8">
        <f>Weather!F83</f>
        <v>0</v>
      </c>
      <c r="AC83" s="8">
        <f>Weather!G83</f>
        <v>381.96041666666656</v>
      </c>
      <c r="AD83" s="8">
        <f>Weather!H83</f>
        <v>0</v>
      </c>
      <c r="AE83" s="8">
        <f>Weather!I83</f>
        <v>319.96041666666662</v>
      </c>
      <c r="AF83" s="8">
        <f>Weather!J83</f>
        <v>0</v>
      </c>
      <c r="AG83" s="8">
        <f>Weather!K83</f>
        <v>257.96041666666662</v>
      </c>
      <c r="AH83" s="8">
        <f>Weather!L83</f>
        <v>0</v>
      </c>
      <c r="AI83" s="8">
        <f>Weather!M83</f>
        <v>197.31041666666664</v>
      </c>
      <c r="AJ83" s="8">
        <f>Weather!N83</f>
        <v>1.3499999999999979</v>
      </c>
      <c r="AK83" s="8">
        <f>Weather!O83</f>
        <v>140.88749999999999</v>
      </c>
      <c r="AL83" s="8">
        <f>Weather!P83</f>
        <v>6.9270833333333321</v>
      </c>
      <c r="AM83" s="2">
        <f>Weather!Q83</f>
        <v>3.6786962365591394</v>
      </c>
      <c r="AN83" s="8">
        <f>Economic!C83</f>
        <v>7159.1</v>
      </c>
      <c r="AO83" s="8">
        <f>Economic!D83</f>
        <v>7184.1</v>
      </c>
      <c r="AP83" s="8">
        <f>Economic!E83</f>
        <v>81.5</v>
      </c>
      <c r="AQ83" s="8">
        <f>Economic!F83</f>
        <v>82</v>
      </c>
      <c r="AR83" s="8">
        <f>Economic!G83</f>
        <v>769942</v>
      </c>
      <c r="AS83" s="8">
        <f>Economic!H83</f>
        <v>6539.9</v>
      </c>
      <c r="AT83" s="8">
        <f>Economic!I83</f>
        <v>795879</v>
      </c>
      <c r="AU83" s="8">
        <f>Economic!J83</f>
        <v>6491</v>
      </c>
      <c r="AV83" s="1">
        <f t="shared" si="56"/>
        <v>82</v>
      </c>
      <c r="AW83" s="1">
        <f t="shared" ref="AW83:BN83" si="66">AW71</f>
        <v>0</v>
      </c>
      <c r="AX83" s="1">
        <f t="shared" si="66"/>
        <v>0</v>
      </c>
      <c r="AY83" s="1">
        <f t="shared" si="66"/>
        <v>0</v>
      </c>
      <c r="AZ83" s="1">
        <f t="shared" si="66"/>
        <v>0</v>
      </c>
      <c r="BA83" s="1">
        <f t="shared" si="66"/>
        <v>0</v>
      </c>
      <c r="BB83" s="1">
        <f t="shared" si="66"/>
        <v>0</v>
      </c>
      <c r="BC83" s="1">
        <f t="shared" si="66"/>
        <v>0</v>
      </c>
      <c r="BD83" s="1">
        <f t="shared" si="66"/>
        <v>0</v>
      </c>
      <c r="BE83" s="1">
        <f t="shared" si="66"/>
        <v>0</v>
      </c>
      <c r="BF83" s="1">
        <f t="shared" si="66"/>
        <v>1</v>
      </c>
      <c r="BG83" s="1">
        <f t="shared" si="66"/>
        <v>0</v>
      </c>
      <c r="BH83" s="1">
        <f t="shared" si="66"/>
        <v>0</v>
      </c>
      <c r="BI83" s="1">
        <f t="shared" si="66"/>
        <v>0</v>
      </c>
      <c r="BJ83" s="1">
        <f t="shared" si="66"/>
        <v>1</v>
      </c>
      <c r="BK83" s="1">
        <f t="shared" si="66"/>
        <v>1</v>
      </c>
      <c r="BL83" s="1">
        <f t="shared" si="66"/>
        <v>0</v>
      </c>
      <c r="BM83" s="1">
        <f t="shared" si="66"/>
        <v>1</v>
      </c>
      <c r="BN83" s="1">
        <f t="shared" si="66"/>
        <v>1</v>
      </c>
      <c r="BO83" s="1">
        <f t="shared" si="58"/>
        <v>31</v>
      </c>
      <c r="BP83" s="1">
        <v>21</v>
      </c>
      <c r="BQ83">
        <v>1</v>
      </c>
      <c r="BR83">
        <v>0.5</v>
      </c>
      <c r="BS83">
        <v>1</v>
      </c>
      <c r="BT83">
        <v>0</v>
      </c>
      <c r="BU83" s="126">
        <f t="shared" si="35"/>
        <v>505.96041666666662</v>
      </c>
      <c r="BV83" s="126">
        <f t="shared" si="36"/>
        <v>0</v>
      </c>
      <c r="BW83" s="126">
        <f t="shared" si="37"/>
        <v>443.96041666666656</v>
      </c>
      <c r="BX83" s="126">
        <f t="shared" si="38"/>
        <v>0</v>
      </c>
      <c r="BY83" s="126">
        <f t="shared" si="39"/>
        <v>381.96041666666656</v>
      </c>
      <c r="BZ83" s="126">
        <f t="shared" si="40"/>
        <v>0</v>
      </c>
      <c r="CA83" s="126">
        <f t="shared" si="41"/>
        <v>319.96041666666662</v>
      </c>
      <c r="CB83" s="126">
        <f t="shared" si="42"/>
        <v>0</v>
      </c>
      <c r="CC83" s="126">
        <f t="shared" si="43"/>
        <v>257.96041666666662</v>
      </c>
      <c r="CD83" s="126">
        <f t="shared" si="44"/>
        <v>0</v>
      </c>
      <c r="CE83" s="126">
        <f t="shared" si="45"/>
        <v>197.31041666666664</v>
      </c>
      <c r="CF83" s="126">
        <f t="shared" si="46"/>
        <v>1.3499999999999979</v>
      </c>
      <c r="CG83" s="126">
        <f t="shared" si="47"/>
        <v>140.88749999999999</v>
      </c>
      <c r="CH83" s="126">
        <f t="shared" si="48"/>
        <v>6.9270833333333321</v>
      </c>
      <c r="CI83" s="66">
        <f t="shared" si="32"/>
        <v>973560.9248114808</v>
      </c>
      <c r="CJ83" s="66">
        <f t="shared" si="33"/>
        <v>328958.23967741936</v>
      </c>
      <c r="CK83" s="66">
        <f t="shared" si="34"/>
        <v>889338.40461439209</v>
      </c>
    </row>
    <row r="84" spans="1:89" x14ac:dyDescent="0.2">
      <c r="A84" s="101">
        <v>44136</v>
      </c>
      <c r="B84" s="1">
        <f t="shared" si="54"/>
        <v>2020</v>
      </c>
      <c r="C84" s="1">
        <f t="shared" si="55"/>
        <v>11</v>
      </c>
      <c r="D84" s="8">
        <v>32218200.129999999</v>
      </c>
      <c r="E84" s="8">
        <f>IFERROR(VLOOKUP($B84-1,CDM!$L$4:$R$15,2,FALSE)/12,0)+IFERROR(VLOOKUP($B84,CDM!$L$33:$O$44,2,FALSE)/24,0)+IFERROR(VLOOKUP($B84,CDM!$L$33:$O$44,2,FALSE)/2*$C84/78,0)</f>
        <v>1593378.354299064</v>
      </c>
      <c r="F84" s="8">
        <f t="shared" si="50"/>
        <v>33811578.484299064</v>
      </c>
      <c r="G84" s="8">
        <v>43126</v>
      </c>
      <c r="H84" s="8">
        <v>11086912.869999999</v>
      </c>
      <c r="I84" s="8">
        <f>IFERROR(VLOOKUP($B84-1,CDM!$L$4:$R$15,3,FALSE)/12,0)+IFERROR(VLOOKUP($B84,CDM!$L$33:$O$44,3,FALSE)/24,0)+IFERROR(VLOOKUP($B84,CDM!$L$33:$O$44,3,FALSE)/2*$C84/78,0)</f>
        <v>557765.00852225453</v>
      </c>
      <c r="J84" s="8">
        <f t="shared" si="51"/>
        <v>11644677.878522255</v>
      </c>
      <c r="K84" s="8">
        <v>4240</v>
      </c>
      <c r="L84" s="8">
        <v>26930932.898000002</v>
      </c>
      <c r="M84" s="8">
        <f>IFERROR(VLOOKUP($B84-1,CDM!$L$4:$R$15,4,FALSE)/12,0)+IFERROR(VLOOKUP($B84,CDM!$L$33:$O$44,4,FALSE)/24,0)+IFERROR(VLOOKUP($B84,CDM!$L$33:$O$44,4,FALSE)/2*$C84/78,0)</f>
        <v>1877344.2548379679</v>
      </c>
      <c r="N84" s="8">
        <f t="shared" si="52"/>
        <v>28808277.152837969</v>
      </c>
      <c r="O84" s="4">
        <v>64325.509999999987</v>
      </c>
      <c r="P84" s="8">
        <v>468</v>
      </c>
      <c r="Q84" s="8">
        <v>429718.85</v>
      </c>
      <c r="R84" s="420">
        <v>981.02</v>
      </c>
      <c r="S84" s="8">
        <v>10047</v>
      </c>
      <c r="T84" s="8">
        <v>29691.360000000001</v>
      </c>
      <c r="U84" s="420">
        <v>83.31</v>
      </c>
      <c r="V84" s="8">
        <v>353</v>
      </c>
      <c r="W84" s="8">
        <v>83477</v>
      </c>
      <c r="X84" s="8">
        <v>274</v>
      </c>
      <c r="Y84" s="8">
        <f>Weather!C84</f>
        <v>551.84583333333342</v>
      </c>
      <c r="Z84" s="8">
        <f>Weather!D84</f>
        <v>0</v>
      </c>
      <c r="AA84" s="8">
        <f>Weather!E84</f>
        <v>491.84583333333336</v>
      </c>
      <c r="AB84" s="8">
        <f>Weather!F84</f>
        <v>0</v>
      </c>
      <c r="AC84" s="8">
        <f>Weather!G84</f>
        <v>431.84583333333342</v>
      </c>
      <c r="AD84" s="8">
        <f>Weather!H84</f>
        <v>0</v>
      </c>
      <c r="AE84" s="8">
        <f>Weather!I84</f>
        <v>373.25833333333338</v>
      </c>
      <c r="AF84" s="8">
        <f>Weather!J84</f>
        <v>1.4124999999999996</v>
      </c>
      <c r="AG84" s="8">
        <f>Weather!K84</f>
        <v>317.25833333333338</v>
      </c>
      <c r="AH84" s="8">
        <f>Weather!L84</f>
        <v>5.4124999999999996</v>
      </c>
      <c r="AI84" s="8">
        <f>Weather!M84</f>
        <v>261.77916666666664</v>
      </c>
      <c r="AJ84" s="8">
        <f>Weather!N84</f>
        <v>9.93333333333333</v>
      </c>
      <c r="AK84" s="8">
        <f>Weather!O84</f>
        <v>209.66666666666669</v>
      </c>
      <c r="AL84" s="8">
        <f>Weather!P84</f>
        <v>17.820833333333329</v>
      </c>
      <c r="AM84" s="2">
        <f>Weather!Q84</f>
        <v>1.6051388888888887</v>
      </c>
      <c r="AN84" s="8">
        <f>Economic!C84</f>
        <v>7242.5</v>
      </c>
      <c r="AO84" s="8">
        <f>Economic!D84</f>
        <v>7255.2</v>
      </c>
      <c r="AP84" s="8">
        <f>Economic!E84</f>
        <v>81.8</v>
      </c>
      <c r="AQ84" s="8">
        <f>Economic!F84</f>
        <v>82.3</v>
      </c>
      <c r="AR84" s="8">
        <f>Economic!G84</f>
        <v>769942</v>
      </c>
      <c r="AS84" s="8">
        <f>Economic!H84</f>
        <v>6539.9</v>
      </c>
      <c r="AT84" s="8">
        <f>Economic!I84</f>
        <v>795879</v>
      </c>
      <c r="AU84" s="8">
        <f>Economic!J84</f>
        <v>6491</v>
      </c>
      <c r="AV84" s="1">
        <f t="shared" si="56"/>
        <v>83</v>
      </c>
      <c r="AW84" s="1">
        <f t="shared" ref="AW84:BN84" si="67">AW72</f>
        <v>0</v>
      </c>
      <c r="AX84" s="1">
        <f t="shared" si="67"/>
        <v>0</v>
      </c>
      <c r="AY84" s="1">
        <f t="shared" si="67"/>
        <v>0</v>
      </c>
      <c r="AZ84" s="1">
        <f t="shared" si="67"/>
        <v>0</v>
      </c>
      <c r="BA84" s="1">
        <f t="shared" si="67"/>
        <v>0</v>
      </c>
      <c r="BB84" s="1">
        <f t="shared" si="67"/>
        <v>0</v>
      </c>
      <c r="BC84" s="1">
        <f t="shared" si="67"/>
        <v>0</v>
      </c>
      <c r="BD84" s="1">
        <f t="shared" si="67"/>
        <v>0</v>
      </c>
      <c r="BE84" s="1">
        <f t="shared" si="67"/>
        <v>0</v>
      </c>
      <c r="BF84" s="1">
        <f t="shared" si="67"/>
        <v>0</v>
      </c>
      <c r="BG84" s="1">
        <f t="shared" si="67"/>
        <v>1</v>
      </c>
      <c r="BH84" s="1">
        <f t="shared" si="67"/>
        <v>0</v>
      </c>
      <c r="BI84" s="1">
        <f t="shared" si="67"/>
        <v>0</v>
      </c>
      <c r="BJ84" s="1">
        <f t="shared" si="67"/>
        <v>1</v>
      </c>
      <c r="BK84" s="1">
        <f t="shared" si="67"/>
        <v>1</v>
      </c>
      <c r="BL84" s="1">
        <f t="shared" si="67"/>
        <v>0</v>
      </c>
      <c r="BM84" s="1">
        <f t="shared" si="67"/>
        <v>0</v>
      </c>
      <c r="BN84" s="1">
        <f t="shared" si="67"/>
        <v>0</v>
      </c>
      <c r="BO84" s="1">
        <f t="shared" si="58"/>
        <v>30</v>
      </c>
      <c r="BP84" s="1">
        <v>21</v>
      </c>
      <c r="BQ84">
        <v>1</v>
      </c>
      <c r="BR84">
        <v>0.5</v>
      </c>
      <c r="BS84">
        <v>1</v>
      </c>
      <c r="BT84">
        <v>0</v>
      </c>
      <c r="BU84" s="126">
        <f t="shared" si="35"/>
        <v>551.84583333333342</v>
      </c>
      <c r="BV84" s="126">
        <f t="shared" si="36"/>
        <v>0</v>
      </c>
      <c r="BW84" s="126">
        <f t="shared" si="37"/>
        <v>491.84583333333336</v>
      </c>
      <c r="BX84" s="126">
        <f t="shared" si="38"/>
        <v>0</v>
      </c>
      <c r="BY84" s="126">
        <f t="shared" si="39"/>
        <v>431.84583333333342</v>
      </c>
      <c r="BZ84" s="126">
        <f t="shared" si="40"/>
        <v>0</v>
      </c>
      <c r="CA84" s="126">
        <f t="shared" si="41"/>
        <v>373.25833333333338</v>
      </c>
      <c r="CB84" s="126">
        <f t="shared" si="42"/>
        <v>1.4124999999999996</v>
      </c>
      <c r="CC84" s="126">
        <f t="shared" si="43"/>
        <v>317.25833333333338</v>
      </c>
      <c r="CD84" s="126">
        <f t="shared" si="44"/>
        <v>5.4124999999999996</v>
      </c>
      <c r="CE84" s="126">
        <f t="shared" si="45"/>
        <v>261.77916666666664</v>
      </c>
      <c r="CF84" s="126">
        <f t="shared" si="46"/>
        <v>9.93333333333333</v>
      </c>
      <c r="CG84" s="126">
        <f t="shared" si="47"/>
        <v>209.66666666666669</v>
      </c>
      <c r="CH84" s="126">
        <f t="shared" si="48"/>
        <v>17.820833333333329</v>
      </c>
      <c r="CI84" s="66">
        <f t="shared" si="32"/>
        <v>1127052.6161433021</v>
      </c>
      <c r="CJ84" s="66">
        <f t="shared" si="33"/>
        <v>369563.76233333332</v>
      </c>
      <c r="CK84" s="66">
        <f t="shared" si="34"/>
        <v>960275.905094599</v>
      </c>
    </row>
    <row r="85" spans="1:89" x14ac:dyDescent="0.2">
      <c r="A85" s="101">
        <v>44166</v>
      </c>
      <c r="B85" s="1">
        <f t="shared" si="54"/>
        <v>2020</v>
      </c>
      <c r="C85" s="1">
        <f t="shared" si="55"/>
        <v>12</v>
      </c>
      <c r="D85" s="8">
        <v>39247109.909999996</v>
      </c>
      <c r="E85" s="8">
        <f>IFERROR(VLOOKUP($B85-1,CDM!$L$4:$R$15,2,FALSE)/12,0)+IFERROR(VLOOKUP($B85,CDM!$L$33:$O$44,2,FALSE)/24,0)+IFERROR(VLOOKUP($B85,CDM!$L$33:$O$44,2,FALSE)/2*$C85/78,0)</f>
        <v>1591227.5694422266</v>
      </c>
      <c r="F85" s="8">
        <f t="shared" si="50"/>
        <v>40838337.479442224</v>
      </c>
      <c r="G85" s="8">
        <v>43142</v>
      </c>
      <c r="H85" s="8">
        <v>12284324.720000001</v>
      </c>
      <c r="I85" s="8">
        <f>IFERROR(VLOOKUP($B85-1,CDM!$L$4:$R$15,3,FALSE)/12,0)+IFERROR(VLOOKUP($B85,CDM!$L$33:$O$44,3,FALSE)/24,0)+IFERROR(VLOOKUP($B85,CDM!$L$33:$O$44,3,FALSE)/2*$C85/78,0)</f>
        <v>560083.60331885912</v>
      </c>
      <c r="J85" s="8">
        <f t="shared" si="51"/>
        <v>12844408.32331886</v>
      </c>
      <c r="K85" s="8">
        <v>4252</v>
      </c>
      <c r="L85" s="8">
        <v>29722692.079</v>
      </c>
      <c r="M85" s="8">
        <f>IFERROR(VLOOKUP($B85-1,CDM!$L$4:$R$15,4,FALSE)/12,0)+IFERROR(VLOOKUP($B85,CDM!$L$33:$O$44,4,FALSE)/24,0)+IFERROR(VLOOKUP($B85,CDM!$L$33:$O$44,4,FALSE)/2*$C85/78,0)</f>
        <v>1887248.0516297813</v>
      </c>
      <c r="N85" s="8">
        <f t="shared" si="52"/>
        <v>31609940.130629782</v>
      </c>
      <c r="O85" s="4">
        <v>66703.459999999992</v>
      </c>
      <c r="P85" s="8">
        <v>471</v>
      </c>
      <c r="Q85" s="8">
        <v>410836.89</v>
      </c>
      <c r="R85" s="420">
        <v>863.13</v>
      </c>
      <c r="S85" s="8">
        <v>10053</v>
      </c>
      <c r="T85" s="8">
        <v>30614.62</v>
      </c>
      <c r="U85" s="420">
        <v>82.89</v>
      </c>
      <c r="V85" s="8">
        <v>353</v>
      </c>
      <c r="W85" s="8">
        <v>85977</v>
      </c>
      <c r="X85" s="8">
        <v>274</v>
      </c>
      <c r="Y85" s="8">
        <f>Weather!C85</f>
        <v>814.51387558837837</v>
      </c>
      <c r="Z85" s="8">
        <f>Weather!D85</f>
        <v>0</v>
      </c>
      <c r="AA85" s="8">
        <f>Weather!E85</f>
        <v>752.51387558837837</v>
      </c>
      <c r="AB85" s="8">
        <f>Weather!F85</f>
        <v>0</v>
      </c>
      <c r="AC85" s="8">
        <f>Weather!G85</f>
        <v>690.51387558837837</v>
      </c>
      <c r="AD85" s="8">
        <f>Weather!H85</f>
        <v>0</v>
      </c>
      <c r="AE85" s="8">
        <f>Weather!I85</f>
        <v>628.51387558837837</v>
      </c>
      <c r="AF85" s="8">
        <f>Weather!J85</f>
        <v>0</v>
      </c>
      <c r="AG85" s="8">
        <f>Weather!K85</f>
        <v>566.51387558837848</v>
      </c>
      <c r="AH85" s="8">
        <f>Weather!L85</f>
        <v>0</v>
      </c>
      <c r="AI85" s="8">
        <f>Weather!M85</f>
        <v>504.51387558837848</v>
      </c>
      <c r="AJ85" s="8">
        <f>Weather!N85</f>
        <v>0</v>
      </c>
      <c r="AK85" s="8">
        <f>Weather!O85</f>
        <v>442.51387558837848</v>
      </c>
      <c r="AL85" s="8">
        <f>Weather!P85</f>
        <v>0</v>
      </c>
      <c r="AM85" s="2">
        <f>Weather!Q85</f>
        <v>-6.2746411480122113</v>
      </c>
      <c r="AN85" s="8">
        <f>Economic!C85</f>
        <v>7258.1</v>
      </c>
      <c r="AO85" s="8">
        <f>Economic!D85</f>
        <v>7273.3</v>
      </c>
      <c r="AP85" s="8">
        <f>Economic!E85</f>
        <v>81.400000000000006</v>
      </c>
      <c r="AQ85" s="8">
        <f>Economic!F85</f>
        <v>82</v>
      </c>
      <c r="AR85" s="8">
        <f>Economic!G85</f>
        <v>769942</v>
      </c>
      <c r="AS85" s="8">
        <f>Economic!H85</f>
        <v>6539.9</v>
      </c>
      <c r="AT85" s="8">
        <f>Economic!I85</f>
        <v>795879</v>
      </c>
      <c r="AU85" s="8">
        <f>Economic!J85</f>
        <v>6491</v>
      </c>
      <c r="AV85" s="1">
        <f t="shared" si="56"/>
        <v>84</v>
      </c>
      <c r="AW85" s="1">
        <f t="shared" ref="AW85:BN85" si="68">AW73</f>
        <v>0</v>
      </c>
      <c r="AX85" s="1">
        <f t="shared" si="68"/>
        <v>0</v>
      </c>
      <c r="AY85" s="1">
        <f t="shared" si="68"/>
        <v>0</v>
      </c>
      <c r="AZ85" s="1">
        <f t="shared" si="68"/>
        <v>0</v>
      </c>
      <c r="BA85" s="1">
        <f t="shared" si="68"/>
        <v>0</v>
      </c>
      <c r="BB85" s="1">
        <f t="shared" si="68"/>
        <v>0</v>
      </c>
      <c r="BC85" s="1">
        <f t="shared" si="68"/>
        <v>0</v>
      </c>
      <c r="BD85" s="1">
        <f t="shared" si="68"/>
        <v>0</v>
      </c>
      <c r="BE85" s="1">
        <f t="shared" si="68"/>
        <v>0</v>
      </c>
      <c r="BF85" s="1">
        <f t="shared" si="68"/>
        <v>0</v>
      </c>
      <c r="BG85" s="1">
        <f t="shared" si="68"/>
        <v>0</v>
      </c>
      <c r="BH85" s="1">
        <f t="shared" si="68"/>
        <v>1</v>
      </c>
      <c r="BI85" s="1">
        <f t="shared" si="68"/>
        <v>0</v>
      </c>
      <c r="BJ85" s="1">
        <f t="shared" si="68"/>
        <v>0</v>
      </c>
      <c r="BK85" s="1">
        <f t="shared" si="68"/>
        <v>0</v>
      </c>
      <c r="BL85" s="1">
        <f t="shared" si="68"/>
        <v>0</v>
      </c>
      <c r="BM85" s="1">
        <f t="shared" si="68"/>
        <v>0</v>
      </c>
      <c r="BN85" s="1">
        <f t="shared" si="68"/>
        <v>0</v>
      </c>
      <c r="BO85" s="1">
        <f t="shared" si="58"/>
        <v>31</v>
      </c>
      <c r="BP85" s="1">
        <v>21</v>
      </c>
      <c r="BQ85">
        <v>1</v>
      </c>
      <c r="BR85">
        <v>0.5</v>
      </c>
      <c r="BS85">
        <v>1</v>
      </c>
      <c r="BT85">
        <v>0</v>
      </c>
      <c r="BU85" s="126">
        <f t="shared" si="35"/>
        <v>814.51387558837837</v>
      </c>
      <c r="BV85" s="126">
        <f t="shared" si="36"/>
        <v>0</v>
      </c>
      <c r="BW85" s="126">
        <f t="shared" si="37"/>
        <v>752.51387558837837</v>
      </c>
      <c r="BX85" s="126">
        <f t="shared" si="38"/>
        <v>0</v>
      </c>
      <c r="BY85" s="126">
        <f t="shared" si="39"/>
        <v>690.51387558837837</v>
      </c>
      <c r="BZ85" s="126">
        <f t="shared" si="40"/>
        <v>0</v>
      </c>
      <c r="CA85" s="126">
        <f t="shared" si="41"/>
        <v>628.51387558837837</v>
      </c>
      <c r="CB85" s="126">
        <f t="shared" si="42"/>
        <v>0</v>
      </c>
      <c r="CC85" s="126">
        <f t="shared" si="43"/>
        <v>566.51387558837848</v>
      </c>
      <c r="CD85" s="126">
        <f t="shared" si="44"/>
        <v>0</v>
      </c>
      <c r="CE85" s="126">
        <f t="shared" si="45"/>
        <v>504.51387558837848</v>
      </c>
      <c r="CF85" s="126">
        <f t="shared" si="46"/>
        <v>0</v>
      </c>
      <c r="CG85" s="126">
        <f t="shared" si="47"/>
        <v>442.51387558837848</v>
      </c>
      <c r="CH85" s="126">
        <f t="shared" si="48"/>
        <v>0</v>
      </c>
      <c r="CI85" s="66">
        <f t="shared" si="32"/>
        <v>1317365.7251432976</v>
      </c>
      <c r="CJ85" s="66">
        <f t="shared" si="33"/>
        <v>396268.53935483872</v>
      </c>
      <c r="CK85" s="66">
        <f t="shared" si="34"/>
        <v>1019675.4880848316</v>
      </c>
    </row>
    <row r="86" spans="1:89" x14ac:dyDescent="0.2">
      <c r="A86" s="101">
        <v>44197</v>
      </c>
      <c r="B86" s="1">
        <f t="shared" si="54"/>
        <v>2021</v>
      </c>
      <c r="C86" s="1">
        <f t="shared" si="55"/>
        <v>1</v>
      </c>
      <c r="D86" s="8">
        <v>40926076.990000002</v>
      </c>
      <c r="E86" s="8">
        <f>IFERROR(VLOOKUP($B86-1,CDM!$L$4:$R$15,2,FALSE)/12,0)+IFERROR(VLOOKUP($B86,CDM!$L$33:$O$44,2,FALSE)/24,0)+IFERROR(VLOOKUP($B86,CDM!$L$33:$O$44,2,FALSE)/2*$C86/78,0)</f>
        <v>1604131.3253828916</v>
      </c>
      <c r="F86" s="8">
        <f t="shared" si="50"/>
        <v>42530208.31538289</v>
      </c>
      <c r="G86" s="8">
        <v>43148</v>
      </c>
      <c r="H86" s="8">
        <v>12453404.960000001</v>
      </c>
      <c r="I86" s="8">
        <f>IFERROR(VLOOKUP($B86-1,CDM!$L$4:$R$15,3,FALSE)/12,0)+IFERROR(VLOOKUP($B86,CDM!$L$33:$O$44,3,FALSE)/24,0)+IFERROR(VLOOKUP($B86,CDM!$L$33:$O$44,3,FALSE)/2*$C86/78,0)</f>
        <v>567496.08766172547</v>
      </c>
      <c r="J86" s="8">
        <f t="shared" si="51"/>
        <v>13020901.047661725</v>
      </c>
      <c r="K86" s="8">
        <v>4247</v>
      </c>
      <c r="L86" s="8">
        <v>29560788.611000001</v>
      </c>
      <c r="M86" s="8">
        <f>IFERROR(VLOOKUP($B86-1,CDM!$L$4:$R$15,4,FALSE)/12,0)+IFERROR(VLOOKUP($B86,CDM!$L$33:$O$44,4,FALSE)/24,0)+IFERROR(VLOOKUP($B86,CDM!$L$33:$O$44,4,FALSE)/2*$C86/78,0)</f>
        <v>1942237.3172639024</v>
      </c>
      <c r="N86" s="8">
        <f t="shared" si="52"/>
        <v>31503025.928263903</v>
      </c>
      <c r="O86" s="4">
        <v>62144.620000000017</v>
      </c>
      <c r="P86" s="8">
        <v>472</v>
      </c>
      <c r="Q86" s="8">
        <v>394359.33</v>
      </c>
      <c r="R86" s="420">
        <v>852.76</v>
      </c>
      <c r="S86" s="8">
        <v>10070</v>
      </c>
      <c r="T86" s="8">
        <v>30629.74</v>
      </c>
      <c r="U86" s="420">
        <v>82.87</v>
      </c>
      <c r="V86" s="8">
        <v>353</v>
      </c>
      <c r="W86" s="8">
        <v>85917</v>
      </c>
      <c r="X86" s="8">
        <v>273</v>
      </c>
      <c r="Y86" s="8">
        <f>Weather!C86</f>
        <v>885.92429225504532</v>
      </c>
      <c r="Z86" s="8">
        <f>Weather!D86</f>
        <v>0</v>
      </c>
      <c r="AA86" s="8">
        <f>Weather!E86</f>
        <v>823.92429225504532</v>
      </c>
      <c r="AB86" s="8">
        <f>Weather!F86</f>
        <v>0</v>
      </c>
      <c r="AC86" s="8">
        <f>Weather!G86</f>
        <v>761.92429225504532</v>
      </c>
      <c r="AD86" s="8">
        <f>Weather!H86</f>
        <v>0</v>
      </c>
      <c r="AE86" s="8">
        <f>Weather!I86</f>
        <v>699.9242922550452</v>
      </c>
      <c r="AF86" s="8">
        <f>Weather!J86</f>
        <v>0</v>
      </c>
      <c r="AG86" s="8">
        <f>Weather!K86</f>
        <v>637.9242922550452</v>
      </c>
      <c r="AH86" s="8">
        <f>Weather!L86</f>
        <v>0</v>
      </c>
      <c r="AI86" s="8">
        <f>Weather!M86</f>
        <v>575.9242922550452</v>
      </c>
      <c r="AJ86" s="8">
        <f>Weather!N86</f>
        <v>0</v>
      </c>
      <c r="AK86" s="8">
        <f>Weather!O86</f>
        <v>513.9242922550452</v>
      </c>
      <c r="AL86" s="8">
        <f>Weather!P86</f>
        <v>0</v>
      </c>
      <c r="AM86" s="2">
        <f>Weather!Q86</f>
        <v>-8.5782029759691962</v>
      </c>
      <c r="AN86" s="8">
        <f>Economic!C86</f>
        <v>7204.7</v>
      </c>
      <c r="AO86" s="8">
        <f>Economic!D86</f>
        <v>7180.4</v>
      </c>
      <c r="AP86" s="8">
        <f>Economic!E86</f>
        <v>80.599999999999994</v>
      </c>
      <c r="AQ86" s="8">
        <f>Economic!F86</f>
        <v>80.2</v>
      </c>
      <c r="AR86" s="8">
        <f>Economic!G86</f>
        <v>809658.6</v>
      </c>
      <c r="AS86" s="8">
        <f>Economic!H86</f>
        <v>6484.1</v>
      </c>
      <c r="AT86" s="8">
        <f>Economic!I86</f>
        <v>808584</v>
      </c>
      <c r="AU86" s="8">
        <f>Economic!J86</f>
        <v>6722</v>
      </c>
      <c r="AV86" s="1">
        <f t="shared" si="56"/>
        <v>85</v>
      </c>
      <c r="AW86" s="1">
        <f t="shared" ref="AW86:BN86" si="69">AW74</f>
        <v>1</v>
      </c>
      <c r="AX86" s="1">
        <f t="shared" si="69"/>
        <v>0</v>
      </c>
      <c r="AY86" s="1">
        <f t="shared" si="69"/>
        <v>0</v>
      </c>
      <c r="AZ86" s="1">
        <f t="shared" si="69"/>
        <v>0</v>
      </c>
      <c r="BA86" s="1">
        <f t="shared" si="69"/>
        <v>0</v>
      </c>
      <c r="BB86" s="1">
        <f t="shared" si="69"/>
        <v>0</v>
      </c>
      <c r="BC86" s="1">
        <f t="shared" si="69"/>
        <v>0</v>
      </c>
      <c r="BD86" s="1">
        <f t="shared" si="69"/>
        <v>0</v>
      </c>
      <c r="BE86" s="1">
        <f t="shared" si="69"/>
        <v>0</v>
      </c>
      <c r="BF86" s="1">
        <f t="shared" si="69"/>
        <v>0</v>
      </c>
      <c r="BG86" s="1">
        <f t="shared" si="69"/>
        <v>0</v>
      </c>
      <c r="BH86" s="1">
        <f t="shared" si="69"/>
        <v>0</v>
      </c>
      <c r="BI86" s="1">
        <f t="shared" si="69"/>
        <v>0</v>
      </c>
      <c r="BJ86" s="1">
        <f t="shared" si="69"/>
        <v>0</v>
      </c>
      <c r="BK86" s="1">
        <f t="shared" si="69"/>
        <v>0</v>
      </c>
      <c r="BL86" s="1">
        <f t="shared" si="69"/>
        <v>0</v>
      </c>
      <c r="BM86" s="1">
        <f t="shared" si="69"/>
        <v>0</v>
      </c>
      <c r="BN86" s="1">
        <f t="shared" si="69"/>
        <v>0</v>
      </c>
      <c r="BO86" s="1">
        <f t="shared" si="58"/>
        <v>31</v>
      </c>
      <c r="BP86" s="1">
        <v>20</v>
      </c>
      <c r="BQ86">
        <v>1</v>
      </c>
      <c r="BR86">
        <v>0.5</v>
      </c>
      <c r="BS86">
        <v>0.75</v>
      </c>
      <c r="BT86">
        <v>0</v>
      </c>
      <c r="BU86" s="126">
        <f t="shared" si="35"/>
        <v>885.92429225504532</v>
      </c>
      <c r="BV86" s="126">
        <f t="shared" si="36"/>
        <v>0</v>
      </c>
      <c r="BW86" s="126">
        <f t="shared" si="37"/>
        <v>823.92429225504532</v>
      </c>
      <c r="BX86" s="126">
        <f t="shared" si="38"/>
        <v>0</v>
      </c>
      <c r="BY86" s="126">
        <f t="shared" si="39"/>
        <v>761.92429225504532</v>
      </c>
      <c r="BZ86" s="126">
        <f t="shared" si="40"/>
        <v>0</v>
      </c>
      <c r="CA86" s="126">
        <f t="shared" si="41"/>
        <v>699.9242922550452</v>
      </c>
      <c r="CB86" s="126">
        <f t="shared" si="42"/>
        <v>0</v>
      </c>
      <c r="CC86" s="126">
        <f t="shared" si="43"/>
        <v>637.9242922550452</v>
      </c>
      <c r="CD86" s="126">
        <f t="shared" si="44"/>
        <v>0</v>
      </c>
      <c r="CE86" s="126">
        <f t="shared" si="45"/>
        <v>575.9242922550452</v>
      </c>
      <c r="CF86" s="126">
        <f t="shared" si="46"/>
        <v>0</v>
      </c>
      <c r="CG86" s="126">
        <f t="shared" si="47"/>
        <v>513.9242922550452</v>
      </c>
      <c r="CH86" s="126">
        <f t="shared" si="48"/>
        <v>0</v>
      </c>
      <c r="CI86" s="66">
        <f t="shared" si="32"/>
        <v>1371942.2037220288</v>
      </c>
      <c r="CJ86" s="66">
        <f t="shared" si="33"/>
        <v>401722.74064516131</v>
      </c>
      <c r="CK86" s="66">
        <f t="shared" si="34"/>
        <v>1016226.6428472226</v>
      </c>
    </row>
    <row r="87" spans="1:89" x14ac:dyDescent="0.2">
      <c r="A87" s="101">
        <v>44228</v>
      </c>
      <c r="B87" s="1">
        <f t="shared" si="54"/>
        <v>2021</v>
      </c>
      <c r="C87" s="1">
        <f t="shared" si="55"/>
        <v>2</v>
      </c>
      <c r="D87" s="8">
        <v>38627481.899999999</v>
      </c>
      <c r="E87" s="8">
        <f>IFERROR(VLOOKUP($B87-1,CDM!$L$4:$R$15,2,FALSE)/12,0)+IFERROR(VLOOKUP($B87,CDM!$L$33:$O$44,2,FALSE)/24,0)+IFERROR(VLOOKUP($B87,CDM!$L$33:$O$44,2,FALSE)/2*$C87/78,0)</f>
        <v>1604274.5839466327</v>
      </c>
      <c r="F87" s="8">
        <f t="shared" si="50"/>
        <v>40231756.483946629</v>
      </c>
      <c r="G87" s="8">
        <v>43159</v>
      </c>
      <c r="H87" s="8">
        <v>11871197.550000001</v>
      </c>
      <c r="I87" s="8">
        <f>IFERROR(VLOOKUP($B87-1,CDM!$L$4:$R$15,3,FALSE)/12,0)+IFERROR(VLOOKUP($B87,CDM!$L$33:$O$44,3,FALSE)/24,0)+IFERROR(VLOOKUP($B87,CDM!$L$33:$O$44,3,FALSE)/2*$C87/78,0)</f>
        <v>570184.72175828426</v>
      </c>
      <c r="J87" s="8">
        <f t="shared" si="51"/>
        <v>12441382.271758284</v>
      </c>
      <c r="K87" s="8">
        <v>4245</v>
      </c>
      <c r="L87" s="8">
        <v>27748488.384000003</v>
      </c>
      <c r="M87" s="8">
        <f>IFERROR(VLOOKUP($B87-1,CDM!$L$4:$R$15,4,FALSE)/12,0)+IFERROR(VLOOKUP($B87,CDM!$L$33:$O$44,4,FALSE)/24,0)+IFERROR(VLOOKUP($B87,CDM!$L$33:$O$44,4,FALSE)/2*$C87/78,0)</f>
        <v>1956832.0036624484</v>
      </c>
      <c r="N87" s="8">
        <f t="shared" si="52"/>
        <v>29705320.387662452</v>
      </c>
      <c r="O87" s="4">
        <v>64538.799999999988</v>
      </c>
      <c r="P87" s="8">
        <v>472</v>
      </c>
      <c r="Q87" s="8">
        <v>324013.21999999997</v>
      </c>
      <c r="R87" s="420">
        <v>848.53000000000009</v>
      </c>
      <c r="S87" s="8">
        <v>10085</v>
      </c>
      <c r="T87" s="8">
        <v>27665.55</v>
      </c>
      <c r="U87" s="420">
        <v>82.71</v>
      </c>
      <c r="V87" s="8">
        <v>353</v>
      </c>
      <c r="W87" s="8">
        <v>77358</v>
      </c>
      <c r="X87" s="8">
        <v>272</v>
      </c>
      <c r="Y87" s="8">
        <f>Weather!C87</f>
        <v>863.86250000000007</v>
      </c>
      <c r="Z87" s="8">
        <f>Weather!D87</f>
        <v>0</v>
      </c>
      <c r="AA87" s="8">
        <f>Weather!E87</f>
        <v>807.86250000000007</v>
      </c>
      <c r="AB87" s="8">
        <f>Weather!F87</f>
        <v>0</v>
      </c>
      <c r="AC87" s="8">
        <f>Weather!G87</f>
        <v>751.86250000000018</v>
      </c>
      <c r="AD87" s="8">
        <f>Weather!H87</f>
        <v>0</v>
      </c>
      <c r="AE87" s="8">
        <f>Weather!I87</f>
        <v>695.86250000000018</v>
      </c>
      <c r="AF87" s="8">
        <f>Weather!J87</f>
        <v>0</v>
      </c>
      <c r="AG87" s="8">
        <f>Weather!K87</f>
        <v>639.86250000000018</v>
      </c>
      <c r="AH87" s="8">
        <f>Weather!L87</f>
        <v>0</v>
      </c>
      <c r="AI87" s="8">
        <f>Weather!M87</f>
        <v>583.86250000000018</v>
      </c>
      <c r="AJ87" s="8">
        <f>Weather!N87</f>
        <v>0</v>
      </c>
      <c r="AK87" s="8">
        <f>Weather!O87</f>
        <v>527.86250000000007</v>
      </c>
      <c r="AL87" s="8">
        <f>Weather!P87</f>
        <v>0</v>
      </c>
      <c r="AM87" s="2">
        <f>Weather!Q87</f>
        <v>-10.852232142857144</v>
      </c>
      <c r="AN87" s="8">
        <f>Economic!C87</f>
        <v>7181.2</v>
      </c>
      <c r="AO87" s="8">
        <f>Economic!D87</f>
        <v>7124.8</v>
      </c>
      <c r="AP87" s="8">
        <f>Economic!E87</f>
        <v>80</v>
      </c>
      <c r="AQ87" s="8">
        <f>Economic!F87</f>
        <v>78.8</v>
      </c>
      <c r="AR87" s="8">
        <f>Economic!G87</f>
        <v>809658.6</v>
      </c>
      <c r="AS87" s="8">
        <f>Economic!H87</f>
        <v>6484.1</v>
      </c>
      <c r="AT87" s="8">
        <f>Economic!I87</f>
        <v>808584</v>
      </c>
      <c r="AU87" s="8">
        <f>Economic!J87</f>
        <v>6722</v>
      </c>
      <c r="AV87" s="1">
        <f t="shared" si="56"/>
        <v>86</v>
      </c>
      <c r="AW87" s="1">
        <f t="shared" ref="AW87:BN87" si="70">AW75</f>
        <v>0</v>
      </c>
      <c r="AX87" s="1">
        <f t="shared" si="70"/>
        <v>1</v>
      </c>
      <c r="AY87" s="1">
        <f t="shared" si="70"/>
        <v>0</v>
      </c>
      <c r="AZ87" s="1">
        <f t="shared" si="70"/>
        <v>0</v>
      </c>
      <c r="BA87" s="1">
        <f t="shared" si="70"/>
        <v>0</v>
      </c>
      <c r="BB87" s="1">
        <f t="shared" si="70"/>
        <v>0</v>
      </c>
      <c r="BC87" s="1">
        <f t="shared" si="70"/>
        <v>0</v>
      </c>
      <c r="BD87" s="1">
        <f t="shared" si="70"/>
        <v>0</v>
      </c>
      <c r="BE87" s="1">
        <f t="shared" si="70"/>
        <v>0</v>
      </c>
      <c r="BF87" s="1">
        <f t="shared" si="70"/>
        <v>0</v>
      </c>
      <c r="BG87" s="1">
        <f t="shared" si="70"/>
        <v>0</v>
      </c>
      <c r="BH87" s="1">
        <f t="shared" si="70"/>
        <v>0</v>
      </c>
      <c r="BI87" s="1">
        <f t="shared" si="70"/>
        <v>0</v>
      </c>
      <c r="BJ87" s="1">
        <f t="shared" si="70"/>
        <v>0</v>
      </c>
      <c r="BK87" s="1">
        <f t="shared" si="70"/>
        <v>0</v>
      </c>
      <c r="BL87" s="1">
        <f t="shared" si="70"/>
        <v>0</v>
      </c>
      <c r="BM87" s="1">
        <f t="shared" si="70"/>
        <v>0</v>
      </c>
      <c r="BN87" s="1">
        <f t="shared" si="70"/>
        <v>0</v>
      </c>
      <c r="BO87" s="1">
        <f t="shared" si="58"/>
        <v>28</v>
      </c>
      <c r="BP87" s="1">
        <v>19</v>
      </c>
      <c r="BQ87">
        <v>1</v>
      </c>
      <c r="BR87">
        <v>0.5</v>
      </c>
      <c r="BS87">
        <v>0.75</v>
      </c>
      <c r="BT87">
        <v>0</v>
      </c>
      <c r="BU87" s="126">
        <f t="shared" si="35"/>
        <v>863.86250000000007</v>
      </c>
      <c r="BV87" s="126">
        <f t="shared" si="36"/>
        <v>0</v>
      </c>
      <c r="BW87" s="126">
        <f t="shared" si="37"/>
        <v>807.86250000000007</v>
      </c>
      <c r="BX87" s="126">
        <f t="shared" si="38"/>
        <v>0</v>
      </c>
      <c r="BY87" s="126">
        <f t="shared" si="39"/>
        <v>751.86250000000018</v>
      </c>
      <c r="BZ87" s="126">
        <f t="shared" si="40"/>
        <v>0</v>
      </c>
      <c r="CA87" s="126">
        <f t="shared" si="41"/>
        <v>695.86250000000018</v>
      </c>
      <c r="CB87" s="126">
        <f t="shared" si="42"/>
        <v>0</v>
      </c>
      <c r="CC87" s="126">
        <f t="shared" si="43"/>
        <v>639.86250000000018</v>
      </c>
      <c r="CD87" s="126">
        <f t="shared" si="44"/>
        <v>0</v>
      </c>
      <c r="CE87" s="126">
        <f t="shared" si="45"/>
        <v>583.86250000000018</v>
      </c>
      <c r="CF87" s="126">
        <f t="shared" si="46"/>
        <v>0</v>
      </c>
      <c r="CG87" s="126">
        <f t="shared" si="47"/>
        <v>527.86250000000007</v>
      </c>
      <c r="CH87" s="126">
        <f t="shared" si="48"/>
        <v>0</v>
      </c>
      <c r="CI87" s="66">
        <f t="shared" si="32"/>
        <v>1436848.4458552368</v>
      </c>
      <c r="CJ87" s="66">
        <f t="shared" si="33"/>
        <v>423971.34107142861</v>
      </c>
      <c r="CK87" s="66">
        <f t="shared" si="34"/>
        <v>1060904.2995593732</v>
      </c>
    </row>
    <row r="88" spans="1:89" x14ac:dyDescent="0.2">
      <c r="A88" s="101">
        <v>44256</v>
      </c>
      <c r="B88" s="1">
        <f t="shared" si="54"/>
        <v>2021</v>
      </c>
      <c r="C88" s="1">
        <f t="shared" si="55"/>
        <v>3</v>
      </c>
      <c r="D88" s="8">
        <v>35126326.270000003</v>
      </c>
      <c r="E88" s="8">
        <f>IFERROR(VLOOKUP($B88-1,CDM!$L$4:$R$15,2,FALSE)/12,0)+IFERROR(VLOOKUP($B88,CDM!$L$33:$O$44,2,FALSE)/24,0)+IFERROR(VLOOKUP($B88,CDM!$L$33:$O$44,2,FALSE)/2*$C88/78,0)</f>
        <v>1604417.8425103738</v>
      </c>
      <c r="F88" s="8">
        <f t="shared" si="50"/>
        <v>36730744.112510376</v>
      </c>
      <c r="G88" s="8">
        <v>43168</v>
      </c>
      <c r="H88" s="8">
        <v>11634102.34</v>
      </c>
      <c r="I88" s="8">
        <f>IFERROR(VLOOKUP($B88-1,CDM!$L$4:$R$15,3,FALSE)/12,0)+IFERROR(VLOOKUP($B88,CDM!$L$33:$O$44,3,FALSE)/24,0)+IFERROR(VLOOKUP($B88,CDM!$L$33:$O$44,3,FALSE)/2*$C88/78,0)</f>
        <v>572873.35585484316</v>
      </c>
      <c r="J88" s="8">
        <f t="shared" si="51"/>
        <v>12206975.695854843</v>
      </c>
      <c r="K88" s="8">
        <v>4246</v>
      </c>
      <c r="L88" s="8">
        <v>27883137.327000003</v>
      </c>
      <c r="M88" s="8">
        <f>IFERROR(VLOOKUP($B88-1,CDM!$L$4:$R$15,4,FALSE)/12,0)+IFERROR(VLOOKUP($B88,CDM!$L$33:$O$44,4,FALSE)/24,0)+IFERROR(VLOOKUP($B88,CDM!$L$33:$O$44,4,FALSE)/2*$C88/78,0)</f>
        <v>1971426.6900609941</v>
      </c>
      <c r="N88" s="8">
        <f t="shared" si="52"/>
        <v>29854564.017060999</v>
      </c>
      <c r="O88" s="4">
        <v>60652.5</v>
      </c>
      <c r="P88" s="8">
        <v>471</v>
      </c>
      <c r="Q88" s="8">
        <v>316153.40000000002</v>
      </c>
      <c r="R88" s="420">
        <v>846.76</v>
      </c>
      <c r="S88" s="8">
        <v>10083</v>
      </c>
      <c r="T88" s="8">
        <v>30629.74</v>
      </c>
      <c r="U88" s="420">
        <v>82.79</v>
      </c>
      <c r="V88" s="8">
        <v>352</v>
      </c>
      <c r="W88" s="8">
        <v>85607</v>
      </c>
      <c r="X88" s="8">
        <v>272</v>
      </c>
      <c r="Y88" s="8">
        <f>Weather!C88</f>
        <v>690.87637558837832</v>
      </c>
      <c r="Z88" s="8">
        <f>Weather!D88</f>
        <v>0</v>
      </c>
      <c r="AA88" s="8">
        <f>Weather!E88</f>
        <v>628.87637558837844</v>
      </c>
      <c r="AB88" s="8">
        <f>Weather!F88</f>
        <v>0</v>
      </c>
      <c r="AC88" s="8">
        <f>Weather!G88</f>
        <v>566.87637558837844</v>
      </c>
      <c r="AD88" s="8">
        <f>Weather!H88</f>
        <v>0</v>
      </c>
      <c r="AE88" s="8">
        <f>Weather!I88</f>
        <v>504.87637558837855</v>
      </c>
      <c r="AF88" s="8">
        <f>Weather!J88</f>
        <v>0</v>
      </c>
      <c r="AG88" s="8">
        <f>Weather!K88</f>
        <v>442.87637558837849</v>
      </c>
      <c r="AH88" s="8">
        <f>Weather!L88</f>
        <v>0</v>
      </c>
      <c r="AI88" s="8">
        <f>Weather!M88</f>
        <v>380.87637558837855</v>
      </c>
      <c r="AJ88" s="8">
        <f>Weather!N88</f>
        <v>0</v>
      </c>
      <c r="AK88" s="8">
        <f>Weather!O88</f>
        <v>319.10137558837852</v>
      </c>
      <c r="AL88" s="8">
        <f>Weather!P88</f>
        <v>0.22499999999999964</v>
      </c>
      <c r="AM88" s="2">
        <f>Weather!Q88</f>
        <v>-2.2863346963993072</v>
      </c>
      <c r="AN88" s="8">
        <f>Economic!C88</f>
        <v>7218.1</v>
      </c>
      <c r="AO88" s="8">
        <f>Economic!D88</f>
        <v>7129.5</v>
      </c>
      <c r="AP88" s="8">
        <f>Economic!E88</f>
        <v>80.3</v>
      </c>
      <c r="AQ88" s="8">
        <f>Economic!F88</f>
        <v>79.3</v>
      </c>
      <c r="AR88" s="8">
        <f>Economic!G88</f>
        <v>809658.6</v>
      </c>
      <c r="AS88" s="8">
        <f>Economic!H88</f>
        <v>6484.1</v>
      </c>
      <c r="AT88" s="8">
        <f>Economic!I88</f>
        <v>808584</v>
      </c>
      <c r="AU88" s="8">
        <f>Economic!J88</f>
        <v>6722</v>
      </c>
      <c r="AV88" s="1">
        <f t="shared" si="56"/>
        <v>87</v>
      </c>
      <c r="AW88" s="1">
        <f t="shared" ref="AW88:BN88" si="71">AW76</f>
        <v>0</v>
      </c>
      <c r="AX88" s="1">
        <f t="shared" si="71"/>
        <v>0</v>
      </c>
      <c r="AY88" s="1">
        <f t="shared" si="71"/>
        <v>1</v>
      </c>
      <c r="AZ88" s="1">
        <f t="shared" si="71"/>
        <v>0</v>
      </c>
      <c r="BA88" s="1">
        <f t="shared" si="71"/>
        <v>0</v>
      </c>
      <c r="BB88" s="1">
        <f t="shared" si="71"/>
        <v>0</v>
      </c>
      <c r="BC88" s="1">
        <f t="shared" si="71"/>
        <v>0</v>
      </c>
      <c r="BD88" s="1">
        <f t="shared" si="71"/>
        <v>0</v>
      </c>
      <c r="BE88" s="1">
        <f t="shared" si="71"/>
        <v>0</v>
      </c>
      <c r="BF88" s="1">
        <f t="shared" si="71"/>
        <v>0</v>
      </c>
      <c r="BG88" s="1">
        <f t="shared" si="71"/>
        <v>0</v>
      </c>
      <c r="BH88" s="1">
        <f t="shared" si="71"/>
        <v>0</v>
      </c>
      <c r="BI88" s="1">
        <f t="shared" si="71"/>
        <v>1</v>
      </c>
      <c r="BJ88" s="1">
        <f t="shared" si="71"/>
        <v>0</v>
      </c>
      <c r="BK88" s="1">
        <f t="shared" si="71"/>
        <v>1</v>
      </c>
      <c r="BL88" s="1">
        <f t="shared" si="71"/>
        <v>0</v>
      </c>
      <c r="BM88" s="1">
        <f t="shared" si="71"/>
        <v>0</v>
      </c>
      <c r="BN88" s="1">
        <f t="shared" si="71"/>
        <v>0</v>
      </c>
      <c r="BO88" s="1">
        <f t="shared" si="58"/>
        <v>31</v>
      </c>
      <c r="BP88" s="1">
        <v>23</v>
      </c>
      <c r="BQ88">
        <v>1</v>
      </c>
      <c r="BR88">
        <v>0.5</v>
      </c>
      <c r="BS88">
        <v>0.75</v>
      </c>
      <c r="BT88">
        <v>0</v>
      </c>
      <c r="BU88" s="126">
        <f t="shared" si="35"/>
        <v>690.87637558837832</v>
      </c>
      <c r="BV88" s="126">
        <f t="shared" si="36"/>
        <v>0</v>
      </c>
      <c r="BW88" s="126">
        <f t="shared" si="37"/>
        <v>628.87637558837844</v>
      </c>
      <c r="BX88" s="126">
        <f t="shared" si="38"/>
        <v>0</v>
      </c>
      <c r="BY88" s="126">
        <f t="shared" si="39"/>
        <v>566.87637558837844</v>
      </c>
      <c r="BZ88" s="126">
        <f t="shared" si="40"/>
        <v>0</v>
      </c>
      <c r="CA88" s="126">
        <f t="shared" si="41"/>
        <v>504.87637558837855</v>
      </c>
      <c r="CB88" s="126">
        <f t="shared" si="42"/>
        <v>0</v>
      </c>
      <c r="CC88" s="126">
        <f t="shared" si="43"/>
        <v>442.87637558837849</v>
      </c>
      <c r="CD88" s="126">
        <f t="shared" si="44"/>
        <v>0</v>
      </c>
      <c r="CE88" s="126">
        <f t="shared" si="45"/>
        <v>380.87637558837855</v>
      </c>
      <c r="CF88" s="126">
        <f t="shared" si="46"/>
        <v>0</v>
      </c>
      <c r="CG88" s="126">
        <f t="shared" si="47"/>
        <v>319.10137558837852</v>
      </c>
      <c r="CH88" s="126">
        <f t="shared" si="48"/>
        <v>0.22499999999999964</v>
      </c>
      <c r="CI88" s="66">
        <f t="shared" si="32"/>
        <v>1184862.7133067863</v>
      </c>
      <c r="CJ88" s="66">
        <f t="shared" si="33"/>
        <v>375293.62387096771</v>
      </c>
      <c r="CK88" s="66">
        <f t="shared" si="34"/>
        <v>963050.45216325799</v>
      </c>
    </row>
    <row r="89" spans="1:89" x14ac:dyDescent="0.2">
      <c r="A89" s="101">
        <v>44287</v>
      </c>
      <c r="B89" s="1">
        <f t="shared" si="54"/>
        <v>2021</v>
      </c>
      <c r="C89" s="1">
        <f t="shared" si="55"/>
        <v>4</v>
      </c>
      <c r="D89" s="8">
        <v>28382573.879999999</v>
      </c>
      <c r="E89" s="8">
        <f>IFERROR(VLOOKUP($B89-1,CDM!$L$4:$R$15,2,FALSE)/12,0)+IFERROR(VLOOKUP($B89,CDM!$L$33:$O$44,2,FALSE)/24,0)+IFERROR(VLOOKUP($B89,CDM!$L$33:$O$44,2,FALSE)/2*$C89/78,0)</f>
        <v>1604561.1010741149</v>
      </c>
      <c r="F89" s="8">
        <f t="shared" si="50"/>
        <v>29987134.981074113</v>
      </c>
      <c r="G89" s="8">
        <v>43171</v>
      </c>
      <c r="H89" s="8">
        <v>9720180.1099999994</v>
      </c>
      <c r="I89" s="8">
        <f>IFERROR(VLOOKUP($B89-1,CDM!$L$4:$R$15,3,FALSE)/12,0)+IFERROR(VLOOKUP($B89,CDM!$L$33:$O$44,3,FALSE)/24,0)+IFERROR(VLOOKUP($B89,CDM!$L$33:$O$44,3,FALSE)/2*$C89/78,0)</f>
        <v>575561.98995140207</v>
      </c>
      <c r="J89" s="8">
        <f t="shared" si="51"/>
        <v>10295742.099951401</v>
      </c>
      <c r="K89" s="8">
        <v>4250</v>
      </c>
      <c r="L89" s="8">
        <v>23784844.181000002</v>
      </c>
      <c r="M89" s="8">
        <f>IFERROR(VLOOKUP($B89-1,CDM!$L$4:$R$15,4,FALSE)/12,0)+IFERROR(VLOOKUP($B89,CDM!$L$33:$O$44,4,FALSE)/24,0)+IFERROR(VLOOKUP($B89,CDM!$L$33:$O$44,4,FALSE)/2*$C89/78,0)</f>
        <v>1986021.3764595401</v>
      </c>
      <c r="N89" s="8">
        <f t="shared" si="52"/>
        <v>25770865.557459541</v>
      </c>
      <c r="O89" s="4">
        <v>57934.229999999996</v>
      </c>
      <c r="P89" s="8">
        <v>472</v>
      </c>
      <c r="Q89" s="8">
        <v>238192.48</v>
      </c>
      <c r="R89" s="420">
        <v>845.95</v>
      </c>
      <c r="S89" s="8">
        <v>10092</v>
      </c>
      <c r="T89" s="8">
        <v>29641.68</v>
      </c>
      <c r="U89" s="420">
        <v>82.79</v>
      </c>
      <c r="V89" s="8">
        <v>352</v>
      </c>
      <c r="W89" s="8">
        <v>82877</v>
      </c>
      <c r="X89" s="8">
        <v>272</v>
      </c>
      <c r="Y89" s="8">
        <f>Weather!C89</f>
        <v>431.53958333333327</v>
      </c>
      <c r="Z89" s="8">
        <f>Weather!D89</f>
        <v>0</v>
      </c>
      <c r="AA89" s="8">
        <f>Weather!E89</f>
        <v>371.53958333333327</v>
      </c>
      <c r="AB89" s="8">
        <f>Weather!F89</f>
        <v>0</v>
      </c>
      <c r="AC89" s="8">
        <f>Weather!G89</f>
        <v>311.53958333333333</v>
      </c>
      <c r="AD89" s="8">
        <f>Weather!H89</f>
        <v>0</v>
      </c>
      <c r="AE89" s="8">
        <f>Weather!I89</f>
        <v>253.46458333333328</v>
      </c>
      <c r="AF89" s="8">
        <f>Weather!J89</f>
        <v>1.9250000000000025</v>
      </c>
      <c r="AG89" s="8">
        <f>Weather!K89</f>
        <v>200.60624999999999</v>
      </c>
      <c r="AH89" s="8">
        <f>Weather!L89</f>
        <v>9.0666666666666682</v>
      </c>
      <c r="AI89" s="8">
        <f>Weather!M89</f>
        <v>152.30624999999998</v>
      </c>
      <c r="AJ89" s="8">
        <f>Weather!N89</f>
        <v>20.766666666666673</v>
      </c>
      <c r="AK89" s="8">
        <f>Weather!O89</f>
        <v>108.33958333333334</v>
      </c>
      <c r="AL89" s="8">
        <f>Weather!P89</f>
        <v>36.800000000000004</v>
      </c>
      <c r="AM89" s="2">
        <f>Weather!Q89</f>
        <v>5.6153472222222227</v>
      </c>
      <c r="AN89" s="8">
        <f>Economic!C89</f>
        <v>7264</v>
      </c>
      <c r="AO89" s="8">
        <f>Economic!D89</f>
        <v>7197</v>
      </c>
      <c r="AP89" s="8">
        <f>Economic!E89</f>
        <v>80.8</v>
      </c>
      <c r="AQ89" s="8">
        <f>Economic!F89</f>
        <v>80.3</v>
      </c>
      <c r="AR89" s="8">
        <f>Economic!G89</f>
        <v>809658.6</v>
      </c>
      <c r="AS89" s="8">
        <f>Economic!H89</f>
        <v>6484.1</v>
      </c>
      <c r="AT89" s="8">
        <f>Economic!I89</f>
        <v>802518</v>
      </c>
      <c r="AU89" s="8">
        <f>Economic!J89</f>
        <v>6520</v>
      </c>
      <c r="AV89" s="1">
        <f t="shared" si="56"/>
        <v>88</v>
      </c>
      <c r="AW89" s="1">
        <f t="shared" ref="AW89:BN89" si="72">AW77</f>
        <v>0</v>
      </c>
      <c r="AX89" s="1">
        <f t="shared" si="72"/>
        <v>0</v>
      </c>
      <c r="AY89" s="1">
        <f t="shared" si="72"/>
        <v>0</v>
      </c>
      <c r="AZ89" s="1">
        <f t="shared" si="72"/>
        <v>1</v>
      </c>
      <c r="BA89" s="1">
        <f t="shared" si="72"/>
        <v>0</v>
      </c>
      <c r="BB89" s="1">
        <f t="shared" si="72"/>
        <v>0</v>
      </c>
      <c r="BC89" s="1">
        <f t="shared" si="72"/>
        <v>0</v>
      </c>
      <c r="BD89" s="1">
        <f t="shared" si="72"/>
        <v>0</v>
      </c>
      <c r="BE89" s="1">
        <f t="shared" si="72"/>
        <v>0</v>
      </c>
      <c r="BF89" s="1">
        <f t="shared" si="72"/>
        <v>0</v>
      </c>
      <c r="BG89" s="1">
        <f t="shared" si="72"/>
        <v>0</v>
      </c>
      <c r="BH89" s="1">
        <f t="shared" si="72"/>
        <v>0</v>
      </c>
      <c r="BI89" s="1">
        <f t="shared" si="72"/>
        <v>1</v>
      </c>
      <c r="BJ89" s="1">
        <f t="shared" si="72"/>
        <v>0</v>
      </c>
      <c r="BK89" s="1">
        <f t="shared" si="72"/>
        <v>1</v>
      </c>
      <c r="BL89" s="1">
        <f t="shared" si="72"/>
        <v>1</v>
      </c>
      <c r="BM89" s="1">
        <f t="shared" si="72"/>
        <v>0</v>
      </c>
      <c r="BN89" s="1">
        <f t="shared" si="72"/>
        <v>1</v>
      </c>
      <c r="BO89" s="1">
        <f t="shared" si="58"/>
        <v>30</v>
      </c>
      <c r="BP89" s="1">
        <v>21</v>
      </c>
      <c r="BQ89">
        <v>1</v>
      </c>
      <c r="BR89">
        <v>0.5</v>
      </c>
      <c r="BS89">
        <v>0.75</v>
      </c>
      <c r="BT89">
        <v>0</v>
      </c>
      <c r="BU89" s="126">
        <f t="shared" si="35"/>
        <v>431.53958333333327</v>
      </c>
      <c r="BV89" s="126">
        <f t="shared" si="36"/>
        <v>0</v>
      </c>
      <c r="BW89" s="126">
        <f t="shared" si="37"/>
        <v>371.53958333333327</v>
      </c>
      <c r="BX89" s="126">
        <f t="shared" si="38"/>
        <v>0</v>
      </c>
      <c r="BY89" s="126">
        <f t="shared" si="39"/>
        <v>311.53958333333333</v>
      </c>
      <c r="BZ89" s="126">
        <f t="shared" si="40"/>
        <v>0</v>
      </c>
      <c r="CA89" s="126">
        <f t="shared" si="41"/>
        <v>253.46458333333328</v>
      </c>
      <c r="CB89" s="126">
        <f t="shared" si="42"/>
        <v>1.9250000000000025</v>
      </c>
      <c r="CC89" s="126">
        <f t="shared" si="43"/>
        <v>200.60624999999999</v>
      </c>
      <c r="CD89" s="126">
        <f t="shared" si="44"/>
        <v>9.0666666666666682</v>
      </c>
      <c r="CE89" s="126">
        <f t="shared" si="45"/>
        <v>152.30624999999998</v>
      </c>
      <c r="CF89" s="126">
        <f t="shared" si="46"/>
        <v>20.766666666666673</v>
      </c>
      <c r="CG89" s="126">
        <f t="shared" si="47"/>
        <v>108.33958333333334</v>
      </c>
      <c r="CH89" s="126">
        <f t="shared" si="48"/>
        <v>36.800000000000004</v>
      </c>
      <c r="CI89" s="66">
        <f t="shared" si="32"/>
        <v>999571.16603580373</v>
      </c>
      <c r="CJ89" s="66">
        <f t="shared" si="33"/>
        <v>324006.00366666663</v>
      </c>
      <c r="CK89" s="66">
        <f t="shared" si="34"/>
        <v>859028.85191531805</v>
      </c>
    </row>
    <row r="90" spans="1:89" x14ac:dyDescent="0.2">
      <c r="A90" s="101">
        <v>44317</v>
      </c>
      <c r="B90" s="1">
        <f t="shared" si="54"/>
        <v>2021</v>
      </c>
      <c r="C90" s="1">
        <f t="shared" si="55"/>
        <v>5</v>
      </c>
      <c r="D90" s="8">
        <v>26543869.199999999</v>
      </c>
      <c r="E90" s="8">
        <f>IFERROR(VLOOKUP($B90-1,CDM!$L$4:$R$15,2,FALSE)/12,0)+IFERROR(VLOOKUP($B90,CDM!$L$33:$O$44,2,FALSE)/24,0)+IFERROR(VLOOKUP($B90,CDM!$L$33:$O$44,2,FALSE)/2*$C90/78,0)</f>
        <v>1604704.359637856</v>
      </c>
      <c r="F90" s="8">
        <f t="shared" si="50"/>
        <v>28148573.559637856</v>
      </c>
      <c r="G90" s="8">
        <v>43177</v>
      </c>
      <c r="H90" s="8">
        <v>9393976.0700000003</v>
      </c>
      <c r="I90" s="8">
        <f>IFERROR(VLOOKUP($B90-1,CDM!$L$4:$R$15,3,FALSE)/12,0)+IFERROR(VLOOKUP($B90,CDM!$L$33:$O$44,3,FALSE)/24,0)+IFERROR(VLOOKUP($B90,CDM!$L$33:$O$44,3,FALSE)/2*$C90/78,0)</f>
        <v>578250.62404796085</v>
      </c>
      <c r="J90" s="8">
        <f t="shared" si="51"/>
        <v>9972226.6940479614</v>
      </c>
      <c r="K90" s="8">
        <v>4247</v>
      </c>
      <c r="L90" s="8">
        <v>24003157.701000001</v>
      </c>
      <c r="M90" s="8">
        <f>IFERROR(VLOOKUP($B90-1,CDM!$L$4:$R$15,4,FALSE)/12,0)+IFERROR(VLOOKUP($B90,CDM!$L$33:$O$44,4,FALSE)/24,0)+IFERROR(VLOOKUP($B90,CDM!$L$33:$O$44,4,FALSE)/2*$C90/78,0)</f>
        <v>2000616.0628580861</v>
      </c>
      <c r="N90" s="8">
        <f t="shared" si="52"/>
        <v>26003773.763858087</v>
      </c>
      <c r="O90" s="4">
        <v>63131.760000000009</v>
      </c>
      <c r="P90" s="8">
        <v>475</v>
      </c>
      <c r="Q90" s="8">
        <v>234178.62</v>
      </c>
      <c r="R90" s="420">
        <v>842.87</v>
      </c>
      <c r="S90" s="8">
        <v>10096</v>
      </c>
      <c r="T90" s="8">
        <v>30629.74</v>
      </c>
      <c r="U90" s="420">
        <v>82.79</v>
      </c>
      <c r="V90" s="8">
        <v>352</v>
      </c>
      <c r="W90" s="8">
        <v>85607</v>
      </c>
      <c r="X90" s="8">
        <v>272</v>
      </c>
      <c r="Y90" s="8">
        <f>Weather!C90</f>
        <v>277.77291666666662</v>
      </c>
      <c r="Z90" s="8">
        <f>Weather!D90</f>
        <v>4.5791666666666728</v>
      </c>
      <c r="AA90" s="8">
        <f>Weather!E90</f>
        <v>223.77291666666665</v>
      </c>
      <c r="AB90" s="8">
        <f>Weather!F90</f>
        <v>12.579166666666673</v>
      </c>
      <c r="AC90" s="8">
        <f>Weather!G90</f>
        <v>173.94791666666671</v>
      </c>
      <c r="AD90" s="8">
        <f>Weather!H90</f>
        <v>24.75416666666667</v>
      </c>
      <c r="AE90" s="8">
        <f>Weather!I90</f>
        <v>128.06458333333336</v>
      </c>
      <c r="AF90" s="8">
        <f>Weather!J90</f>
        <v>40.87083333333333</v>
      </c>
      <c r="AG90" s="8">
        <f>Weather!K90</f>
        <v>92.268749999999997</v>
      </c>
      <c r="AH90" s="8">
        <f>Weather!L90</f>
        <v>67.074999999999989</v>
      </c>
      <c r="AI90" s="8">
        <f>Weather!M90</f>
        <v>61.727083333333333</v>
      </c>
      <c r="AJ90" s="8">
        <f>Weather!N90</f>
        <v>98.533333333333331</v>
      </c>
      <c r="AK90" s="8">
        <f>Weather!O90</f>
        <v>35.72708333333334</v>
      </c>
      <c r="AL90" s="8">
        <f>Weather!P90</f>
        <v>134.53333333333333</v>
      </c>
      <c r="AM90" s="2">
        <f>Weather!Q90</f>
        <v>11.187298387096773</v>
      </c>
      <c r="AN90" s="8">
        <f>Economic!C90</f>
        <v>7259.3</v>
      </c>
      <c r="AO90" s="8">
        <f>Economic!D90</f>
        <v>7237.7</v>
      </c>
      <c r="AP90" s="8">
        <f>Economic!E90</f>
        <v>81.7</v>
      </c>
      <c r="AQ90" s="8">
        <f>Economic!F90</f>
        <v>81.8</v>
      </c>
      <c r="AR90" s="8">
        <f>Economic!G90</f>
        <v>809658.6</v>
      </c>
      <c r="AS90" s="8">
        <f>Economic!H90</f>
        <v>6484.1</v>
      </c>
      <c r="AT90" s="8">
        <f>Economic!I90</f>
        <v>802518</v>
      </c>
      <c r="AU90" s="8">
        <f>Economic!J90</f>
        <v>6520</v>
      </c>
      <c r="AV90" s="1">
        <f t="shared" si="56"/>
        <v>89</v>
      </c>
      <c r="AW90" s="1">
        <f t="shared" ref="AW90:BN90" si="73">AW78</f>
        <v>0</v>
      </c>
      <c r="AX90" s="1">
        <f t="shared" si="73"/>
        <v>0</v>
      </c>
      <c r="AY90" s="1">
        <f t="shared" si="73"/>
        <v>0</v>
      </c>
      <c r="AZ90" s="1">
        <f t="shared" si="73"/>
        <v>0</v>
      </c>
      <c r="BA90" s="1">
        <f t="shared" si="73"/>
        <v>1</v>
      </c>
      <c r="BB90" s="1">
        <f t="shared" si="73"/>
        <v>0</v>
      </c>
      <c r="BC90" s="1">
        <f t="shared" si="73"/>
        <v>0</v>
      </c>
      <c r="BD90" s="1">
        <f t="shared" si="73"/>
        <v>0</v>
      </c>
      <c r="BE90" s="1">
        <f t="shared" si="73"/>
        <v>0</v>
      </c>
      <c r="BF90" s="1">
        <f t="shared" si="73"/>
        <v>0</v>
      </c>
      <c r="BG90" s="1">
        <f t="shared" si="73"/>
        <v>0</v>
      </c>
      <c r="BH90" s="1">
        <f t="shared" si="73"/>
        <v>0</v>
      </c>
      <c r="BI90" s="1">
        <f t="shared" si="73"/>
        <v>1</v>
      </c>
      <c r="BJ90" s="1">
        <f t="shared" si="73"/>
        <v>0</v>
      </c>
      <c r="BK90" s="1">
        <f t="shared" si="73"/>
        <v>1</v>
      </c>
      <c r="BL90" s="1">
        <f t="shared" si="73"/>
        <v>1</v>
      </c>
      <c r="BM90" s="1">
        <f t="shared" si="73"/>
        <v>0</v>
      </c>
      <c r="BN90" s="1">
        <f t="shared" si="73"/>
        <v>1</v>
      </c>
      <c r="BO90" s="1">
        <f t="shared" si="58"/>
        <v>31</v>
      </c>
      <c r="BP90" s="1">
        <v>20</v>
      </c>
      <c r="BQ90">
        <v>1</v>
      </c>
      <c r="BR90">
        <v>0.5</v>
      </c>
      <c r="BS90">
        <v>0.75</v>
      </c>
      <c r="BT90">
        <v>0</v>
      </c>
      <c r="BU90" s="126">
        <f t="shared" si="35"/>
        <v>277.77291666666662</v>
      </c>
      <c r="BV90" s="126">
        <f t="shared" si="36"/>
        <v>4.5791666666666728</v>
      </c>
      <c r="BW90" s="126">
        <f t="shared" si="37"/>
        <v>223.77291666666665</v>
      </c>
      <c r="BX90" s="126">
        <f t="shared" si="38"/>
        <v>12.579166666666673</v>
      </c>
      <c r="BY90" s="126">
        <f t="shared" si="39"/>
        <v>173.94791666666671</v>
      </c>
      <c r="BZ90" s="126">
        <f t="shared" si="40"/>
        <v>24.75416666666667</v>
      </c>
      <c r="CA90" s="126">
        <f t="shared" si="41"/>
        <v>128.06458333333336</v>
      </c>
      <c r="CB90" s="126">
        <f t="shared" si="42"/>
        <v>40.87083333333333</v>
      </c>
      <c r="CC90" s="126">
        <f t="shared" si="43"/>
        <v>92.268749999999997</v>
      </c>
      <c r="CD90" s="126">
        <f t="shared" si="44"/>
        <v>67.074999999999989</v>
      </c>
      <c r="CE90" s="126">
        <f t="shared" si="45"/>
        <v>61.727083333333333</v>
      </c>
      <c r="CF90" s="126">
        <f t="shared" si="46"/>
        <v>98.533333333333331</v>
      </c>
      <c r="CG90" s="126">
        <f t="shared" si="47"/>
        <v>35.72708333333334</v>
      </c>
      <c r="CH90" s="126">
        <f t="shared" si="48"/>
        <v>134.53333333333333</v>
      </c>
      <c r="CI90" s="66">
        <f t="shared" si="32"/>
        <v>908018.50192380184</v>
      </c>
      <c r="CJ90" s="66">
        <f t="shared" si="33"/>
        <v>303031.48612903227</v>
      </c>
      <c r="CK90" s="66">
        <f t="shared" si="34"/>
        <v>838831.41173735762</v>
      </c>
    </row>
    <row r="91" spans="1:89" x14ac:dyDescent="0.2">
      <c r="A91" s="101">
        <v>44348</v>
      </c>
      <c r="B91" s="1">
        <f t="shared" si="54"/>
        <v>2021</v>
      </c>
      <c r="C91" s="1">
        <f t="shared" si="55"/>
        <v>6</v>
      </c>
      <c r="D91" s="8">
        <v>26200755.329999998</v>
      </c>
      <c r="E91" s="8">
        <f>IFERROR(VLOOKUP($B91-1,CDM!$L$4:$R$15,2,FALSE)/12,0)+IFERROR(VLOOKUP($B91,CDM!$L$33:$O$44,2,FALSE)/24,0)+IFERROR(VLOOKUP($B91,CDM!$L$33:$O$44,2,FALSE)/2*$C91/78,0)</f>
        <v>1604847.6182015971</v>
      </c>
      <c r="F91" s="8">
        <f t="shared" si="50"/>
        <v>27805602.948201597</v>
      </c>
      <c r="G91" s="8">
        <v>43181</v>
      </c>
      <c r="H91" s="8">
        <v>9392908.1300000008</v>
      </c>
      <c r="I91" s="8">
        <f>IFERROR(VLOOKUP($B91-1,CDM!$L$4:$R$15,3,FALSE)/12,0)+IFERROR(VLOOKUP($B91,CDM!$L$33:$O$44,3,FALSE)/24,0)+IFERROR(VLOOKUP($B91,CDM!$L$33:$O$44,3,FALSE)/2*$C91/78,0)</f>
        <v>580939.25814451976</v>
      </c>
      <c r="J91" s="8">
        <f t="shared" si="51"/>
        <v>9973847.388144521</v>
      </c>
      <c r="K91" s="8">
        <v>4256</v>
      </c>
      <c r="L91" s="8">
        <v>24028061.399999999</v>
      </c>
      <c r="M91" s="8">
        <f>IFERROR(VLOOKUP($B91-1,CDM!$L$4:$R$15,4,FALSE)/12,0)+IFERROR(VLOOKUP($B91,CDM!$L$33:$O$44,4,FALSE)/24,0)+IFERROR(VLOOKUP($B91,CDM!$L$33:$O$44,4,FALSE)/2*$C91/78,0)</f>
        <v>2015210.7492566321</v>
      </c>
      <c r="N91" s="8">
        <f t="shared" si="52"/>
        <v>26043272.149256632</v>
      </c>
      <c r="O91" s="4">
        <v>62442.10000000002</v>
      </c>
      <c r="P91" s="8">
        <v>476</v>
      </c>
      <c r="Q91" s="8">
        <v>208270.71</v>
      </c>
      <c r="R91" s="420">
        <v>842.86</v>
      </c>
      <c r="S91" s="8">
        <v>10096</v>
      </c>
      <c r="T91" s="8">
        <v>29641.68</v>
      </c>
      <c r="U91" s="420">
        <v>82.79</v>
      </c>
      <c r="V91" s="8">
        <v>352</v>
      </c>
      <c r="W91" s="8">
        <v>82877</v>
      </c>
      <c r="X91" s="8">
        <v>272</v>
      </c>
      <c r="Y91" s="8">
        <f>Weather!C91</f>
        <v>87.543750000000003</v>
      </c>
      <c r="Z91" s="8">
        <f>Weather!D91</f>
        <v>8.4916666666666707</v>
      </c>
      <c r="AA91" s="8">
        <f>Weather!E91</f>
        <v>44.868750000000006</v>
      </c>
      <c r="AB91" s="8">
        <f>Weather!F91</f>
        <v>25.816666666666659</v>
      </c>
      <c r="AC91" s="8">
        <f>Weather!G91</f>
        <v>19.447916666666671</v>
      </c>
      <c r="AD91" s="8">
        <f>Weather!H91</f>
        <v>60.395833333333343</v>
      </c>
      <c r="AE91" s="8">
        <f>Weather!I91</f>
        <v>6.9791666666666696</v>
      </c>
      <c r="AF91" s="8">
        <f>Weather!J91</f>
        <v>107.92708333333334</v>
      </c>
      <c r="AG91" s="8">
        <f>Weather!K91</f>
        <v>3.3708333333333318</v>
      </c>
      <c r="AH91" s="8">
        <f>Weather!L91</f>
        <v>164.31874999999997</v>
      </c>
      <c r="AI91" s="8">
        <f>Weather!M91</f>
        <v>1.3708333333333318</v>
      </c>
      <c r="AJ91" s="8">
        <f>Weather!N91</f>
        <v>222.31874999999997</v>
      </c>
      <c r="AK91" s="8">
        <f>Weather!O91</f>
        <v>0</v>
      </c>
      <c r="AL91" s="8">
        <f>Weather!P91</f>
        <v>280.94791666666663</v>
      </c>
      <c r="AM91" s="2">
        <f>Weather!Q91</f>
        <v>17.364930555555556</v>
      </c>
      <c r="AN91" s="8">
        <f>Economic!C91</f>
        <v>7245.3</v>
      </c>
      <c r="AO91" s="8">
        <f>Economic!D91</f>
        <v>7293</v>
      </c>
      <c r="AP91" s="8">
        <f>Economic!E91</f>
        <v>81.5</v>
      </c>
      <c r="AQ91" s="8">
        <f>Economic!F91</f>
        <v>82.1</v>
      </c>
      <c r="AR91" s="8">
        <f>Economic!G91</f>
        <v>809658.6</v>
      </c>
      <c r="AS91" s="8">
        <f>Economic!H91</f>
        <v>6484.1</v>
      </c>
      <c r="AT91" s="8">
        <f>Economic!I91</f>
        <v>802518</v>
      </c>
      <c r="AU91" s="8">
        <f>Economic!J91</f>
        <v>6520</v>
      </c>
      <c r="AV91" s="1">
        <f t="shared" si="56"/>
        <v>90</v>
      </c>
      <c r="AW91" s="1">
        <f t="shared" ref="AW91:BN91" si="74">AW79</f>
        <v>0</v>
      </c>
      <c r="AX91" s="1">
        <f t="shared" si="74"/>
        <v>0</v>
      </c>
      <c r="AY91" s="1">
        <f t="shared" si="74"/>
        <v>0</v>
      </c>
      <c r="AZ91" s="1">
        <f t="shared" si="74"/>
        <v>0</v>
      </c>
      <c r="BA91" s="1">
        <f t="shared" si="74"/>
        <v>0</v>
      </c>
      <c r="BB91" s="1">
        <f t="shared" si="74"/>
        <v>1</v>
      </c>
      <c r="BC91" s="1">
        <f t="shared" si="74"/>
        <v>0</v>
      </c>
      <c r="BD91" s="1">
        <f t="shared" si="74"/>
        <v>0</v>
      </c>
      <c r="BE91" s="1">
        <f t="shared" si="74"/>
        <v>0</v>
      </c>
      <c r="BF91" s="1">
        <f t="shared" si="74"/>
        <v>0</v>
      </c>
      <c r="BG91" s="1">
        <f t="shared" si="74"/>
        <v>0</v>
      </c>
      <c r="BH91" s="1">
        <f t="shared" si="74"/>
        <v>0</v>
      </c>
      <c r="BI91" s="1">
        <f t="shared" si="74"/>
        <v>0</v>
      </c>
      <c r="BJ91" s="1">
        <f t="shared" si="74"/>
        <v>0</v>
      </c>
      <c r="BK91" s="1">
        <f t="shared" si="74"/>
        <v>0</v>
      </c>
      <c r="BL91" s="1">
        <f t="shared" si="74"/>
        <v>0</v>
      </c>
      <c r="BM91" s="1">
        <f t="shared" si="74"/>
        <v>0</v>
      </c>
      <c r="BN91" s="1">
        <f t="shared" si="74"/>
        <v>0</v>
      </c>
      <c r="BO91" s="1">
        <f t="shared" si="58"/>
        <v>30</v>
      </c>
      <c r="BP91" s="1">
        <v>22</v>
      </c>
      <c r="BQ91">
        <v>1</v>
      </c>
      <c r="BR91">
        <v>0.5</v>
      </c>
      <c r="BS91">
        <v>0.75</v>
      </c>
      <c r="BT91">
        <v>0</v>
      </c>
      <c r="BU91" s="126">
        <f t="shared" si="35"/>
        <v>87.543750000000003</v>
      </c>
      <c r="BV91" s="126">
        <f t="shared" si="36"/>
        <v>8.4916666666666707</v>
      </c>
      <c r="BW91" s="126">
        <f t="shared" si="37"/>
        <v>44.868750000000006</v>
      </c>
      <c r="BX91" s="126">
        <f t="shared" si="38"/>
        <v>25.816666666666659</v>
      </c>
      <c r="BY91" s="126">
        <f t="shared" si="39"/>
        <v>19.447916666666671</v>
      </c>
      <c r="BZ91" s="126">
        <f t="shared" si="40"/>
        <v>60.395833333333343</v>
      </c>
      <c r="CA91" s="126">
        <f t="shared" si="41"/>
        <v>6.9791666666666696</v>
      </c>
      <c r="CB91" s="126">
        <f t="shared" si="42"/>
        <v>107.92708333333334</v>
      </c>
      <c r="CC91" s="126">
        <f t="shared" si="43"/>
        <v>3.3708333333333318</v>
      </c>
      <c r="CD91" s="126">
        <f t="shared" si="44"/>
        <v>164.31874999999997</v>
      </c>
      <c r="CE91" s="126">
        <f t="shared" si="45"/>
        <v>1.3708333333333318</v>
      </c>
      <c r="CF91" s="126">
        <f t="shared" si="46"/>
        <v>222.31874999999997</v>
      </c>
      <c r="CG91" s="126">
        <f t="shared" si="47"/>
        <v>0</v>
      </c>
      <c r="CH91" s="126">
        <f t="shared" si="48"/>
        <v>280.94791666666663</v>
      </c>
      <c r="CI91" s="66">
        <f t="shared" si="32"/>
        <v>926853.43160671985</v>
      </c>
      <c r="CJ91" s="66">
        <f t="shared" si="33"/>
        <v>313096.93766666669</v>
      </c>
      <c r="CK91" s="66">
        <f t="shared" si="34"/>
        <v>868109.07164188777</v>
      </c>
    </row>
    <row r="92" spans="1:89" x14ac:dyDescent="0.2">
      <c r="A92" s="101">
        <v>44378</v>
      </c>
      <c r="B92" s="1">
        <f t="shared" si="54"/>
        <v>2021</v>
      </c>
      <c r="C92" s="1">
        <f t="shared" si="55"/>
        <v>7</v>
      </c>
      <c r="D92" s="8">
        <v>28359937.969999999</v>
      </c>
      <c r="E92" s="8">
        <f>IFERROR(VLOOKUP($B92-1,CDM!$L$4:$R$15,2,FALSE)/12,0)+IFERROR(VLOOKUP($B92,CDM!$L$33:$O$44,2,FALSE)/24,0)+IFERROR(VLOOKUP($B92,CDM!$L$33:$O$44,2,FALSE)/2*$C92/78,0)</f>
        <v>1604990.8767653382</v>
      </c>
      <c r="F92" s="8">
        <f t="shared" si="50"/>
        <v>29964928.846765336</v>
      </c>
      <c r="G92" s="8">
        <v>43037</v>
      </c>
      <c r="H92" s="8">
        <v>10293974.1</v>
      </c>
      <c r="I92" s="8">
        <f>IFERROR(VLOOKUP($B92-1,CDM!$L$4:$R$15,3,FALSE)/12,0)+IFERROR(VLOOKUP($B92,CDM!$L$33:$O$44,3,FALSE)/24,0)+IFERROR(VLOOKUP($B92,CDM!$L$33:$O$44,3,FALSE)/2*$C92/78,0)</f>
        <v>583627.89224107866</v>
      </c>
      <c r="J92" s="8">
        <f t="shared" si="51"/>
        <v>10877601.992241079</v>
      </c>
      <c r="K92" s="8">
        <v>4260</v>
      </c>
      <c r="L92" s="8">
        <v>25740721.141999997</v>
      </c>
      <c r="M92" s="8">
        <f>IFERROR(VLOOKUP($B92-1,CDM!$L$4:$R$15,4,FALSE)/12,0)+IFERROR(VLOOKUP($B92,CDM!$L$33:$O$44,4,FALSE)/24,0)+IFERROR(VLOOKUP($B92,CDM!$L$33:$O$44,4,FALSE)/2*$C92/78,0)</f>
        <v>2029805.4356551778</v>
      </c>
      <c r="N92" s="8">
        <f t="shared" si="52"/>
        <v>27770526.577655174</v>
      </c>
      <c r="O92" s="4">
        <v>65720.12</v>
      </c>
      <c r="P92" s="8">
        <v>476</v>
      </c>
      <c r="Q92" s="8">
        <v>223475.04</v>
      </c>
      <c r="R92" s="420">
        <v>836.1</v>
      </c>
      <c r="S92" s="8">
        <v>10097</v>
      </c>
      <c r="T92" s="8">
        <v>30629.74</v>
      </c>
      <c r="U92" s="420">
        <v>82.79</v>
      </c>
      <c r="V92" s="8">
        <v>352</v>
      </c>
      <c r="W92" s="8">
        <v>85176.95</v>
      </c>
      <c r="X92" s="8">
        <v>272</v>
      </c>
      <c r="Y92" s="8">
        <f>Weather!C92</f>
        <v>61.520833333333329</v>
      </c>
      <c r="Z92" s="8">
        <f>Weather!D92</f>
        <v>11.729166666666686</v>
      </c>
      <c r="AA92" s="8">
        <f>Weather!E92</f>
        <v>29.13333333333334</v>
      </c>
      <c r="AB92" s="8">
        <f>Weather!F92</f>
        <v>41.341666666666697</v>
      </c>
      <c r="AC92" s="8">
        <f>Weather!G92</f>
        <v>11.262500000000006</v>
      </c>
      <c r="AD92" s="8">
        <f>Weather!H92</f>
        <v>85.470833333333374</v>
      </c>
      <c r="AE92" s="8">
        <f>Weather!I92</f>
        <v>1.4416666666666718</v>
      </c>
      <c r="AF92" s="8">
        <f>Weather!J92</f>
        <v>137.65000000000006</v>
      </c>
      <c r="AG92" s="8">
        <f>Weather!K92</f>
        <v>0</v>
      </c>
      <c r="AH92" s="8">
        <f>Weather!L92</f>
        <v>198.2083333333334</v>
      </c>
      <c r="AI92" s="8">
        <f>Weather!M92</f>
        <v>0</v>
      </c>
      <c r="AJ92" s="8">
        <f>Weather!N92</f>
        <v>260.20833333333343</v>
      </c>
      <c r="AK92" s="8">
        <f>Weather!O92</f>
        <v>0</v>
      </c>
      <c r="AL92" s="8">
        <f>Weather!P92</f>
        <v>322.20833333333337</v>
      </c>
      <c r="AM92" s="2">
        <f>Weather!Q92</f>
        <v>18.393817204301076</v>
      </c>
      <c r="AN92" s="8">
        <f>Economic!C92</f>
        <v>7311.4</v>
      </c>
      <c r="AO92" s="8">
        <f>Economic!D92</f>
        <v>7391.8</v>
      </c>
      <c r="AP92" s="8">
        <f>Economic!E92</f>
        <v>80.900000000000006</v>
      </c>
      <c r="AQ92" s="8">
        <f>Economic!F92</f>
        <v>82</v>
      </c>
      <c r="AR92" s="8">
        <f>Economic!G92</f>
        <v>809658.6</v>
      </c>
      <c r="AS92" s="8">
        <f>Economic!H92</f>
        <v>6484.1</v>
      </c>
      <c r="AT92" s="8">
        <f>Economic!I92</f>
        <v>819564</v>
      </c>
      <c r="AU92" s="8">
        <f>Economic!J92</f>
        <v>6420</v>
      </c>
      <c r="AV92" s="1">
        <f t="shared" si="56"/>
        <v>91</v>
      </c>
      <c r="AW92" s="1">
        <f t="shared" ref="AW92:BN92" si="75">AW80</f>
        <v>0</v>
      </c>
      <c r="AX92" s="1">
        <f t="shared" si="75"/>
        <v>0</v>
      </c>
      <c r="AY92" s="1">
        <f t="shared" si="75"/>
        <v>0</v>
      </c>
      <c r="AZ92" s="1">
        <f t="shared" si="75"/>
        <v>0</v>
      </c>
      <c r="BA92" s="1">
        <f t="shared" si="75"/>
        <v>0</v>
      </c>
      <c r="BB92" s="1">
        <f t="shared" si="75"/>
        <v>0</v>
      </c>
      <c r="BC92" s="1">
        <f t="shared" si="75"/>
        <v>1</v>
      </c>
      <c r="BD92" s="1">
        <f t="shared" si="75"/>
        <v>0</v>
      </c>
      <c r="BE92" s="1">
        <f t="shared" si="75"/>
        <v>0</v>
      </c>
      <c r="BF92" s="1">
        <f t="shared" si="75"/>
        <v>0</v>
      </c>
      <c r="BG92" s="1">
        <f t="shared" si="75"/>
        <v>0</v>
      </c>
      <c r="BH92" s="1">
        <f t="shared" si="75"/>
        <v>0</v>
      </c>
      <c r="BI92" s="1">
        <f t="shared" si="75"/>
        <v>0</v>
      </c>
      <c r="BJ92" s="1">
        <f t="shared" si="75"/>
        <v>0</v>
      </c>
      <c r="BK92" s="1">
        <f t="shared" si="75"/>
        <v>0</v>
      </c>
      <c r="BL92" s="1">
        <f t="shared" si="75"/>
        <v>0</v>
      </c>
      <c r="BM92" s="1">
        <f t="shared" si="75"/>
        <v>0</v>
      </c>
      <c r="BN92" s="1">
        <f t="shared" si="75"/>
        <v>0</v>
      </c>
      <c r="BO92" s="1">
        <f t="shared" si="58"/>
        <v>31</v>
      </c>
      <c r="BP92" s="1">
        <v>21</v>
      </c>
      <c r="BQ92">
        <v>1</v>
      </c>
      <c r="BR92">
        <v>0.5</v>
      </c>
      <c r="BS92">
        <v>0.75</v>
      </c>
      <c r="BT92">
        <v>0</v>
      </c>
      <c r="BU92" s="126">
        <f t="shared" si="35"/>
        <v>61.520833333333329</v>
      </c>
      <c r="BV92" s="126">
        <f t="shared" si="36"/>
        <v>11.729166666666686</v>
      </c>
      <c r="BW92" s="126">
        <f t="shared" si="37"/>
        <v>29.13333333333334</v>
      </c>
      <c r="BX92" s="126">
        <f t="shared" si="38"/>
        <v>41.341666666666697</v>
      </c>
      <c r="BY92" s="126">
        <f t="shared" si="39"/>
        <v>11.262500000000006</v>
      </c>
      <c r="BZ92" s="126">
        <f t="shared" si="40"/>
        <v>85.470833333333374</v>
      </c>
      <c r="CA92" s="126">
        <f t="shared" si="41"/>
        <v>1.4416666666666718</v>
      </c>
      <c r="CB92" s="126">
        <f t="shared" si="42"/>
        <v>137.65000000000006</v>
      </c>
      <c r="CC92" s="126">
        <f t="shared" si="43"/>
        <v>0</v>
      </c>
      <c r="CD92" s="126">
        <f t="shared" si="44"/>
        <v>198.2083333333334</v>
      </c>
      <c r="CE92" s="126">
        <f t="shared" si="45"/>
        <v>0</v>
      </c>
      <c r="CF92" s="126">
        <f t="shared" si="46"/>
        <v>260.20833333333343</v>
      </c>
      <c r="CG92" s="126">
        <f t="shared" si="47"/>
        <v>0</v>
      </c>
      <c r="CH92" s="126">
        <f t="shared" si="48"/>
        <v>322.20833333333337</v>
      </c>
      <c r="CI92" s="66">
        <f t="shared" si="32"/>
        <v>966610.60796017211</v>
      </c>
      <c r="CJ92" s="66">
        <f t="shared" si="33"/>
        <v>332063.68064516125</v>
      </c>
      <c r="CK92" s="66">
        <f t="shared" si="34"/>
        <v>895823.4379888766</v>
      </c>
    </row>
    <row r="93" spans="1:89" x14ac:dyDescent="0.2">
      <c r="A93" s="101">
        <v>44409</v>
      </c>
      <c r="B93" s="1">
        <f t="shared" si="54"/>
        <v>2021</v>
      </c>
      <c r="C93" s="1">
        <f t="shared" si="55"/>
        <v>8</v>
      </c>
      <c r="D93" s="8">
        <v>29210808.18</v>
      </c>
      <c r="E93" s="8">
        <f>IFERROR(VLOOKUP($B93-1,CDM!$L$4:$R$15,2,FALSE)/12,0)+IFERROR(VLOOKUP($B93,CDM!$L$33:$O$44,2,FALSE)/24,0)+IFERROR(VLOOKUP($B93,CDM!$L$33:$O$44,2,FALSE)/2*$C93/78,0)</f>
        <v>1605134.1353290793</v>
      </c>
      <c r="F93" s="8">
        <f t="shared" si="50"/>
        <v>30815942.315329079</v>
      </c>
      <c r="G93" s="8">
        <v>43050</v>
      </c>
      <c r="H93" s="8">
        <v>10694491.789999999</v>
      </c>
      <c r="I93" s="8">
        <f>IFERROR(VLOOKUP($B93-1,CDM!$L$4:$R$15,3,FALSE)/12,0)+IFERROR(VLOOKUP($B93,CDM!$L$33:$O$44,3,FALSE)/24,0)+IFERROR(VLOOKUP($B93,CDM!$L$33:$O$44,3,FALSE)/2*$C93/78,0)</f>
        <v>586316.52633763757</v>
      </c>
      <c r="J93" s="8">
        <f t="shared" si="51"/>
        <v>11280808.316337638</v>
      </c>
      <c r="K93" s="8">
        <v>4266</v>
      </c>
      <c r="L93" s="8">
        <v>26824622.931000002</v>
      </c>
      <c r="M93" s="8">
        <f>IFERROR(VLOOKUP($B93-1,CDM!$L$4:$R$15,4,FALSE)/12,0)+IFERROR(VLOOKUP($B93,CDM!$L$33:$O$44,4,FALSE)/24,0)+IFERROR(VLOOKUP($B93,CDM!$L$33:$O$44,4,FALSE)/2*$C93/78,0)</f>
        <v>2044400.1220537238</v>
      </c>
      <c r="N93" s="8">
        <f t="shared" si="52"/>
        <v>28869023.053053726</v>
      </c>
      <c r="O93" s="4">
        <v>67904.42</v>
      </c>
      <c r="P93" s="8">
        <v>478</v>
      </c>
      <c r="Q93" s="8">
        <v>255941.81</v>
      </c>
      <c r="R93" s="420">
        <v>834.87</v>
      </c>
      <c r="S93" s="8">
        <v>10096</v>
      </c>
      <c r="T93" s="8">
        <v>30629.74</v>
      </c>
      <c r="U93" s="420">
        <v>82.81</v>
      </c>
      <c r="V93" s="8">
        <v>352</v>
      </c>
      <c r="W93" s="8">
        <v>82316.05</v>
      </c>
      <c r="X93" s="8">
        <v>272</v>
      </c>
      <c r="Y93" s="8">
        <f>Weather!C93</f>
        <v>42.133333333333312</v>
      </c>
      <c r="Z93" s="8">
        <f>Weather!D93</f>
        <v>31.433333333333341</v>
      </c>
      <c r="AA93" s="8">
        <f>Weather!E93</f>
        <v>18.133333333333326</v>
      </c>
      <c r="AB93" s="8">
        <f>Weather!F93</f>
        <v>69.433333333333337</v>
      </c>
      <c r="AC93" s="8">
        <f>Weather!G93</f>
        <v>3.6874999999999982</v>
      </c>
      <c r="AD93" s="8">
        <f>Weather!H93</f>
        <v>116.98750000000003</v>
      </c>
      <c r="AE93" s="8">
        <f>Weather!I93</f>
        <v>0.39583333333333393</v>
      </c>
      <c r="AF93" s="8">
        <f>Weather!J93</f>
        <v>175.69583333333333</v>
      </c>
      <c r="AG93" s="8">
        <f>Weather!K93</f>
        <v>0</v>
      </c>
      <c r="AH93" s="8">
        <f>Weather!L93</f>
        <v>237.3</v>
      </c>
      <c r="AI93" s="8">
        <f>Weather!M93</f>
        <v>0</v>
      </c>
      <c r="AJ93" s="8">
        <f>Weather!N93</f>
        <v>299.3</v>
      </c>
      <c r="AK93" s="8">
        <f>Weather!O93</f>
        <v>0</v>
      </c>
      <c r="AL93" s="8">
        <f>Weather!P93</f>
        <v>361.3</v>
      </c>
      <c r="AM93" s="2">
        <f>Weather!Q93</f>
        <v>19.654838709677421</v>
      </c>
      <c r="AN93" s="8">
        <f>Economic!C93</f>
        <v>7400.1</v>
      </c>
      <c r="AO93" s="8">
        <f>Economic!D93</f>
        <v>7475.2</v>
      </c>
      <c r="AP93" s="8">
        <f>Economic!E93</f>
        <v>81.400000000000006</v>
      </c>
      <c r="AQ93" s="8">
        <f>Economic!F93</f>
        <v>81.599999999999994</v>
      </c>
      <c r="AR93" s="8">
        <f>Economic!G93</f>
        <v>809658.6</v>
      </c>
      <c r="AS93" s="8">
        <f>Economic!H93</f>
        <v>6484.1</v>
      </c>
      <c r="AT93" s="8">
        <f>Economic!I93</f>
        <v>819564</v>
      </c>
      <c r="AU93" s="8">
        <f>Economic!J93</f>
        <v>6420</v>
      </c>
      <c r="AV93" s="1">
        <f t="shared" si="56"/>
        <v>92</v>
      </c>
      <c r="AW93" s="1">
        <f t="shared" ref="AW93:BN93" si="76">AW81</f>
        <v>0</v>
      </c>
      <c r="AX93" s="1">
        <f t="shared" si="76"/>
        <v>0</v>
      </c>
      <c r="AY93" s="1">
        <f t="shared" si="76"/>
        <v>0</v>
      </c>
      <c r="AZ93" s="1">
        <f t="shared" si="76"/>
        <v>0</v>
      </c>
      <c r="BA93" s="1">
        <f t="shared" si="76"/>
        <v>0</v>
      </c>
      <c r="BB93" s="1">
        <f t="shared" si="76"/>
        <v>0</v>
      </c>
      <c r="BC93" s="1">
        <f t="shared" si="76"/>
        <v>0</v>
      </c>
      <c r="BD93" s="1">
        <f t="shared" si="76"/>
        <v>1</v>
      </c>
      <c r="BE93" s="1">
        <f t="shared" si="76"/>
        <v>0</v>
      </c>
      <c r="BF93" s="1">
        <f t="shared" si="76"/>
        <v>0</v>
      </c>
      <c r="BG93" s="1">
        <f t="shared" si="76"/>
        <v>0</v>
      </c>
      <c r="BH93" s="1">
        <f t="shared" si="76"/>
        <v>0</v>
      </c>
      <c r="BI93" s="1">
        <f t="shared" si="76"/>
        <v>0</v>
      </c>
      <c r="BJ93" s="1">
        <f t="shared" si="76"/>
        <v>0</v>
      </c>
      <c r="BK93" s="1">
        <f t="shared" si="76"/>
        <v>0</v>
      </c>
      <c r="BL93" s="1">
        <f t="shared" si="76"/>
        <v>0</v>
      </c>
      <c r="BM93" s="1">
        <f t="shared" si="76"/>
        <v>0</v>
      </c>
      <c r="BN93" s="1">
        <f t="shared" si="76"/>
        <v>0</v>
      </c>
      <c r="BO93" s="1">
        <f t="shared" si="58"/>
        <v>31</v>
      </c>
      <c r="BP93" s="1">
        <v>20</v>
      </c>
      <c r="BQ93">
        <v>1</v>
      </c>
      <c r="BR93">
        <v>0.5</v>
      </c>
      <c r="BS93">
        <v>0.75</v>
      </c>
      <c r="BT93">
        <v>0</v>
      </c>
      <c r="BU93" s="126">
        <f t="shared" si="35"/>
        <v>42.133333333333312</v>
      </c>
      <c r="BV93" s="126">
        <f t="shared" si="36"/>
        <v>31.433333333333341</v>
      </c>
      <c r="BW93" s="126">
        <f t="shared" si="37"/>
        <v>18.133333333333326</v>
      </c>
      <c r="BX93" s="126">
        <f t="shared" si="38"/>
        <v>69.433333333333337</v>
      </c>
      <c r="BY93" s="126">
        <f t="shared" si="39"/>
        <v>3.6874999999999982</v>
      </c>
      <c r="BZ93" s="126">
        <f t="shared" si="40"/>
        <v>116.98750000000003</v>
      </c>
      <c r="CA93" s="126">
        <f t="shared" si="41"/>
        <v>0.39583333333333393</v>
      </c>
      <c r="CB93" s="126">
        <f t="shared" si="42"/>
        <v>175.69583333333333</v>
      </c>
      <c r="CC93" s="126">
        <f t="shared" si="43"/>
        <v>0</v>
      </c>
      <c r="CD93" s="126">
        <f t="shared" si="44"/>
        <v>237.3</v>
      </c>
      <c r="CE93" s="126">
        <f t="shared" si="45"/>
        <v>0</v>
      </c>
      <c r="CF93" s="126">
        <f t="shared" si="46"/>
        <v>299.3</v>
      </c>
      <c r="CG93" s="126">
        <f t="shared" si="47"/>
        <v>0</v>
      </c>
      <c r="CH93" s="126">
        <f t="shared" si="48"/>
        <v>361.3</v>
      </c>
      <c r="CI93" s="66">
        <f t="shared" si="32"/>
        <v>994062.65533319605</v>
      </c>
      <c r="CJ93" s="66">
        <f t="shared" si="33"/>
        <v>344983.60612903221</v>
      </c>
      <c r="CK93" s="66">
        <f t="shared" si="34"/>
        <v>931258.80816302344</v>
      </c>
    </row>
    <row r="94" spans="1:89" x14ac:dyDescent="0.2">
      <c r="A94" s="101">
        <v>44440</v>
      </c>
      <c r="B94" s="1">
        <f t="shared" si="54"/>
        <v>2021</v>
      </c>
      <c r="C94" s="1">
        <f t="shared" si="55"/>
        <v>9</v>
      </c>
      <c r="D94" s="8">
        <v>24321041.890000001</v>
      </c>
      <c r="E94" s="8">
        <f>IFERROR(VLOOKUP($B94-1,CDM!$L$4:$R$15,2,FALSE)/12,0)+IFERROR(VLOOKUP($B94,CDM!$L$33:$O$44,2,FALSE)/24,0)+IFERROR(VLOOKUP($B94,CDM!$L$33:$O$44,2,FALSE)/2*$C94/78,0)</f>
        <v>1605277.3938928205</v>
      </c>
      <c r="F94" s="8">
        <f t="shared" si="50"/>
        <v>25926319.283892822</v>
      </c>
      <c r="G94" s="8">
        <v>43054</v>
      </c>
      <c r="H94" s="8">
        <v>9498032.5500000007</v>
      </c>
      <c r="I94" s="8">
        <f>IFERROR(VLOOKUP($B94-1,CDM!$L$4:$R$15,3,FALSE)/12,0)+IFERROR(VLOOKUP($B94,CDM!$L$33:$O$44,3,FALSE)/24,0)+IFERROR(VLOOKUP($B94,CDM!$L$33:$O$44,3,FALSE)/2*$C94/78,0)</f>
        <v>589005.16043419635</v>
      </c>
      <c r="J94" s="8">
        <f t="shared" si="51"/>
        <v>10087037.710434197</v>
      </c>
      <c r="K94" s="8">
        <v>4273</v>
      </c>
      <c r="L94" s="8">
        <v>24278471.148000002</v>
      </c>
      <c r="M94" s="8">
        <f>IFERROR(VLOOKUP($B94-1,CDM!$L$4:$R$15,4,FALSE)/12,0)+IFERROR(VLOOKUP($B94,CDM!$L$33:$O$44,4,FALSE)/24,0)+IFERROR(VLOOKUP($B94,CDM!$L$33:$O$44,4,FALSE)/2*$C94/78,0)</f>
        <v>2058994.8084522698</v>
      </c>
      <c r="N94" s="8">
        <f t="shared" si="52"/>
        <v>26337465.956452273</v>
      </c>
      <c r="O94" s="4">
        <v>62671.960000000014</v>
      </c>
      <c r="P94" s="8">
        <v>478</v>
      </c>
      <c r="Q94" s="8">
        <v>287457.49</v>
      </c>
      <c r="R94" s="420">
        <v>834.58</v>
      </c>
      <c r="S94" s="8">
        <v>10094</v>
      </c>
      <c r="T94" s="8">
        <v>29641.68</v>
      </c>
      <c r="U94" s="420">
        <v>82.77000000000001</v>
      </c>
      <c r="V94" s="8">
        <v>352</v>
      </c>
      <c r="W94" s="8">
        <v>78730</v>
      </c>
      <c r="X94" s="8">
        <v>264</v>
      </c>
      <c r="Y94" s="8">
        <f>Weather!C94</f>
        <v>206.98749999999998</v>
      </c>
      <c r="Z94" s="8">
        <f>Weather!D94</f>
        <v>0</v>
      </c>
      <c r="AA94" s="8">
        <f>Weather!E94</f>
        <v>147.24166666666667</v>
      </c>
      <c r="AB94" s="8">
        <f>Weather!F94</f>
        <v>0.25416666666666288</v>
      </c>
      <c r="AC94" s="8">
        <f>Weather!G94</f>
        <v>91.837500000000006</v>
      </c>
      <c r="AD94" s="8">
        <f>Weather!H94</f>
        <v>4.8499999999999979</v>
      </c>
      <c r="AE94" s="8">
        <f>Weather!I94</f>
        <v>45.997916666666669</v>
      </c>
      <c r="AF94" s="8">
        <f>Weather!J94</f>
        <v>19.010416666666664</v>
      </c>
      <c r="AG94" s="8">
        <f>Weather!K94</f>
        <v>20.447916666666664</v>
      </c>
      <c r="AH94" s="8">
        <f>Weather!L94</f>
        <v>53.46041666666666</v>
      </c>
      <c r="AI94" s="8">
        <f>Weather!M94</f>
        <v>5.2583333333333302</v>
      </c>
      <c r="AJ94" s="8">
        <f>Weather!N94</f>
        <v>98.270833333333314</v>
      </c>
      <c r="AK94" s="8">
        <f>Weather!O94</f>
        <v>2.5000000000001243E-2</v>
      </c>
      <c r="AL94" s="8">
        <f>Weather!P94</f>
        <v>153.03750000000002</v>
      </c>
      <c r="AM94" s="2">
        <f>Weather!Q94</f>
        <v>13.100416666666668</v>
      </c>
      <c r="AN94" s="8">
        <f>Economic!C94</f>
        <v>7474.5</v>
      </c>
      <c r="AO94" s="8">
        <f>Economic!D94</f>
        <v>7503.2</v>
      </c>
      <c r="AP94" s="8">
        <f>Economic!E94</f>
        <v>82.9</v>
      </c>
      <c r="AQ94" s="8">
        <f>Economic!F94</f>
        <v>82.1</v>
      </c>
      <c r="AR94" s="8">
        <f>Economic!G94</f>
        <v>809658.6</v>
      </c>
      <c r="AS94" s="8">
        <f>Economic!H94</f>
        <v>6484.1</v>
      </c>
      <c r="AT94" s="8">
        <f>Economic!I94</f>
        <v>819564</v>
      </c>
      <c r="AU94" s="8">
        <f>Economic!J94</f>
        <v>6420</v>
      </c>
      <c r="AV94" s="1">
        <f t="shared" si="56"/>
        <v>93</v>
      </c>
      <c r="AW94" s="1">
        <f t="shared" ref="AW94:BN94" si="77">AW82</f>
        <v>0</v>
      </c>
      <c r="AX94" s="1">
        <f t="shared" si="77"/>
        <v>0</v>
      </c>
      <c r="AY94" s="1">
        <f t="shared" si="77"/>
        <v>0</v>
      </c>
      <c r="AZ94" s="1">
        <f t="shared" si="77"/>
        <v>0</v>
      </c>
      <c r="BA94" s="1">
        <f t="shared" si="77"/>
        <v>0</v>
      </c>
      <c r="BB94" s="1">
        <f t="shared" si="77"/>
        <v>0</v>
      </c>
      <c r="BC94" s="1">
        <f t="shared" si="77"/>
        <v>0</v>
      </c>
      <c r="BD94" s="1">
        <f t="shared" si="77"/>
        <v>0</v>
      </c>
      <c r="BE94" s="1">
        <f t="shared" si="77"/>
        <v>1</v>
      </c>
      <c r="BF94" s="1">
        <f t="shared" si="77"/>
        <v>0</v>
      </c>
      <c r="BG94" s="1">
        <f t="shared" si="77"/>
        <v>0</v>
      </c>
      <c r="BH94" s="1">
        <f t="shared" si="77"/>
        <v>0</v>
      </c>
      <c r="BI94" s="1">
        <f t="shared" si="77"/>
        <v>0</v>
      </c>
      <c r="BJ94" s="1">
        <f t="shared" si="77"/>
        <v>1</v>
      </c>
      <c r="BK94" s="1">
        <f t="shared" si="77"/>
        <v>1</v>
      </c>
      <c r="BL94" s="1">
        <f t="shared" si="77"/>
        <v>0</v>
      </c>
      <c r="BM94" s="1">
        <f t="shared" si="77"/>
        <v>1</v>
      </c>
      <c r="BN94" s="1">
        <f t="shared" si="77"/>
        <v>1</v>
      </c>
      <c r="BO94" s="1">
        <f t="shared" si="58"/>
        <v>30</v>
      </c>
      <c r="BP94" s="1">
        <v>20</v>
      </c>
      <c r="BQ94">
        <v>1</v>
      </c>
      <c r="BR94">
        <v>0.5</v>
      </c>
      <c r="BS94">
        <v>0.75</v>
      </c>
      <c r="BT94">
        <v>0</v>
      </c>
      <c r="BU94" s="126">
        <f t="shared" si="35"/>
        <v>206.98749999999998</v>
      </c>
      <c r="BV94" s="126">
        <f t="shared" si="36"/>
        <v>0</v>
      </c>
      <c r="BW94" s="126">
        <f t="shared" si="37"/>
        <v>147.24166666666667</v>
      </c>
      <c r="BX94" s="126">
        <f t="shared" si="38"/>
        <v>0.25416666666666288</v>
      </c>
      <c r="BY94" s="126">
        <f t="shared" si="39"/>
        <v>91.837500000000006</v>
      </c>
      <c r="BZ94" s="126">
        <f t="shared" si="40"/>
        <v>4.8499999999999979</v>
      </c>
      <c r="CA94" s="126">
        <f t="shared" si="41"/>
        <v>45.997916666666669</v>
      </c>
      <c r="CB94" s="126">
        <f t="shared" si="42"/>
        <v>19.010416666666664</v>
      </c>
      <c r="CC94" s="126">
        <f t="shared" si="43"/>
        <v>20.447916666666664</v>
      </c>
      <c r="CD94" s="126">
        <f t="shared" si="44"/>
        <v>53.46041666666666</v>
      </c>
      <c r="CE94" s="126">
        <f t="shared" si="45"/>
        <v>5.2583333333333302</v>
      </c>
      <c r="CF94" s="126">
        <f t="shared" si="46"/>
        <v>98.270833333333314</v>
      </c>
      <c r="CG94" s="126">
        <f t="shared" si="47"/>
        <v>2.5000000000001243E-2</v>
      </c>
      <c r="CH94" s="126">
        <f t="shared" si="48"/>
        <v>153.03750000000002</v>
      </c>
      <c r="CI94" s="66">
        <f t="shared" si="32"/>
        <v>864210.64279642736</v>
      </c>
      <c r="CJ94" s="66">
        <f t="shared" si="33"/>
        <v>316601.08500000002</v>
      </c>
      <c r="CK94" s="66">
        <f t="shared" si="34"/>
        <v>877915.53188174241</v>
      </c>
    </row>
    <row r="95" spans="1:89" x14ac:dyDescent="0.2">
      <c r="A95" s="101">
        <v>44470</v>
      </c>
      <c r="B95" s="1">
        <f t="shared" si="54"/>
        <v>2021</v>
      </c>
      <c r="C95" s="1">
        <f t="shared" si="55"/>
        <v>10</v>
      </c>
      <c r="D95" s="8">
        <v>25748657.5</v>
      </c>
      <c r="E95" s="8">
        <f>IFERROR(VLOOKUP($B95-1,CDM!$L$4:$R$15,2,FALSE)/12,0)+IFERROR(VLOOKUP($B95,CDM!$L$33:$O$44,2,FALSE)/24,0)+IFERROR(VLOOKUP($B95,CDM!$L$33:$O$44,2,FALSE)/2*$C95/78,0)</f>
        <v>1605420.6524565616</v>
      </c>
      <c r="F95" s="8">
        <f t="shared" si="50"/>
        <v>27354078.152456563</v>
      </c>
      <c r="G95" s="8">
        <v>43057</v>
      </c>
      <c r="H95" s="8">
        <v>9811806.4000000004</v>
      </c>
      <c r="I95" s="8">
        <f>IFERROR(VLOOKUP($B95-1,CDM!$L$4:$R$15,3,FALSE)/12,0)+IFERROR(VLOOKUP($B95,CDM!$L$33:$O$44,3,FALSE)/24,0)+IFERROR(VLOOKUP($B95,CDM!$L$33:$O$44,3,FALSE)/2*$C95/78,0)</f>
        <v>591693.79453075526</v>
      </c>
      <c r="J95" s="8">
        <f t="shared" si="51"/>
        <v>10403500.194530755</v>
      </c>
      <c r="K95" s="8">
        <v>4271</v>
      </c>
      <c r="L95" s="8">
        <v>25499727.263</v>
      </c>
      <c r="M95" s="8">
        <f>IFERROR(VLOOKUP($B95-1,CDM!$L$4:$R$15,4,FALSE)/12,0)+IFERROR(VLOOKUP($B95,CDM!$L$33:$O$44,4,FALSE)/24,0)+IFERROR(VLOOKUP($B95,CDM!$L$33:$O$44,4,FALSE)/2*$C95/78,0)</f>
        <v>2073589.4948508157</v>
      </c>
      <c r="N95" s="8">
        <f t="shared" si="52"/>
        <v>27573316.757850815</v>
      </c>
      <c r="O95" s="4">
        <v>63063.980000000018</v>
      </c>
      <c r="P95" s="8">
        <v>480</v>
      </c>
      <c r="Q95" s="8">
        <v>339972.67</v>
      </c>
      <c r="R95" s="420">
        <v>835.04</v>
      </c>
      <c r="S95" s="8">
        <v>10096</v>
      </c>
      <c r="T95" s="8">
        <v>30558.31</v>
      </c>
      <c r="U95" s="420">
        <v>82.59</v>
      </c>
      <c r="V95" s="8">
        <v>352</v>
      </c>
      <c r="W95" s="8">
        <v>81322</v>
      </c>
      <c r="X95" s="8">
        <v>259</v>
      </c>
      <c r="Y95" s="8">
        <f>Weather!C95</f>
        <v>297.17916666666673</v>
      </c>
      <c r="Z95" s="8">
        <f>Weather!D95</f>
        <v>0</v>
      </c>
      <c r="AA95" s="8">
        <f>Weather!E95</f>
        <v>235.17916666666665</v>
      </c>
      <c r="AB95" s="8">
        <f>Weather!F95</f>
        <v>0</v>
      </c>
      <c r="AC95" s="8">
        <f>Weather!G95</f>
        <v>176.92083333333332</v>
      </c>
      <c r="AD95" s="8">
        <f>Weather!H95</f>
        <v>3.74166666666666</v>
      </c>
      <c r="AE95" s="8">
        <f>Weather!I95</f>
        <v>127.73124999999999</v>
      </c>
      <c r="AF95" s="8">
        <f>Weather!J95</f>
        <v>16.552083333333321</v>
      </c>
      <c r="AG95" s="8">
        <f>Weather!K95</f>
        <v>91.706250000000011</v>
      </c>
      <c r="AH95" s="8">
        <f>Weather!L95</f>
        <v>42.52708333333333</v>
      </c>
      <c r="AI95" s="8">
        <f>Weather!M95</f>
        <v>60.793750000000003</v>
      </c>
      <c r="AJ95" s="8">
        <f>Weather!N95</f>
        <v>73.614583333333329</v>
      </c>
      <c r="AK95" s="8">
        <f>Weather!O95</f>
        <v>33.033333333333339</v>
      </c>
      <c r="AL95" s="8">
        <f>Weather!P95</f>
        <v>107.85416666666666</v>
      </c>
      <c r="AM95" s="2">
        <f>Weather!Q95</f>
        <v>10.413575268817207</v>
      </c>
      <c r="AN95" s="8">
        <f>Economic!C95</f>
        <v>7529.4</v>
      </c>
      <c r="AO95" s="8">
        <f>Economic!D95</f>
        <v>7538.5</v>
      </c>
      <c r="AP95" s="8">
        <f>Economic!E95</f>
        <v>84.1</v>
      </c>
      <c r="AQ95" s="8">
        <f>Economic!F95</f>
        <v>83.1</v>
      </c>
      <c r="AR95" s="8">
        <f>Economic!G95</f>
        <v>809658.6</v>
      </c>
      <c r="AS95" s="8">
        <f>Economic!H95</f>
        <v>6484.1</v>
      </c>
      <c r="AT95" s="8">
        <f>Economic!I95</f>
        <v>838397</v>
      </c>
      <c r="AU95" s="8">
        <f>Economic!J95</f>
        <v>6143</v>
      </c>
      <c r="AV95" s="1">
        <f t="shared" si="56"/>
        <v>94</v>
      </c>
      <c r="AW95" s="1">
        <f t="shared" ref="AW95:BN95" si="78">AW83</f>
        <v>0</v>
      </c>
      <c r="AX95" s="1">
        <f t="shared" si="78"/>
        <v>0</v>
      </c>
      <c r="AY95" s="1">
        <f t="shared" si="78"/>
        <v>0</v>
      </c>
      <c r="AZ95" s="1">
        <f t="shared" si="78"/>
        <v>0</v>
      </c>
      <c r="BA95" s="1">
        <f t="shared" si="78"/>
        <v>0</v>
      </c>
      <c r="BB95" s="1">
        <f t="shared" si="78"/>
        <v>0</v>
      </c>
      <c r="BC95" s="1">
        <f t="shared" si="78"/>
        <v>0</v>
      </c>
      <c r="BD95" s="1">
        <f t="shared" si="78"/>
        <v>0</v>
      </c>
      <c r="BE95" s="1">
        <f t="shared" si="78"/>
        <v>0</v>
      </c>
      <c r="BF95" s="1">
        <f t="shared" si="78"/>
        <v>1</v>
      </c>
      <c r="BG95" s="1">
        <f t="shared" si="78"/>
        <v>0</v>
      </c>
      <c r="BH95" s="1">
        <f t="shared" si="78"/>
        <v>0</v>
      </c>
      <c r="BI95" s="1">
        <f t="shared" si="78"/>
        <v>0</v>
      </c>
      <c r="BJ95" s="1">
        <f t="shared" si="78"/>
        <v>1</v>
      </c>
      <c r="BK95" s="1">
        <f t="shared" si="78"/>
        <v>1</v>
      </c>
      <c r="BL95" s="1">
        <f t="shared" si="78"/>
        <v>0</v>
      </c>
      <c r="BM95" s="1">
        <f t="shared" si="78"/>
        <v>1</v>
      </c>
      <c r="BN95" s="1">
        <f t="shared" si="78"/>
        <v>1</v>
      </c>
      <c r="BO95" s="1">
        <f t="shared" si="58"/>
        <v>31</v>
      </c>
      <c r="BP95" s="1">
        <v>20</v>
      </c>
      <c r="BQ95">
        <v>1</v>
      </c>
      <c r="BR95">
        <v>0.5</v>
      </c>
      <c r="BS95">
        <v>0.75</v>
      </c>
      <c r="BT95">
        <v>0</v>
      </c>
      <c r="BU95" s="126">
        <f t="shared" si="35"/>
        <v>297.17916666666673</v>
      </c>
      <c r="BV95" s="126">
        <f t="shared" si="36"/>
        <v>0</v>
      </c>
      <c r="BW95" s="126">
        <f t="shared" si="37"/>
        <v>235.17916666666665</v>
      </c>
      <c r="BX95" s="126">
        <f t="shared" si="38"/>
        <v>0</v>
      </c>
      <c r="BY95" s="126">
        <f t="shared" si="39"/>
        <v>176.92083333333332</v>
      </c>
      <c r="BZ95" s="126">
        <f t="shared" si="40"/>
        <v>3.74166666666666</v>
      </c>
      <c r="CA95" s="126">
        <f t="shared" si="41"/>
        <v>127.73124999999999</v>
      </c>
      <c r="CB95" s="126">
        <f t="shared" si="42"/>
        <v>16.552083333333321</v>
      </c>
      <c r="CC95" s="126">
        <f t="shared" si="43"/>
        <v>91.706250000000011</v>
      </c>
      <c r="CD95" s="126">
        <f t="shared" si="44"/>
        <v>42.52708333333333</v>
      </c>
      <c r="CE95" s="126">
        <f t="shared" si="45"/>
        <v>60.793750000000003</v>
      </c>
      <c r="CF95" s="126">
        <f t="shared" si="46"/>
        <v>73.614583333333329</v>
      </c>
      <c r="CG95" s="126">
        <f t="shared" si="47"/>
        <v>33.033333333333339</v>
      </c>
      <c r="CH95" s="126">
        <f t="shared" si="48"/>
        <v>107.85416666666666</v>
      </c>
      <c r="CI95" s="66">
        <f t="shared" si="32"/>
        <v>882389.61782117945</v>
      </c>
      <c r="CJ95" s="66">
        <f t="shared" si="33"/>
        <v>316509.88387096778</v>
      </c>
      <c r="CK95" s="66">
        <f t="shared" si="34"/>
        <v>889461.83089841332</v>
      </c>
    </row>
    <row r="96" spans="1:89" x14ac:dyDescent="0.2">
      <c r="A96" s="101">
        <v>44501</v>
      </c>
      <c r="B96" s="1">
        <f t="shared" si="54"/>
        <v>2021</v>
      </c>
      <c r="C96" s="1">
        <f t="shared" si="55"/>
        <v>11</v>
      </c>
      <c r="D96" s="8">
        <v>31347883.41</v>
      </c>
      <c r="E96" s="8">
        <f>IFERROR(VLOOKUP($B96-1,CDM!$L$4:$R$15,2,FALSE)/12,0)+IFERROR(VLOOKUP($B96,CDM!$L$33:$O$44,2,FALSE)/24,0)+IFERROR(VLOOKUP($B96,CDM!$L$33:$O$44,2,FALSE)/2*$C96/78,0)</f>
        <v>1605563.9110203027</v>
      </c>
      <c r="F96" s="8">
        <f t="shared" si="50"/>
        <v>32953447.321020301</v>
      </c>
      <c r="G96" s="8">
        <v>43072</v>
      </c>
      <c r="H96" s="8">
        <v>10828835.609999999</v>
      </c>
      <c r="I96" s="8">
        <f>IFERROR(VLOOKUP($B96-1,CDM!$L$4:$R$15,3,FALSE)/12,0)+IFERROR(VLOOKUP($B96,CDM!$L$33:$O$44,3,FALSE)/24,0)+IFERROR(VLOOKUP($B96,CDM!$L$33:$O$44,3,FALSE)/2*$C96/78,0)</f>
        <v>594382.42862731416</v>
      </c>
      <c r="J96" s="8">
        <f t="shared" si="51"/>
        <v>11423218.038627313</v>
      </c>
      <c r="K96" s="8">
        <v>4271</v>
      </c>
      <c r="L96" s="8">
        <v>27361750.120999999</v>
      </c>
      <c r="M96" s="8">
        <f>IFERROR(VLOOKUP($B96-1,CDM!$L$4:$R$15,4,FALSE)/12,0)+IFERROR(VLOOKUP($B96,CDM!$L$33:$O$44,4,FALSE)/24,0)+IFERROR(VLOOKUP($B96,CDM!$L$33:$O$44,4,FALSE)/2*$C96/78,0)</f>
        <v>2088184.1812493615</v>
      </c>
      <c r="N96" s="8">
        <f t="shared" si="52"/>
        <v>29449934.302249361</v>
      </c>
      <c r="O96" s="4">
        <v>64964.2</v>
      </c>
      <c r="P96" s="8">
        <v>484</v>
      </c>
      <c r="Q96" s="8">
        <v>365564.96</v>
      </c>
      <c r="R96" s="420">
        <v>835.07</v>
      </c>
      <c r="S96" s="8">
        <v>10099</v>
      </c>
      <c r="T96" s="8">
        <v>29490.84</v>
      </c>
      <c r="U96" s="420">
        <v>82.37</v>
      </c>
      <c r="V96" s="8">
        <v>352</v>
      </c>
      <c r="W96" s="8">
        <v>78730</v>
      </c>
      <c r="X96" s="8">
        <v>258</v>
      </c>
      <c r="Y96" s="8">
        <f>Weather!C96</f>
        <v>616.31041666666681</v>
      </c>
      <c r="Z96" s="8">
        <f>Weather!D96</f>
        <v>0</v>
      </c>
      <c r="AA96" s="8">
        <f>Weather!E96</f>
        <v>556.3104166666667</v>
      </c>
      <c r="AB96" s="8">
        <f>Weather!F96</f>
        <v>0</v>
      </c>
      <c r="AC96" s="8">
        <f>Weather!G96</f>
        <v>496.3104166666667</v>
      </c>
      <c r="AD96" s="8">
        <f>Weather!H96</f>
        <v>0</v>
      </c>
      <c r="AE96" s="8">
        <f>Weather!I96</f>
        <v>436.3104166666667</v>
      </c>
      <c r="AF96" s="8">
        <f>Weather!J96</f>
        <v>0</v>
      </c>
      <c r="AG96" s="8">
        <f>Weather!K96</f>
        <v>376.3104166666667</v>
      </c>
      <c r="AH96" s="8">
        <f>Weather!L96</f>
        <v>0</v>
      </c>
      <c r="AI96" s="8">
        <f>Weather!M96</f>
        <v>316.31041666666664</v>
      </c>
      <c r="AJ96" s="8">
        <f>Weather!N96</f>
        <v>0</v>
      </c>
      <c r="AK96" s="8">
        <f>Weather!O96</f>
        <v>257.49374999999998</v>
      </c>
      <c r="AL96" s="8">
        <f>Weather!P96</f>
        <v>1.1833333333333371</v>
      </c>
      <c r="AM96" s="2">
        <f>Weather!Q96</f>
        <v>-0.54368055555555572</v>
      </c>
      <c r="AN96" s="8">
        <f>Economic!C96</f>
        <v>7592</v>
      </c>
      <c r="AO96" s="8">
        <f>Economic!D96</f>
        <v>7590.1</v>
      </c>
      <c r="AP96" s="8">
        <f>Economic!E96</f>
        <v>84.7</v>
      </c>
      <c r="AQ96" s="8">
        <f>Economic!F96</f>
        <v>84.8</v>
      </c>
      <c r="AR96" s="8">
        <f>Economic!G96</f>
        <v>809658.6</v>
      </c>
      <c r="AS96" s="8">
        <f>Economic!H96</f>
        <v>6484.1</v>
      </c>
      <c r="AT96" s="8">
        <f>Economic!I96</f>
        <v>838397</v>
      </c>
      <c r="AU96" s="8">
        <f>Economic!J96</f>
        <v>6143</v>
      </c>
      <c r="AV96" s="1">
        <f t="shared" si="56"/>
        <v>95</v>
      </c>
      <c r="AW96" s="1">
        <f t="shared" ref="AW96:BN96" si="79">AW84</f>
        <v>0</v>
      </c>
      <c r="AX96" s="1">
        <f t="shared" si="79"/>
        <v>0</v>
      </c>
      <c r="AY96" s="1">
        <f t="shared" si="79"/>
        <v>0</v>
      </c>
      <c r="AZ96" s="1">
        <f t="shared" si="79"/>
        <v>0</v>
      </c>
      <c r="BA96" s="1">
        <f t="shared" si="79"/>
        <v>0</v>
      </c>
      <c r="BB96" s="1">
        <f t="shared" si="79"/>
        <v>0</v>
      </c>
      <c r="BC96" s="1">
        <f t="shared" si="79"/>
        <v>0</v>
      </c>
      <c r="BD96" s="1">
        <f t="shared" si="79"/>
        <v>0</v>
      </c>
      <c r="BE96" s="1">
        <f t="shared" si="79"/>
        <v>0</v>
      </c>
      <c r="BF96" s="1">
        <f t="shared" si="79"/>
        <v>0</v>
      </c>
      <c r="BG96" s="1">
        <f t="shared" si="79"/>
        <v>1</v>
      </c>
      <c r="BH96" s="1">
        <f t="shared" si="79"/>
        <v>0</v>
      </c>
      <c r="BI96" s="1">
        <f t="shared" si="79"/>
        <v>0</v>
      </c>
      <c r="BJ96" s="1">
        <f t="shared" si="79"/>
        <v>1</v>
      </c>
      <c r="BK96" s="1">
        <f t="shared" si="79"/>
        <v>1</v>
      </c>
      <c r="BL96" s="1">
        <f t="shared" si="79"/>
        <v>0</v>
      </c>
      <c r="BM96" s="1">
        <f t="shared" si="79"/>
        <v>0</v>
      </c>
      <c r="BN96" s="1">
        <f t="shared" si="79"/>
        <v>0</v>
      </c>
      <c r="BO96" s="1">
        <f t="shared" si="58"/>
        <v>30</v>
      </c>
      <c r="BP96" s="1">
        <v>22</v>
      </c>
      <c r="BQ96">
        <v>1</v>
      </c>
      <c r="BR96">
        <v>0.5</v>
      </c>
      <c r="BS96">
        <v>0.75</v>
      </c>
      <c r="BT96">
        <v>0</v>
      </c>
      <c r="BU96" s="126">
        <f t="shared" si="35"/>
        <v>616.31041666666681</v>
      </c>
      <c r="BV96" s="126">
        <f t="shared" si="36"/>
        <v>0</v>
      </c>
      <c r="BW96" s="126">
        <f t="shared" si="37"/>
        <v>556.3104166666667</v>
      </c>
      <c r="BX96" s="126">
        <f t="shared" si="38"/>
        <v>0</v>
      </c>
      <c r="BY96" s="126">
        <f t="shared" si="39"/>
        <v>496.3104166666667</v>
      </c>
      <c r="BZ96" s="126">
        <f t="shared" si="40"/>
        <v>0</v>
      </c>
      <c r="CA96" s="126">
        <f t="shared" si="41"/>
        <v>436.3104166666667</v>
      </c>
      <c r="CB96" s="126">
        <f t="shared" si="42"/>
        <v>0</v>
      </c>
      <c r="CC96" s="126">
        <f t="shared" si="43"/>
        <v>376.3104166666667</v>
      </c>
      <c r="CD96" s="126">
        <f t="shared" si="44"/>
        <v>0</v>
      </c>
      <c r="CE96" s="126">
        <f t="shared" si="45"/>
        <v>316.31041666666664</v>
      </c>
      <c r="CF96" s="126">
        <f t="shared" si="46"/>
        <v>0</v>
      </c>
      <c r="CG96" s="126">
        <f t="shared" si="47"/>
        <v>257.49374999999998</v>
      </c>
      <c r="CH96" s="126">
        <f t="shared" si="48"/>
        <v>1.1833333333333371</v>
      </c>
      <c r="CI96" s="66">
        <f t="shared" si="32"/>
        <v>1098448.24403401</v>
      </c>
      <c r="CJ96" s="66">
        <f t="shared" si="33"/>
        <v>360961.18699999998</v>
      </c>
      <c r="CK96" s="66">
        <f t="shared" si="34"/>
        <v>981664.47674164537</v>
      </c>
    </row>
    <row r="97" spans="1:89" x14ac:dyDescent="0.2">
      <c r="A97" s="101">
        <v>44531</v>
      </c>
      <c r="B97" s="1">
        <f t="shared" si="54"/>
        <v>2021</v>
      </c>
      <c r="C97" s="1">
        <f t="shared" si="55"/>
        <v>12</v>
      </c>
      <c r="D97" s="8">
        <v>39792860.049999997</v>
      </c>
      <c r="E97" s="8">
        <f>IFERROR(VLOOKUP($B97-1,CDM!$L$4:$R$15,2,FALSE)/12,0)+IFERROR(VLOOKUP($B97,CDM!$L$33:$O$44,2,FALSE)/24,0)+IFERROR(VLOOKUP($B97,CDM!$L$33:$O$44,2,FALSE)/2*$C97/78,0)</f>
        <v>1605707.1695840438</v>
      </c>
      <c r="F97" s="8">
        <f t="shared" si="50"/>
        <v>41398567.21958404</v>
      </c>
      <c r="G97" s="8">
        <v>43076</v>
      </c>
      <c r="H97" s="8">
        <v>12535512.83</v>
      </c>
      <c r="I97" s="8">
        <f>IFERROR(VLOOKUP($B97-1,CDM!$L$4:$R$15,3,FALSE)/12,0)+IFERROR(VLOOKUP($B97,CDM!$L$33:$O$44,3,FALSE)/24,0)+IFERROR(VLOOKUP($B97,CDM!$L$33:$O$44,3,FALSE)/2*$C97/78,0)</f>
        <v>597071.06272387295</v>
      </c>
      <c r="J97" s="8">
        <f t="shared" si="51"/>
        <v>13132583.892723873</v>
      </c>
      <c r="K97" s="8">
        <v>4270</v>
      </c>
      <c r="L97" s="8">
        <v>30332110.503000002</v>
      </c>
      <c r="M97" s="8">
        <f>IFERROR(VLOOKUP($B97-1,CDM!$L$4:$R$15,4,FALSE)/12,0)+IFERROR(VLOOKUP($B97,CDM!$L$33:$O$44,4,FALSE)/24,0)+IFERROR(VLOOKUP($B97,CDM!$L$33:$O$44,4,FALSE)/2*$C97/78,0)</f>
        <v>2102778.8676479077</v>
      </c>
      <c r="N97" s="8">
        <f t="shared" si="52"/>
        <v>32434889.370647911</v>
      </c>
      <c r="O97" s="4">
        <v>66399.83</v>
      </c>
      <c r="P97" s="8">
        <v>484</v>
      </c>
      <c r="Q97" s="8">
        <v>398888.5</v>
      </c>
      <c r="R97" s="420">
        <v>837.97</v>
      </c>
      <c r="S97" s="8">
        <v>10099</v>
      </c>
      <c r="T97" s="8">
        <v>30473.87</v>
      </c>
      <c r="U97" s="420">
        <v>82.37</v>
      </c>
      <c r="V97" s="8">
        <v>352</v>
      </c>
      <c r="W97" s="8">
        <v>81322</v>
      </c>
      <c r="X97" s="8">
        <v>258</v>
      </c>
      <c r="Y97" s="8">
        <f>Weather!C97</f>
        <v>819.20416666666677</v>
      </c>
      <c r="Z97" s="8">
        <f>Weather!D97</f>
        <v>0</v>
      </c>
      <c r="AA97" s="8">
        <f>Weather!E97</f>
        <v>757.20416666666677</v>
      </c>
      <c r="AB97" s="8">
        <f>Weather!F97</f>
        <v>0</v>
      </c>
      <c r="AC97" s="8">
        <f>Weather!G97</f>
        <v>695.20416666666654</v>
      </c>
      <c r="AD97" s="8">
        <f>Weather!H97</f>
        <v>0</v>
      </c>
      <c r="AE97" s="8">
        <f>Weather!I97</f>
        <v>633.20416666666654</v>
      </c>
      <c r="AF97" s="8">
        <f>Weather!J97</f>
        <v>0</v>
      </c>
      <c r="AG97" s="8">
        <f>Weather!K97</f>
        <v>571.20416666666665</v>
      </c>
      <c r="AH97" s="8">
        <f>Weather!L97</f>
        <v>0</v>
      </c>
      <c r="AI97" s="8">
        <f>Weather!M97</f>
        <v>509.20416666666665</v>
      </c>
      <c r="AJ97" s="8">
        <f>Weather!N97</f>
        <v>0</v>
      </c>
      <c r="AK97" s="8">
        <f>Weather!O97</f>
        <v>447.20416666666665</v>
      </c>
      <c r="AL97" s="8">
        <f>Weather!P97</f>
        <v>0</v>
      </c>
      <c r="AM97" s="2">
        <f>Weather!Q97</f>
        <v>-6.4259408602150536</v>
      </c>
      <c r="AN97" s="8">
        <f>Economic!C97</f>
        <v>7644.2</v>
      </c>
      <c r="AO97" s="8">
        <f>Economic!D97</f>
        <v>7647.5</v>
      </c>
      <c r="AP97" s="8">
        <f>Economic!E97</f>
        <v>84.6</v>
      </c>
      <c r="AQ97" s="8">
        <f>Economic!F97</f>
        <v>85.1</v>
      </c>
      <c r="AR97" s="8">
        <f>Economic!G97</f>
        <v>809658.6</v>
      </c>
      <c r="AS97" s="8">
        <f>Economic!H97</f>
        <v>6484.1</v>
      </c>
      <c r="AT97" s="8">
        <f>Economic!I97</f>
        <v>838397</v>
      </c>
      <c r="AU97" s="8">
        <f>Economic!J97</f>
        <v>6143</v>
      </c>
      <c r="AV97" s="1">
        <f t="shared" si="56"/>
        <v>96</v>
      </c>
      <c r="AW97" s="1">
        <f t="shared" ref="AW97:BN97" si="80">AW85</f>
        <v>0</v>
      </c>
      <c r="AX97" s="1">
        <f t="shared" si="80"/>
        <v>0</v>
      </c>
      <c r="AY97" s="1">
        <f t="shared" si="80"/>
        <v>0</v>
      </c>
      <c r="AZ97" s="1">
        <f t="shared" si="80"/>
        <v>0</v>
      </c>
      <c r="BA97" s="1">
        <f t="shared" si="80"/>
        <v>0</v>
      </c>
      <c r="BB97" s="1">
        <f t="shared" si="80"/>
        <v>0</v>
      </c>
      <c r="BC97" s="1">
        <f t="shared" si="80"/>
        <v>0</v>
      </c>
      <c r="BD97" s="1">
        <f t="shared" si="80"/>
        <v>0</v>
      </c>
      <c r="BE97" s="1">
        <f t="shared" si="80"/>
        <v>0</v>
      </c>
      <c r="BF97" s="1">
        <f t="shared" si="80"/>
        <v>0</v>
      </c>
      <c r="BG97" s="1">
        <f t="shared" si="80"/>
        <v>0</v>
      </c>
      <c r="BH97" s="1">
        <f t="shared" si="80"/>
        <v>1</v>
      </c>
      <c r="BI97" s="1">
        <f t="shared" si="80"/>
        <v>0</v>
      </c>
      <c r="BJ97" s="1">
        <f t="shared" si="80"/>
        <v>0</v>
      </c>
      <c r="BK97" s="1">
        <f t="shared" si="80"/>
        <v>0</v>
      </c>
      <c r="BL97" s="1">
        <f t="shared" si="80"/>
        <v>0</v>
      </c>
      <c r="BM97" s="1">
        <f t="shared" si="80"/>
        <v>0</v>
      </c>
      <c r="BN97" s="1">
        <f t="shared" si="80"/>
        <v>0</v>
      </c>
      <c r="BO97" s="1">
        <f t="shared" si="58"/>
        <v>31</v>
      </c>
      <c r="BP97" s="1">
        <v>21</v>
      </c>
      <c r="BQ97">
        <v>1</v>
      </c>
      <c r="BR97">
        <v>0.5</v>
      </c>
      <c r="BS97">
        <v>0.75</v>
      </c>
      <c r="BT97">
        <v>0</v>
      </c>
      <c r="BU97" s="126">
        <f t="shared" si="35"/>
        <v>819.20416666666677</v>
      </c>
      <c r="BV97" s="126">
        <f t="shared" si="36"/>
        <v>0</v>
      </c>
      <c r="BW97" s="126">
        <f t="shared" si="37"/>
        <v>757.20416666666677</v>
      </c>
      <c r="BX97" s="126">
        <f t="shared" si="38"/>
        <v>0</v>
      </c>
      <c r="BY97" s="126">
        <f t="shared" si="39"/>
        <v>695.20416666666654</v>
      </c>
      <c r="BZ97" s="126">
        <f t="shared" si="40"/>
        <v>0</v>
      </c>
      <c r="CA97" s="126">
        <f t="shared" si="41"/>
        <v>633.20416666666654</v>
      </c>
      <c r="CB97" s="126">
        <f t="shared" si="42"/>
        <v>0</v>
      </c>
      <c r="CC97" s="126">
        <f t="shared" si="43"/>
        <v>571.20416666666665</v>
      </c>
      <c r="CD97" s="126">
        <f t="shared" si="44"/>
        <v>0</v>
      </c>
      <c r="CE97" s="126">
        <f t="shared" si="45"/>
        <v>509.20416666666665</v>
      </c>
      <c r="CF97" s="126">
        <f t="shared" si="46"/>
        <v>0</v>
      </c>
      <c r="CG97" s="126">
        <f t="shared" si="47"/>
        <v>447.20416666666665</v>
      </c>
      <c r="CH97" s="126">
        <f t="shared" si="48"/>
        <v>0</v>
      </c>
      <c r="CI97" s="66">
        <f t="shared" si="32"/>
        <v>1335437.6522446466</v>
      </c>
      <c r="CJ97" s="66">
        <f t="shared" si="33"/>
        <v>404371.38161290321</v>
      </c>
      <c r="CK97" s="66">
        <f t="shared" si="34"/>
        <v>1046286.7538918681</v>
      </c>
    </row>
    <row r="98" spans="1:89" x14ac:dyDescent="0.2">
      <c r="A98" s="101">
        <v>44562</v>
      </c>
      <c r="B98" s="1">
        <f t="shared" si="54"/>
        <v>2022</v>
      </c>
      <c r="C98" s="1">
        <f t="shared" si="55"/>
        <v>1</v>
      </c>
      <c r="D98" s="8">
        <v>46997840.329999998</v>
      </c>
      <c r="E98" s="8">
        <f>IFERROR(VLOOKUP($B98-1,CDM!$L$4:$R$15,2,FALSE)/12,0)+IFERROR(VLOOKUP($B98,CDM!$L$33:$O$44,2,FALSE)/24,0)+IFERROR(VLOOKUP($B98,CDM!$L$33:$O$44,2,FALSE)/2*$C98/78,0)</f>
        <v>1605495.8394533794</v>
      </c>
      <c r="F98" s="8">
        <f t="shared" si="50"/>
        <v>48603336.169453375</v>
      </c>
      <c r="G98" s="8">
        <v>43083</v>
      </c>
      <c r="H98" s="8">
        <v>14030693.01</v>
      </c>
      <c r="I98" s="8">
        <f>IFERROR(VLOOKUP($B98-1,CDM!$L$4:$R$15,3,FALSE)/12,0)+IFERROR(VLOOKUP($B98,CDM!$L$33:$O$44,3,FALSE)/24,0)+IFERROR(VLOOKUP($B98,CDM!$L$33:$O$44,3,FALSE)/2*$C98/78,0)</f>
        <v>606261.80592289555</v>
      </c>
      <c r="J98" s="8">
        <f t="shared" si="51"/>
        <v>14636954.815922895</v>
      </c>
      <c r="K98" s="8">
        <v>4271</v>
      </c>
      <c r="L98" s="8">
        <v>33205235.84</v>
      </c>
      <c r="M98" s="8">
        <f>IFERROR(VLOOKUP($B98-1,CDM!$L$4:$R$15,4,FALSE)/12,0)+IFERROR(VLOOKUP($B98,CDM!$L$33:$O$44,4,FALSE)/24,0)+IFERROR(VLOOKUP($B98,CDM!$L$33:$O$44,4,FALSE)/2*$C98/78,0)</f>
        <v>2098338.4399324963</v>
      </c>
      <c r="N98" s="8">
        <f t="shared" si="52"/>
        <v>35303574.279932499</v>
      </c>
      <c r="O98" s="4">
        <v>70254.709999999992</v>
      </c>
      <c r="P98" s="8">
        <v>483</v>
      </c>
      <c r="Q98" s="8">
        <v>388125.96</v>
      </c>
      <c r="R98" s="420">
        <v>838.77</v>
      </c>
      <c r="S98" s="8">
        <v>10134</v>
      </c>
      <c r="T98" s="8">
        <v>30473.87</v>
      </c>
      <c r="U98" s="420">
        <v>82.37</v>
      </c>
      <c r="V98" s="8">
        <v>352</v>
      </c>
      <c r="W98" s="8">
        <v>81322</v>
      </c>
      <c r="X98" s="8">
        <v>258</v>
      </c>
      <c r="Y98" s="8">
        <f>Weather!C98</f>
        <v>1127.0833333333333</v>
      </c>
      <c r="Z98" s="8">
        <f>Weather!D98</f>
        <v>0</v>
      </c>
      <c r="AA98" s="8">
        <f>Weather!E98</f>
        <v>1065.0833333333333</v>
      </c>
      <c r="AB98" s="8">
        <f>Weather!F98</f>
        <v>0</v>
      </c>
      <c r="AC98" s="8">
        <f>Weather!G98</f>
        <v>1003.0833333333333</v>
      </c>
      <c r="AD98" s="8">
        <f>Weather!H98</f>
        <v>0</v>
      </c>
      <c r="AE98" s="8">
        <f>Weather!I98</f>
        <v>941.08333333333326</v>
      </c>
      <c r="AF98" s="8">
        <f>Weather!J98</f>
        <v>0</v>
      </c>
      <c r="AG98" s="8">
        <f>Weather!K98</f>
        <v>879.08333333333314</v>
      </c>
      <c r="AH98" s="8">
        <f>Weather!L98</f>
        <v>0</v>
      </c>
      <c r="AI98" s="8">
        <f>Weather!M98</f>
        <v>817.08333333333314</v>
      </c>
      <c r="AJ98" s="8">
        <f>Weather!N98</f>
        <v>0</v>
      </c>
      <c r="AK98" s="8">
        <f>Weather!O98</f>
        <v>755.08333333333314</v>
      </c>
      <c r="AL98" s="8">
        <f>Weather!P98</f>
        <v>0</v>
      </c>
      <c r="AM98" s="2">
        <f>Weather!Q98</f>
        <v>-16.357526881720432</v>
      </c>
      <c r="AN98" s="8">
        <f>Economic!C98</f>
        <v>7627.7</v>
      </c>
      <c r="AO98" s="8">
        <f>Economic!D98</f>
        <v>7595.1</v>
      </c>
      <c r="AP98" s="8">
        <f>Economic!E98</f>
        <v>85.6</v>
      </c>
      <c r="AQ98" s="8">
        <f>Economic!F98</f>
        <v>85.5</v>
      </c>
      <c r="AR98" s="8">
        <f>Economic!G98</f>
        <v>839497.4</v>
      </c>
      <c r="AS98" s="8">
        <f>Economic!H98</f>
        <v>6860.3</v>
      </c>
      <c r="AT98" s="8">
        <f>Economic!I98</f>
        <v>845218</v>
      </c>
      <c r="AU98" s="8">
        <f>Economic!J98</f>
        <v>6404</v>
      </c>
      <c r="AV98" s="1">
        <f t="shared" si="56"/>
        <v>97</v>
      </c>
      <c r="AW98" s="1">
        <f t="shared" ref="AW98:BN98" si="81">AW86</f>
        <v>1</v>
      </c>
      <c r="AX98" s="1">
        <f t="shared" si="81"/>
        <v>0</v>
      </c>
      <c r="AY98" s="1">
        <f t="shared" si="81"/>
        <v>0</v>
      </c>
      <c r="AZ98" s="1">
        <f t="shared" si="81"/>
        <v>0</v>
      </c>
      <c r="BA98" s="1">
        <f t="shared" si="81"/>
        <v>0</v>
      </c>
      <c r="BB98" s="1">
        <f t="shared" si="81"/>
        <v>0</v>
      </c>
      <c r="BC98" s="1">
        <f t="shared" si="81"/>
        <v>0</v>
      </c>
      <c r="BD98" s="1">
        <f t="shared" si="81"/>
        <v>0</v>
      </c>
      <c r="BE98" s="1">
        <f t="shared" si="81"/>
        <v>0</v>
      </c>
      <c r="BF98" s="1">
        <f t="shared" si="81"/>
        <v>0</v>
      </c>
      <c r="BG98" s="1">
        <f t="shared" si="81"/>
        <v>0</v>
      </c>
      <c r="BH98" s="1">
        <f t="shared" si="81"/>
        <v>0</v>
      </c>
      <c r="BI98" s="1">
        <f t="shared" si="81"/>
        <v>0</v>
      </c>
      <c r="BJ98" s="1">
        <f t="shared" si="81"/>
        <v>0</v>
      </c>
      <c r="BK98" s="1">
        <f t="shared" si="81"/>
        <v>0</v>
      </c>
      <c r="BL98" s="1">
        <f t="shared" si="81"/>
        <v>0</v>
      </c>
      <c r="BM98" s="1">
        <f t="shared" si="81"/>
        <v>0</v>
      </c>
      <c r="BN98" s="1">
        <f t="shared" si="81"/>
        <v>0</v>
      </c>
      <c r="BO98" s="1">
        <f t="shared" si="58"/>
        <v>31</v>
      </c>
      <c r="BP98" s="1">
        <v>20</v>
      </c>
      <c r="BQ98">
        <v>0.5</v>
      </c>
      <c r="BR98">
        <v>0.25</v>
      </c>
      <c r="BS98">
        <v>0.5</v>
      </c>
      <c r="BT98">
        <v>0</v>
      </c>
      <c r="BU98" s="126">
        <f t="shared" si="35"/>
        <v>563.54166666666663</v>
      </c>
      <c r="BV98" s="126">
        <f t="shared" si="36"/>
        <v>0</v>
      </c>
      <c r="BW98" s="126">
        <f t="shared" si="37"/>
        <v>532.54166666666663</v>
      </c>
      <c r="BX98" s="126">
        <f t="shared" si="38"/>
        <v>0</v>
      </c>
      <c r="BY98" s="126">
        <f t="shared" si="39"/>
        <v>501.54166666666663</v>
      </c>
      <c r="BZ98" s="126">
        <f t="shared" si="40"/>
        <v>0</v>
      </c>
      <c r="CA98" s="126">
        <f t="shared" si="41"/>
        <v>470.54166666666663</v>
      </c>
      <c r="CB98" s="126">
        <f t="shared" si="42"/>
        <v>0</v>
      </c>
      <c r="CC98" s="126">
        <f t="shared" si="43"/>
        <v>439.54166666666657</v>
      </c>
      <c r="CD98" s="126">
        <f t="shared" si="44"/>
        <v>0</v>
      </c>
      <c r="CE98" s="126">
        <f t="shared" si="45"/>
        <v>408.54166666666657</v>
      </c>
      <c r="CF98" s="126">
        <f t="shared" si="46"/>
        <v>0</v>
      </c>
      <c r="CG98" s="126">
        <f t="shared" si="47"/>
        <v>377.54166666666657</v>
      </c>
      <c r="CH98" s="126">
        <f t="shared" si="48"/>
        <v>0</v>
      </c>
      <c r="CI98" s="66">
        <f t="shared" ref="CI98:CI119" si="82">F98/BO98</f>
        <v>1567849.5538533346</v>
      </c>
      <c r="CJ98" s="66">
        <f t="shared" ref="CJ98:CJ119" si="83">H98/BO98</f>
        <v>452603.00032258063</v>
      </c>
      <c r="CK98" s="66">
        <f t="shared" ref="CK98:CK119" si="84">N98/BO98</f>
        <v>1138824.9767720161</v>
      </c>
    </row>
    <row r="99" spans="1:89" x14ac:dyDescent="0.2">
      <c r="A99" s="101">
        <v>44593</v>
      </c>
      <c r="B99" s="1">
        <f t="shared" si="54"/>
        <v>2022</v>
      </c>
      <c r="C99" s="1">
        <f t="shared" si="55"/>
        <v>2</v>
      </c>
      <c r="D99" s="8">
        <v>39736199.079999998</v>
      </c>
      <c r="E99" s="8">
        <f>IFERROR(VLOOKUP($B99-1,CDM!$L$4:$R$15,2,FALSE)/12,0)+IFERROR(VLOOKUP($B99,CDM!$L$33:$O$44,2,FALSE)/24,0)+IFERROR(VLOOKUP($B99,CDM!$L$33:$O$44,2,FALSE)/2*$C99/78,0)</f>
        <v>1605572.7183827008</v>
      </c>
      <c r="F99" s="8">
        <f t="shared" si="50"/>
        <v>41341771.798382699</v>
      </c>
      <c r="G99" s="8">
        <v>43083</v>
      </c>
      <c r="H99" s="8">
        <v>12467341</v>
      </c>
      <c r="I99" s="8">
        <f>IFERROR(VLOOKUP($B99-1,CDM!$L$4:$R$15,3,FALSE)/12,0)+IFERROR(VLOOKUP($B99,CDM!$L$33:$O$44,3,FALSE)/24,0)+IFERROR(VLOOKUP($B99,CDM!$L$33:$O$44,3,FALSE)/2*$C99/78,0)</f>
        <v>609458.90335357515</v>
      </c>
      <c r="J99" s="8">
        <f t="shared" si="51"/>
        <v>13076799.903353576</v>
      </c>
      <c r="K99" s="8">
        <v>4270</v>
      </c>
      <c r="L99" s="8">
        <v>29264018.063000001</v>
      </c>
      <c r="M99" s="8">
        <f>IFERROR(VLOOKUP($B99-1,CDM!$L$4:$R$15,4,FALSE)/12,0)+IFERROR(VLOOKUP($B99,CDM!$L$33:$O$44,4,FALSE)/24,0)+IFERROR(VLOOKUP($B99,CDM!$L$33:$O$44,4,FALSE)/2*$C99/78,0)</f>
        <v>2108449.1529293749</v>
      </c>
      <c r="N99" s="8">
        <f t="shared" si="52"/>
        <v>31372467.215929374</v>
      </c>
      <c r="O99" s="4">
        <v>68466.27999999997</v>
      </c>
      <c r="P99" s="8">
        <v>484</v>
      </c>
      <c r="Q99" s="8">
        <v>320494.05</v>
      </c>
      <c r="R99" s="420">
        <v>838.48</v>
      </c>
      <c r="S99" s="8">
        <v>10143</v>
      </c>
      <c r="T99" s="8">
        <v>27524.77</v>
      </c>
      <c r="U99" s="420">
        <v>82.37</v>
      </c>
      <c r="V99" s="8">
        <v>351</v>
      </c>
      <c r="W99" s="8">
        <v>73178</v>
      </c>
      <c r="X99" s="8">
        <v>258</v>
      </c>
      <c r="Y99" s="8">
        <f>Weather!C99</f>
        <v>907.50000000000023</v>
      </c>
      <c r="Z99" s="8">
        <f>Weather!D99</f>
        <v>0</v>
      </c>
      <c r="AA99" s="8">
        <f>Weather!E99</f>
        <v>851.50000000000023</v>
      </c>
      <c r="AB99" s="8">
        <f>Weather!F99</f>
        <v>0</v>
      </c>
      <c r="AC99" s="8">
        <f>Weather!G99</f>
        <v>795.50000000000023</v>
      </c>
      <c r="AD99" s="8">
        <f>Weather!H99</f>
        <v>0</v>
      </c>
      <c r="AE99" s="8">
        <f>Weather!I99</f>
        <v>739.5</v>
      </c>
      <c r="AF99" s="8">
        <f>Weather!J99</f>
        <v>0</v>
      </c>
      <c r="AG99" s="8">
        <f>Weather!K99</f>
        <v>683.50000000000023</v>
      </c>
      <c r="AH99" s="8">
        <f>Weather!L99</f>
        <v>0</v>
      </c>
      <c r="AI99" s="8">
        <f>Weather!M99</f>
        <v>627.50000000000011</v>
      </c>
      <c r="AJ99" s="8">
        <f>Weather!N99</f>
        <v>0</v>
      </c>
      <c r="AK99" s="8">
        <f>Weather!O99</f>
        <v>571.50000000000011</v>
      </c>
      <c r="AL99" s="8">
        <f>Weather!P99</f>
        <v>0</v>
      </c>
      <c r="AM99" s="2">
        <f>Weather!Q99</f>
        <v>-12.410714285714286</v>
      </c>
      <c r="AN99" s="8">
        <f>Economic!C99</f>
        <v>7651.3</v>
      </c>
      <c r="AO99" s="8">
        <f>Economic!D99</f>
        <v>7588.8</v>
      </c>
      <c r="AP99" s="8">
        <f>Economic!E99</f>
        <v>85.5</v>
      </c>
      <c r="AQ99" s="8">
        <f>Economic!F99</f>
        <v>84.7</v>
      </c>
      <c r="AR99" s="8">
        <f>Economic!G99</f>
        <v>839497.4</v>
      </c>
      <c r="AS99" s="8">
        <f>Economic!H99</f>
        <v>6860.3</v>
      </c>
      <c r="AT99" s="8">
        <f>Economic!I99</f>
        <v>845218</v>
      </c>
      <c r="AU99" s="8">
        <f>Economic!J99</f>
        <v>6404</v>
      </c>
      <c r="AV99" s="1">
        <f t="shared" si="56"/>
        <v>98</v>
      </c>
      <c r="AW99" s="1">
        <f t="shared" ref="AW99:BN99" si="85">AW87</f>
        <v>0</v>
      </c>
      <c r="AX99" s="1">
        <f t="shared" si="85"/>
        <v>1</v>
      </c>
      <c r="AY99" s="1">
        <f t="shared" si="85"/>
        <v>0</v>
      </c>
      <c r="AZ99" s="1">
        <f t="shared" si="85"/>
        <v>0</v>
      </c>
      <c r="BA99" s="1">
        <f t="shared" si="85"/>
        <v>0</v>
      </c>
      <c r="BB99" s="1">
        <f t="shared" si="85"/>
        <v>0</v>
      </c>
      <c r="BC99" s="1">
        <f t="shared" si="85"/>
        <v>0</v>
      </c>
      <c r="BD99" s="1">
        <f t="shared" si="85"/>
        <v>0</v>
      </c>
      <c r="BE99" s="1">
        <f t="shared" si="85"/>
        <v>0</v>
      </c>
      <c r="BF99" s="1">
        <f t="shared" si="85"/>
        <v>0</v>
      </c>
      <c r="BG99" s="1">
        <f t="shared" si="85"/>
        <v>0</v>
      </c>
      <c r="BH99" s="1">
        <f t="shared" si="85"/>
        <v>0</v>
      </c>
      <c r="BI99" s="1">
        <f t="shared" si="85"/>
        <v>0</v>
      </c>
      <c r="BJ99" s="1">
        <f t="shared" si="85"/>
        <v>0</v>
      </c>
      <c r="BK99" s="1">
        <f t="shared" si="85"/>
        <v>0</v>
      </c>
      <c r="BL99" s="1">
        <f t="shared" si="85"/>
        <v>0</v>
      </c>
      <c r="BM99" s="1">
        <f t="shared" si="85"/>
        <v>0</v>
      </c>
      <c r="BN99" s="1">
        <f t="shared" si="85"/>
        <v>0</v>
      </c>
      <c r="BO99" s="1">
        <f t="shared" si="58"/>
        <v>28</v>
      </c>
      <c r="BP99" s="1">
        <v>19</v>
      </c>
      <c r="BQ99">
        <v>0.5</v>
      </c>
      <c r="BR99">
        <v>0.25</v>
      </c>
      <c r="BS99">
        <v>0.5</v>
      </c>
      <c r="BT99">
        <v>0</v>
      </c>
      <c r="BU99" s="126">
        <f t="shared" si="35"/>
        <v>453.75000000000011</v>
      </c>
      <c r="BV99" s="126">
        <f t="shared" si="36"/>
        <v>0</v>
      </c>
      <c r="BW99" s="126">
        <f t="shared" si="37"/>
        <v>425.75000000000011</v>
      </c>
      <c r="BX99" s="126">
        <f t="shared" si="38"/>
        <v>0</v>
      </c>
      <c r="BY99" s="126">
        <f t="shared" si="39"/>
        <v>397.75000000000011</v>
      </c>
      <c r="BZ99" s="126">
        <f t="shared" si="40"/>
        <v>0</v>
      </c>
      <c r="CA99" s="126">
        <f t="shared" si="41"/>
        <v>369.75</v>
      </c>
      <c r="CB99" s="126">
        <f t="shared" si="42"/>
        <v>0</v>
      </c>
      <c r="CC99" s="126">
        <f t="shared" si="43"/>
        <v>341.75000000000011</v>
      </c>
      <c r="CD99" s="126">
        <f t="shared" si="44"/>
        <v>0</v>
      </c>
      <c r="CE99" s="126">
        <f t="shared" si="45"/>
        <v>313.75000000000006</v>
      </c>
      <c r="CF99" s="126">
        <f t="shared" si="46"/>
        <v>0</v>
      </c>
      <c r="CG99" s="126">
        <f t="shared" si="47"/>
        <v>285.75000000000006</v>
      </c>
      <c r="CH99" s="126">
        <f t="shared" si="48"/>
        <v>0</v>
      </c>
      <c r="CI99" s="66">
        <f t="shared" si="82"/>
        <v>1476491.8499422392</v>
      </c>
      <c r="CJ99" s="66">
        <f t="shared" si="83"/>
        <v>445262.17857142858</v>
      </c>
      <c r="CK99" s="66">
        <f t="shared" si="84"/>
        <v>1120445.2577117633</v>
      </c>
    </row>
    <row r="100" spans="1:89" x14ac:dyDescent="0.2">
      <c r="A100" s="101">
        <v>44621</v>
      </c>
      <c r="B100" s="1">
        <f t="shared" si="54"/>
        <v>2022</v>
      </c>
      <c r="C100" s="1">
        <f t="shared" si="55"/>
        <v>3</v>
      </c>
      <c r="D100" s="8">
        <v>37472058.43</v>
      </c>
      <c r="E100" s="8">
        <f>IFERROR(VLOOKUP($B100-1,CDM!$L$4:$R$15,2,FALSE)/12,0)+IFERROR(VLOOKUP($B100,CDM!$L$33:$O$44,2,FALSE)/24,0)+IFERROR(VLOOKUP($B100,CDM!$L$33:$O$44,2,FALSE)/2*$C100/78,0)</f>
        <v>1605649.5973120225</v>
      </c>
      <c r="F100" s="8">
        <f t="shared" si="50"/>
        <v>39077708.027312025</v>
      </c>
      <c r="G100" s="8">
        <v>43091</v>
      </c>
      <c r="H100" s="8">
        <v>12541043.890000001</v>
      </c>
      <c r="I100" s="8">
        <f>IFERROR(VLOOKUP($B100-1,CDM!$L$4:$R$15,3,FALSE)/12,0)+IFERROR(VLOOKUP($B100,CDM!$L$33:$O$44,3,FALSE)/24,0)+IFERROR(VLOOKUP($B100,CDM!$L$33:$O$44,3,FALSE)/2*$C100/78,0)</f>
        <v>612656.00078425463</v>
      </c>
      <c r="J100" s="8">
        <f t="shared" si="51"/>
        <v>13153699.890784256</v>
      </c>
      <c r="K100" s="8">
        <v>4269</v>
      </c>
      <c r="L100" s="8">
        <v>30356073.782000002</v>
      </c>
      <c r="M100" s="8">
        <f>IFERROR(VLOOKUP($B100-1,CDM!$L$4:$R$15,4,FALSE)/12,0)+IFERROR(VLOOKUP($B100,CDM!$L$33:$O$44,4,FALSE)/24,0)+IFERROR(VLOOKUP($B100,CDM!$L$33:$O$44,4,FALSE)/2*$C100/78,0)</f>
        <v>2118559.8659262541</v>
      </c>
      <c r="N100" s="8">
        <f t="shared" si="52"/>
        <v>32474633.647926256</v>
      </c>
      <c r="O100" s="4">
        <v>66668.859999999986</v>
      </c>
      <c r="P100" s="8">
        <v>483</v>
      </c>
      <c r="Q100" s="8">
        <v>313446.89</v>
      </c>
      <c r="R100" s="420">
        <v>838.47</v>
      </c>
      <c r="S100" s="8">
        <v>10151</v>
      </c>
      <c r="T100" s="8">
        <v>30473.87</v>
      </c>
      <c r="U100" s="420">
        <v>82.37</v>
      </c>
      <c r="V100" s="8">
        <v>351</v>
      </c>
      <c r="W100" s="8">
        <v>81012</v>
      </c>
      <c r="X100" s="8">
        <v>257</v>
      </c>
      <c r="Y100" s="8">
        <f>Weather!C100</f>
        <v>769.76804225504509</v>
      </c>
      <c r="Z100" s="8">
        <f>Weather!D100</f>
        <v>0</v>
      </c>
      <c r="AA100" s="8">
        <f>Weather!E100</f>
        <v>707.7680422550452</v>
      </c>
      <c r="AB100" s="8">
        <f>Weather!F100</f>
        <v>0</v>
      </c>
      <c r="AC100" s="8">
        <f>Weather!G100</f>
        <v>645.7680422550452</v>
      </c>
      <c r="AD100" s="8">
        <f>Weather!H100</f>
        <v>0</v>
      </c>
      <c r="AE100" s="8">
        <f>Weather!I100</f>
        <v>583.7680422550452</v>
      </c>
      <c r="AF100" s="8">
        <f>Weather!J100</f>
        <v>0</v>
      </c>
      <c r="AG100" s="8">
        <f>Weather!K100</f>
        <v>521.7680422550452</v>
      </c>
      <c r="AH100" s="8">
        <f>Weather!L100</f>
        <v>0</v>
      </c>
      <c r="AI100" s="8">
        <f>Weather!M100</f>
        <v>459.76804225504515</v>
      </c>
      <c r="AJ100" s="8">
        <f>Weather!N100</f>
        <v>0</v>
      </c>
      <c r="AK100" s="8">
        <f>Weather!O100</f>
        <v>397.76804225504515</v>
      </c>
      <c r="AL100" s="8">
        <f>Weather!P100</f>
        <v>0</v>
      </c>
      <c r="AM100" s="2">
        <f>Weather!Q100</f>
        <v>-4.8312271695175859</v>
      </c>
      <c r="AN100" s="8">
        <f>Economic!C100</f>
        <v>7662.5</v>
      </c>
      <c r="AO100" s="8">
        <f>Economic!D100</f>
        <v>7573.4</v>
      </c>
      <c r="AP100" s="8">
        <f>Economic!E100</f>
        <v>85.8</v>
      </c>
      <c r="AQ100" s="8">
        <f>Economic!F100</f>
        <v>85.2</v>
      </c>
      <c r="AR100" s="8">
        <f>Economic!G100</f>
        <v>839497.4</v>
      </c>
      <c r="AS100" s="8">
        <f>Economic!H100</f>
        <v>6860.3</v>
      </c>
      <c r="AT100" s="8">
        <f>Economic!I100</f>
        <v>845218</v>
      </c>
      <c r="AU100" s="8">
        <f>Economic!J100</f>
        <v>6404</v>
      </c>
      <c r="AV100" s="1">
        <f t="shared" si="56"/>
        <v>99</v>
      </c>
      <c r="AW100" s="1">
        <f t="shared" ref="AW100:BN100" si="86">AW88</f>
        <v>0</v>
      </c>
      <c r="AX100" s="1">
        <f t="shared" si="86"/>
        <v>0</v>
      </c>
      <c r="AY100" s="1">
        <f t="shared" si="86"/>
        <v>1</v>
      </c>
      <c r="AZ100" s="1">
        <f t="shared" si="86"/>
        <v>0</v>
      </c>
      <c r="BA100" s="1">
        <f t="shared" si="86"/>
        <v>0</v>
      </c>
      <c r="BB100" s="1">
        <f t="shared" si="86"/>
        <v>0</v>
      </c>
      <c r="BC100" s="1">
        <f t="shared" si="86"/>
        <v>0</v>
      </c>
      <c r="BD100" s="1">
        <f t="shared" si="86"/>
        <v>0</v>
      </c>
      <c r="BE100" s="1">
        <f t="shared" si="86"/>
        <v>0</v>
      </c>
      <c r="BF100" s="1">
        <f t="shared" si="86"/>
        <v>0</v>
      </c>
      <c r="BG100" s="1">
        <f t="shared" si="86"/>
        <v>0</v>
      </c>
      <c r="BH100" s="1">
        <f t="shared" si="86"/>
        <v>0</v>
      </c>
      <c r="BI100" s="1">
        <f t="shared" si="86"/>
        <v>1</v>
      </c>
      <c r="BJ100" s="1">
        <f t="shared" si="86"/>
        <v>0</v>
      </c>
      <c r="BK100" s="1">
        <f t="shared" si="86"/>
        <v>1</v>
      </c>
      <c r="BL100" s="1">
        <f t="shared" si="86"/>
        <v>0</v>
      </c>
      <c r="BM100" s="1">
        <f t="shared" si="86"/>
        <v>0</v>
      </c>
      <c r="BN100" s="1">
        <f t="shared" si="86"/>
        <v>0</v>
      </c>
      <c r="BO100" s="1">
        <f t="shared" si="58"/>
        <v>31</v>
      </c>
      <c r="BP100" s="1">
        <v>23</v>
      </c>
      <c r="BQ100">
        <v>0.5</v>
      </c>
      <c r="BR100">
        <v>0.25</v>
      </c>
      <c r="BS100">
        <v>0.5</v>
      </c>
      <c r="BT100">
        <v>0</v>
      </c>
      <c r="BU100" s="126">
        <f t="shared" si="35"/>
        <v>384.88402112752254</v>
      </c>
      <c r="BV100" s="126">
        <f t="shared" si="36"/>
        <v>0</v>
      </c>
      <c r="BW100" s="126">
        <f t="shared" si="37"/>
        <v>353.8840211275226</v>
      </c>
      <c r="BX100" s="126">
        <f t="shared" si="38"/>
        <v>0</v>
      </c>
      <c r="BY100" s="126">
        <f t="shared" si="39"/>
        <v>322.8840211275226</v>
      </c>
      <c r="BZ100" s="126">
        <f t="shared" si="40"/>
        <v>0</v>
      </c>
      <c r="CA100" s="126">
        <f t="shared" si="41"/>
        <v>291.8840211275226</v>
      </c>
      <c r="CB100" s="126">
        <f t="shared" si="42"/>
        <v>0</v>
      </c>
      <c r="CC100" s="126">
        <f t="shared" si="43"/>
        <v>260.8840211275226</v>
      </c>
      <c r="CD100" s="126">
        <f t="shared" si="44"/>
        <v>0</v>
      </c>
      <c r="CE100" s="126">
        <f t="shared" si="45"/>
        <v>229.88402112752257</v>
      </c>
      <c r="CF100" s="126">
        <f t="shared" si="46"/>
        <v>0</v>
      </c>
      <c r="CG100" s="126">
        <f t="shared" si="47"/>
        <v>198.88402112752257</v>
      </c>
      <c r="CH100" s="126">
        <f t="shared" si="48"/>
        <v>0</v>
      </c>
      <c r="CI100" s="66">
        <f t="shared" si="82"/>
        <v>1260571.2266874847</v>
      </c>
      <c r="CJ100" s="66">
        <f t="shared" si="83"/>
        <v>404549.80290322582</v>
      </c>
      <c r="CK100" s="66">
        <f t="shared" si="84"/>
        <v>1047568.8273524599</v>
      </c>
    </row>
    <row r="101" spans="1:89" x14ac:dyDescent="0.2">
      <c r="A101" s="101">
        <v>44652</v>
      </c>
      <c r="B101" s="1">
        <f t="shared" si="54"/>
        <v>2022</v>
      </c>
      <c r="C101" s="1">
        <f t="shared" si="55"/>
        <v>4</v>
      </c>
      <c r="D101" s="8">
        <v>30207146.300000001</v>
      </c>
      <c r="E101" s="8">
        <f>IFERROR(VLOOKUP($B101-1,CDM!$L$4:$R$15,2,FALSE)/12,0)+IFERROR(VLOOKUP($B101,CDM!$L$33:$O$44,2,FALSE)/24,0)+IFERROR(VLOOKUP($B101,CDM!$L$33:$O$44,2,FALSE)/2*$C101/78,0)</f>
        <v>1605726.4762413439</v>
      </c>
      <c r="F101" s="8">
        <f t="shared" si="50"/>
        <v>31812872.776241343</v>
      </c>
      <c r="G101" s="8">
        <v>43100</v>
      </c>
      <c r="H101" s="8">
        <v>10703165.789999999</v>
      </c>
      <c r="I101" s="8">
        <f>IFERROR(VLOOKUP($B101-1,CDM!$L$4:$R$15,3,FALSE)/12,0)+IFERROR(VLOOKUP($B101,CDM!$L$33:$O$44,3,FALSE)/24,0)+IFERROR(VLOOKUP($B101,CDM!$L$33:$O$44,3,FALSE)/2*$C101/78,0)</f>
        <v>615853.09821493411</v>
      </c>
      <c r="J101" s="8">
        <f t="shared" si="51"/>
        <v>11319018.888214933</v>
      </c>
      <c r="K101" s="8">
        <v>4268</v>
      </c>
      <c r="L101" s="8">
        <v>26440764.897999998</v>
      </c>
      <c r="M101" s="8">
        <f>IFERROR(VLOOKUP($B101-1,CDM!$L$4:$R$15,4,FALSE)/12,0)+IFERROR(VLOOKUP($B101,CDM!$L$33:$O$44,4,FALSE)/24,0)+IFERROR(VLOOKUP($B101,CDM!$L$33:$O$44,4,FALSE)/2*$C101/78,0)</f>
        <v>2128670.5789231327</v>
      </c>
      <c r="N101" s="8">
        <f t="shared" si="52"/>
        <v>28569435.47692313</v>
      </c>
      <c r="O101" s="4">
        <v>62960.66</v>
      </c>
      <c r="P101" s="8">
        <v>488</v>
      </c>
      <c r="Q101" s="8">
        <v>261283.88</v>
      </c>
      <c r="R101" s="420">
        <v>837.67000000000007</v>
      </c>
      <c r="S101" s="8">
        <v>10151</v>
      </c>
      <c r="T101" s="8">
        <v>29490.84</v>
      </c>
      <c r="U101" s="420">
        <v>82.27000000000001</v>
      </c>
      <c r="V101" s="8">
        <v>351</v>
      </c>
      <c r="W101" s="8">
        <v>78430</v>
      </c>
      <c r="X101" s="8">
        <v>263</v>
      </c>
      <c r="Y101" s="8">
        <f>Weather!C101</f>
        <v>520.62291666666658</v>
      </c>
      <c r="Z101" s="8">
        <f>Weather!D101</f>
        <v>0</v>
      </c>
      <c r="AA101" s="8">
        <f>Weather!E101</f>
        <v>460.62291666666664</v>
      </c>
      <c r="AB101" s="8">
        <f>Weather!F101</f>
        <v>0</v>
      </c>
      <c r="AC101" s="8">
        <f>Weather!G101</f>
        <v>400.62291666666658</v>
      </c>
      <c r="AD101" s="8">
        <f>Weather!H101</f>
        <v>0</v>
      </c>
      <c r="AE101" s="8">
        <f>Weather!I101</f>
        <v>340.62291666666658</v>
      </c>
      <c r="AF101" s="8">
        <f>Weather!J101</f>
        <v>0</v>
      </c>
      <c r="AG101" s="8">
        <f>Weather!K101</f>
        <v>280.62291666666664</v>
      </c>
      <c r="AH101" s="8">
        <f>Weather!L101</f>
        <v>0</v>
      </c>
      <c r="AI101" s="8">
        <f>Weather!M101</f>
        <v>221.58125000000004</v>
      </c>
      <c r="AJ101" s="8">
        <f>Weather!N101</f>
        <v>0.95833333333333393</v>
      </c>
      <c r="AK101" s="8">
        <f>Weather!O101</f>
        <v>165.8979166666667</v>
      </c>
      <c r="AL101" s="8">
        <f>Weather!P101</f>
        <v>5.2750000000000004</v>
      </c>
      <c r="AM101" s="2">
        <f>Weather!Q101</f>
        <v>2.6459027777777777</v>
      </c>
      <c r="AN101" s="8">
        <f>Economic!C101</f>
        <v>7736.6</v>
      </c>
      <c r="AO101" s="8">
        <f>Economic!D101</f>
        <v>7670</v>
      </c>
      <c r="AP101" s="8">
        <f>Economic!E101</f>
        <v>85.8</v>
      </c>
      <c r="AQ101" s="8">
        <f>Economic!F101</f>
        <v>85.5</v>
      </c>
      <c r="AR101" s="8">
        <f>Economic!G101</f>
        <v>839497.4</v>
      </c>
      <c r="AS101" s="8">
        <f>Economic!H101</f>
        <v>6860.3</v>
      </c>
      <c r="AT101" s="8">
        <f>Economic!I101</f>
        <v>851621</v>
      </c>
      <c r="AU101" s="8">
        <f>Economic!J101</f>
        <v>6942</v>
      </c>
      <c r="AV101" s="1">
        <f t="shared" si="56"/>
        <v>100</v>
      </c>
      <c r="AW101" s="1">
        <f t="shared" ref="AW101:BN101" si="87">AW89</f>
        <v>0</v>
      </c>
      <c r="AX101" s="1">
        <f t="shared" si="87"/>
        <v>0</v>
      </c>
      <c r="AY101" s="1">
        <f t="shared" si="87"/>
        <v>0</v>
      </c>
      <c r="AZ101" s="1">
        <f t="shared" si="87"/>
        <v>1</v>
      </c>
      <c r="BA101" s="1">
        <f t="shared" si="87"/>
        <v>0</v>
      </c>
      <c r="BB101" s="1">
        <f t="shared" si="87"/>
        <v>0</v>
      </c>
      <c r="BC101" s="1">
        <f t="shared" si="87"/>
        <v>0</v>
      </c>
      <c r="BD101" s="1">
        <f t="shared" si="87"/>
        <v>0</v>
      </c>
      <c r="BE101" s="1">
        <f t="shared" si="87"/>
        <v>0</v>
      </c>
      <c r="BF101" s="1">
        <f t="shared" si="87"/>
        <v>0</v>
      </c>
      <c r="BG101" s="1">
        <f t="shared" si="87"/>
        <v>0</v>
      </c>
      <c r="BH101" s="1">
        <f t="shared" si="87"/>
        <v>0</v>
      </c>
      <c r="BI101" s="1">
        <f t="shared" si="87"/>
        <v>1</v>
      </c>
      <c r="BJ101" s="1">
        <f t="shared" si="87"/>
        <v>0</v>
      </c>
      <c r="BK101" s="1">
        <f t="shared" si="87"/>
        <v>1</v>
      </c>
      <c r="BL101" s="1">
        <f t="shared" si="87"/>
        <v>1</v>
      </c>
      <c r="BM101" s="1">
        <f t="shared" si="87"/>
        <v>0</v>
      </c>
      <c r="BN101" s="1">
        <f t="shared" si="87"/>
        <v>1</v>
      </c>
      <c r="BO101" s="1">
        <f t="shared" si="58"/>
        <v>30</v>
      </c>
      <c r="BP101" s="1">
        <v>20</v>
      </c>
      <c r="BQ101">
        <v>0.5</v>
      </c>
      <c r="BR101">
        <v>0.25</v>
      </c>
      <c r="BS101">
        <v>0.5</v>
      </c>
      <c r="BT101">
        <v>0</v>
      </c>
      <c r="BU101" s="126">
        <f t="shared" si="35"/>
        <v>260.31145833333329</v>
      </c>
      <c r="BV101" s="126">
        <f t="shared" si="36"/>
        <v>0</v>
      </c>
      <c r="BW101" s="126">
        <f t="shared" si="37"/>
        <v>230.31145833333332</v>
      </c>
      <c r="BX101" s="126">
        <f t="shared" si="38"/>
        <v>0</v>
      </c>
      <c r="BY101" s="126">
        <f t="shared" si="39"/>
        <v>200.31145833333329</v>
      </c>
      <c r="BZ101" s="126">
        <f t="shared" si="40"/>
        <v>0</v>
      </c>
      <c r="CA101" s="126">
        <f t="shared" si="41"/>
        <v>170.31145833333329</v>
      </c>
      <c r="CB101" s="126">
        <f t="shared" si="42"/>
        <v>0</v>
      </c>
      <c r="CC101" s="126">
        <f t="shared" si="43"/>
        <v>140.31145833333332</v>
      </c>
      <c r="CD101" s="126">
        <f t="shared" si="44"/>
        <v>0</v>
      </c>
      <c r="CE101" s="126">
        <f t="shared" si="45"/>
        <v>110.79062500000002</v>
      </c>
      <c r="CF101" s="126">
        <f t="shared" si="46"/>
        <v>0.47916666666666696</v>
      </c>
      <c r="CG101" s="126">
        <f t="shared" si="47"/>
        <v>82.948958333333351</v>
      </c>
      <c r="CH101" s="126">
        <f t="shared" si="48"/>
        <v>2.6375000000000002</v>
      </c>
      <c r="CI101" s="66">
        <f t="shared" si="82"/>
        <v>1060429.0925413782</v>
      </c>
      <c r="CJ101" s="66">
        <f t="shared" si="83"/>
        <v>356772.19299999997</v>
      </c>
      <c r="CK101" s="66">
        <f t="shared" si="84"/>
        <v>952314.5158974377</v>
      </c>
    </row>
    <row r="102" spans="1:89" x14ac:dyDescent="0.2">
      <c r="A102" s="101">
        <v>44682</v>
      </c>
      <c r="B102" s="1">
        <f t="shared" si="54"/>
        <v>2022</v>
      </c>
      <c r="C102" s="1">
        <f t="shared" si="55"/>
        <v>5</v>
      </c>
      <c r="D102" s="8">
        <v>25720908.100000001</v>
      </c>
      <c r="E102" s="8">
        <f>IFERROR(VLOOKUP($B102-1,CDM!$L$4:$R$15,2,FALSE)/12,0)+IFERROR(VLOOKUP($B102,CDM!$L$33:$O$44,2,FALSE)/24,0)+IFERROR(VLOOKUP($B102,CDM!$L$33:$O$44,2,FALSE)/2*$C102/78,0)</f>
        <v>1605803.3551706655</v>
      </c>
      <c r="F102" s="8">
        <f t="shared" si="50"/>
        <v>27326711.455170669</v>
      </c>
      <c r="G102" s="8">
        <v>43113</v>
      </c>
      <c r="H102" s="8">
        <v>9998782.1300000008</v>
      </c>
      <c r="I102" s="8">
        <f>IFERROR(VLOOKUP($B102-1,CDM!$L$4:$R$15,3,FALSE)/12,0)+IFERROR(VLOOKUP($B102,CDM!$L$33:$O$44,3,FALSE)/24,0)+IFERROR(VLOOKUP($B102,CDM!$L$33:$O$44,3,FALSE)/2*$C102/78,0)</f>
        <v>619050.19564561371</v>
      </c>
      <c r="J102" s="8">
        <f t="shared" si="51"/>
        <v>10617832.325645614</v>
      </c>
      <c r="K102" s="8">
        <v>4268</v>
      </c>
      <c r="L102" s="8">
        <v>26555438.565000001</v>
      </c>
      <c r="M102" s="8">
        <f>IFERROR(VLOOKUP($B102-1,CDM!$L$4:$R$15,4,FALSE)/12,0)+IFERROR(VLOOKUP($B102,CDM!$L$33:$O$44,4,FALSE)/24,0)+IFERROR(VLOOKUP($B102,CDM!$L$33:$O$44,4,FALSE)/2*$C102/78,0)</f>
        <v>2138781.2919200119</v>
      </c>
      <c r="N102" s="8">
        <f t="shared" si="52"/>
        <v>28694219.856920011</v>
      </c>
      <c r="O102" s="4">
        <v>68626.81</v>
      </c>
      <c r="P102" s="8">
        <v>488</v>
      </c>
      <c r="Q102" s="8">
        <v>233073.29</v>
      </c>
      <c r="R102" s="420">
        <v>837.89</v>
      </c>
      <c r="S102" s="8">
        <v>10154</v>
      </c>
      <c r="T102" s="8">
        <v>29737.31</v>
      </c>
      <c r="U102" s="420">
        <v>80.55</v>
      </c>
      <c r="V102" s="8">
        <v>351</v>
      </c>
      <c r="W102" s="8">
        <v>81012</v>
      </c>
      <c r="X102" s="8">
        <v>263</v>
      </c>
      <c r="Y102" s="8">
        <f>Weather!C102</f>
        <v>203.87429225504519</v>
      </c>
      <c r="Z102" s="8">
        <f>Weather!D102</f>
        <v>5.7416666666666671</v>
      </c>
      <c r="AA102" s="8">
        <f>Weather!E102</f>
        <v>154.68262558837847</v>
      </c>
      <c r="AB102" s="8">
        <f>Weather!F102</f>
        <v>18.550000000000004</v>
      </c>
      <c r="AC102" s="8">
        <f>Weather!G102</f>
        <v>108.21179225504518</v>
      </c>
      <c r="AD102" s="8">
        <f>Weather!H102</f>
        <v>34.079166666666666</v>
      </c>
      <c r="AE102" s="8">
        <f>Weather!I102</f>
        <v>68.470125588378522</v>
      </c>
      <c r="AF102" s="8">
        <f>Weather!J102</f>
        <v>56.33750000000002</v>
      </c>
      <c r="AG102" s="8">
        <f>Weather!K102</f>
        <v>38.105542255045179</v>
      </c>
      <c r="AH102" s="8">
        <f>Weather!L102</f>
        <v>87.972916666666691</v>
      </c>
      <c r="AI102" s="8">
        <f>Weather!M102</f>
        <v>14.455542255045183</v>
      </c>
      <c r="AJ102" s="8">
        <f>Weather!N102</f>
        <v>126.32291666666669</v>
      </c>
      <c r="AK102" s="8">
        <f>Weather!O102</f>
        <v>1.2250000000000014</v>
      </c>
      <c r="AL102" s="8">
        <f>Weather!P102</f>
        <v>175.09237441162151</v>
      </c>
      <c r="AM102" s="2">
        <f>Weather!Q102</f>
        <v>13.60862498102005</v>
      </c>
      <c r="AN102" s="8">
        <f>Economic!C102</f>
        <v>7753.3</v>
      </c>
      <c r="AO102" s="8">
        <f>Economic!D102</f>
        <v>7738.6</v>
      </c>
      <c r="AP102" s="8">
        <f>Economic!E102</f>
        <v>85.4</v>
      </c>
      <c r="AQ102" s="8">
        <f>Economic!F102</f>
        <v>85.6</v>
      </c>
      <c r="AR102" s="8">
        <f>Economic!G102</f>
        <v>839497.4</v>
      </c>
      <c r="AS102" s="8">
        <f>Economic!H102</f>
        <v>6860.3</v>
      </c>
      <c r="AT102" s="8">
        <f>Economic!I102</f>
        <v>851621</v>
      </c>
      <c r="AU102" s="8">
        <f>Economic!J102</f>
        <v>6942</v>
      </c>
      <c r="AV102" s="1">
        <f t="shared" si="56"/>
        <v>101</v>
      </c>
      <c r="AW102" s="1">
        <f t="shared" ref="AW102:BN102" si="88">AW90</f>
        <v>0</v>
      </c>
      <c r="AX102" s="1">
        <f t="shared" si="88"/>
        <v>0</v>
      </c>
      <c r="AY102" s="1">
        <f t="shared" si="88"/>
        <v>0</v>
      </c>
      <c r="AZ102" s="1">
        <f t="shared" si="88"/>
        <v>0</v>
      </c>
      <c r="BA102" s="1">
        <f t="shared" si="88"/>
        <v>1</v>
      </c>
      <c r="BB102" s="1">
        <f t="shared" si="88"/>
        <v>0</v>
      </c>
      <c r="BC102" s="1">
        <f t="shared" si="88"/>
        <v>0</v>
      </c>
      <c r="BD102" s="1">
        <f t="shared" si="88"/>
        <v>0</v>
      </c>
      <c r="BE102" s="1">
        <f t="shared" si="88"/>
        <v>0</v>
      </c>
      <c r="BF102" s="1">
        <f t="shared" si="88"/>
        <v>0</v>
      </c>
      <c r="BG102" s="1">
        <f t="shared" si="88"/>
        <v>0</v>
      </c>
      <c r="BH102" s="1">
        <f t="shared" si="88"/>
        <v>0</v>
      </c>
      <c r="BI102" s="1">
        <f t="shared" si="88"/>
        <v>1</v>
      </c>
      <c r="BJ102" s="1">
        <f t="shared" si="88"/>
        <v>0</v>
      </c>
      <c r="BK102" s="1">
        <f t="shared" si="88"/>
        <v>1</v>
      </c>
      <c r="BL102" s="1">
        <f t="shared" si="88"/>
        <v>1</v>
      </c>
      <c r="BM102" s="1">
        <f t="shared" si="88"/>
        <v>0</v>
      </c>
      <c r="BN102" s="1">
        <f t="shared" si="88"/>
        <v>1</v>
      </c>
      <c r="BO102" s="1">
        <f t="shared" si="58"/>
        <v>31</v>
      </c>
      <c r="BP102" s="1">
        <v>21</v>
      </c>
      <c r="BQ102">
        <v>0.5</v>
      </c>
      <c r="BR102">
        <v>0.25</v>
      </c>
      <c r="BS102">
        <v>0.5</v>
      </c>
      <c r="BT102">
        <v>0</v>
      </c>
      <c r="BU102" s="126">
        <f t="shared" si="35"/>
        <v>101.9371461275226</v>
      </c>
      <c r="BV102" s="126">
        <f t="shared" si="36"/>
        <v>2.8708333333333336</v>
      </c>
      <c r="BW102" s="126">
        <f t="shared" si="37"/>
        <v>77.341312794189236</v>
      </c>
      <c r="BX102" s="126">
        <f t="shared" si="38"/>
        <v>9.2750000000000021</v>
      </c>
      <c r="BY102" s="126">
        <f t="shared" si="39"/>
        <v>54.105896127522591</v>
      </c>
      <c r="BZ102" s="126">
        <f t="shared" si="40"/>
        <v>17.039583333333333</v>
      </c>
      <c r="CA102" s="126">
        <f t="shared" si="41"/>
        <v>34.235062794189261</v>
      </c>
      <c r="CB102" s="126">
        <f t="shared" si="42"/>
        <v>28.16875000000001</v>
      </c>
      <c r="CC102" s="126">
        <f t="shared" si="43"/>
        <v>19.05277112752259</v>
      </c>
      <c r="CD102" s="126">
        <f t="shared" si="44"/>
        <v>43.986458333333346</v>
      </c>
      <c r="CE102" s="126">
        <f t="shared" si="45"/>
        <v>7.2277711275225913</v>
      </c>
      <c r="CF102" s="126">
        <f t="shared" si="46"/>
        <v>63.161458333333343</v>
      </c>
      <c r="CG102" s="126">
        <f t="shared" si="47"/>
        <v>0.61250000000000071</v>
      </c>
      <c r="CH102" s="126">
        <f t="shared" si="48"/>
        <v>87.546187205810753</v>
      </c>
      <c r="CI102" s="66">
        <f t="shared" si="82"/>
        <v>881506.82113453769</v>
      </c>
      <c r="CJ102" s="66">
        <f t="shared" si="83"/>
        <v>322541.3590322581</v>
      </c>
      <c r="CK102" s="66">
        <f t="shared" si="84"/>
        <v>925619.99538451654</v>
      </c>
    </row>
    <row r="103" spans="1:89" x14ac:dyDescent="0.2">
      <c r="A103" s="101">
        <v>44713</v>
      </c>
      <c r="B103" s="1">
        <f t="shared" si="54"/>
        <v>2022</v>
      </c>
      <c r="C103" s="1">
        <f t="shared" si="55"/>
        <v>6</v>
      </c>
      <c r="D103" s="8">
        <v>25055726.030000001</v>
      </c>
      <c r="E103" s="8">
        <f>IFERROR(VLOOKUP($B103-1,CDM!$L$4:$R$15,2,FALSE)/12,0)+IFERROR(VLOOKUP($B103,CDM!$L$33:$O$44,2,FALSE)/24,0)+IFERROR(VLOOKUP($B103,CDM!$L$33:$O$44,2,FALSE)/2*$C103/78,0)</f>
        <v>1605880.2340999872</v>
      </c>
      <c r="F103" s="8">
        <f t="shared" si="50"/>
        <v>26661606.264099989</v>
      </c>
      <c r="G103" s="8">
        <v>43119</v>
      </c>
      <c r="H103" s="8">
        <v>9707584.7599999998</v>
      </c>
      <c r="I103" s="8">
        <f>IFERROR(VLOOKUP($B103-1,CDM!$L$4:$R$15,3,FALSE)/12,0)+IFERROR(VLOOKUP($B103,CDM!$L$33:$O$44,3,FALSE)/24,0)+IFERROR(VLOOKUP($B103,CDM!$L$33:$O$44,3,FALSE)/2*$C103/78,0)</f>
        <v>622247.29307629319</v>
      </c>
      <c r="J103" s="8">
        <f t="shared" si="51"/>
        <v>10329832.053076293</v>
      </c>
      <c r="K103" s="8">
        <v>4267</v>
      </c>
      <c r="L103" s="8">
        <v>24741230.73</v>
      </c>
      <c r="M103" s="8">
        <f>IFERROR(VLOOKUP($B103-1,CDM!$L$4:$R$15,4,FALSE)/12,0)+IFERROR(VLOOKUP($B103,CDM!$L$33:$O$44,4,FALSE)/24,0)+IFERROR(VLOOKUP($B103,CDM!$L$33:$O$44,4,FALSE)/2*$C103/78,0)</f>
        <v>2148892.0049168905</v>
      </c>
      <c r="N103" s="8">
        <f t="shared" si="52"/>
        <v>26890122.734916892</v>
      </c>
      <c r="O103" s="4">
        <v>64941.460000000014</v>
      </c>
      <c r="P103" s="8">
        <v>487</v>
      </c>
      <c r="Q103" s="8">
        <v>207087.24</v>
      </c>
      <c r="R103" s="420">
        <v>837.9</v>
      </c>
      <c r="S103" s="8">
        <v>10158</v>
      </c>
      <c r="T103" s="8">
        <v>28778.04</v>
      </c>
      <c r="U103" s="420">
        <v>80.390000000000015</v>
      </c>
      <c r="V103" s="8">
        <v>351</v>
      </c>
      <c r="W103" s="8">
        <v>78430</v>
      </c>
      <c r="X103" s="8">
        <v>263</v>
      </c>
      <c r="Y103" s="8">
        <f>Weather!C103</f>
        <v>121.22500000000002</v>
      </c>
      <c r="Z103" s="8">
        <f>Weather!D103</f>
        <v>7.6208333333333336</v>
      </c>
      <c r="AA103" s="8">
        <f>Weather!E103</f>
        <v>78.029166666666669</v>
      </c>
      <c r="AB103" s="8">
        <f>Weather!F103</f>
        <v>24.42499999999999</v>
      </c>
      <c r="AC103" s="8">
        <f>Weather!G103</f>
        <v>38.033333333333331</v>
      </c>
      <c r="AD103" s="8">
        <f>Weather!H103</f>
        <v>44.42916666666666</v>
      </c>
      <c r="AE103" s="8">
        <f>Weather!I103</f>
        <v>8.7416666666666689</v>
      </c>
      <c r="AF103" s="8">
        <f>Weather!J103</f>
        <v>75.137499999999989</v>
      </c>
      <c r="AG103" s="8">
        <f>Weather!K103</f>
        <v>0.94999999999999929</v>
      </c>
      <c r="AH103" s="8">
        <f>Weather!L103</f>
        <v>127.3458333333333</v>
      </c>
      <c r="AI103" s="8">
        <f>Weather!M103</f>
        <v>0</v>
      </c>
      <c r="AJ103" s="8">
        <f>Weather!N103</f>
        <v>186.39583333333334</v>
      </c>
      <c r="AK103" s="8">
        <f>Weather!O103</f>
        <v>0</v>
      </c>
      <c r="AL103" s="8">
        <f>Weather!P103</f>
        <v>246.39583333333334</v>
      </c>
      <c r="AM103" s="2">
        <f>Weather!Q103</f>
        <v>16.213194444444444</v>
      </c>
      <c r="AN103" s="8">
        <f>Economic!C103</f>
        <v>7754.8</v>
      </c>
      <c r="AO103" s="8">
        <f>Economic!D103</f>
        <v>7809.2</v>
      </c>
      <c r="AP103" s="8">
        <f>Economic!E103</f>
        <v>85.9</v>
      </c>
      <c r="AQ103" s="8">
        <f>Economic!F103</f>
        <v>86.7</v>
      </c>
      <c r="AR103" s="8">
        <f>Economic!G103</f>
        <v>839497.4</v>
      </c>
      <c r="AS103" s="8">
        <f>Economic!H103</f>
        <v>6860.3</v>
      </c>
      <c r="AT103" s="8">
        <f>Economic!I103</f>
        <v>851621</v>
      </c>
      <c r="AU103" s="8">
        <f>Economic!J103</f>
        <v>6942</v>
      </c>
      <c r="AV103" s="1">
        <f t="shared" si="56"/>
        <v>102</v>
      </c>
      <c r="AW103" s="1">
        <f t="shared" ref="AW103:BN103" si="89">AW91</f>
        <v>0</v>
      </c>
      <c r="AX103" s="1">
        <f t="shared" si="89"/>
        <v>0</v>
      </c>
      <c r="AY103" s="1">
        <f t="shared" si="89"/>
        <v>0</v>
      </c>
      <c r="AZ103" s="1">
        <f t="shared" si="89"/>
        <v>0</v>
      </c>
      <c r="BA103" s="1">
        <f t="shared" si="89"/>
        <v>0</v>
      </c>
      <c r="BB103" s="1">
        <f t="shared" si="89"/>
        <v>1</v>
      </c>
      <c r="BC103" s="1">
        <f t="shared" si="89"/>
        <v>0</v>
      </c>
      <c r="BD103" s="1">
        <f t="shared" si="89"/>
        <v>0</v>
      </c>
      <c r="BE103" s="1">
        <f t="shared" si="89"/>
        <v>0</v>
      </c>
      <c r="BF103" s="1">
        <f t="shared" si="89"/>
        <v>0</v>
      </c>
      <c r="BG103" s="1">
        <f t="shared" si="89"/>
        <v>0</v>
      </c>
      <c r="BH103" s="1">
        <f t="shared" si="89"/>
        <v>0</v>
      </c>
      <c r="BI103" s="1">
        <f t="shared" si="89"/>
        <v>0</v>
      </c>
      <c r="BJ103" s="1">
        <f t="shared" si="89"/>
        <v>0</v>
      </c>
      <c r="BK103" s="1">
        <f t="shared" si="89"/>
        <v>0</v>
      </c>
      <c r="BL103" s="1">
        <f t="shared" si="89"/>
        <v>0</v>
      </c>
      <c r="BM103" s="1">
        <f t="shared" si="89"/>
        <v>0</v>
      </c>
      <c r="BN103" s="1">
        <f t="shared" si="89"/>
        <v>0</v>
      </c>
      <c r="BO103" s="1">
        <f t="shared" si="58"/>
        <v>30</v>
      </c>
      <c r="BP103" s="1">
        <v>22</v>
      </c>
      <c r="BQ103">
        <v>0.5</v>
      </c>
      <c r="BR103">
        <v>0.25</v>
      </c>
      <c r="BS103">
        <v>0.5</v>
      </c>
      <c r="BT103">
        <v>0</v>
      </c>
      <c r="BU103" s="126">
        <f t="shared" si="35"/>
        <v>60.612500000000011</v>
      </c>
      <c r="BV103" s="126">
        <f t="shared" si="36"/>
        <v>3.8104166666666668</v>
      </c>
      <c r="BW103" s="126">
        <f t="shared" si="37"/>
        <v>39.014583333333334</v>
      </c>
      <c r="BX103" s="126">
        <f t="shared" si="38"/>
        <v>12.212499999999995</v>
      </c>
      <c r="BY103" s="126">
        <f t="shared" si="39"/>
        <v>19.016666666666666</v>
      </c>
      <c r="BZ103" s="126">
        <f t="shared" si="40"/>
        <v>22.21458333333333</v>
      </c>
      <c r="CA103" s="126">
        <f t="shared" si="41"/>
        <v>4.3708333333333345</v>
      </c>
      <c r="CB103" s="126">
        <f t="shared" si="42"/>
        <v>37.568749999999994</v>
      </c>
      <c r="CC103" s="126">
        <f t="shared" si="43"/>
        <v>0.47499999999999964</v>
      </c>
      <c r="CD103" s="126">
        <f t="shared" si="44"/>
        <v>63.672916666666652</v>
      </c>
      <c r="CE103" s="126">
        <f t="shared" si="45"/>
        <v>0</v>
      </c>
      <c r="CF103" s="126">
        <f t="shared" si="46"/>
        <v>93.197916666666671</v>
      </c>
      <c r="CG103" s="126">
        <f t="shared" si="47"/>
        <v>0</v>
      </c>
      <c r="CH103" s="126">
        <f t="shared" si="48"/>
        <v>123.19791666666667</v>
      </c>
      <c r="CI103" s="66">
        <f t="shared" si="82"/>
        <v>888720.20880333299</v>
      </c>
      <c r="CJ103" s="66">
        <f t="shared" si="83"/>
        <v>323586.15866666666</v>
      </c>
      <c r="CK103" s="66">
        <f t="shared" si="84"/>
        <v>896337.42449722975</v>
      </c>
    </row>
    <row r="104" spans="1:89" x14ac:dyDescent="0.2">
      <c r="A104" s="101">
        <v>44743</v>
      </c>
      <c r="B104" s="1">
        <f t="shared" si="54"/>
        <v>2022</v>
      </c>
      <c r="C104" s="1">
        <f t="shared" si="55"/>
        <v>7</v>
      </c>
      <c r="D104" s="8">
        <v>27864227.27</v>
      </c>
      <c r="E104" s="8">
        <f>IFERROR(VLOOKUP($B104-1,CDM!$L$4:$R$15,2,FALSE)/12,0)+IFERROR(VLOOKUP($B104,CDM!$L$33:$O$44,2,FALSE)/24,0)+IFERROR(VLOOKUP($B104,CDM!$L$33:$O$44,2,FALSE)/2*$C104/78,0)</f>
        <v>1605957.1130293086</v>
      </c>
      <c r="F104" s="8">
        <f t="shared" si="50"/>
        <v>29470184.383029308</v>
      </c>
      <c r="G104" s="8">
        <v>43127</v>
      </c>
      <c r="H104" s="8">
        <v>10430963.25</v>
      </c>
      <c r="I104" s="8">
        <f>IFERROR(VLOOKUP($B104-1,CDM!$L$4:$R$15,3,FALSE)/12,0)+IFERROR(VLOOKUP($B104,CDM!$L$33:$O$44,3,FALSE)/24,0)+IFERROR(VLOOKUP($B104,CDM!$L$33:$O$44,3,FALSE)/2*$C104/78,0)</f>
        <v>625444.39050697268</v>
      </c>
      <c r="J104" s="8">
        <f t="shared" si="51"/>
        <v>11056407.640506973</v>
      </c>
      <c r="K104" s="8">
        <v>4271</v>
      </c>
      <c r="L104" s="8">
        <v>26168080.018000003</v>
      </c>
      <c r="M104" s="8">
        <f>IFERROR(VLOOKUP($B104-1,CDM!$L$4:$R$15,4,FALSE)/12,0)+IFERROR(VLOOKUP($B104,CDM!$L$33:$O$44,4,FALSE)/24,0)+IFERROR(VLOOKUP($B104,CDM!$L$33:$O$44,4,FALSE)/2*$C104/78,0)</f>
        <v>2159002.7179137692</v>
      </c>
      <c r="N104" s="8">
        <f t="shared" si="52"/>
        <v>28327082.735913772</v>
      </c>
      <c r="O104" s="4">
        <v>65285.719999999987</v>
      </c>
      <c r="P104" s="8">
        <v>486</v>
      </c>
      <c r="Q104" s="8">
        <v>223544.98</v>
      </c>
      <c r="R104" s="420">
        <v>836.99</v>
      </c>
      <c r="S104" s="8">
        <v>10158</v>
      </c>
      <c r="T104" s="8">
        <v>29737.31</v>
      </c>
      <c r="U104" s="420">
        <v>80.349999999999994</v>
      </c>
      <c r="V104" s="8">
        <v>351</v>
      </c>
      <c r="W104" s="8">
        <v>81012</v>
      </c>
      <c r="X104" s="8">
        <v>263</v>
      </c>
      <c r="Y104" s="8">
        <f>Weather!C104</f>
        <v>54.837500000000006</v>
      </c>
      <c r="Z104" s="8">
        <f>Weather!D104</f>
        <v>14.802083333333321</v>
      </c>
      <c r="AA104" s="8">
        <f>Weather!E104</f>
        <v>18.5</v>
      </c>
      <c r="AB104" s="8">
        <f>Weather!F104</f>
        <v>40.464583333333323</v>
      </c>
      <c r="AC104" s="8">
        <f>Weather!G104</f>
        <v>1.2750000000000021</v>
      </c>
      <c r="AD104" s="8">
        <f>Weather!H104</f>
        <v>85.239583333333329</v>
      </c>
      <c r="AE104" s="8">
        <f>Weather!I104</f>
        <v>0</v>
      </c>
      <c r="AF104" s="8">
        <f>Weather!J104</f>
        <v>145.96458333333331</v>
      </c>
      <c r="AG104" s="8">
        <f>Weather!K104</f>
        <v>0</v>
      </c>
      <c r="AH104" s="8">
        <f>Weather!L104</f>
        <v>207.96458333333331</v>
      </c>
      <c r="AI104" s="8">
        <f>Weather!M104</f>
        <v>0</v>
      </c>
      <c r="AJ104" s="8">
        <f>Weather!N104</f>
        <v>269.96458333333334</v>
      </c>
      <c r="AK104" s="8">
        <f>Weather!O104</f>
        <v>0</v>
      </c>
      <c r="AL104" s="8">
        <f>Weather!P104</f>
        <v>331.96458333333328</v>
      </c>
      <c r="AM104" s="2">
        <f>Weather!Q104</f>
        <v>18.708534946236565</v>
      </c>
      <c r="AN104" s="8">
        <f>Economic!C104</f>
        <v>7754.8</v>
      </c>
      <c r="AO104" s="8">
        <f>Economic!D104</f>
        <v>7843.6</v>
      </c>
      <c r="AP104" s="8">
        <f>Economic!E104</f>
        <v>85.5</v>
      </c>
      <c r="AQ104" s="8">
        <f>Economic!F104</f>
        <v>86.4</v>
      </c>
      <c r="AR104" s="8">
        <f>Economic!G104</f>
        <v>839497.4</v>
      </c>
      <c r="AS104" s="8">
        <f>Economic!H104</f>
        <v>6860.3</v>
      </c>
      <c r="AT104" s="8">
        <f>Economic!I104</f>
        <v>852979</v>
      </c>
      <c r="AU104" s="8">
        <f>Economic!J104</f>
        <v>7373</v>
      </c>
      <c r="AV104" s="1">
        <f t="shared" si="56"/>
        <v>103</v>
      </c>
      <c r="AW104" s="1">
        <f t="shared" ref="AW104:BN104" si="90">AW92</f>
        <v>0</v>
      </c>
      <c r="AX104" s="1">
        <f t="shared" si="90"/>
        <v>0</v>
      </c>
      <c r="AY104" s="1">
        <f t="shared" si="90"/>
        <v>0</v>
      </c>
      <c r="AZ104" s="1">
        <f t="shared" si="90"/>
        <v>0</v>
      </c>
      <c r="BA104" s="1">
        <f t="shared" si="90"/>
        <v>0</v>
      </c>
      <c r="BB104" s="1">
        <f t="shared" si="90"/>
        <v>0</v>
      </c>
      <c r="BC104" s="1">
        <f t="shared" si="90"/>
        <v>1</v>
      </c>
      <c r="BD104" s="1">
        <f t="shared" si="90"/>
        <v>0</v>
      </c>
      <c r="BE104" s="1">
        <f t="shared" si="90"/>
        <v>0</v>
      </c>
      <c r="BF104" s="1">
        <f t="shared" si="90"/>
        <v>0</v>
      </c>
      <c r="BG104" s="1">
        <f t="shared" si="90"/>
        <v>0</v>
      </c>
      <c r="BH104" s="1">
        <f t="shared" si="90"/>
        <v>0</v>
      </c>
      <c r="BI104" s="1">
        <f t="shared" si="90"/>
        <v>0</v>
      </c>
      <c r="BJ104" s="1">
        <f t="shared" si="90"/>
        <v>0</v>
      </c>
      <c r="BK104" s="1">
        <f t="shared" si="90"/>
        <v>0</v>
      </c>
      <c r="BL104" s="1">
        <f t="shared" si="90"/>
        <v>0</v>
      </c>
      <c r="BM104" s="1">
        <f t="shared" si="90"/>
        <v>0</v>
      </c>
      <c r="BN104" s="1">
        <f t="shared" si="90"/>
        <v>0</v>
      </c>
      <c r="BO104" s="1">
        <f t="shared" si="58"/>
        <v>31</v>
      </c>
      <c r="BP104" s="1">
        <v>20</v>
      </c>
      <c r="BQ104">
        <v>0.5</v>
      </c>
      <c r="BR104">
        <v>0.25</v>
      </c>
      <c r="BS104">
        <v>0.5</v>
      </c>
      <c r="BT104">
        <v>0</v>
      </c>
      <c r="BU104" s="126">
        <f t="shared" si="35"/>
        <v>27.418750000000003</v>
      </c>
      <c r="BV104" s="126">
        <f t="shared" si="36"/>
        <v>7.4010416666666607</v>
      </c>
      <c r="BW104" s="126">
        <f t="shared" si="37"/>
        <v>9.25</v>
      </c>
      <c r="BX104" s="126">
        <f t="shared" si="38"/>
        <v>20.232291666666661</v>
      </c>
      <c r="BY104" s="126">
        <f t="shared" si="39"/>
        <v>0.63750000000000107</v>
      </c>
      <c r="BZ104" s="126">
        <f t="shared" si="40"/>
        <v>42.619791666666664</v>
      </c>
      <c r="CA104" s="126">
        <f t="shared" si="41"/>
        <v>0</v>
      </c>
      <c r="CB104" s="126">
        <f t="shared" si="42"/>
        <v>72.982291666666654</v>
      </c>
      <c r="CC104" s="126">
        <f t="shared" si="43"/>
        <v>0</v>
      </c>
      <c r="CD104" s="126">
        <f t="shared" si="44"/>
        <v>103.98229166666665</v>
      </c>
      <c r="CE104" s="126">
        <f t="shared" si="45"/>
        <v>0</v>
      </c>
      <c r="CF104" s="126">
        <f t="shared" si="46"/>
        <v>134.98229166666667</v>
      </c>
      <c r="CG104" s="126">
        <f t="shared" si="47"/>
        <v>0</v>
      </c>
      <c r="CH104" s="126">
        <f t="shared" si="48"/>
        <v>165.98229166666664</v>
      </c>
      <c r="CI104" s="66">
        <f t="shared" si="82"/>
        <v>950651.10912997765</v>
      </c>
      <c r="CJ104" s="66">
        <f t="shared" si="83"/>
        <v>336482.68548387097</v>
      </c>
      <c r="CK104" s="66">
        <f t="shared" si="84"/>
        <v>913776.86244883132</v>
      </c>
    </row>
    <row r="105" spans="1:89" x14ac:dyDescent="0.2">
      <c r="A105" s="101">
        <v>44774</v>
      </c>
      <c r="B105" s="1">
        <f t="shared" si="54"/>
        <v>2022</v>
      </c>
      <c r="C105" s="1">
        <f t="shared" si="55"/>
        <v>8</v>
      </c>
      <c r="D105" s="8">
        <v>27579285.030000001</v>
      </c>
      <c r="E105" s="8">
        <f>IFERROR(VLOOKUP($B105-1,CDM!$L$4:$R$15,2,FALSE)/12,0)+IFERROR(VLOOKUP($B105,CDM!$L$33:$O$44,2,FALSE)/24,0)+IFERROR(VLOOKUP($B105,CDM!$L$33:$O$44,2,FALSE)/2*$C105/78,0)</f>
        <v>1606033.9919586303</v>
      </c>
      <c r="F105" s="8">
        <f t="shared" si="50"/>
        <v>29185319.021958631</v>
      </c>
      <c r="G105" s="8">
        <v>43139</v>
      </c>
      <c r="H105" s="8">
        <v>10351871.310000001</v>
      </c>
      <c r="I105" s="8">
        <f>IFERROR(VLOOKUP($B105-1,CDM!$L$4:$R$15,3,FALSE)/12,0)+IFERROR(VLOOKUP($B105,CDM!$L$33:$O$44,3,FALSE)/24,0)+IFERROR(VLOOKUP($B105,CDM!$L$33:$O$44,3,FALSE)/2*$C105/78,0)</f>
        <v>628641.48793765216</v>
      </c>
      <c r="J105" s="8">
        <f t="shared" si="51"/>
        <v>10980512.797937652</v>
      </c>
      <c r="K105" s="8">
        <v>4272</v>
      </c>
      <c r="L105" s="8">
        <v>26363987.006999999</v>
      </c>
      <c r="M105" s="8">
        <f>IFERROR(VLOOKUP($B105-1,CDM!$L$4:$R$15,4,FALSE)/12,0)+IFERROR(VLOOKUP($B105,CDM!$L$33:$O$44,4,FALSE)/24,0)+IFERROR(VLOOKUP($B105,CDM!$L$33:$O$44,4,FALSE)/2*$C105/78,0)</f>
        <v>2169113.4309106483</v>
      </c>
      <c r="N105" s="8">
        <f t="shared" si="52"/>
        <v>28533100.437910646</v>
      </c>
      <c r="O105" s="4">
        <v>64761.279999999992</v>
      </c>
      <c r="P105" s="8">
        <v>486</v>
      </c>
      <c r="Q105" s="8">
        <v>256313.07</v>
      </c>
      <c r="R105" s="420">
        <v>836.99</v>
      </c>
      <c r="S105" s="8">
        <v>10158</v>
      </c>
      <c r="T105" s="8">
        <v>29554.31</v>
      </c>
      <c r="U105" s="420">
        <v>79.88</v>
      </c>
      <c r="V105" s="8">
        <v>351</v>
      </c>
      <c r="W105" s="8">
        <v>81012</v>
      </c>
      <c r="X105" s="8">
        <v>263</v>
      </c>
      <c r="Y105" s="8">
        <f>Weather!C105</f>
        <v>57.940958921711875</v>
      </c>
      <c r="Z105" s="8">
        <f>Weather!D105</f>
        <v>7.743749999999995</v>
      </c>
      <c r="AA105" s="8">
        <f>Weather!E105</f>
        <v>24.468042255045177</v>
      </c>
      <c r="AB105" s="8">
        <f>Weather!F105</f>
        <v>36.270833333333314</v>
      </c>
      <c r="AC105" s="8">
        <f>Weather!G105</f>
        <v>7.0222089217118455</v>
      </c>
      <c r="AD105" s="8">
        <f>Weather!H105</f>
        <v>80.824999999999974</v>
      </c>
      <c r="AE105" s="8">
        <f>Weather!I105</f>
        <v>0.79304225504517589</v>
      </c>
      <c r="AF105" s="8">
        <f>Weather!J105</f>
        <v>136.5958333333333</v>
      </c>
      <c r="AG105" s="8">
        <f>Weather!K105</f>
        <v>0</v>
      </c>
      <c r="AH105" s="8">
        <f>Weather!L105</f>
        <v>197.80279107828815</v>
      </c>
      <c r="AI105" s="8">
        <f>Weather!M105</f>
        <v>0</v>
      </c>
      <c r="AJ105" s="8">
        <f>Weather!N105</f>
        <v>259.80279107828812</v>
      </c>
      <c r="AK105" s="8">
        <f>Weather!O105</f>
        <v>0</v>
      </c>
      <c r="AL105" s="8">
        <f>Weather!P105</f>
        <v>321.80279107828807</v>
      </c>
      <c r="AM105" s="2">
        <f>Weather!Q105</f>
        <v>18.380735196073815</v>
      </c>
      <c r="AN105" s="8">
        <f>Economic!C105</f>
        <v>7747.4</v>
      </c>
      <c r="AO105" s="8">
        <f>Economic!D105</f>
        <v>7825.4</v>
      </c>
      <c r="AP105" s="8">
        <f>Economic!E105</f>
        <v>85.7</v>
      </c>
      <c r="AQ105" s="8">
        <f>Economic!F105</f>
        <v>85.7</v>
      </c>
      <c r="AR105" s="8">
        <f>Economic!G105</f>
        <v>839497.4</v>
      </c>
      <c r="AS105" s="8">
        <f>Economic!H105</f>
        <v>6860.3</v>
      </c>
      <c r="AT105" s="8">
        <f>Economic!I105</f>
        <v>852979</v>
      </c>
      <c r="AU105" s="8">
        <f>Economic!J105</f>
        <v>7373</v>
      </c>
      <c r="AV105" s="1">
        <f t="shared" si="56"/>
        <v>104</v>
      </c>
      <c r="AW105" s="1">
        <f t="shared" ref="AW105:BN105" si="91">AW93</f>
        <v>0</v>
      </c>
      <c r="AX105" s="1">
        <f t="shared" si="91"/>
        <v>0</v>
      </c>
      <c r="AY105" s="1">
        <f t="shared" si="91"/>
        <v>0</v>
      </c>
      <c r="AZ105" s="1">
        <f t="shared" si="91"/>
        <v>0</v>
      </c>
      <c r="BA105" s="1">
        <f t="shared" si="91"/>
        <v>0</v>
      </c>
      <c r="BB105" s="1">
        <f t="shared" si="91"/>
        <v>0</v>
      </c>
      <c r="BC105" s="1">
        <f t="shared" si="91"/>
        <v>0</v>
      </c>
      <c r="BD105" s="1">
        <f t="shared" si="91"/>
        <v>1</v>
      </c>
      <c r="BE105" s="1">
        <f t="shared" si="91"/>
        <v>0</v>
      </c>
      <c r="BF105" s="1">
        <f t="shared" si="91"/>
        <v>0</v>
      </c>
      <c r="BG105" s="1">
        <f t="shared" si="91"/>
        <v>0</v>
      </c>
      <c r="BH105" s="1">
        <f t="shared" si="91"/>
        <v>0</v>
      </c>
      <c r="BI105" s="1">
        <f t="shared" si="91"/>
        <v>0</v>
      </c>
      <c r="BJ105" s="1">
        <f t="shared" si="91"/>
        <v>0</v>
      </c>
      <c r="BK105" s="1">
        <f t="shared" si="91"/>
        <v>0</v>
      </c>
      <c r="BL105" s="1">
        <f t="shared" si="91"/>
        <v>0</v>
      </c>
      <c r="BM105" s="1">
        <f t="shared" si="91"/>
        <v>0</v>
      </c>
      <c r="BN105" s="1">
        <f t="shared" si="91"/>
        <v>0</v>
      </c>
      <c r="BO105" s="1">
        <f t="shared" si="58"/>
        <v>31</v>
      </c>
      <c r="BP105" s="1">
        <v>22</v>
      </c>
      <c r="BQ105">
        <v>0.5</v>
      </c>
      <c r="BR105">
        <v>0.25</v>
      </c>
      <c r="BS105">
        <v>0.5</v>
      </c>
      <c r="BT105">
        <v>0</v>
      </c>
      <c r="BU105" s="126">
        <f t="shared" si="35"/>
        <v>28.970479460855938</v>
      </c>
      <c r="BV105" s="126">
        <f t="shared" si="36"/>
        <v>3.8718749999999975</v>
      </c>
      <c r="BW105" s="126">
        <f t="shared" si="37"/>
        <v>12.234021127522588</v>
      </c>
      <c r="BX105" s="126">
        <f t="shared" si="38"/>
        <v>18.135416666666657</v>
      </c>
      <c r="BY105" s="126">
        <f t="shared" si="39"/>
        <v>3.5111044608559228</v>
      </c>
      <c r="BZ105" s="126">
        <f t="shared" si="40"/>
        <v>40.412499999999987</v>
      </c>
      <c r="CA105" s="126">
        <f t="shared" si="41"/>
        <v>0.39652112752258795</v>
      </c>
      <c r="CB105" s="126">
        <f t="shared" si="42"/>
        <v>68.297916666666652</v>
      </c>
      <c r="CC105" s="126">
        <f t="shared" si="43"/>
        <v>0</v>
      </c>
      <c r="CD105" s="126">
        <f t="shared" si="44"/>
        <v>98.901395539144076</v>
      </c>
      <c r="CE105" s="126">
        <f t="shared" si="45"/>
        <v>0</v>
      </c>
      <c r="CF105" s="126">
        <f t="shared" si="46"/>
        <v>129.90139553914406</v>
      </c>
      <c r="CG105" s="126">
        <f t="shared" si="47"/>
        <v>0</v>
      </c>
      <c r="CH105" s="126">
        <f t="shared" si="48"/>
        <v>160.90139553914403</v>
      </c>
      <c r="CI105" s="66">
        <f t="shared" si="82"/>
        <v>941461.90393414942</v>
      </c>
      <c r="CJ105" s="66">
        <f t="shared" si="83"/>
        <v>333931.33258064516</v>
      </c>
      <c r="CK105" s="66">
        <f t="shared" si="84"/>
        <v>920422.59477131115</v>
      </c>
    </row>
    <row r="106" spans="1:89" x14ac:dyDescent="0.2">
      <c r="A106" s="101">
        <v>44805</v>
      </c>
      <c r="B106" s="1">
        <f t="shared" si="54"/>
        <v>2022</v>
      </c>
      <c r="C106" s="1">
        <f t="shared" si="55"/>
        <v>9</v>
      </c>
      <c r="D106" s="8">
        <v>24715324.91</v>
      </c>
      <c r="E106" s="8">
        <f>IFERROR(VLOOKUP($B106-1,CDM!$L$4:$R$15,2,FALSE)/12,0)+IFERROR(VLOOKUP($B106,CDM!$L$33:$O$44,2,FALSE)/24,0)+IFERROR(VLOOKUP($B106,CDM!$L$33:$O$44,2,FALSE)/2*$C106/78,0)</f>
        <v>1606110.8708879517</v>
      </c>
      <c r="F106" s="8">
        <f t="shared" si="50"/>
        <v>26321435.78088795</v>
      </c>
      <c r="G106" s="8">
        <v>43158</v>
      </c>
      <c r="H106" s="8">
        <v>9509482.7599999998</v>
      </c>
      <c r="I106" s="8">
        <f>IFERROR(VLOOKUP($B106-1,CDM!$L$4:$R$15,3,FALSE)/12,0)+IFERROR(VLOOKUP($B106,CDM!$L$33:$O$44,3,FALSE)/24,0)+IFERROR(VLOOKUP($B106,CDM!$L$33:$O$44,3,FALSE)/2*$C106/78,0)</f>
        <v>631838.58536833175</v>
      </c>
      <c r="J106" s="8">
        <f t="shared" si="51"/>
        <v>10141321.345368331</v>
      </c>
      <c r="K106" s="8">
        <v>4277</v>
      </c>
      <c r="L106" s="8">
        <v>25240627.620000001</v>
      </c>
      <c r="M106" s="8">
        <f>IFERROR(VLOOKUP($B106-1,CDM!$L$4:$R$15,4,FALSE)/12,0)+IFERROR(VLOOKUP($B106,CDM!$L$33:$O$44,4,FALSE)/24,0)+IFERROR(VLOOKUP($B106,CDM!$L$33:$O$44,4,FALSE)/2*$C106/78,0)</f>
        <v>2179224.143907527</v>
      </c>
      <c r="N106" s="8">
        <f t="shared" si="52"/>
        <v>27419851.763907529</v>
      </c>
      <c r="O106" s="4">
        <v>65895.05</v>
      </c>
      <c r="P106" s="8">
        <v>485</v>
      </c>
      <c r="Q106" s="8">
        <v>287898.46000000002</v>
      </c>
      <c r="R106" s="420">
        <v>836.51</v>
      </c>
      <c r="S106" s="8">
        <v>10158</v>
      </c>
      <c r="T106" s="8">
        <v>28430.639999999999</v>
      </c>
      <c r="U106" s="420">
        <v>79.400000000000006</v>
      </c>
      <c r="V106" s="8">
        <v>350</v>
      </c>
      <c r="W106" s="8">
        <v>78314</v>
      </c>
      <c r="X106" s="8">
        <v>263</v>
      </c>
      <c r="Y106" s="8">
        <f>Weather!C106</f>
        <v>184.38887558837854</v>
      </c>
      <c r="Z106" s="8">
        <f>Weather!D106</f>
        <v>0.60833333333333073</v>
      </c>
      <c r="AA106" s="8">
        <f>Weather!E106</f>
        <v>131.98887558837851</v>
      </c>
      <c r="AB106" s="8">
        <f>Weather!F106</f>
        <v>8.2083333333333393</v>
      </c>
      <c r="AC106" s="8">
        <f>Weather!G106</f>
        <v>90.980542255045179</v>
      </c>
      <c r="AD106" s="8">
        <f>Weather!H106</f>
        <v>27.20000000000001</v>
      </c>
      <c r="AE106" s="8">
        <f>Weather!I106</f>
        <v>60.320125588378495</v>
      </c>
      <c r="AF106" s="8">
        <f>Weather!J106</f>
        <v>56.53958333333334</v>
      </c>
      <c r="AG106" s="8">
        <f>Weather!K106</f>
        <v>33.615958921711837</v>
      </c>
      <c r="AH106" s="8">
        <f>Weather!L106</f>
        <v>89.835416666666646</v>
      </c>
      <c r="AI106" s="8">
        <f>Weather!M106</f>
        <v>14.699292255045174</v>
      </c>
      <c r="AJ106" s="8">
        <f>Weather!N106</f>
        <v>130.91874999999999</v>
      </c>
      <c r="AK106" s="8">
        <f>Weather!O106</f>
        <v>4.993042255045177</v>
      </c>
      <c r="AL106" s="8">
        <f>Weather!P106</f>
        <v>181.21250000000003</v>
      </c>
      <c r="AM106" s="2">
        <f>Weather!Q106</f>
        <v>13.873981924831833</v>
      </c>
      <c r="AN106" s="8">
        <f>Economic!C106</f>
        <v>7740.7</v>
      </c>
      <c r="AO106" s="8">
        <f>Economic!D106</f>
        <v>7766.7</v>
      </c>
      <c r="AP106" s="8">
        <f>Economic!E106</f>
        <v>84.9</v>
      </c>
      <c r="AQ106" s="8">
        <f>Economic!F106</f>
        <v>83.8</v>
      </c>
      <c r="AR106" s="8">
        <f>Economic!G106</f>
        <v>839497.4</v>
      </c>
      <c r="AS106" s="8">
        <f>Economic!H106</f>
        <v>6860.3</v>
      </c>
      <c r="AT106" s="8">
        <f>Economic!I106</f>
        <v>852979</v>
      </c>
      <c r="AU106" s="8">
        <f>Economic!J106</f>
        <v>7373</v>
      </c>
      <c r="AV106" s="1">
        <f t="shared" si="56"/>
        <v>105</v>
      </c>
      <c r="AW106" s="1">
        <f t="shared" ref="AW106:BN106" si="92">AW94</f>
        <v>0</v>
      </c>
      <c r="AX106" s="1">
        <f t="shared" si="92"/>
        <v>0</v>
      </c>
      <c r="AY106" s="1">
        <f t="shared" si="92"/>
        <v>0</v>
      </c>
      <c r="AZ106" s="1">
        <f t="shared" si="92"/>
        <v>0</v>
      </c>
      <c r="BA106" s="1">
        <f t="shared" si="92"/>
        <v>0</v>
      </c>
      <c r="BB106" s="1">
        <f t="shared" si="92"/>
        <v>0</v>
      </c>
      <c r="BC106" s="1">
        <f t="shared" si="92"/>
        <v>0</v>
      </c>
      <c r="BD106" s="1">
        <f t="shared" si="92"/>
        <v>0</v>
      </c>
      <c r="BE106" s="1">
        <f t="shared" si="92"/>
        <v>1</v>
      </c>
      <c r="BF106" s="1">
        <f t="shared" si="92"/>
        <v>0</v>
      </c>
      <c r="BG106" s="1">
        <f t="shared" si="92"/>
        <v>0</v>
      </c>
      <c r="BH106" s="1">
        <f t="shared" si="92"/>
        <v>0</v>
      </c>
      <c r="BI106" s="1">
        <f t="shared" si="92"/>
        <v>0</v>
      </c>
      <c r="BJ106" s="1">
        <f t="shared" si="92"/>
        <v>1</v>
      </c>
      <c r="BK106" s="1">
        <f t="shared" si="92"/>
        <v>1</v>
      </c>
      <c r="BL106" s="1">
        <f t="shared" si="92"/>
        <v>0</v>
      </c>
      <c r="BM106" s="1">
        <f t="shared" si="92"/>
        <v>1</v>
      </c>
      <c r="BN106" s="1">
        <f t="shared" si="92"/>
        <v>1</v>
      </c>
      <c r="BO106" s="1">
        <f t="shared" si="58"/>
        <v>30</v>
      </c>
      <c r="BP106" s="1">
        <v>20</v>
      </c>
      <c r="BQ106">
        <v>0.5</v>
      </c>
      <c r="BR106">
        <v>0.25</v>
      </c>
      <c r="BS106">
        <v>0.5</v>
      </c>
      <c r="BT106">
        <v>0</v>
      </c>
      <c r="BU106" s="126">
        <f t="shared" si="35"/>
        <v>92.19443779418927</v>
      </c>
      <c r="BV106" s="126">
        <f t="shared" si="36"/>
        <v>0.30416666666666536</v>
      </c>
      <c r="BW106" s="126">
        <f t="shared" si="37"/>
        <v>65.994437794189253</v>
      </c>
      <c r="BX106" s="126">
        <f t="shared" si="38"/>
        <v>4.1041666666666696</v>
      </c>
      <c r="BY106" s="126">
        <f t="shared" si="39"/>
        <v>45.49027112752259</v>
      </c>
      <c r="BZ106" s="126">
        <f t="shared" si="40"/>
        <v>13.600000000000005</v>
      </c>
      <c r="CA106" s="126">
        <f t="shared" si="41"/>
        <v>30.160062794189248</v>
      </c>
      <c r="CB106" s="126">
        <f t="shared" si="42"/>
        <v>28.26979166666667</v>
      </c>
      <c r="CC106" s="126">
        <f t="shared" si="43"/>
        <v>16.807979460855918</v>
      </c>
      <c r="CD106" s="126">
        <f t="shared" si="44"/>
        <v>44.917708333333323</v>
      </c>
      <c r="CE106" s="126">
        <f t="shared" si="45"/>
        <v>7.3496461275225871</v>
      </c>
      <c r="CF106" s="126">
        <f t="shared" si="46"/>
        <v>65.459374999999994</v>
      </c>
      <c r="CG106" s="126">
        <f t="shared" si="47"/>
        <v>2.4965211275225885</v>
      </c>
      <c r="CH106" s="126">
        <f t="shared" si="48"/>
        <v>90.606250000000017</v>
      </c>
      <c r="CI106" s="66">
        <f t="shared" si="82"/>
        <v>877381.19269626506</v>
      </c>
      <c r="CJ106" s="66">
        <f t="shared" si="83"/>
        <v>316982.75866666663</v>
      </c>
      <c r="CK106" s="66">
        <f t="shared" si="84"/>
        <v>913995.05879691767</v>
      </c>
    </row>
    <row r="107" spans="1:89" x14ac:dyDescent="0.2">
      <c r="A107" s="101">
        <v>44835</v>
      </c>
      <c r="B107" s="1">
        <f t="shared" si="54"/>
        <v>2022</v>
      </c>
      <c r="C107" s="1">
        <f t="shared" si="55"/>
        <v>10</v>
      </c>
      <c r="D107" s="8">
        <v>26112434.460000001</v>
      </c>
      <c r="E107" s="8">
        <f>IFERROR(VLOOKUP($B107-1,CDM!$L$4:$R$15,2,FALSE)/12,0)+IFERROR(VLOOKUP($B107,CDM!$L$33:$O$44,2,FALSE)/24,0)+IFERROR(VLOOKUP($B107,CDM!$L$33:$O$44,2,FALSE)/2*$C107/78,0)</f>
        <v>1606187.7498172733</v>
      </c>
      <c r="F107" s="8">
        <f t="shared" si="50"/>
        <v>27718622.209817275</v>
      </c>
      <c r="G107" s="8">
        <v>43179</v>
      </c>
      <c r="H107" s="8">
        <v>9716096.2899999991</v>
      </c>
      <c r="I107" s="8">
        <f>IFERROR(VLOOKUP($B107-1,CDM!$L$4:$R$15,3,FALSE)/12,0)+IFERROR(VLOOKUP($B107,CDM!$L$33:$O$44,3,FALSE)/24,0)+IFERROR(VLOOKUP($B107,CDM!$L$33:$O$44,3,FALSE)/2*$C107/78,0)</f>
        <v>635035.68279901124</v>
      </c>
      <c r="J107" s="8">
        <f t="shared" si="51"/>
        <v>10351131.972799011</v>
      </c>
      <c r="K107" s="8">
        <v>4279</v>
      </c>
      <c r="L107" s="8">
        <v>25614504.675000001</v>
      </c>
      <c r="M107" s="8">
        <f>IFERROR(VLOOKUP($B107-1,CDM!$L$4:$R$15,4,FALSE)/12,0)+IFERROR(VLOOKUP($B107,CDM!$L$33:$O$44,4,FALSE)/24,0)+IFERROR(VLOOKUP($B107,CDM!$L$33:$O$44,4,FALSE)/2*$C107/78,0)</f>
        <v>2189334.8569044061</v>
      </c>
      <c r="N107" s="8">
        <f t="shared" si="52"/>
        <v>27803839.531904407</v>
      </c>
      <c r="O107" s="4">
        <v>62590.469999999994</v>
      </c>
      <c r="P107" s="8">
        <v>485</v>
      </c>
      <c r="Q107" s="8">
        <v>340423.17</v>
      </c>
      <c r="R107" s="420">
        <v>836.97</v>
      </c>
      <c r="S107" s="8">
        <v>10159</v>
      </c>
      <c r="T107" s="8">
        <v>29378.33</v>
      </c>
      <c r="U107" s="420">
        <v>79.42</v>
      </c>
      <c r="V107" s="8">
        <v>349</v>
      </c>
      <c r="W107" s="8">
        <v>78887</v>
      </c>
      <c r="X107" s="8">
        <v>262</v>
      </c>
      <c r="Y107" s="8">
        <f>Weather!C107</f>
        <v>401.57566784342367</v>
      </c>
      <c r="Z107" s="8">
        <f>Weather!D107</f>
        <v>0</v>
      </c>
      <c r="AA107" s="8">
        <f>Weather!E107</f>
        <v>339.57566784342362</v>
      </c>
      <c r="AB107" s="8">
        <f>Weather!F107</f>
        <v>0</v>
      </c>
      <c r="AC107" s="8">
        <f>Weather!G107</f>
        <v>277.57566784342367</v>
      </c>
      <c r="AD107" s="8">
        <f>Weather!H107</f>
        <v>0</v>
      </c>
      <c r="AE107" s="8">
        <f>Weather!I107</f>
        <v>216.45900117675706</v>
      </c>
      <c r="AF107" s="8">
        <f>Weather!J107</f>
        <v>0.88333333333333108</v>
      </c>
      <c r="AG107" s="8">
        <f>Weather!K107</f>
        <v>162.45900117675706</v>
      </c>
      <c r="AH107" s="8">
        <f>Weather!L107</f>
        <v>8.8833333333333311</v>
      </c>
      <c r="AI107" s="8">
        <f>Weather!M107</f>
        <v>113.78608451009033</v>
      </c>
      <c r="AJ107" s="8">
        <f>Weather!N107</f>
        <v>22.210416666666667</v>
      </c>
      <c r="AK107" s="8">
        <f>Weather!O107</f>
        <v>68.484708921711828</v>
      </c>
      <c r="AL107" s="8">
        <f>Weather!P107</f>
        <v>38.909041078288162</v>
      </c>
      <c r="AM107" s="2">
        <f>Weather!Q107</f>
        <v>7.0459461985992347</v>
      </c>
      <c r="AN107" s="8">
        <f>Economic!C107</f>
        <v>7740.3</v>
      </c>
      <c r="AO107" s="8">
        <f>Economic!D107</f>
        <v>7743.5</v>
      </c>
      <c r="AP107" s="8">
        <f>Economic!E107</f>
        <v>84.9</v>
      </c>
      <c r="AQ107" s="8">
        <f>Economic!F107</f>
        <v>83.6</v>
      </c>
      <c r="AR107" s="8">
        <f>Economic!G107</f>
        <v>839497.4</v>
      </c>
      <c r="AS107" s="8">
        <f>Economic!H107</f>
        <v>6860.3</v>
      </c>
      <c r="AT107" s="8">
        <f>Economic!I107</f>
        <v>852029</v>
      </c>
      <c r="AU107" s="8">
        <f>Economic!J107</f>
        <v>7589</v>
      </c>
      <c r="AV107" s="1">
        <f t="shared" si="56"/>
        <v>106</v>
      </c>
      <c r="AW107" s="1">
        <f t="shared" ref="AW107:BN107" si="93">AW95</f>
        <v>0</v>
      </c>
      <c r="AX107" s="1">
        <f t="shared" si="93"/>
        <v>0</v>
      </c>
      <c r="AY107" s="1">
        <f t="shared" si="93"/>
        <v>0</v>
      </c>
      <c r="AZ107" s="1">
        <f t="shared" si="93"/>
        <v>0</v>
      </c>
      <c r="BA107" s="1">
        <f t="shared" si="93"/>
        <v>0</v>
      </c>
      <c r="BB107" s="1">
        <f t="shared" si="93"/>
        <v>0</v>
      </c>
      <c r="BC107" s="1">
        <f t="shared" si="93"/>
        <v>0</v>
      </c>
      <c r="BD107" s="1">
        <f t="shared" si="93"/>
        <v>0</v>
      </c>
      <c r="BE107" s="1">
        <f t="shared" si="93"/>
        <v>0</v>
      </c>
      <c r="BF107" s="1">
        <f t="shared" si="93"/>
        <v>1</v>
      </c>
      <c r="BG107" s="1">
        <f t="shared" si="93"/>
        <v>0</v>
      </c>
      <c r="BH107" s="1">
        <f t="shared" si="93"/>
        <v>0</v>
      </c>
      <c r="BI107" s="1">
        <f t="shared" si="93"/>
        <v>0</v>
      </c>
      <c r="BJ107" s="1">
        <f t="shared" si="93"/>
        <v>1</v>
      </c>
      <c r="BK107" s="1">
        <f t="shared" si="93"/>
        <v>1</v>
      </c>
      <c r="BL107" s="1">
        <f t="shared" si="93"/>
        <v>0</v>
      </c>
      <c r="BM107" s="1">
        <f t="shared" si="93"/>
        <v>1</v>
      </c>
      <c r="BN107" s="1">
        <f t="shared" si="93"/>
        <v>1</v>
      </c>
      <c r="BO107" s="1">
        <f t="shared" si="58"/>
        <v>31</v>
      </c>
      <c r="BP107" s="1">
        <v>20</v>
      </c>
      <c r="BQ107">
        <v>0.5</v>
      </c>
      <c r="BR107">
        <v>0.25</v>
      </c>
      <c r="BS107">
        <v>0.5</v>
      </c>
      <c r="BT107">
        <v>0</v>
      </c>
      <c r="BU107" s="126">
        <f t="shared" si="35"/>
        <v>200.78783392171184</v>
      </c>
      <c r="BV107" s="126">
        <f t="shared" si="36"/>
        <v>0</v>
      </c>
      <c r="BW107" s="126">
        <f t="shared" si="37"/>
        <v>169.78783392171181</v>
      </c>
      <c r="BX107" s="126">
        <f t="shared" si="38"/>
        <v>0</v>
      </c>
      <c r="BY107" s="126">
        <f t="shared" si="39"/>
        <v>138.78783392171184</v>
      </c>
      <c r="BZ107" s="126">
        <f t="shared" si="40"/>
        <v>0</v>
      </c>
      <c r="CA107" s="126">
        <f t="shared" si="41"/>
        <v>108.22950058837853</v>
      </c>
      <c r="CB107" s="126">
        <f t="shared" si="42"/>
        <v>0.44166666666666554</v>
      </c>
      <c r="CC107" s="126">
        <f t="shared" si="43"/>
        <v>81.229500588378528</v>
      </c>
      <c r="CD107" s="126">
        <f t="shared" si="44"/>
        <v>4.4416666666666655</v>
      </c>
      <c r="CE107" s="126">
        <f t="shared" si="45"/>
        <v>56.893042255045167</v>
      </c>
      <c r="CF107" s="126">
        <f t="shared" si="46"/>
        <v>11.105208333333334</v>
      </c>
      <c r="CG107" s="126">
        <f t="shared" si="47"/>
        <v>34.242354460855914</v>
      </c>
      <c r="CH107" s="126">
        <f t="shared" si="48"/>
        <v>19.454520539144081</v>
      </c>
      <c r="CI107" s="66">
        <f t="shared" si="82"/>
        <v>894149.10354249272</v>
      </c>
      <c r="CJ107" s="66">
        <f t="shared" si="83"/>
        <v>313422.46096774191</v>
      </c>
      <c r="CK107" s="66">
        <f t="shared" si="84"/>
        <v>896898.04941627115</v>
      </c>
    </row>
    <row r="108" spans="1:89" x14ac:dyDescent="0.2">
      <c r="A108" s="101">
        <v>44866</v>
      </c>
      <c r="B108" s="1">
        <f t="shared" si="54"/>
        <v>2022</v>
      </c>
      <c r="C108" s="1">
        <f t="shared" si="55"/>
        <v>11</v>
      </c>
      <c r="D108" s="8">
        <v>31093528.149999999</v>
      </c>
      <c r="E108" s="8">
        <f>IFERROR(VLOOKUP($B108-1,CDM!$L$4:$R$15,2,FALSE)/12,0)+IFERROR(VLOOKUP($B108,CDM!$L$33:$O$44,2,FALSE)/24,0)+IFERROR(VLOOKUP($B108,CDM!$L$33:$O$44,2,FALSE)/2*$C108/78,0)</f>
        <v>1606264.6287465948</v>
      </c>
      <c r="F108" s="8">
        <f t="shared" si="50"/>
        <v>32699792.778746594</v>
      </c>
      <c r="G108" s="8">
        <v>43187</v>
      </c>
      <c r="H108" s="8">
        <v>10901739.15</v>
      </c>
      <c r="I108" s="8">
        <f>IFERROR(VLOOKUP($B108-1,CDM!$L$4:$R$15,3,FALSE)/12,0)+IFERROR(VLOOKUP($B108,CDM!$L$33:$O$44,3,FALSE)/24,0)+IFERROR(VLOOKUP($B108,CDM!$L$33:$O$44,3,FALSE)/2*$C108/78,0)</f>
        <v>638232.78022969072</v>
      </c>
      <c r="J108" s="8">
        <f t="shared" si="51"/>
        <v>11539971.930229692</v>
      </c>
      <c r="K108" s="8">
        <v>4283</v>
      </c>
      <c r="L108" s="8">
        <v>27385777.006999999</v>
      </c>
      <c r="M108" s="8">
        <f>IFERROR(VLOOKUP($B108-1,CDM!$L$4:$R$15,4,FALSE)/12,0)+IFERROR(VLOOKUP($B108,CDM!$L$33:$O$44,4,FALSE)/24,0)+IFERROR(VLOOKUP($B108,CDM!$L$33:$O$44,4,FALSE)/2*$C108/78,0)</f>
        <v>2199445.5699012848</v>
      </c>
      <c r="N108" s="8">
        <f t="shared" si="52"/>
        <v>29585222.576901283</v>
      </c>
      <c r="O108" s="4">
        <v>65553.399999999994</v>
      </c>
      <c r="P108" s="8">
        <v>486</v>
      </c>
      <c r="Q108" s="8">
        <v>367398.04</v>
      </c>
      <c r="R108" s="420">
        <v>839.80000000000007</v>
      </c>
      <c r="S108" s="8">
        <v>10167</v>
      </c>
      <c r="T108" s="8">
        <v>27120.240000000002</v>
      </c>
      <c r="U108" s="420">
        <v>75.77</v>
      </c>
      <c r="V108" s="8">
        <v>349</v>
      </c>
      <c r="W108" s="8">
        <v>76193</v>
      </c>
      <c r="X108" s="8">
        <v>262</v>
      </c>
      <c r="Y108" s="8">
        <f>Weather!C108</f>
        <v>574.06804225504516</v>
      </c>
      <c r="Z108" s="8">
        <f>Weather!D108</f>
        <v>0</v>
      </c>
      <c r="AA108" s="8">
        <f>Weather!E108</f>
        <v>514.06804225504504</v>
      </c>
      <c r="AB108" s="8">
        <f>Weather!F108</f>
        <v>0</v>
      </c>
      <c r="AC108" s="8">
        <f>Weather!G108</f>
        <v>454.06804225504504</v>
      </c>
      <c r="AD108" s="8">
        <f>Weather!H108</f>
        <v>0</v>
      </c>
      <c r="AE108" s="8">
        <f>Weather!I108</f>
        <v>394.06804225504504</v>
      </c>
      <c r="AF108" s="8">
        <f>Weather!J108</f>
        <v>0</v>
      </c>
      <c r="AG108" s="8">
        <f>Weather!K108</f>
        <v>337.18470892171183</v>
      </c>
      <c r="AH108" s="8">
        <f>Weather!L108</f>
        <v>3.1166666666666618</v>
      </c>
      <c r="AI108" s="8">
        <f>Weather!M108</f>
        <v>283.5805422550452</v>
      </c>
      <c r="AJ108" s="8">
        <f>Weather!N108</f>
        <v>9.5124999999999975</v>
      </c>
      <c r="AK108" s="8">
        <f>Weather!O108</f>
        <v>234.09720892171185</v>
      </c>
      <c r="AL108" s="8">
        <f>Weather!P108</f>
        <v>20.029166666666661</v>
      </c>
      <c r="AM108" s="2">
        <f>Weather!Q108</f>
        <v>0.86439859149849374</v>
      </c>
      <c r="AN108" s="8">
        <f>Economic!C108</f>
        <v>7747.2</v>
      </c>
      <c r="AO108" s="8">
        <f>Economic!D108</f>
        <v>7738.9</v>
      </c>
      <c r="AP108" s="8">
        <f>Economic!E108</f>
        <v>85</v>
      </c>
      <c r="AQ108" s="8">
        <f>Economic!F108</f>
        <v>84.8</v>
      </c>
      <c r="AR108" s="8">
        <f>Economic!G108</f>
        <v>839497.4</v>
      </c>
      <c r="AS108" s="8">
        <f>Economic!H108</f>
        <v>6860.3</v>
      </c>
      <c r="AT108" s="8">
        <f>Economic!I108</f>
        <v>852029</v>
      </c>
      <c r="AU108" s="8">
        <f>Economic!J108</f>
        <v>7589</v>
      </c>
      <c r="AV108" s="1">
        <f t="shared" si="56"/>
        <v>107</v>
      </c>
      <c r="AW108" s="1">
        <f t="shared" ref="AW108:BN108" si="94">AW96</f>
        <v>0</v>
      </c>
      <c r="AX108" s="1">
        <f t="shared" si="94"/>
        <v>0</v>
      </c>
      <c r="AY108" s="1">
        <f t="shared" si="94"/>
        <v>0</v>
      </c>
      <c r="AZ108" s="1">
        <f t="shared" si="94"/>
        <v>0</v>
      </c>
      <c r="BA108" s="1">
        <f t="shared" si="94"/>
        <v>0</v>
      </c>
      <c r="BB108" s="1">
        <f t="shared" si="94"/>
        <v>0</v>
      </c>
      <c r="BC108" s="1">
        <f t="shared" si="94"/>
        <v>0</v>
      </c>
      <c r="BD108" s="1">
        <f t="shared" si="94"/>
        <v>0</v>
      </c>
      <c r="BE108" s="1">
        <f t="shared" si="94"/>
        <v>0</v>
      </c>
      <c r="BF108" s="1">
        <f t="shared" si="94"/>
        <v>0</v>
      </c>
      <c r="BG108" s="1">
        <f t="shared" si="94"/>
        <v>1</v>
      </c>
      <c r="BH108" s="1">
        <f t="shared" si="94"/>
        <v>0</v>
      </c>
      <c r="BI108" s="1">
        <f t="shared" si="94"/>
        <v>0</v>
      </c>
      <c r="BJ108" s="1">
        <f t="shared" si="94"/>
        <v>1</v>
      </c>
      <c r="BK108" s="1">
        <f t="shared" si="94"/>
        <v>1</v>
      </c>
      <c r="BL108" s="1">
        <f t="shared" si="94"/>
        <v>0</v>
      </c>
      <c r="BM108" s="1">
        <f t="shared" si="94"/>
        <v>0</v>
      </c>
      <c r="BN108" s="1">
        <f t="shared" si="94"/>
        <v>0</v>
      </c>
      <c r="BO108" s="1">
        <f t="shared" si="58"/>
        <v>30</v>
      </c>
      <c r="BP108" s="1">
        <v>22</v>
      </c>
      <c r="BQ108">
        <v>0.5</v>
      </c>
      <c r="BR108">
        <v>0.25</v>
      </c>
      <c r="BS108">
        <v>0.5</v>
      </c>
      <c r="BT108">
        <v>0</v>
      </c>
      <c r="BU108" s="126">
        <f t="shared" si="35"/>
        <v>287.03402112752258</v>
      </c>
      <c r="BV108" s="126">
        <f t="shared" si="36"/>
        <v>0</v>
      </c>
      <c r="BW108" s="126">
        <f t="shared" si="37"/>
        <v>257.03402112752252</v>
      </c>
      <c r="BX108" s="126">
        <f t="shared" si="38"/>
        <v>0</v>
      </c>
      <c r="BY108" s="126">
        <f t="shared" si="39"/>
        <v>227.03402112752252</v>
      </c>
      <c r="BZ108" s="126">
        <f t="shared" si="40"/>
        <v>0</v>
      </c>
      <c r="CA108" s="126">
        <f t="shared" si="41"/>
        <v>197.03402112752252</v>
      </c>
      <c r="CB108" s="126">
        <f t="shared" si="42"/>
        <v>0</v>
      </c>
      <c r="CC108" s="126">
        <f t="shared" si="43"/>
        <v>168.59235446085592</v>
      </c>
      <c r="CD108" s="126">
        <f t="shared" si="44"/>
        <v>1.5583333333333309</v>
      </c>
      <c r="CE108" s="126">
        <f t="shared" si="45"/>
        <v>141.7902711275226</v>
      </c>
      <c r="CF108" s="126">
        <f t="shared" si="46"/>
        <v>4.7562499999999988</v>
      </c>
      <c r="CG108" s="126">
        <f t="shared" si="47"/>
        <v>117.04860446085593</v>
      </c>
      <c r="CH108" s="126">
        <f t="shared" si="48"/>
        <v>10.014583333333331</v>
      </c>
      <c r="CI108" s="66">
        <f t="shared" si="82"/>
        <v>1089993.0926248864</v>
      </c>
      <c r="CJ108" s="66">
        <f t="shared" si="83"/>
        <v>363391.30499999999</v>
      </c>
      <c r="CK108" s="66">
        <f t="shared" si="84"/>
        <v>986174.08589670947</v>
      </c>
    </row>
    <row r="109" spans="1:89" x14ac:dyDescent="0.2">
      <c r="A109" s="101">
        <v>44896</v>
      </c>
      <c r="B109" s="1">
        <f t="shared" si="54"/>
        <v>2022</v>
      </c>
      <c r="C109" s="1">
        <f t="shared" si="55"/>
        <v>12</v>
      </c>
      <c r="D109" s="8">
        <v>38121462.399999999</v>
      </c>
      <c r="E109" s="8">
        <f>IFERROR(VLOOKUP($B109-1,CDM!$L$4:$R$15,2,FALSE)/12,0)+IFERROR(VLOOKUP($B109,CDM!$L$33:$O$44,2,FALSE)/24,0)+IFERROR(VLOOKUP($B109,CDM!$L$33:$O$44,2,FALSE)/2*$C109/78,0)</f>
        <v>1606341.5076759164</v>
      </c>
      <c r="F109" s="8">
        <f t="shared" si="50"/>
        <v>39727803.907675914</v>
      </c>
      <c r="G109" s="8">
        <v>43196</v>
      </c>
      <c r="H109" s="8">
        <v>12223491.300000001</v>
      </c>
      <c r="I109" s="8">
        <f>IFERROR(VLOOKUP($B109-1,CDM!$L$4:$R$15,3,FALSE)/12,0)+IFERROR(VLOOKUP($B109,CDM!$L$33:$O$44,3,FALSE)/24,0)+IFERROR(VLOOKUP($B109,CDM!$L$33:$O$44,3,FALSE)/2*$C109/78,0)</f>
        <v>641429.87766037032</v>
      </c>
      <c r="J109" s="8">
        <f t="shared" si="51"/>
        <v>12864921.17766037</v>
      </c>
      <c r="K109" s="8">
        <v>4280</v>
      </c>
      <c r="L109" s="8">
        <v>30222258.684</v>
      </c>
      <c r="M109" s="8">
        <f>IFERROR(VLOOKUP($B109-1,CDM!$L$4:$R$15,4,FALSE)/12,0)+IFERROR(VLOOKUP($B109,CDM!$L$33:$O$44,4,FALSE)/24,0)+IFERROR(VLOOKUP($B109,CDM!$L$33:$O$44,4,FALSE)/2*$C109/78,0)</f>
        <v>2209556.2828981634</v>
      </c>
      <c r="N109" s="8">
        <f t="shared" si="52"/>
        <v>32431814.966898166</v>
      </c>
      <c r="O109" s="4">
        <v>66663.73000000001</v>
      </c>
      <c r="P109" s="8">
        <v>486</v>
      </c>
      <c r="Q109" s="8">
        <v>400011.37</v>
      </c>
      <c r="R109" s="420">
        <v>840.42000000000007</v>
      </c>
      <c r="S109" s="8">
        <v>10167</v>
      </c>
      <c r="T109" s="8">
        <v>28024.25</v>
      </c>
      <c r="U109" s="420">
        <v>75.77</v>
      </c>
      <c r="V109" s="8">
        <v>349</v>
      </c>
      <c r="W109" s="8">
        <v>78702</v>
      </c>
      <c r="X109" s="8">
        <v>261</v>
      </c>
      <c r="Y109" s="8">
        <f>Weather!C109</f>
        <v>790.52218897094622</v>
      </c>
      <c r="Z109" s="8">
        <f>Weather!D109</f>
        <v>0</v>
      </c>
      <c r="AA109" s="8">
        <f>Weather!E109</f>
        <v>728.5221889709461</v>
      </c>
      <c r="AB109" s="8">
        <f>Weather!F109</f>
        <v>0</v>
      </c>
      <c r="AC109" s="8">
        <f>Weather!G109</f>
        <v>666.5221889709461</v>
      </c>
      <c r="AD109" s="8">
        <f>Weather!H109</f>
        <v>0</v>
      </c>
      <c r="AE109" s="8">
        <f>Weather!I109</f>
        <v>604.52218897094622</v>
      </c>
      <c r="AF109" s="8">
        <f>Weather!J109</f>
        <v>0</v>
      </c>
      <c r="AG109" s="8">
        <f>Weather!K109</f>
        <v>542.52218897094622</v>
      </c>
      <c r="AH109" s="8">
        <f>Weather!L109</f>
        <v>0</v>
      </c>
      <c r="AI109" s="8">
        <f>Weather!M109</f>
        <v>480.52218897094639</v>
      </c>
      <c r="AJ109" s="8">
        <f>Weather!N109</f>
        <v>0</v>
      </c>
      <c r="AK109" s="8">
        <f>Weather!O109</f>
        <v>418.52218897094639</v>
      </c>
      <c r="AL109" s="8">
        <f>Weather!P109</f>
        <v>0</v>
      </c>
      <c r="AM109" s="2">
        <f>Weather!Q109</f>
        <v>-5.5007157732563305</v>
      </c>
      <c r="AN109" s="8">
        <f>Economic!C109</f>
        <v>7776.1</v>
      </c>
      <c r="AO109" s="8">
        <f>Economic!D109</f>
        <v>7777.2</v>
      </c>
      <c r="AP109" s="8">
        <f>Economic!E109</f>
        <v>85.8</v>
      </c>
      <c r="AQ109" s="8">
        <f>Economic!F109</f>
        <v>86.2</v>
      </c>
      <c r="AR109" s="8">
        <f>Economic!G109</f>
        <v>839497.4</v>
      </c>
      <c r="AS109" s="8">
        <f>Economic!H109</f>
        <v>6860.3</v>
      </c>
      <c r="AT109" s="8">
        <f>Economic!I109</f>
        <v>852029</v>
      </c>
      <c r="AU109" s="8">
        <f>Economic!J109</f>
        <v>7589</v>
      </c>
      <c r="AV109" s="1">
        <f t="shared" si="56"/>
        <v>108</v>
      </c>
      <c r="AW109" s="1">
        <f t="shared" ref="AW109:BN109" si="95">AW97</f>
        <v>0</v>
      </c>
      <c r="AX109" s="1">
        <f t="shared" si="95"/>
        <v>0</v>
      </c>
      <c r="AY109" s="1">
        <f t="shared" si="95"/>
        <v>0</v>
      </c>
      <c r="AZ109" s="1">
        <f t="shared" si="95"/>
        <v>0</v>
      </c>
      <c r="BA109" s="1">
        <f t="shared" si="95"/>
        <v>0</v>
      </c>
      <c r="BB109" s="1">
        <f t="shared" si="95"/>
        <v>0</v>
      </c>
      <c r="BC109" s="1">
        <f t="shared" si="95"/>
        <v>0</v>
      </c>
      <c r="BD109" s="1">
        <f t="shared" si="95"/>
        <v>0</v>
      </c>
      <c r="BE109" s="1">
        <f t="shared" si="95"/>
        <v>0</v>
      </c>
      <c r="BF109" s="1">
        <f t="shared" si="95"/>
        <v>0</v>
      </c>
      <c r="BG109" s="1">
        <f t="shared" si="95"/>
        <v>0</v>
      </c>
      <c r="BH109" s="1">
        <f t="shared" si="95"/>
        <v>1</v>
      </c>
      <c r="BI109" s="1">
        <f t="shared" si="95"/>
        <v>0</v>
      </c>
      <c r="BJ109" s="1">
        <f t="shared" si="95"/>
        <v>0</v>
      </c>
      <c r="BK109" s="1">
        <f t="shared" si="95"/>
        <v>0</v>
      </c>
      <c r="BL109" s="1">
        <f t="shared" si="95"/>
        <v>0</v>
      </c>
      <c r="BM109" s="1">
        <f t="shared" si="95"/>
        <v>0</v>
      </c>
      <c r="BN109" s="1">
        <f t="shared" si="95"/>
        <v>0</v>
      </c>
      <c r="BO109" s="1">
        <f t="shared" si="58"/>
        <v>31</v>
      </c>
      <c r="BP109" s="1">
        <v>20</v>
      </c>
      <c r="BQ109">
        <v>0.5</v>
      </c>
      <c r="BR109">
        <v>0.25</v>
      </c>
      <c r="BS109">
        <v>0.5</v>
      </c>
      <c r="BT109">
        <v>0</v>
      </c>
      <c r="BU109" s="126">
        <f t="shared" si="35"/>
        <v>395.26109448547311</v>
      </c>
      <c r="BV109" s="126">
        <f t="shared" si="36"/>
        <v>0</v>
      </c>
      <c r="BW109" s="126">
        <f t="shared" si="37"/>
        <v>364.26109448547305</v>
      </c>
      <c r="BX109" s="126">
        <f t="shared" si="38"/>
        <v>0</v>
      </c>
      <c r="BY109" s="126">
        <f t="shared" si="39"/>
        <v>333.26109448547305</v>
      </c>
      <c r="BZ109" s="126">
        <f t="shared" si="40"/>
        <v>0</v>
      </c>
      <c r="CA109" s="126">
        <f t="shared" si="41"/>
        <v>302.26109448547311</v>
      </c>
      <c r="CB109" s="126">
        <f t="shared" si="42"/>
        <v>0</v>
      </c>
      <c r="CC109" s="126">
        <f t="shared" si="43"/>
        <v>271.26109448547311</v>
      </c>
      <c r="CD109" s="126">
        <f t="shared" si="44"/>
        <v>0</v>
      </c>
      <c r="CE109" s="126">
        <f t="shared" si="45"/>
        <v>240.26109448547319</v>
      </c>
      <c r="CF109" s="126">
        <f t="shared" si="46"/>
        <v>0</v>
      </c>
      <c r="CG109" s="126">
        <f t="shared" si="47"/>
        <v>209.26109448547319</v>
      </c>
      <c r="CH109" s="126">
        <f t="shared" si="48"/>
        <v>0</v>
      </c>
      <c r="CI109" s="66">
        <f t="shared" si="82"/>
        <v>1281542.0615379328</v>
      </c>
      <c r="CJ109" s="66">
        <f t="shared" si="83"/>
        <v>394306.17096774199</v>
      </c>
      <c r="CK109" s="66">
        <f t="shared" si="84"/>
        <v>1046187.5795773602</v>
      </c>
    </row>
    <row r="110" spans="1:89" x14ac:dyDescent="0.2">
      <c r="A110" s="101">
        <v>44927</v>
      </c>
      <c r="B110" s="1">
        <f t="shared" si="54"/>
        <v>2023</v>
      </c>
      <c r="C110" s="1">
        <f t="shared" si="55"/>
        <v>1</v>
      </c>
      <c r="D110" s="8">
        <v>39889002.07</v>
      </c>
      <c r="E110" s="8">
        <f>IFERROR(VLOOKUP($B110-1,CDM!$L$4:$R$15,2,FALSE)/12,0)+IFERROR(VLOOKUP($B110,CDM!$L$33:$O$44,2,FALSE)/24,0)+IFERROR(VLOOKUP($B110,CDM!$L$33:$O$44,2,FALSE)/2*$C110/78,0)</f>
        <v>1611299.5523162545</v>
      </c>
      <c r="F110" s="8">
        <f t="shared" si="50"/>
        <v>41500301.622316256</v>
      </c>
      <c r="G110" s="8">
        <v>43221</v>
      </c>
      <c r="H110" s="8">
        <v>12905236.92</v>
      </c>
      <c r="I110" s="8">
        <f>IFERROR(VLOOKUP($B110-1,CDM!$L$4:$R$15,3,FALSE)/12,0)+IFERROR(VLOOKUP($B110,CDM!$L$33:$O$44,3,FALSE)/24,0)+IFERROR(VLOOKUP($B110,CDM!$L$33:$O$44,3,FALSE)/2*$C110/78,0)</f>
        <v>658318.08491470921</v>
      </c>
      <c r="J110" s="8">
        <f t="shared" si="51"/>
        <v>13563555.004914708</v>
      </c>
      <c r="K110" s="8">
        <v>4282</v>
      </c>
      <c r="L110" s="8">
        <v>31082169.882999998</v>
      </c>
      <c r="M110" s="8">
        <f>IFERROR(VLOOKUP($B110-1,CDM!$L$4:$R$15,4,FALSE)/12,0)+IFERROR(VLOOKUP($B110,CDM!$L$33:$O$44,4,FALSE)/24,0)+IFERROR(VLOOKUP($B110,CDM!$L$33:$O$44,4,FALSE)/2*$C110/78,0)</f>
        <v>2243298.8631219231</v>
      </c>
      <c r="N110" s="8">
        <f t="shared" si="52"/>
        <v>33325468.746121921</v>
      </c>
      <c r="O110" s="4">
        <v>68475.179999999993</v>
      </c>
      <c r="P110" s="8">
        <v>486</v>
      </c>
      <c r="Q110" s="8">
        <v>389073.47</v>
      </c>
      <c r="R110" s="420">
        <v>840.45</v>
      </c>
      <c r="S110" s="8">
        <v>10174</v>
      </c>
      <c r="T110" s="8">
        <v>28024.25</v>
      </c>
      <c r="U110" s="420">
        <v>75.77</v>
      </c>
      <c r="V110" s="8">
        <v>349</v>
      </c>
      <c r="W110" s="8">
        <v>78702</v>
      </c>
      <c r="X110" s="8">
        <v>261</v>
      </c>
      <c r="Y110" s="8">
        <f>Weather!C110</f>
        <v>862.82150117675701</v>
      </c>
      <c r="Z110" s="8">
        <f>Weather!D110</f>
        <v>0</v>
      </c>
      <c r="AA110" s="8">
        <f>Weather!E110</f>
        <v>800.82150117675724</v>
      </c>
      <c r="AB110" s="8">
        <f>Weather!F110</f>
        <v>0</v>
      </c>
      <c r="AC110" s="8">
        <f>Weather!G110</f>
        <v>738.82150117675724</v>
      </c>
      <c r="AD110" s="8">
        <f>Weather!H110</f>
        <v>0</v>
      </c>
      <c r="AE110" s="8">
        <f>Weather!I110</f>
        <v>676.82150117675701</v>
      </c>
      <c r="AF110" s="8">
        <f>Weather!J110</f>
        <v>0</v>
      </c>
      <c r="AG110" s="8">
        <f>Weather!K110</f>
        <v>614.82150117675712</v>
      </c>
      <c r="AH110" s="8">
        <f>Weather!L110</f>
        <v>0</v>
      </c>
      <c r="AI110" s="8">
        <f>Weather!M110</f>
        <v>552.82150117675701</v>
      </c>
      <c r="AJ110" s="8">
        <f>Weather!N110</f>
        <v>0</v>
      </c>
      <c r="AK110" s="8">
        <f>Weather!O110</f>
        <v>490.82150117675701</v>
      </c>
      <c r="AL110" s="8">
        <f>Weather!P110</f>
        <v>0</v>
      </c>
      <c r="AM110" s="2">
        <f>Weather!Q110</f>
        <v>-7.8329516508631301</v>
      </c>
      <c r="AN110" s="8">
        <f>Economic!C110</f>
        <v>7807</v>
      </c>
      <c r="AO110" s="8">
        <f>Economic!D110</f>
        <v>7776.6</v>
      </c>
      <c r="AP110" s="8">
        <f>Economic!E110</f>
        <v>86.9</v>
      </c>
      <c r="AQ110" s="8">
        <f>Economic!F110</f>
        <v>87.1</v>
      </c>
      <c r="AR110" s="8">
        <f>Economic!G110</f>
        <v>852729.2</v>
      </c>
      <c r="AS110" s="8">
        <f>Economic!H110</f>
        <v>6918.4</v>
      </c>
      <c r="AT110" s="8">
        <f>Economic!I110</f>
        <v>860658</v>
      </c>
      <c r="AU110" s="8">
        <f>Economic!J110</f>
        <v>7392</v>
      </c>
      <c r="AV110" s="1">
        <f t="shared" si="56"/>
        <v>109</v>
      </c>
      <c r="AW110" s="1">
        <f t="shared" ref="AW110:BN110" si="96">AW98</f>
        <v>1</v>
      </c>
      <c r="AX110" s="1">
        <f t="shared" si="96"/>
        <v>0</v>
      </c>
      <c r="AY110" s="1">
        <f t="shared" si="96"/>
        <v>0</v>
      </c>
      <c r="AZ110" s="1">
        <f t="shared" si="96"/>
        <v>0</v>
      </c>
      <c r="BA110" s="1">
        <f t="shared" si="96"/>
        <v>0</v>
      </c>
      <c r="BB110" s="1">
        <f t="shared" si="96"/>
        <v>0</v>
      </c>
      <c r="BC110" s="1">
        <f t="shared" si="96"/>
        <v>0</v>
      </c>
      <c r="BD110" s="1">
        <f t="shared" si="96"/>
        <v>0</v>
      </c>
      <c r="BE110" s="1">
        <f t="shared" si="96"/>
        <v>0</v>
      </c>
      <c r="BF110" s="1">
        <f t="shared" si="96"/>
        <v>0</v>
      </c>
      <c r="BG110" s="1">
        <f t="shared" si="96"/>
        <v>0</v>
      </c>
      <c r="BH110" s="1">
        <f t="shared" si="96"/>
        <v>0</v>
      </c>
      <c r="BI110" s="1">
        <f t="shared" si="96"/>
        <v>0</v>
      </c>
      <c r="BJ110" s="1">
        <f t="shared" si="96"/>
        <v>0</v>
      </c>
      <c r="BK110" s="1">
        <f t="shared" si="96"/>
        <v>0</v>
      </c>
      <c r="BL110" s="1">
        <f t="shared" si="96"/>
        <v>0</v>
      </c>
      <c r="BM110" s="1">
        <f t="shared" si="96"/>
        <v>0</v>
      </c>
      <c r="BN110" s="1">
        <f t="shared" si="96"/>
        <v>0</v>
      </c>
      <c r="BO110" s="1">
        <f t="shared" si="58"/>
        <v>31</v>
      </c>
      <c r="BP110" s="1">
        <v>21</v>
      </c>
      <c r="BQ110">
        <v>0</v>
      </c>
      <c r="BR110">
        <v>0</v>
      </c>
      <c r="BS110">
        <v>0.25</v>
      </c>
      <c r="BT110">
        <v>0</v>
      </c>
      <c r="BU110" s="126">
        <f t="shared" si="35"/>
        <v>0</v>
      </c>
      <c r="BV110" s="126">
        <f t="shared" si="36"/>
        <v>0</v>
      </c>
      <c r="BW110" s="126">
        <f t="shared" si="37"/>
        <v>0</v>
      </c>
      <c r="BX110" s="126">
        <f t="shared" si="38"/>
        <v>0</v>
      </c>
      <c r="BY110" s="126">
        <f t="shared" si="39"/>
        <v>0</v>
      </c>
      <c r="BZ110" s="126">
        <f t="shared" si="40"/>
        <v>0</v>
      </c>
      <c r="CA110" s="126">
        <f t="shared" si="41"/>
        <v>0</v>
      </c>
      <c r="CB110" s="126">
        <f t="shared" si="42"/>
        <v>0</v>
      </c>
      <c r="CC110" s="126">
        <f t="shared" si="43"/>
        <v>0</v>
      </c>
      <c r="CD110" s="126">
        <f t="shared" si="44"/>
        <v>0</v>
      </c>
      <c r="CE110" s="126">
        <f t="shared" si="45"/>
        <v>0</v>
      </c>
      <c r="CF110" s="126">
        <f t="shared" si="46"/>
        <v>0</v>
      </c>
      <c r="CG110" s="126">
        <f t="shared" si="47"/>
        <v>0</v>
      </c>
      <c r="CH110" s="126">
        <f t="shared" si="48"/>
        <v>0</v>
      </c>
      <c r="CI110" s="66">
        <f t="shared" si="82"/>
        <v>1338719.4071714922</v>
      </c>
      <c r="CJ110" s="66">
        <f t="shared" si="83"/>
        <v>416297.96516129031</v>
      </c>
      <c r="CK110" s="66">
        <f t="shared" si="84"/>
        <v>1075015.1208426426</v>
      </c>
    </row>
    <row r="111" spans="1:89" x14ac:dyDescent="0.2">
      <c r="A111" s="101">
        <v>44958</v>
      </c>
      <c r="B111" s="1">
        <f t="shared" si="54"/>
        <v>2023</v>
      </c>
      <c r="C111" s="1">
        <f t="shared" si="55"/>
        <v>2</v>
      </c>
      <c r="D111" s="8">
        <v>36008276.280000001</v>
      </c>
      <c r="E111" s="8">
        <f>IFERROR(VLOOKUP($B111-1,CDM!$L$4:$R$15,2,FALSE)/12,0)+IFERROR(VLOOKUP($B111,CDM!$L$33:$O$44,2,FALSE)/24,0)+IFERROR(VLOOKUP($B111,CDM!$L$33:$O$44,2,FALSE)/2*$C111/78,0)</f>
        <v>1612017.0028164687</v>
      </c>
      <c r="F111" s="8">
        <f t="shared" si="50"/>
        <v>37620293.28281647</v>
      </c>
      <c r="G111" s="8">
        <v>43224</v>
      </c>
      <c r="H111" s="8">
        <v>11829459.880000001</v>
      </c>
      <c r="I111" s="8">
        <f>IFERROR(VLOOKUP($B111-1,CDM!$L$4:$R$15,3,FALSE)/12,0)+IFERROR(VLOOKUP($B111,CDM!$L$33:$O$44,3,FALSE)/24,0)+IFERROR(VLOOKUP($B111,CDM!$L$33:$O$44,3,FALSE)/2*$C111/78,0)</f>
        <v>662914.38399778598</v>
      </c>
      <c r="J111" s="8">
        <f t="shared" si="51"/>
        <v>12492374.263997788</v>
      </c>
      <c r="K111" s="8">
        <v>4280</v>
      </c>
      <c r="L111" s="8">
        <v>28581943.862999998</v>
      </c>
      <c r="M111" s="8">
        <f>IFERROR(VLOOKUP($B111-1,CDM!$L$4:$R$15,4,FALSE)/12,0)+IFERROR(VLOOKUP($B111,CDM!$L$33:$O$44,4,FALSE)/24,0)+IFERROR(VLOOKUP($B111,CDM!$L$33:$O$44,4,FALSE)/2*$C111/78,0)</f>
        <v>2255212.3966828021</v>
      </c>
      <c r="N111" s="8">
        <f t="shared" si="52"/>
        <v>30837156.259682801</v>
      </c>
      <c r="O111" s="4">
        <v>71579.640000000014</v>
      </c>
      <c r="P111" s="8">
        <v>486</v>
      </c>
      <c r="Q111" s="8">
        <v>321802.98</v>
      </c>
      <c r="R111" s="420">
        <v>841.2</v>
      </c>
      <c r="S111" s="8">
        <v>10175</v>
      </c>
      <c r="T111" s="8">
        <v>24888.85</v>
      </c>
      <c r="U111" s="420">
        <v>74.510000000000005</v>
      </c>
      <c r="V111" s="8">
        <v>349</v>
      </c>
      <c r="W111" s="8">
        <v>71091</v>
      </c>
      <c r="X111" s="8">
        <v>261</v>
      </c>
      <c r="Y111" s="8">
        <f>Weather!C111</f>
        <v>811.82499999999993</v>
      </c>
      <c r="Z111" s="8">
        <f>Weather!D111</f>
        <v>0</v>
      </c>
      <c r="AA111" s="8">
        <f>Weather!E111</f>
        <v>755.82499999999993</v>
      </c>
      <c r="AB111" s="8">
        <f>Weather!F111</f>
        <v>0</v>
      </c>
      <c r="AC111" s="8">
        <f>Weather!G111</f>
        <v>699.82499999999993</v>
      </c>
      <c r="AD111" s="8">
        <f>Weather!H111</f>
        <v>0</v>
      </c>
      <c r="AE111" s="8">
        <f>Weather!I111</f>
        <v>643.82499999999993</v>
      </c>
      <c r="AF111" s="8">
        <f>Weather!J111</f>
        <v>0</v>
      </c>
      <c r="AG111" s="8">
        <f>Weather!K111</f>
        <v>587.82499999999993</v>
      </c>
      <c r="AH111" s="8">
        <f>Weather!L111</f>
        <v>0</v>
      </c>
      <c r="AI111" s="8">
        <f>Weather!M111</f>
        <v>531.82499999999993</v>
      </c>
      <c r="AJ111" s="8">
        <f>Weather!N111</f>
        <v>0</v>
      </c>
      <c r="AK111" s="8">
        <f>Weather!O111</f>
        <v>475.82499999999993</v>
      </c>
      <c r="AL111" s="8">
        <f>Weather!P111</f>
        <v>0</v>
      </c>
      <c r="AM111" s="2">
        <f>Weather!Q111</f>
        <v>-8.9937499999999986</v>
      </c>
      <c r="AN111" s="8">
        <f>Economic!C111</f>
        <v>7840.7</v>
      </c>
      <c r="AO111" s="8">
        <f>Economic!D111</f>
        <v>7780.5</v>
      </c>
      <c r="AP111" s="8">
        <f>Economic!E111</f>
        <v>87.8</v>
      </c>
      <c r="AQ111" s="8">
        <f>Economic!F111</f>
        <v>87.5</v>
      </c>
      <c r="AR111" s="8">
        <f>Economic!G111</f>
        <v>852729.2</v>
      </c>
      <c r="AS111" s="8">
        <f>Economic!H111</f>
        <v>6918.4</v>
      </c>
      <c r="AT111" s="8">
        <f>Economic!I111</f>
        <v>860658</v>
      </c>
      <c r="AU111" s="8">
        <f>Economic!J111</f>
        <v>7392</v>
      </c>
      <c r="AV111" s="1">
        <f t="shared" si="56"/>
        <v>110</v>
      </c>
      <c r="AW111" s="1">
        <f t="shared" ref="AW111:BN111" si="97">AW99</f>
        <v>0</v>
      </c>
      <c r="AX111" s="1">
        <f t="shared" si="97"/>
        <v>1</v>
      </c>
      <c r="AY111" s="1">
        <f t="shared" si="97"/>
        <v>0</v>
      </c>
      <c r="AZ111" s="1">
        <f t="shared" si="97"/>
        <v>0</v>
      </c>
      <c r="BA111" s="1">
        <f t="shared" si="97"/>
        <v>0</v>
      </c>
      <c r="BB111" s="1">
        <f t="shared" si="97"/>
        <v>0</v>
      </c>
      <c r="BC111" s="1">
        <f t="shared" si="97"/>
        <v>0</v>
      </c>
      <c r="BD111" s="1">
        <f t="shared" si="97"/>
        <v>0</v>
      </c>
      <c r="BE111" s="1">
        <f t="shared" si="97"/>
        <v>0</v>
      </c>
      <c r="BF111" s="1">
        <f t="shared" si="97"/>
        <v>0</v>
      </c>
      <c r="BG111" s="1">
        <f t="shared" si="97"/>
        <v>0</v>
      </c>
      <c r="BH111" s="1">
        <f t="shared" si="97"/>
        <v>0</v>
      </c>
      <c r="BI111" s="1">
        <f t="shared" si="97"/>
        <v>0</v>
      </c>
      <c r="BJ111" s="1">
        <f t="shared" si="97"/>
        <v>0</v>
      </c>
      <c r="BK111" s="1">
        <f t="shared" si="97"/>
        <v>0</v>
      </c>
      <c r="BL111" s="1">
        <f t="shared" si="97"/>
        <v>0</v>
      </c>
      <c r="BM111" s="1">
        <f t="shared" si="97"/>
        <v>0</v>
      </c>
      <c r="BN111" s="1">
        <f t="shared" si="97"/>
        <v>0</v>
      </c>
      <c r="BO111" s="1">
        <f t="shared" si="58"/>
        <v>28</v>
      </c>
      <c r="BP111" s="1">
        <v>19</v>
      </c>
      <c r="BQ111">
        <v>0</v>
      </c>
      <c r="BR111">
        <v>0</v>
      </c>
      <c r="BS111">
        <v>0.25</v>
      </c>
      <c r="BT111">
        <v>0</v>
      </c>
      <c r="BU111" s="126">
        <f t="shared" si="35"/>
        <v>0</v>
      </c>
      <c r="BV111" s="126">
        <f t="shared" si="36"/>
        <v>0</v>
      </c>
      <c r="BW111" s="126">
        <f t="shared" si="37"/>
        <v>0</v>
      </c>
      <c r="BX111" s="126">
        <f t="shared" si="38"/>
        <v>0</v>
      </c>
      <c r="BY111" s="126">
        <f t="shared" si="39"/>
        <v>0</v>
      </c>
      <c r="BZ111" s="126">
        <f t="shared" si="40"/>
        <v>0</v>
      </c>
      <c r="CA111" s="126">
        <f t="shared" si="41"/>
        <v>0</v>
      </c>
      <c r="CB111" s="126">
        <f t="shared" si="42"/>
        <v>0</v>
      </c>
      <c r="CC111" s="126">
        <f t="shared" si="43"/>
        <v>0</v>
      </c>
      <c r="CD111" s="126">
        <f t="shared" si="44"/>
        <v>0</v>
      </c>
      <c r="CE111" s="126">
        <f t="shared" si="45"/>
        <v>0</v>
      </c>
      <c r="CF111" s="126">
        <f t="shared" si="46"/>
        <v>0</v>
      </c>
      <c r="CG111" s="126">
        <f t="shared" si="47"/>
        <v>0</v>
      </c>
      <c r="CH111" s="126">
        <f t="shared" si="48"/>
        <v>0</v>
      </c>
      <c r="CI111" s="66">
        <f t="shared" si="82"/>
        <v>1343581.9029577312</v>
      </c>
      <c r="CJ111" s="66">
        <f t="shared" si="83"/>
        <v>422480.71</v>
      </c>
      <c r="CK111" s="66">
        <f t="shared" si="84"/>
        <v>1101327.0092743856</v>
      </c>
    </row>
    <row r="112" spans="1:89" x14ac:dyDescent="0.2">
      <c r="A112" s="101">
        <v>44986</v>
      </c>
      <c r="B112" s="1">
        <f t="shared" si="54"/>
        <v>2023</v>
      </c>
      <c r="C112" s="1">
        <f t="shared" si="55"/>
        <v>3</v>
      </c>
      <c r="D112" s="8">
        <v>36118655.640000001</v>
      </c>
      <c r="E112" s="8">
        <f>IFERROR(VLOOKUP($B112-1,CDM!$L$4:$R$15,2,FALSE)/12,0)+IFERROR(VLOOKUP($B112,CDM!$L$33:$O$44,2,FALSE)/24,0)+IFERROR(VLOOKUP($B112,CDM!$L$33:$O$44,2,FALSE)/2*$C112/78,0)</f>
        <v>1612734.4533166827</v>
      </c>
      <c r="F112" s="8">
        <f t="shared" si="50"/>
        <v>37731390.093316682</v>
      </c>
      <c r="G112" s="8">
        <v>43237</v>
      </c>
      <c r="H112" s="8">
        <v>12251194.9</v>
      </c>
      <c r="I112" s="8">
        <f>IFERROR(VLOOKUP($B112-1,CDM!$L$4:$R$15,3,FALSE)/12,0)+IFERROR(VLOOKUP($B112,CDM!$L$33:$O$44,3,FALSE)/24,0)+IFERROR(VLOOKUP($B112,CDM!$L$33:$O$44,3,FALSE)/2*$C112/78,0)</f>
        <v>667510.68308086286</v>
      </c>
      <c r="J112" s="8">
        <f t="shared" si="51"/>
        <v>12918705.583080864</v>
      </c>
      <c r="K112" s="8">
        <v>4275</v>
      </c>
      <c r="L112" s="8">
        <v>30124616.18</v>
      </c>
      <c r="M112" s="8">
        <f>IFERROR(VLOOKUP($B112-1,CDM!$L$4:$R$15,4,FALSE)/12,0)+IFERROR(VLOOKUP($B112,CDM!$L$33:$O$44,4,FALSE)/24,0)+IFERROR(VLOOKUP($B112,CDM!$L$33:$O$44,4,FALSE)/2*$C112/78,0)</f>
        <v>2267125.9302436812</v>
      </c>
      <c r="N112" s="8">
        <f t="shared" si="52"/>
        <v>32391742.110243682</v>
      </c>
      <c r="O112" s="4">
        <v>64866.000000000007</v>
      </c>
      <c r="P112" s="8">
        <v>492</v>
      </c>
      <c r="Q112" s="8">
        <v>315473.51</v>
      </c>
      <c r="R112" s="420">
        <v>843.06</v>
      </c>
      <c r="S112" s="8">
        <v>10180</v>
      </c>
      <c r="T112" s="8">
        <v>27555.53</v>
      </c>
      <c r="U112" s="420">
        <v>74.510000000000005</v>
      </c>
      <c r="V112" s="8">
        <v>349</v>
      </c>
      <c r="W112" s="8">
        <v>78616.14</v>
      </c>
      <c r="X112" s="8">
        <v>261</v>
      </c>
      <c r="Y112" s="8">
        <f>Weather!C112</f>
        <v>757.93333333333317</v>
      </c>
      <c r="Z112" s="8">
        <f>Weather!D112</f>
        <v>0</v>
      </c>
      <c r="AA112" s="8">
        <f>Weather!E112</f>
        <v>695.93333333333317</v>
      </c>
      <c r="AB112" s="8">
        <f>Weather!F112</f>
        <v>0</v>
      </c>
      <c r="AC112" s="8">
        <f>Weather!G112</f>
        <v>633.93333333333328</v>
      </c>
      <c r="AD112" s="8">
        <f>Weather!H112</f>
        <v>0</v>
      </c>
      <c r="AE112" s="8">
        <f>Weather!I112</f>
        <v>571.93333333333339</v>
      </c>
      <c r="AF112" s="8">
        <f>Weather!J112</f>
        <v>0</v>
      </c>
      <c r="AG112" s="8">
        <f>Weather!K112</f>
        <v>509.93333333333345</v>
      </c>
      <c r="AH112" s="8">
        <f>Weather!L112</f>
        <v>0</v>
      </c>
      <c r="AI112" s="8">
        <f>Weather!M112</f>
        <v>447.93333333333351</v>
      </c>
      <c r="AJ112" s="8">
        <f>Weather!N112</f>
        <v>0</v>
      </c>
      <c r="AK112" s="8">
        <f>Weather!O112</f>
        <v>385.93333333333351</v>
      </c>
      <c r="AL112" s="8">
        <f>Weather!P112</f>
        <v>0</v>
      </c>
      <c r="AM112" s="2">
        <f>Weather!Q112</f>
        <v>-4.4494623655913985</v>
      </c>
      <c r="AN112" s="8">
        <f>Economic!C112</f>
        <v>7866.6</v>
      </c>
      <c r="AO112" s="8">
        <f>Economic!D112</f>
        <v>7781.3</v>
      </c>
      <c r="AP112" s="8">
        <f>Economic!E112</f>
        <v>88</v>
      </c>
      <c r="AQ112" s="8">
        <f>Economic!F112</f>
        <v>87.8</v>
      </c>
      <c r="AR112" s="8">
        <f>Economic!G112</f>
        <v>852729.2</v>
      </c>
      <c r="AS112" s="8">
        <f>Economic!H112</f>
        <v>6918.4</v>
      </c>
      <c r="AT112" s="8">
        <f>Economic!I112</f>
        <v>860658</v>
      </c>
      <c r="AU112" s="8">
        <f>Economic!J112</f>
        <v>7392</v>
      </c>
      <c r="AV112" s="1">
        <f t="shared" si="56"/>
        <v>111</v>
      </c>
      <c r="AW112" s="1">
        <f t="shared" ref="AW112:BN112" si="98">AW100</f>
        <v>0</v>
      </c>
      <c r="AX112" s="1">
        <f t="shared" si="98"/>
        <v>0</v>
      </c>
      <c r="AY112" s="1">
        <f t="shared" si="98"/>
        <v>1</v>
      </c>
      <c r="AZ112" s="1">
        <f t="shared" si="98"/>
        <v>0</v>
      </c>
      <c r="BA112" s="1">
        <f t="shared" si="98"/>
        <v>0</v>
      </c>
      <c r="BB112" s="1">
        <f t="shared" si="98"/>
        <v>0</v>
      </c>
      <c r="BC112" s="1">
        <f t="shared" si="98"/>
        <v>0</v>
      </c>
      <c r="BD112" s="1">
        <f t="shared" si="98"/>
        <v>0</v>
      </c>
      <c r="BE112" s="1">
        <f t="shared" si="98"/>
        <v>0</v>
      </c>
      <c r="BF112" s="1">
        <f t="shared" si="98"/>
        <v>0</v>
      </c>
      <c r="BG112" s="1">
        <f t="shared" si="98"/>
        <v>0</v>
      </c>
      <c r="BH112" s="1">
        <f t="shared" si="98"/>
        <v>0</v>
      </c>
      <c r="BI112" s="1">
        <f t="shared" si="98"/>
        <v>1</v>
      </c>
      <c r="BJ112" s="1">
        <f t="shared" si="98"/>
        <v>0</v>
      </c>
      <c r="BK112" s="1">
        <f t="shared" si="98"/>
        <v>1</v>
      </c>
      <c r="BL112" s="1">
        <f t="shared" si="98"/>
        <v>0</v>
      </c>
      <c r="BM112" s="1">
        <f t="shared" si="98"/>
        <v>0</v>
      </c>
      <c r="BN112" s="1">
        <f t="shared" si="98"/>
        <v>0</v>
      </c>
      <c r="BO112" s="1">
        <f t="shared" si="58"/>
        <v>31</v>
      </c>
      <c r="BP112" s="1">
        <v>23</v>
      </c>
      <c r="BQ112">
        <v>0</v>
      </c>
      <c r="BR112">
        <v>0</v>
      </c>
      <c r="BS112">
        <v>0.25</v>
      </c>
      <c r="BT112">
        <v>0</v>
      </c>
      <c r="BU112" s="126">
        <f t="shared" si="35"/>
        <v>0</v>
      </c>
      <c r="BV112" s="126">
        <f t="shared" si="36"/>
        <v>0</v>
      </c>
      <c r="BW112" s="126">
        <f t="shared" si="37"/>
        <v>0</v>
      </c>
      <c r="BX112" s="126">
        <f t="shared" si="38"/>
        <v>0</v>
      </c>
      <c r="BY112" s="126">
        <f t="shared" si="39"/>
        <v>0</v>
      </c>
      <c r="BZ112" s="126">
        <f t="shared" si="40"/>
        <v>0</v>
      </c>
      <c r="CA112" s="126">
        <f t="shared" si="41"/>
        <v>0</v>
      </c>
      <c r="CB112" s="126">
        <f t="shared" si="42"/>
        <v>0</v>
      </c>
      <c r="CC112" s="126">
        <f t="shared" si="43"/>
        <v>0</v>
      </c>
      <c r="CD112" s="126">
        <f t="shared" si="44"/>
        <v>0</v>
      </c>
      <c r="CE112" s="126">
        <f t="shared" si="45"/>
        <v>0</v>
      </c>
      <c r="CF112" s="126">
        <f t="shared" si="46"/>
        <v>0</v>
      </c>
      <c r="CG112" s="126">
        <f t="shared" si="47"/>
        <v>0</v>
      </c>
      <c r="CH112" s="126">
        <f t="shared" si="48"/>
        <v>0</v>
      </c>
      <c r="CI112" s="66">
        <f t="shared" si="82"/>
        <v>1217141.6159134414</v>
      </c>
      <c r="CJ112" s="66">
        <f t="shared" si="83"/>
        <v>395199.83548387099</v>
      </c>
      <c r="CK112" s="66">
        <f t="shared" si="84"/>
        <v>1044894.9067820542</v>
      </c>
    </row>
    <row r="113" spans="1:89" x14ac:dyDescent="0.2">
      <c r="A113" s="101">
        <v>45017</v>
      </c>
      <c r="B113" s="1">
        <f t="shared" si="54"/>
        <v>2023</v>
      </c>
      <c r="C113" s="1">
        <f t="shared" si="55"/>
        <v>4</v>
      </c>
      <c r="D113" s="8">
        <v>29575071.25</v>
      </c>
      <c r="E113" s="8">
        <f>IFERROR(VLOOKUP($B113-1,CDM!$L$4:$R$15,2,FALSE)/12,0)+IFERROR(VLOOKUP($B113,CDM!$L$33:$O$44,2,FALSE)/24,0)+IFERROR(VLOOKUP($B113,CDM!$L$33:$O$44,2,FALSE)/2*$C113/78,0)</f>
        <v>1613451.903816897</v>
      </c>
      <c r="F113" s="8">
        <f t="shared" si="50"/>
        <v>31188523.153816897</v>
      </c>
      <c r="G113" s="8">
        <v>43238</v>
      </c>
      <c r="H113" s="8">
        <v>11240362.689999999</v>
      </c>
      <c r="I113" s="8">
        <f>IFERROR(VLOOKUP($B113-1,CDM!$L$4:$R$15,3,FALSE)/12,0)+IFERROR(VLOOKUP($B113,CDM!$L$33:$O$44,3,FALSE)/24,0)+IFERROR(VLOOKUP($B113,CDM!$L$33:$O$44,3,FALSE)/2*$C113/78,0)</f>
        <v>672106.98216393963</v>
      </c>
      <c r="J113" s="8">
        <f t="shared" si="51"/>
        <v>11912469.672163939</v>
      </c>
      <c r="K113" s="8">
        <v>4331</v>
      </c>
      <c r="L113" s="8">
        <v>25423229.961999997</v>
      </c>
      <c r="M113" s="8">
        <f>IFERROR(VLOOKUP($B113-1,CDM!$L$4:$R$15,4,FALSE)/12,0)+IFERROR(VLOOKUP($B113,CDM!$L$33:$O$44,4,FALSE)/24,0)+IFERROR(VLOOKUP($B113,CDM!$L$33:$O$44,4,FALSE)/2*$C113/78,0)</f>
        <v>2279039.4638045602</v>
      </c>
      <c r="N113" s="8">
        <f t="shared" si="52"/>
        <v>27702269.425804559</v>
      </c>
      <c r="O113" s="4">
        <v>64560.71</v>
      </c>
      <c r="P113" s="8">
        <v>437</v>
      </c>
      <c r="Q113" s="8">
        <v>263371.56</v>
      </c>
      <c r="R113" s="420">
        <v>843.19</v>
      </c>
      <c r="S113" s="8">
        <v>10191</v>
      </c>
      <c r="T113" s="8">
        <v>26666.639999999999</v>
      </c>
      <c r="U113" s="420">
        <v>74.510000000000005</v>
      </c>
      <c r="V113" s="8">
        <v>349</v>
      </c>
      <c r="W113" s="8">
        <v>75976.86</v>
      </c>
      <c r="X113" s="8">
        <v>260</v>
      </c>
      <c r="Y113" s="8">
        <f>Weather!C113</f>
        <v>490.43541666666664</v>
      </c>
      <c r="Z113" s="8">
        <f>Weather!D113</f>
        <v>0</v>
      </c>
      <c r="AA113" s="8">
        <f>Weather!E113</f>
        <v>430.43541666666664</v>
      </c>
      <c r="AB113" s="8">
        <f>Weather!F113</f>
        <v>0</v>
      </c>
      <c r="AC113" s="8">
        <f>Weather!G113</f>
        <v>370.55208333333326</v>
      </c>
      <c r="AD113" s="8">
        <f>Weather!H113</f>
        <v>0.11666666666666714</v>
      </c>
      <c r="AE113" s="8">
        <f>Weather!I113</f>
        <v>313.46458333333328</v>
      </c>
      <c r="AF113" s="8">
        <f>Weather!J113</f>
        <v>3.0291666666666668</v>
      </c>
      <c r="AG113" s="8">
        <f>Weather!K113</f>
        <v>257.67291666666665</v>
      </c>
      <c r="AH113" s="8">
        <f>Weather!L113</f>
        <v>7.2375000000000007</v>
      </c>
      <c r="AI113" s="8">
        <f>Weather!M113</f>
        <v>205.87291666666664</v>
      </c>
      <c r="AJ113" s="8">
        <f>Weather!N113</f>
        <v>15.4375</v>
      </c>
      <c r="AK113" s="8">
        <f>Weather!O113</f>
        <v>158.83541666666665</v>
      </c>
      <c r="AL113" s="8">
        <f>Weather!P113</f>
        <v>28.4</v>
      </c>
      <c r="AM113" s="2">
        <f>Weather!Q113</f>
        <v>3.6521527777777774</v>
      </c>
      <c r="AN113" s="8">
        <f>Economic!C113</f>
        <v>7884.3</v>
      </c>
      <c r="AO113" s="8">
        <f>Economic!D113</f>
        <v>7819.6</v>
      </c>
      <c r="AP113" s="8">
        <f>Economic!E113</f>
        <v>87.9</v>
      </c>
      <c r="AQ113" s="8">
        <f>Economic!F113</f>
        <v>87.9</v>
      </c>
      <c r="AR113" s="8">
        <f>Economic!G113</f>
        <v>852729.2</v>
      </c>
      <c r="AS113" s="8">
        <f>Economic!H113</f>
        <v>6918.4</v>
      </c>
      <c r="AT113" s="8">
        <f>Economic!I113</f>
        <v>865503</v>
      </c>
      <c r="AU113" s="8">
        <f>Economic!J113</f>
        <v>7118</v>
      </c>
      <c r="AV113" s="1">
        <f t="shared" si="56"/>
        <v>112</v>
      </c>
      <c r="AW113" s="1">
        <f t="shared" ref="AW113:BN113" si="99">AW101</f>
        <v>0</v>
      </c>
      <c r="AX113" s="1">
        <f t="shared" si="99"/>
        <v>0</v>
      </c>
      <c r="AY113" s="1">
        <f t="shared" si="99"/>
        <v>0</v>
      </c>
      <c r="AZ113" s="1">
        <f t="shared" si="99"/>
        <v>1</v>
      </c>
      <c r="BA113" s="1">
        <f t="shared" si="99"/>
        <v>0</v>
      </c>
      <c r="BB113" s="1">
        <f t="shared" si="99"/>
        <v>0</v>
      </c>
      <c r="BC113" s="1">
        <f t="shared" si="99"/>
        <v>0</v>
      </c>
      <c r="BD113" s="1">
        <f t="shared" si="99"/>
        <v>0</v>
      </c>
      <c r="BE113" s="1">
        <f t="shared" si="99"/>
        <v>0</v>
      </c>
      <c r="BF113" s="1">
        <f t="shared" si="99"/>
        <v>0</v>
      </c>
      <c r="BG113" s="1">
        <f t="shared" si="99"/>
        <v>0</v>
      </c>
      <c r="BH113" s="1">
        <f t="shared" si="99"/>
        <v>0</v>
      </c>
      <c r="BI113" s="1">
        <f t="shared" si="99"/>
        <v>1</v>
      </c>
      <c r="BJ113" s="1">
        <f t="shared" si="99"/>
        <v>0</v>
      </c>
      <c r="BK113" s="1">
        <f t="shared" si="99"/>
        <v>1</v>
      </c>
      <c r="BL113" s="1">
        <f t="shared" si="99"/>
        <v>1</v>
      </c>
      <c r="BM113" s="1">
        <f t="shared" si="99"/>
        <v>0</v>
      </c>
      <c r="BN113" s="1">
        <f t="shared" si="99"/>
        <v>1</v>
      </c>
      <c r="BO113" s="1">
        <f t="shared" si="58"/>
        <v>30</v>
      </c>
      <c r="BP113" s="1">
        <v>19</v>
      </c>
      <c r="BQ113">
        <v>0</v>
      </c>
      <c r="BR113">
        <v>0</v>
      </c>
      <c r="BS113">
        <v>0.25</v>
      </c>
      <c r="BT113">
        <v>0</v>
      </c>
      <c r="BU113" s="126">
        <f t="shared" si="35"/>
        <v>0</v>
      </c>
      <c r="BV113" s="126">
        <f t="shared" si="36"/>
        <v>0</v>
      </c>
      <c r="BW113" s="126">
        <f t="shared" si="37"/>
        <v>0</v>
      </c>
      <c r="BX113" s="126">
        <f t="shared" si="38"/>
        <v>0</v>
      </c>
      <c r="BY113" s="126">
        <f t="shared" si="39"/>
        <v>0</v>
      </c>
      <c r="BZ113" s="126">
        <f t="shared" si="40"/>
        <v>0</v>
      </c>
      <c r="CA113" s="126">
        <f t="shared" si="41"/>
        <v>0</v>
      </c>
      <c r="CB113" s="126">
        <f t="shared" si="42"/>
        <v>0</v>
      </c>
      <c r="CC113" s="126">
        <f t="shared" si="43"/>
        <v>0</v>
      </c>
      <c r="CD113" s="126">
        <f t="shared" si="44"/>
        <v>0</v>
      </c>
      <c r="CE113" s="126">
        <f t="shared" si="45"/>
        <v>0</v>
      </c>
      <c r="CF113" s="126">
        <f t="shared" si="46"/>
        <v>0</v>
      </c>
      <c r="CG113" s="126">
        <f t="shared" si="47"/>
        <v>0</v>
      </c>
      <c r="CH113" s="126">
        <f t="shared" si="48"/>
        <v>0</v>
      </c>
      <c r="CI113" s="66">
        <f t="shared" si="82"/>
        <v>1039617.4384605632</v>
      </c>
      <c r="CJ113" s="66">
        <f t="shared" si="83"/>
        <v>374678.75633333332</v>
      </c>
      <c r="CK113" s="66">
        <f t="shared" si="84"/>
        <v>923408.98086015193</v>
      </c>
    </row>
    <row r="114" spans="1:89" x14ac:dyDescent="0.2">
      <c r="A114" s="101">
        <v>45047</v>
      </c>
      <c r="B114" s="1">
        <f t="shared" si="54"/>
        <v>2023</v>
      </c>
      <c r="C114" s="1">
        <f t="shared" si="55"/>
        <v>5</v>
      </c>
      <c r="D114" s="8">
        <v>26447363.559999999</v>
      </c>
      <c r="E114" s="8">
        <f>IFERROR(VLOOKUP($B114-1,CDM!$L$4:$R$15,2,FALSE)/12,0)+IFERROR(VLOOKUP($B114,CDM!$L$33:$O$44,2,FALSE)/24,0)+IFERROR(VLOOKUP($B114,CDM!$L$33:$O$44,2,FALSE)/2*$C114/78,0)</f>
        <v>1614169.3543171112</v>
      </c>
      <c r="F114" s="8">
        <f t="shared" si="50"/>
        <v>28061532.914317109</v>
      </c>
      <c r="G114" s="8">
        <v>43252</v>
      </c>
      <c r="H114" s="8">
        <v>10829287.810000001</v>
      </c>
      <c r="I114" s="8">
        <f>IFERROR(VLOOKUP($B114-1,CDM!$L$4:$R$15,3,FALSE)/12,0)+IFERROR(VLOOKUP($B114,CDM!$L$33:$O$44,3,FALSE)/24,0)+IFERROR(VLOOKUP($B114,CDM!$L$33:$O$44,3,FALSE)/2*$C114/78,0)</f>
        <v>676703.28124701651</v>
      </c>
      <c r="J114" s="8">
        <f t="shared" si="51"/>
        <v>11505991.091247017</v>
      </c>
      <c r="K114" s="8">
        <v>4340</v>
      </c>
      <c r="L114" s="8">
        <v>24900636.294</v>
      </c>
      <c r="M114" s="8">
        <f>IFERROR(VLOOKUP($B114-1,CDM!$L$4:$R$15,4,FALSE)/12,0)+IFERROR(VLOOKUP($B114,CDM!$L$33:$O$44,4,FALSE)/24,0)+IFERROR(VLOOKUP($B114,CDM!$L$33:$O$44,4,FALSE)/2*$C114/78,0)</f>
        <v>2290952.9973654393</v>
      </c>
      <c r="N114" s="8">
        <f t="shared" si="52"/>
        <v>27191589.291365437</v>
      </c>
      <c r="O114" s="4">
        <v>67276.569999999992</v>
      </c>
      <c r="P114" s="8">
        <v>432</v>
      </c>
      <c r="Q114" s="8">
        <v>234746.16</v>
      </c>
      <c r="R114" s="420">
        <v>843.05000000000007</v>
      </c>
      <c r="S114" s="8">
        <v>10191</v>
      </c>
      <c r="T114" s="8">
        <v>27555.53</v>
      </c>
      <c r="U114" s="420">
        <v>74.510000000000005</v>
      </c>
      <c r="V114" s="8">
        <v>349</v>
      </c>
      <c r="W114" s="8">
        <v>78479.600000000006</v>
      </c>
      <c r="X114" s="8">
        <v>260</v>
      </c>
      <c r="Y114" s="8">
        <f>Weather!C114</f>
        <v>261.56666666666666</v>
      </c>
      <c r="Z114" s="8">
        <f>Weather!D114</f>
        <v>5.9479166666666714</v>
      </c>
      <c r="AA114" s="8">
        <f>Weather!E114</f>
        <v>206.96666666666667</v>
      </c>
      <c r="AB114" s="8">
        <f>Weather!F114</f>
        <v>13.347916666666674</v>
      </c>
      <c r="AC114" s="8">
        <f>Weather!G114</f>
        <v>154.73333333333329</v>
      </c>
      <c r="AD114" s="8">
        <f>Weather!H114</f>
        <v>23.114583333333339</v>
      </c>
      <c r="AE114" s="8">
        <f>Weather!I114</f>
        <v>110.7708333333333</v>
      </c>
      <c r="AF114" s="8">
        <f>Weather!J114</f>
        <v>41.152083333333337</v>
      </c>
      <c r="AG114" s="8">
        <f>Weather!K114</f>
        <v>70.770833333333329</v>
      </c>
      <c r="AH114" s="8">
        <f>Weather!L114</f>
        <v>63.152083333333337</v>
      </c>
      <c r="AI114" s="8">
        <f>Weather!M114</f>
        <v>37.537500000000009</v>
      </c>
      <c r="AJ114" s="8">
        <f>Weather!N114</f>
        <v>91.918750000000017</v>
      </c>
      <c r="AK114" s="8">
        <f>Weather!O114</f>
        <v>17.824999999999999</v>
      </c>
      <c r="AL114" s="8">
        <f>Weather!P114</f>
        <v>134.20625000000001</v>
      </c>
      <c r="AM114" s="2">
        <f>Weather!Q114</f>
        <v>11.754233870967743</v>
      </c>
      <c r="AN114" s="8">
        <f>Economic!C114</f>
        <v>7895.3</v>
      </c>
      <c r="AO114" s="8">
        <f>Economic!D114</f>
        <v>7882.6</v>
      </c>
      <c r="AP114" s="8">
        <f>Economic!E114</f>
        <v>87.8</v>
      </c>
      <c r="AQ114" s="8">
        <f>Economic!F114</f>
        <v>88.2</v>
      </c>
      <c r="AR114" s="8">
        <f>Economic!G114</f>
        <v>852729.2</v>
      </c>
      <c r="AS114" s="8">
        <f>Economic!H114</f>
        <v>6918.4</v>
      </c>
      <c r="AT114" s="8">
        <f>Economic!I114</f>
        <v>865503</v>
      </c>
      <c r="AU114" s="8">
        <f>Economic!J114</f>
        <v>7118</v>
      </c>
      <c r="AV114" s="1">
        <f t="shared" si="56"/>
        <v>113</v>
      </c>
      <c r="AW114" s="1">
        <f t="shared" ref="AW114:BN114" si="100">AW102</f>
        <v>0</v>
      </c>
      <c r="AX114" s="1">
        <f t="shared" si="100"/>
        <v>0</v>
      </c>
      <c r="AY114" s="1">
        <f t="shared" si="100"/>
        <v>0</v>
      </c>
      <c r="AZ114" s="1">
        <f t="shared" si="100"/>
        <v>0</v>
      </c>
      <c r="BA114" s="1">
        <f t="shared" si="100"/>
        <v>1</v>
      </c>
      <c r="BB114" s="1">
        <f t="shared" si="100"/>
        <v>0</v>
      </c>
      <c r="BC114" s="1">
        <f t="shared" si="100"/>
        <v>0</v>
      </c>
      <c r="BD114" s="1">
        <f t="shared" si="100"/>
        <v>0</v>
      </c>
      <c r="BE114" s="1">
        <f t="shared" si="100"/>
        <v>0</v>
      </c>
      <c r="BF114" s="1">
        <f t="shared" si="100"/>
        <v>0</v>
      </c>
      <c r="BG114" s="1">
        <f t="shared" si="100"/>
        <v>0</v>
      </c>
      <c r="BH114" s="1">
        <f t="shared" si="100"/>
        <v>0</v>
      </c>
      <c r="BI114" s="1">
        <f t="shared" si="100"/>
        <v>1</v>
      </c>
      <c r="BJ114" s="1">
        <f t="shared" si="100"/>
        <v>0</v>
      </c>
      <c r="BK114" s="1">
        <f t="shared" si="100"/>
        <v>1</v>
      </c>
      <c r="BL114" s="1">
        <f t="shared" si="100"/>
        <v>1</v>
      </c>
      <c r="BM114" s="1">
        <f t="shared" si="100"/>
        <v>0</v>
      </c>
      <c r="BN114" s="1">
        <f t="shared" si="100"/>
        <v>1</v>
      </c>
      <c r="BO114" s="1">
        <f t="shared" si="58"/>
        <v>31</v>
      </c>
      <c r="BP114" s="1">
        <v>22</v>
      </c>
      <c r="BQ114">
        <v>0</v>
      </c>
      <c r="BR114">
        <v>0</v>
      </c>
      <c r="BS114">
        <v>0.25</v>
      </c>
      <c r="BT114">
        <v>0</v>
      </c>
      <c r="BU114" s="126">
        <f t="shared" si="35"/>
        <v>0</v>
      </c>
      <c r="BV114" s="126">
        <f t="shared" si="36"/>
        <v>0</v>
      </c>
      <c r="BW114" s="126">
        <f t="shared" si="37"/>
        <v>0</v>
      </c>
      <c r="BX114" s="126">
        <f t="shared" si="38"/>
        <v>0</v>
      </c>
      <c r="BY114" s="126">
        <f t="shared" si="39"/>
        <v>0</v>
      </c>
      <c r="BZ114" s="126">
        <f t="shared" si="40"/>
        <v>0</v>
      </c>
      <c r="CA114" s="126">
        <f t="shared" si="41"/>
        <v>0</v>
      </c>
      <c r="CB114" s="126">
        <f t="shared" si="42"/>
        <v>0</v>
      </c>
      <c r="CC114" s="126">
        <f t="shared" si="43"/>
        <v>0</v>
      </c>
      <c r="CD114" s="126">
        <f t="shared" si="44"/>
        <v>0</v>
      </c>
      <c r="CE114" s="126">
        <f t="shared" si="45"/>
        <v>0</v>
      </c>
      <c r="CF114" s="126">
        <f t="shared" si="46"/>
        <v>0</v>
      </c>
      <c r="CG114" s="126">
        <f t="shared" si="47"/>
        <v>0</v>
      </c>
      <c r="CH114" s="126">
        <f t="shared" si="48"/>
        <v>0</v>
      </c>
      <c r="CI114" s="66">
        <f t="shared" si="82"/>
        <v>905210.73917151964</v>
      </c>
      <c r="CJ114" s="66">
        <f t="shared" si="83"/>
        <v>349331.86483870971</v>
      </c>
      <c r="CK114" s="66">
        <f t="shared" si="84"/>
        <v>877148.04165694956</v>
      </c>
    </row>
    <row r="115" spans="1:89" x14ac:dyDescent="0.2">
      <c r="A115" s="101">
        <v>45078</v>
      </c>
      <c r="B115" s="1">
        <f t="shared" si="54"/>
        <v>2023</v>
      </c>
      <c r="C115" s="1">
        <f t="shared" si="55"/>
        <v>6</v>
      </c>
      <c r="D115" s="8">
        <v>27292789.420000002</v>
      </c>
      <c r="E115" s="8">
        <f>IFERROR(VLOOKUP($B115-1,CDM!$L$4:$R$15,2,FALSE)/12,0)+IFERROR(VLOOKUP($B115,CDM!$L$33:$O$44,2,FALSE)/24,0)+IFERROR(VLOOKUP($B115,CDM!$L$33:$O$44,2,FALSE)/2*$C115/78,0)</f>
        <v>1614886.8048173254</v>
      </c>
      <c r="F115" s="8">
        <f t="shared" si="50"/>
        <v>28907676.224817328</v>
      </c>
      <c r="G115" s="8">
        <v>43260</v>
      </c>
      <c r="H115" s="8">
        <v>10843409.26</v>
      </c>
      <c r="I115" s="8">
        <f>IFERROR(VLOOKUP($B115-1,CDM!$L$4:$R$15,3,FALSE)/12,0)+IFERROR(VLOOKUP($B115,CDM!$L$33:$O$44,3,FALSE)/24,0)+IFERROR(VLOOKUP($B115,CDM!$L$33:$O$44,3,FALSE)/2*$C115/78,0)</f>
        <v>681299.58033009339</v>
      </c>
      <c r="J115" s="8">
        <f t="shared" si="51"/>
        <v>11524708.840330094</v>
      </c>
      <c r="K115" s="8">
        <v>4337</v>
      </c>
      <c r="L115" s="8">
        <v>25366811.919</v>
      </c>
      <c r="M115" s="8">
        <f>IFERROR(VLOOKUP($B115-1,CDM!$L$4:$R$15,4,FALSE)/12,0)+IFERROR(VLOOKUP($B115,CDM!$L$33:$O$44,4,FALSE)/24,0)+IFERROR(VLOOKUP($B115,CDM!$L$33:$O$44,4,FALSE)/2*$C115/78,0)</f>
        <v>2302866.5309263184</v>
      </c>
      <c r="N115" s="8">
        <f t="shared" si="52"/>
        <v>27669678.449926317</v>
      </c>
      <c r="O115" s="4">
        <v>67560.13</v>
      </c>
      <c r="P115" s="8">
        <v>432</v>
      </c>
      <c r="Q115" s="8">
        <v>208379.72</v>
      </c>
      <c r="R115" s="420">
        <v>842.96</v>
      </c>
      <c r="S115" s="8">
        <v>10192</v>
      </c>
      <c r="T115" s="8">
        <v>26666.639999999999</v>
      </c>
      <c r="U115" s="420">
        <v>74.510000000000005</v>
      </c>
      <c r="V115" s="8">
        <v>349</v>
      </c>
      <c r="W115" s="8">
        <v>75886.399999999994</v>
      </c>
      <c r="X115" s="8">
        <v>260</v>
      </c>
      <c r="Y115" s="8">
        <f>Weather!C115</f>
        <v>85.08054225504516</v>
      </c>
      <c r="Z115" s="8">
        <f>Weather!D115</f>
        <v>20.570833333333329</v>
      </c>
      <c r="AA115" s="8">
        <f>Weather!E115</f>
        <v>49.529166666666654</v>
      </c>
      <c r="AB115" s="8">
        <f>Weather!F115</f>
        <v>45.019457744954835</v>
      </c>
      <c r="AC115" s="8">
        <f>Weather!G115</f>
        <v>24.508333333333326</v>
      </c>
      <c r="AD115" s="8">
        <f>Weather!H115</f>
        <v>79.998624411621506</v>
      </c>
      <c r="AE115" s="8">
        <f>Weather!I115</f>
        <v>8.8625000000000007</v>
      </c>
      <c r="AF115" s="8">
        <f>Weather!J115</f>
        <v>124.35279107828819</v>
      </c>
      <c r="AG115" s="8">
        <f>Weather!K115</f>
        <v>3.9875000000000025</v>
      </c>
      <c r="AH115" s="8">
        <f>Weather!L115</f>
        <v>179.47779107828816</v>
      </c>
      <c r="AI115" s="8">
        <f>Weather!M115</f>
        <v>1.9875000000000025</v>
      </c>
      <c r="AJ115" s="8">
        <f>Weather!N115</f>
        <v>237.47779107828816</v>
      </c>
      <c r="AK115" s="8">
        <f>Weather!O115</f>
        <v>0</v>
      </c>
      <c r="AL115" s="8">
        <f>Weather!P115</f>
        <v>295.49029107828818</v>
      </c>
      <c r="AM115" s="2">
        <f>Weather!Q115</f>
        <v>17.849676369276267</v>
      </c>
      <c r="AN115" s="8">
        <f>Economic!C115</f>
        <v>7916.1</v>
      </c>
      <c r="AO115" s="8">
        <f>Economic!D115</f>
        <v>7971.2</v>
      </c>
      <c r="AP115" s="8">
        <f>Economic!E115</f>
        <v>86.5</v>
      </c>
      <c r="AQ115" s="8">
        <f>Economic!F115</f>
        <v>87.2</v>
      </c>
      <c r="AR115" s="8">
        <f>Economic!G115</f>
        <v>852729.2</v>
      </c>
      <c r="AS115" s="8">
        <f>Economic!H115</f>
        <v>6918.4</v>
      </c>
      <c r="AT115" s="8">
        <f>Economic!I115</f>
        <v>865503</v>
      </c>
      <c r="AU115" s="8">
        <f>Economic!J115</f>
        <v>7118</v>
      </c>
      <c r="AV115" s="1">
        <f t="shared" si="56"/>
        <v>114</v>
      </c>
      <c r="AW115" s="1">
        <f t="shared" ref="AW115:BN115" si="101">AW103</f>
        <v>0</v>
      </c>
      <c r="AX115" s="1">
        <f t="shared" si="101"/>
        <v>0</v>
      </c>
      <c r="AY115" s="1">
        <f t="shared" si="101"/>
        <v>0</v>
      </c>
      <c r="AZ115" s="1">
        <f t="shared" si="101"/>
        <v>0</v>
      </c>
      <c r="BA115" s="1">
        <f t="shared" si="101"/>
        <v>0</v>
      </c>
      <c r="BB115" s="1">
        <f t="shared" si="101"/>
        <v>1</v>
      </c>
      <c r="BC115" s="1">
        <f t="shared" si="101"/>
        <v>0</v>
      </c>
      <c r="BD115" s="1">
        <f t="shared" si="101"/>
        <v>0</v>
      </c>
      <c r="BE115" s="1">
        <f t="shared" si="101"/>
        <v>0</v>
      </c>
      <c r="BF115" s="1">
        <f t="shared" si="101"/>
        <v>0</v>
      </c>
      <c r="BG115" s="1">
        <f t="shared" si="101"/>
        <v>0</v>
      </c>
      <c r="BH115" s="1">
        <f t="shared" si="101"/>
        <v>0</v>
      </c>
      <c r="BI115" s="1">
        <f t="shared" si="101"/>
        <v>0</v>
      </c>
      <c r="BJ115" s="1">
        <f t="shared" si="101"/>
        <v>0</v>
      </c>
      <c r="BK115" s="1">
        <f t="shared" si="101"/>
        <v>0</v>
      </c>
      <c r="BL115" s="1">
        <f t="shared" si="101"/>
        <v>0</v>
      </c>
      <c r="BM115" s="1">
        <f t="shared" si="101"/>
        <v>0</v>
      </c>
      <c r="BN115" s="1">
        <f t="shared" si="101"/>
        <v>0</v>
      </c>
      <c r="BO115" s="1">
        <f t="shared" si="58"/>
        <v>30</v>
      </c>
      <c r="BP115" s="1">
        <v>22</v>
      </c>
      <c r="BQ115">
        <v>0</v>
      </c>
      <c r="BR115">
        <v>0</v>
      </c>
      <c r="BS115">
        <v>0.25</v>
      </c>
      <c r="BT115">
        <v>0</v>
      </c>
      <c r="BU115" s="126">
        <f t="shared" si="35"/>
        <v>0</v>
      </c>
      <c r="BV115" s="126">
        <f t="shared" si="36"/>
        <v>0</v>
      </c>
      <c r="BW115" s="126">
        <f t="shared" si="37"/>
        <v>0</v>
      </c>
      <c r="BX115" s="126">
        <f t="shared" si="38"/>
        <v>0</v>
      </c>
      <c r="BY115" s="126">
        <f t="shared" si="39"/>
        <v>0</v>
      </c>
      <c r="BZ115" s="126">
        <f t="shared" si="40"/>
        <v>0</v>
      </c>
      <c r="CA115" s="126">
        <f t="shared" si="41"/>
        <v>0</v>
      </c>
      <c r="CB115" s="126">
        <f t="shared" si="42"/>
        <v>0</v>
      </c>
      <c r="CC115" s="126">
        <f t="shared" si="43"/>
        <v>0</v>
      </c>
      <c r="CD115" s="126">
        <f t="shared" si="44"/>
        <v>0</v>
      </c>
      <c r="CE115" s="126">
        <f t="shared" si="45"/>
        <v>0</v>
      </c>
      <c r="CF115" s="126">
        <f t="shared" si="46"/>
        <v>0</v>
      </c>
      <c r="CG115" s="126">
        <f t="shared" si="47"/>
        <v>0</v>
      </c>
      <c r="CH115" s="126">
        <f t="shared" si="48"/>
        <v>0</v>
      </c>
      <c r="CI115" s="66">
        <f t="shared" si="82"/>
        <v>963589.20749391092</v>
      </c>
      <c r="CJ115" s="66">
        <f t="shared" si="83"/>
        <v>361446.97533333331</v>
      </c>
      <c r="CK115" s="66">
        <f t="shared" si="84"/>
        <v>922322.61499754386</v>
      </c>
    </row>
    <row r="116" spans="1:89" x14ac:dyDescent="0.2">
      <c r="A116" s="101">
        <v>45108</v>
      </c>
      <c r="B116" s="1">
        <f t="shared" si="54"/>
        <v>2023</v>
      </c>
      <c r="C116" s="1">
        <f t="shared" si="55"/>
        <v>7</v>
      </c>
      <c r="D116" s="8">
        <v>29163370.149999999</v>
      </c>
      <c r="E116" s="8">
        <f>IFERROR(VLOOKUP($B116-1,CDM!$L$4:$R$15,2,FALSE)/12,0)+IFERROR(VLOOKUP($B116,CDM!$L$33:$O$44,2,FALSE)/24,0)+IFERROR(VLOOKUP($B116,CDM!$L$33:$O$44,2,FALSE)/2*$C116/78,0)</f>
        <v>1615604.2553175394</v>
      </c>
      <c r="F116" s="8">
        <f t="shared" si="50"/>
        <v>30778974.405317537</v>
      </c>
      <c r="G116" s="8">
        <v>43266</v>
      </c>
      <c r="H116" s="8">
        <v>11325708.359999999</v>
      </c>
      <c r="I116" s="8">
        <f>IFERROR(VLOOKUP($B116-1,CDM!$L$4:$R$15,3,FALSE)/12,0)+IFERROR(VLOOKUP($B116,CDM!$L$33:$O$44,3,FALSE)/24,0)+IFERROR(VLOOKUP($B116,CDM!$L$33:$O$44,3,FALSE)/2*$C116/78,0)</f>
        <v>685895.87941317016</v>
      </c>
      <c r="J116" s="8">
        <f t="shared" si="51"/>
        <v>12011604.23941317</v>
      </c>
      <c r="K116" s="8">
        <v>4344</v>
      </c>
      <c r="L116" s="8">
        <v>26534886.311000001</v>
      </c>
      <c r="M116" s="8">
        <f>IFERROR(VLOOKUP($B116-1,CDM!$L$4:$R$15,4,FALSE)/12,0)+IFERROR(VLOOKUP($B116,CDM!$L$33:$O$44,4,FALSE)/24,0)+IFERROR(VLOOKUP($B116,CDM!$L$33:$O$44,4,FALSE)/2*$C116/78,0)</f>
        <v>2314780.0644871974</v>
      </c>
      <c r="N116" s="8">
        <f t="shared" si="52"/>
        <v>28849666.375487197</v>
      </c>
      <c r="O116" s="4">
        <v>65532.569999999985</v>
      </c>
      <c r="P116" s="8">
        <v>432</v>
      </c>
      <c r="Q116" s="8">
        <v>225011.53</v>
      </c>
      <c r="R116" s="420">
        <v>843.1099999999999</v>
      </c>
      <c r="S116" s="8">
        <v>10192</v>
      </c>
      <c r="T116" s="8">
        <v>27555.53</v>
      </c>
      <c r="U116" s="420">
        <v>74.510000000000005</v>
      </c>
      <c r="V116" s="8">
        <v>349</v>
      </c>
      <c r="W116" s="8">
        <v>78169</v>
      </c>
      <c r="X116" s="8">
        <v>259</v>
      </c>
      <c r="Y116" s="8">
        <f>Weather!C116</f>
        <v>44.083333333333329</v>
      </c>
      <c r="Z116" s="8">
        <f>Weather!D116</f>
        <v>18.545833333333324</v>
      </c>
      <c r="AA116" s="8">
        <f>Weather!E116</f>
        <v>13.6</v>
      </c>
      <c r="AB116" s="8">
        <f>Weather!F116</f>
        <v>50.0625</v>
      </c>
      <c r="AC116" s="8">
        <f>Weather!G116</f>
        <v>1.9833333333333325</v>
      </c>
      <c r="AD116" s="8">
        <f>Weather!H116</f>
        <v>100.44583333333335</v>
      </c>
      <c r="AE116" s="8">
        <f>Weather!I116</f>
        <v>0</v>
      </c>
      <c r="AF116" s="8">
        <f>Weather!J116</f>
        <v>160.46250000000001</v>
      </c>
      <c r="AG116" s="8">
        <f>Weather!K116</f>
        <v>0</v>
      </c>
      <c r="AH116" s="8">
        <f>Weather!L116</f>
        <v>222.46250000000001</v>
      </c>
      <c r="AI116" s="8">
        <f>Weather!M116</f>
        <v>0</v>
      </c>
      <c r="AJ116" s="8">
        <f>Weather!N116</f>
        <v>284.46250000000009</v>
      </c>
      <c r="AK116" s="8">
        <f>Weather!O116</f>
        <v>0</v>
      </c>
      <c r="AL116" s="8">
        <f>Weather!P116</f>
        <v>346.46249999999998</v>
      </c>
      <c r="AM116" s="2">
        <f>Weather!Q116</f>
        <v>19.176209677419351</v>
      </c>
      <c r="AN116" s="8">
        <f>Economic!C116</f>
        <v>7926.1</v>
      </c>
      <c r="AO116" s="8">
        <f>Economic!D116</f>
        <v>8016.9</v>
      </c>
      <c r="AP116" s="8">
        <f>Economic!E116</f>
        <v>85.9</v>
      </c>
      <c r="AQ116" s="8">
        <f>Economic!F116</f>
        <v>86.5</v>
      </c>
      <c r="AR116" s="8">
        <f>Economic!G116</f>
        <v>852729.2</v>
      </c>
      <c r="AS116" s="8">
        <f>Economic!H116</f>
        <v>6918.4</v>
      </c>
      <c r="AT116" s="8">
        <f>Economic!I116</f>
        <v>867701</v>
      </c>
      <c r="AU116" s="8">
        <f>Economic!J116</f>
        <v>6933</v>
      </c>
      <c r="AV116" s="1">
        <f t="shared" si="56"/>
        <v>115</v>
      </c>
      <c r="AW116" s="1">
        <f t="shared" ref="AW116:BN116" si="102">AW104</f>
        <v>0</v>
      </c>
      <c r="AX116" s="1">
        <f t="shared" si="102"/>
        <v>0</v>
      </c>
      <c r="AY116" s="1">
        <f t="shared" si="102"/>
        <v>0</v>
      </c>
      <c r="AZ116" s="1">
        <f t="shared" si="102"/>
        <v>0</v>
      </c>
      <c r="BA116" s="1">
        <f t="shared" si="102"/>
        <v>0</v>
      </c>
      <c r="BB116" s="1">
        <f t="shared" si="102"/>
        <v>0</v>
      </c>
      <c r="BC116" s="1">
        <f t="shared" si="102"/>
        <v>1</v>
      </c>
      <c r="BD116" s="1">
        <f t="shared" si="102"/>
        <v>0</v>
      </c>
      <c r="BE116" s="1">
        <f t="shared" si="102"/>
        <v>0</v>
      </c>
      <c r="BF116" s="1">
        <f t="shared" si="102"/>
        <v>0</v>
      </c>
      <c r="BG116" s="1">
        <f t="shared" si="102"/>
        <v>0</v>
      </c>
      <c r="BH116" s="1">
        <f t="shared" si="102"/>
        <v>0</v>
      </c>
      <c r="BI116" s="1">
        <f t="shared" si="102"/>
        <v>0</v>
      </c>
      <c r="BJ116" s="1">
        <f t="shared" si="102"/>
        <v>0</v>
      </c>
      <c r="BK116" s="1">
        <f t="shared" si="102"/>
        <v>0</v>
      </c>
      <c r="BL116" s="1">
        <f t="shared" si="102"/>
        <v>0</v>
      </c>
      <c r="BM116" s="1">
        <f t="shared" si="102"/>
        <v>0</v>
      </c>
      <c r="BN116" s="1">
        <f t="shared" si="102"/>
        <v>0</v>
      </c>
      <c r="BO116" s="1">
        <f t="shared" si="58"/>
        <v>31</v>
      </c>
      <c r="BP116" s="1">
        <v>20</v>
      </c>
      <c r="BQ116">
        <v>0</v>
      </c>
      <c r="BR116">
        <v>0</v>
      </c>
      <c r="BS116">
        <v>0.25</v>
      </c>
      <c r="BT116">
        <v>0</v>
      </c>
      <c r="BU116" s="126">
        <f t="shared" si="35"/>
        <v>0</v>
      </c>
      <c r="BV116" s="126">
        <f t="shared" si="36"/>
        <v>0</v>
      </c>
      <c r="BW116" s="126">
        <f t="shared" si="37"/>
        <v>0</v>
      </c>
      <c r="BX116" s="126">
        <f t="shared" si="38"/>
        <v>0</v>
      </c>
      <c r="BY116" s="126">
        <f t="shared" si="39"/>
        <v>0</v>
      </c>
      <c r="BZ116" s="126">
        <f t="shared" si="40"/>
        <v>0</v>
      </c>
      <c r="CA116" s="126">
        <f t="shared" si="41"/>
        <v>0</v>
      </c>
      <c r="CB116" s="126">
        <f t="shared" si="42"/>
        <v>0</v>
      </c>
      <c r="CC116" s="126">
        <f t="shared" si="43"/>
        <v>0</v>
      </c>
      <c r="CD116" s="126">
        <f t="shared" si="44"/>
        <v>0</v>
      </c>
      <c r="CE116" s="126">
        <f t="shared" si="45"/>
        <v>0</v>
      </c>
      <c r="CF116" s="126">
        <f t="shared" si="46"/>
        <v>0</v>
      </c>
      <c r="CG116" s="126">
        <f t="shared" si="47"/>
        <v>0</v>
      </c>
      <c r="CH116" s="126">
        <f t="shared" si="48"/>
        <v>0</v>
      </c>
      <c r="CI116" s="66">
        <f t="shared" si="82"/>
        <v>992870.14210701734</v>
      </c>
      <c r="CJ116" s="66">
        <f t="shared" si="83"/>
        <v>365345.43096774194</v>
      </c>
      <c r="CK116" s="66">
        <f t="shared" si="84"/>
        <v>930634.39920926443</v>
      </c>
    </row>
    <row r="117" spans="1:89" x14ac:dyDescent="0.2">
      <c r="A117" s="101">
        <v>45139</v>
      </c>
      <c r="B117" s="1">
        <f t="shared" si="54"/>
        <v>2023</v>
      </c>
      <c r="C117" s="1">
        <f t="shared" si="55"/>
        <v>8</v>
      </c>
      <c r="D117" s="8">
        <v>26293508.239999998</v>
      </c>
      <c r="E117" s="8">
        <f>IFERROR(VLOOKUP($B117-1,CDM!$L$4:$R$15,2,FALSE)/12,0)+IFERROR(VLOOKUP($B117,CDM!$L$33:$O$44,2,FALSE)/24,0)+IFERROR(VLOOKUP($B117,CDM!$L$33:$O$44,2,FALSE)/2*$C117/78,0)</f>
        <v>1616321.7058177537</v>
      </c>
      <c r="F117" s="8">
        <f t="shared" si="50"/>
        <v>27909829.945817754</v>
      </c>
      <c r="G117" s="8">
        <v>43289</v>
      </c>
      <c r="H117" s="8">
        <v>10669077.210000001</v>
      </c>
      <c r="I117" s="8">
        <f>IFERROR(VLOOKUP($B117-1,CDM!$L$4:$R$15,3,FALSE)/12,0)+IFERROR(VLOOKUP($B117,CDM!$L$33:$O$44,3,FALSE)/24,0)+IFERROR(VLOOKUP($B117,CDM!$L$33:$O$44,3,FALSE)/2*$C117/78,0)</f>
        <v>690492.17849624704</v>
      </c>
      <c r="J117" s="8">
        <f t="shared" si="51"/>
        <v>11359569.388496248</v>
      </c>
      <c r="K117" s="8">
        <v>4343</v>
      </c>
      <c r="L117" s="8">
        <v>25083519.902000003</v>
      </c>
      <c r="M117" s="8">
        <f>IFERROR(VLOOKUP($B117-1,CDM!$L$4:$R$15,4,FALSE)/12,0)+IFERROR(VLOOKUP($B117,CDM!$L$33:$O$44,4,FALSE)/24,0)+IFERROR(VLOOKUP($B117,CDM!$L$33:$O$44,4,FALSE)/2*$C117/78,0)</f>
        <v>2326693.5980480765</v>
      </c>
      <c r="N117" s="8">
        <f t="shared" si="52"/>
        <v>27410213.500048079</v>
      </c>
      <c r="O117" s="4">
        <v>60608.74000000002</v>
      </c>
      <c r="P117" s="8">
        <v>432</v>
      </c>
      <c r="Q117" s="8">
        <v>258275.24</v>
      </c>
      <c r="R117" s="420">
        <v>844.58999999999992</v>
      </c>
      <c r="S117" s="8">
        <v>10193</v>
      </c>
      <c r="T117" s="8">
        <v>27555.53</v>
      </c>
      <c r="U117" s="420">
        <v>74.56</v>
      </c>
      <c r="V117" s="8">
        <v>349</v>
      </c>
      <c r="W117" s="8">
        <v>78169</v>
      </c>
      <c r="X117" s="8">
        <v>259</v>
      </c>
      <c r="Y117" s="8">
        <f>Weather!C117</f>
        <v>104.625</v>
      </c>
      <c r="Z117" s="8">
        <f>Weather!D117</f>
        <v>0</v>
      </c>
      <c r="AA117" s="8">
        <f>Weather!E117</f>
        <v>48.87916666666667</v>
      </c>
      <c r="AB117" s="8">
        <f>Weather!F117</f>
        <v>6.2541666666666629</v>
      </c>
      <c r="AC117" s="8">
        <f>Weather!G117</f>
        <v>16.139583333333327</v>
      </c>
      <c r="AD117" s="8">
        <f>Weather!H117</f>
        <v>35.514583333333306</v>
      </c>
      <c r="AE117" s="8">
        <f>Weather!I117</f>
        <v>3.2750000000000004</v>
      </c>
      <c r="AF117" s="8">
        <f>Weather!J117</f>
        <v>84.649999999999977</v>
      </c>
      <c r="AG117" s="8">
        <f>Weather!K117</f>
        <v>0.57083333333333286</v>
      </c>
      <c r="AH117" s="8">
        <f>Weather!L117</f>
        <v>143.9458333333333</v>
      </c>
      <c r="AI117" s="8">
        <f>Weather!M117</f>
        <v>0</v>
      </c>
      <c r="AJ117" s="8">
        <f>Weather!N117</f>
        <v>205.37499999999997</v>
      </c>
      <c r="AK117" s="8">
        <f>Weather!O117</f>
        <v>0</v>
      </c>
      <c r="AL117" s="8">
        <f>Weather!P117</f>
        <v>267.375</v>
      </c>
      <c r="AM117" s="2">
        <f>Weather!Q117</f>
        <v>16.625</v>
      </c>
      <c r="AN117" s="8">
        <f>Economic!C117</f>
        <v>7940.5</v>
      </c>
      <c r="AO117" s="8">
        <f>Economic!D117</f>
        <v>8020.3</v>
      </c>
      <c r="AP117" s="8">
        <f>Economic!E117</f>
        <v>85.2</v>
      </c>
      <c r="AQ117" s="8">
        <f>Economic!F117</f>
        <v>84.9</v>
      </c>
      <c r="AR117" s="8">
        <f>Economic!G117</f>
        <v>852729.2</v>
      </c>
      <c r="AS117" s="8">
        <f>Economic!H117</f>
        <v>6918.4</v>
      </c>
      <c r="AT117" s="8">
        <f>Economic!I117</f>
        <v>867701</v>
      </c>
      <c r="AU117" s="8">
        <f>Economic!J117</f>
        <v>6933</v>
      </c>
      <c r="AV117" s="1">
        <f t="shared" si="56"/>
        <v>116</v>
      </c>
      <c r="AW117" s="1">
        <f t="shared" ref="AW117:BN117" si="103">AW105</f>
        <v>0</v>
      </c>
      <c r="AX117" s="1">
        <f t="shared" si="103"/>
        <v>0</v>
      </c>
      <c r="AY117" s="1">
        <f t="shared" si="103"/>
        <v>0</v>
      </c>
      <c r="AZ117" s="1">
        <f t="shared" si="103"/>
        <v>0</v>
      </c>
      <c r="BA117" s="1">
        <f t="shared" si="103"/>
        <v>0</v>
      </c>
      <c r="BB117" s="1">
        <f t="shared" si="103"/>
        <v>0</v>
      </c>
      <c r="BC117" s="1">
        <f t="shared" si="103"/>
        <v>0</v>
      </c>
      <c r="BD117" s="1">
        <f t="shared" si="103"/>
        <v>1</v>
      </c>
      <c r="BE117" s="1">
        <f t="shared" si="103"/>
        <v>0</v>
      </c>
      <c r="BF117" s="1">
        <f t="shared" si="103"/>
        <v>0</v>
      </c>
      <c r="BG117" s="1">
        <f t="shared" si="103"/>
        <v>0</v>
      </c>
      <c r="BH117" s="1">
        <f t="shared" si="103"/>
        <v>0</v>
      </c>
      <c r="BI117" s="1">
        <f t="shared" si="103"/>
        <v>0</v>
      </c>
      <c r="BJ117" s="1">
        <f t="shared" si="103"/>
        <v>0</v>
      </c>
      <c r="BK117" s="1">
        <f t="shared" si="103"/>
        <v>0</v>
      </c>
      <c r="BL117" s="1">
        <f t="shared" si="103"/>
        <v>0</v>
      </c>
      <c r="BM117" s="1">
        <f t="shared" si="103"/>
        <v>0</v>
      </c>
      <c r="BN117" s="1">
        <f t="shared" si="103"/>
        <v>0</v>
      </c>
      <c r="BO117" s="1">
        <f t="shared" si="58"/>
        <v>31</v>
      </c>
      <c r="BP117" s="1">
        <v>22</v>
      </c>
      <c r="BQ117">
        <v>0</v>
      </c>
      <c r="BR117">
        <v>0</v>
      </c>
      <c r="BS117">
        <v>0.25</v>
      </c>
      <c r="BT117">
        <v>0</v>
      </c>
      <c r="BU117" s="126">
        <f t="shared" si="35"/>
        <v>0</v>
      </c>
      <c r="BV117" s="126">
        <f t="shared" si="36"/>
        <v>0</v>
      </c>
      <c r="BW117" s="126">
        <f t="shared" si="37"/>
        <v>0</v>
      </c>
      <c r="BX117" s="126">
        <f t="shared" si="38"/>
        <v>0</v>
      </c>
      <c r="BY117" s="126">
        <f t="shared" si="39"/>
        <v>0</v>
      </c>
      <c r="BZ117" s="126">
        <f t="shared" si="40"/>
        <v>0</v>
      </c>
      <c r="CA117" s="126">
        <f t="shared" si="41"/>
        <v>0</v>
      </c>
      <c r="CB117" s="126">
        <f t="shared" si="42"/>
        <v>0</v>
      </c>
      <c r="CC117" s="126">
        <f t="shared" si="43"/>
        <v>0</v>
      </c>
      <c r="CD117" s="126">
        <f t="shared" si="44"/>
        <v>0</v>
      </c>
      <c r="CE117" s="126">
        <f t="shared" si="45"/>
        <v>0</v>
      </c>
      <c r="CF117" s="126">
        <f t="shared" si="46"/>
        <v>0</v>
      </c>
      <c r="CG117" s="126">
        <f t="shared" si="47"/>
        <v>0</v>
      </c>
      <c r="CH117" s="126">
        <f t="shared" si="48"/>
        <v>0</v>
      </c>
      <c r="CI117" s="66">
        <f t="shared" si="82"/>
        <v>900317.0950263791</v>
      </c>
      <c r="CJ117" s="66">
        <f t="shared" si="83"/>
        <v>344163.78096774197</v>
      </c>
      <c r="CK117" s="66">
        <f t="shared" si="84"/>
        <v>884200.43548542191</v>
      </c>
    </row>
    <row r="118" spans="1:89" x14ac:dyDescent="0.2">
      <c r="A118" s="101">
        <v>45170</v>
      </c>
      <c r="B118" s="1">
        <f t="shared" si="54"/>
        <v>2023</v>
      </c>
      <c r="C118" s="1">
        <f t="shared" si="55"/>
        <v>9</v>
      </c>
      <c r="D118" s="8">
        <v>24195404.620000001</v>
      </c>
      <c r="E118" s="8">
        <f>IFERROR(VLOOKUP($B118-1,CDM!$L$4:$R$15,2,FALSE)/12,0)+IFERROR(VLOOKUP($B118,CDM!$L$33:$O$44,2,FALSE)/24,0)+IFERROR(VLOOKUP($B118,CDM!$L$33:$O$44,2,FALSE)/2*$C118/78,0)</f>
        <v>1617039.1563179679</v>
      </c>
      <c r="F118" s="8">
        <f t="shared" si="50"/>
        <v>25812443.776317969</v>
      </c>
      <c r="G118" s="8">
        <v>43321</v>
      </c>
      <c r="H118" s="8">
        <v>10011816.609999999</v>
      </c>
      <c r="I118" s="8">
        <f>IFERROR(VLOOKUP($B118-1,CDM!$L$4:$R$15,3,FALSE)/12,0)+IFERROR(VLOOKUP($B118,CDM!$L$33:$O$44,3,FALSE)/24,0)+IFERROR(VLOOKUP($B118,CDM!$L$33:$O$44,3,FALSE)/2*$C118/78,0)</f>
        <v>695088.47757932381</v>
      </c>
      <c r="J118" s="8">
        <f t="shared" si="51"/>
        <v>10706905.087579323</v>
      </c>
      <c r="K118" s="8">
        <v>4346</v>
      </c>
      <c r="L118" s="8">
        <v>24333574.75</v>
      </c>
      <c r="M118" s="8">
        <f>IFERROR(VLOOKUP($B118-1,CDM!$L$4:$R$15,4,FALSE)/12,0)+IFERROR(VLOOKUP($B118,CDM!$L$33:$O$44,4,FALSE)/24,0)+IFERROR(VLOOKUP($B118,CDM!$L$33:$O$44,4,FALSE)/2*$C118/78,0)</f>
        <v>2338607.1316089556</v>
      </c>
      <c r="N118" s="8">
        <f t="shared" si="52"/>
        <v>26672181.881608956</v>
      </c>
      <c r="O118" s="4">
        <v>66095.100000000006</v>
      </c>
      <c r="P118" s="8">
        <v>434</v>
      </c>
      <c r="Q118" s="8">
        <v>290460.58</v>
      </c>
      <c r="R118" s="420">
        <v>845.1400000000001</v>
      </c>
      <c r="S118" s="8">
        <v>10206</v>
      </c>
      <c r="T118" s="8">
        <v>26666.639999999999</v>
      </c>
      <c r="U118" s="420">
        <v>74.44</v>
      </c>
      <c r="V118" s="8">
        <v>349</v>
      </c>
      <c r="W118" s="8">
        <v>75677</v>
      </c>
      <c r="X118" s="8">
        <v>259</v>
      </c>
      <c r="Y118" s="8">
        <f>Weather!C118</f>
        <v>158.93749999999997</v>
      </c>
      <c r="Z118" s="8">
        <f>Weather!D118</f>
        <v>8.4333333333333407</v>
      </c>
      <c r="AA118" s="8">
        <f>Weather!E118</f>
        <v>108.49583333333337</v>
      </c>
      <c r="AB118" s="8">
        <f>Weather!F118</f>
        <v>17.991666666666671</v>
      </c>
      <c r="AC118" s="8">
        <f>Weather!G118</f>
        <v>60.497916666666661</v>
      </c>
      <c r="AD118" s="8">
        <f>Weather!H118</f>
        <v>29.993750000000002</v>
      </c>
      <c r="AE118" s="8">
        <f>Weather!I118</f>
        <v>25.80416666666666</v>
      </c>
      <c r="AF118" s="8">
        <f>Weather!J118</f>
        <v>55.3</v>
      </c>
      <c r="AG118" s="8">
        <f>Weather!K118</f>
        <v>7.8166666666666664</v>
      </c>
      <c r="AH118" s="8">
        <f>Weather!L118</f>
        <v>97.312499999999972</v>
      </c>
      <c r="AI118" s="8">
        <f>Weather!M118</f>
        <v>2.1166666666666671</v>
      </c>
      <c r="AJ118" s="8">
        <f>Weather!N118</f>
        <v>151.61250000000004</v>
      </c>
      <c r="AK118" s="8">
        <f>Weather!O118</f>
        <v>0</v>
      </c>
      <c r="AL118" s="8">
        <f>Weather!P118</f>
        <v>209.49583333333342</v>
      </c>
      <c r="AM118" s="2">
        <f>Weather!Q118</f>
        <v>14.983194444444447</v>
      </c>
      <c r="AN118" s="8">
        <f>Economic!C118</f>
        <v>7945</v>
      </c>
      <c r="AO118" s="8">
        <f>Economic!D118</f>
        <v>7968.4</v>
      </c>
      <c r="AP118" s="8">
        <f>Economic!E118</f>
        <v>86.1</v>
      </c>
      <c r="AQ118" s="8">
        <f>Economic!F118</f>
        <v>84.8</v>
      </c>
      <c r="AR118" s="8">
        <f>Economic!G118</f>
        <v>852729.2</v>
      </c>
      <c r="AS118" s="8">
        <f>Economic!H118</f>
        <v>6918.4</v>
      </c>
      <c r="AT118" s="8">
        <f>Economic!I118</f>
        <v>867701</v>
      </c>
      <c r="AU118" s="8">
        <f>Economic!J118</f>
        <v>6933</v>
      </c>
      <c r="AV118" s="1">
        <f t="shared" si="56"/>
        <v>117</v>
      </c>
      <c r="AW118" s="1">
        <f t="shared" ref="AW118:BN118" si="104">AW106</f>
        <v>0</v>
      </c>
      <c r="AX118" s="1">
        <f t="shared" si="104"/>
        <v>0</v>
      </c>
      <c r="AY118" s="1">
        <f t="shared" si="104"/>
        <v>0</v>
      </c>
      <c r="AZ118" s="1">
        <f t="shared" si="104"/>
        <v>0</v>
      </c>
      <c r="BA118" s="1">
        <f t="shared" si="104"/>
        <v>0</v>
      </c>
      <c r="BB118" s="1">
        <f t="shared" si="104"/>
        <v>0</v>
      </c>
      <c r="BC118" s="1">
        <f t="shared" si="104"/>
        <v>0</v>
      </c>
      <c r="BD118" s="1">
        <f t="shared" si="104"/>
        <v>0</v>
      </c>
      <c r="BE118" s="1">
        <f t="shared" si="104"/>
        <v>1</v>
      </c>
      <c r="BF118" s="1">
        <f t="shared" si="104"/>
        <v>0</v>
      </c>
      <c r="BG118" s="1">
        <f t="shared" si="104"/>
        <v>0</v>
      </c>
      <c r="BH118" s="1">
        <f t="shared" si="104"/>
        <v>0</v>
      </c>
      <c r="BI118" s="1">
        <f t="shared" si="104"/>
        <v>0</v>
      </c>
      <c r="BJ118" s="1">
        <f t="shared" si="104"/>
        <v>1</v>
      </c>
      <c r="BK118" s="1">
        <f t="shared" si="104"/>
        <v>1</v>
      </c>
      <c r="BL118" s="1">
        <f t="shared" si="104"/>
        <v>0</v>
      </c>
      <c r="BM118" s="1">
        <f t="shared" si="104"/>
        <v>1</v>
      </c>
      <c r="BN118" s="1">
        <f t="shared" si="104"/>
        <v>1</v>
      </c>
      <c r="BO118" s="1">
        <f t="shared" si="58"/>
        <v>30</v>
      </c>
      <c r="BP118" s="1">
        <v>20</v>
      </c>
      <c r="BQ118">
        <v>0</v>
      </c>
      <c r="BR118">
        <v>0</v>
      </c>
      <c r="BS118">
        <v>0.25</v>
      </c>
      <c r="BT118">
        <v>0</v>
      </c>
      <c r="BU118" s="126">
        <f t="shared" si="35"/>
        <v>0</v>
      </c>
      <c r="BV118" s="126">
        <f t="shared" si="36"/>
        <v>0</v>
      </c>
      <c r="BW118" s="126">
        <f t="shared" si="37"/>
        <v>0</v>
      </c>
      <c r="BX118" s="126">
        <f t="shared" si="38"/>
        <v>0</v>
      </c>
      <c r="BY118" s="126">
        <f t="shared" si="39"/>
        <v>0</v>
      </c>
      <c r="BZ118" s="126">
        <f t="shared" si="40"/>
        <v>0</v>
      </c>
      <c r="CA118" s="126">
        <f t="shared" si="41"/>
        <v>0</v>
      </c>
      <c r="CB118" s="126">
        <f t="shared" si="42"/>
        <v>0</v>
      </c>
      <c r="CC118" s="126">
        <f t="shared" si="43"/>
        <v>0</v>
      </c>
      <c r="CD118" s="126">
        <f t="shared" si="44"/>
        <v>0</v>
      </c>
      <c r="CE118" s="126">
        <f t="shared" si="45"/>
        <v>0</v>
      </c>
      <c r="CF118" s="126">
        <f t="shared" si="46"/>
        <v>0</v>
      </c>
      <c r="CG118" s="126">
        <f t="shared" si="47"/>
        <v>0</v>
      </c>
      <c r="CH118" s="126">
        <f t="shared" si="48"/>
        <v>0</v>
      </c>
      <c r="CI118" s="66">
        <f t="shared" si="82"/>
        <v>860414.79254393233</v>
      </c>
      <c r="CJ118" s="66">
        <f t="shared" si="83"/>
        <v>333727.2203333333</v>
      </c>
      <c r="CK118" s="66">
        <f t="shared" si="84"/>
        <v>889072.72938696516</v>
      </c>
    </row>
    <row r="119" spans="1:89" x14ac:dyDescent="0.2">
      <c r="A119" s="101">
        <v>45200</v>
      </c>
      <c r="B119" s="1">
        <f t="shared" si="54"/>
        <v>2023</v>
      </c>
      <c r="C119" s="1">
        <f t="shared" si="55"/>
        <v>10</v>
      </c>
      <c r="D119" s="8">
        <v>26754851.23</v>
      </c>
      <c r="E119" s="8">
        <f>IFERROR(VLOOKUP($B119-1,CDM!$L$4:$R$15,2,FALSE)/12,0)+IFERROR(VLOOKUP($B119,CDM!$L$33:$O$44,2,FALSE)/24,0)+IFERROR(VLOOKUP($B119,CDM!$L$33:$O$44,2,FALSE)/2*$C119/78,0)</f>
        <v>1617756.6068181822</v>
      </c>
      <c r="F119" s="8">
        <f t="shared" si="50"/>
        <v>28372607.836818181</v>
      </c>
      <c r="G119" s="8">
        <v>43333</v>
      </c>
      <c r="H119" s="8">
        <v>10460439.25</v>
      </c>
      <c r="I119" s="8">
        <f>IFERROR(VLOOKUP($B119-1,CDM!$L$4:$R$15,3,FALSE)/12,0)+IFERROR(VLOOKUP($B119,CDM!$L$33:$O$44,3,FALSE)/24,0)+IFERROR(VLOOKUP($B119,CDM!$L$33:$O$44,3,FALSE)/2*$C119/78,0)</f>
        <v>699684.77666240069</v>
      </c>
      <c r="J119" s="8">
        <f t="shared" si="51"/>
        <v>11160124.0266624</v>
      </c>
      <c r="K119" s="8">
        <v>4345</v>
      </c>
      <c r="L119" s="8">
        <v>25725389.504000001</v>
      </c>
      <c r="M119" s="8">
        <f>IFERROR(VLOOKUP($B119-1,CDM!$L$4:$R$15,4,FALSE)/12,0)+IFERROR(VLOOKUP($B119,CDM!$L$33:$O$44,4,FALSE)/24,0)+IFERROR(VLOOKUP($B119,CDM!$L$33:$O$44,4,FALSE)/2*$C119/78,0)</f>
        <v>2350520.6651698346</v>
      </c>
      <c r="N119" s="8">
        <f t="shared" si="52"/>
        <v>28075910.169169836</v>
      </c>
      <c r="O119" s="4">
        <v>67053.989999999976</v>
      </c>
      <c r="P119" s="8">
        <v>435</v>
      </c>
      <c r="Q119" s="8">
        <v>344183.33</v>
      </c>
      <c r="R119" s="420">
        <v>847.01</v>
      </c>
      <c r="S119" s="8">
        <v>10212</v>
      </c>
      <c r="T119" s="8">
        <v>27493.37</v>
      </c>
      <c r="U119" s="420">
        <v>74.34</v>
      </c>
      <c r="V119" s="8">
        <v>349</v>
      </c>
      <c r="W119" s="8">
        <v>78169</v>
      </c>
      <c r="X119" s="8">
        <v>259</v>
      </c>
      <c r="Y119" s="8">
        <f>Weather!C119</f>
        <v>372.08887558837841</v>
      </c>
      <c r="Z119" s="8">
        <f>Weather!D119</f>
        <v>0</v>
      </c>
      <c r="AA119" s="8">
        <f>Weather!E119</f>
        <v>314.55762558837853</v>
      </c>
      <c r="AB119" s="8">
        <f>Weather!F119</f>
        <v>4.4687499999999964</v>
      </c>
      <c r="AC119" s="8">
        <f>Weather!G119</f>
        <v>260.45762558837851</v>
      </c>
      <c r="AD119" s="8">
        <f>Weather!H119</f>
        <v>12.368749999999995</v>
      </c>
      <c r="AE119" s="8">
        <f>Weather!I119</f>
        <v>209.40345892171183</v>
      </c>
      <c r="AF119" s="8">
        <f>Weather!J119</f>
        <v>23.314583333333331</v>
      </c>
      <c r="AG119" s="8">
        <f>Weather!K119</f>
        <v>160.86595892171184</v>
      </c>
      <c r="AH119" s="8">
        <f>Weather!L119</f>
        <v>36.777083333333323</v>
      </c>
      <c r="AI119" s="8">
        <f>Weather!M119</f>
        <v>115.11179225504519</v>
      </c>
      <c r="AJ119" s="8">
        <f>Weather!N119</f>
        <v>53.022916666666653</v>
      </c>
      <c r="AK119" s="8">
        <f>Weather!O119</f>
        <v>75.534708921711839</v>
      </c>
      <c r="AL119" s="8">
        <f>Weather!P119</f>
        <v>75.44583333333334</v>
      </c>
      <c r="AM119" s="2">
        <f>Weather!Q119</f>
        <v>7.9971330455361764</v>
      </c>
      <c r="AN119" s="8">
        <f>Economic!C119</f>
        <v>7949.8</v>
      </c>
      <c r="AO119" s="8">
        <f>Economic!D119</f>
        <v>7947.2</v>
      </c>
      <c r="AP119" s="8">
        <f>Economic!E119</f>
        <v>86.6</v>
      </c>
      <c r="AQ119" s="8">
        <f>Economic!F119</f>
        <v>85.3</v>
      </c>
      <c r="AR119" s="8">
        <f>Economic!G119</f>
        <v>852729.2</v>
      </c>
      <c r="AS119" s="8">
        <f>Economic!H119</f>
        <v>6918.4</v>
      </c>
      <c r="AT119" s="8">
        <f>Economic!I119</f>
        <v>869576</v>
      </c>
      <c r="AU119" s="8">
        <f>Economic!J119</f>
        <v>7015</v>
      </c>
      <c r="AV119" s="1">
        <f t="shared" si="56"/>
        <v>118</v>
      </c>
      <c r="AW119" s="1">
        <f t="shared" ref="AW119:BN119" si="105">AW107</f>
        <v>0</v>
      </c>
      <c r="AX119" s="1">
        <f t="shared" si="105"/>
        <v>0</v>
      </c>
      <c r="AY119" s="1">
        <f t="shared" si="105"/>
        <v>0</v>
      </c>
      <c r="AZ119" s="1">
        <f t="shared" si="105"/>
        <v>0</v>
      </c>
      <c r="BA119" s="1">
        <f t="shared" si="105"/>
        <v>0</v>
      </c>
      <c r="BB119" s="1">
        <f t="shared" si="105"/>
        <v>0</v>
      </c>
      <c r="BC119" s="1">
        <f t="shared" si="105"/>
        <v>0</v>
      </c>
      <c r="BD119" s="1">
        <f t="shared" si="105"/>
        <v>0</v>
      </c>
      <c r="BE119" s="1">
        <f t="shared" si="105"/>
        <v>0</v>
      </c>
      <c r="BF119" s="1">
        <f t="shared" si="105"/>
        <v>1</v>
      </c>
      <c r="BG119" s="1">
        <f t="shared" si="105"/>
        <v>0</v>
      </c>
      <c r="BH119" s="1">
        <f t="shared" si="105"/>
        <v>0</v>
      </c>
      <c r="BI119" s="1">
        <f t="shared" si="105"/>
        <v>0</v>
      </c>
      <c r="BJ119" s="1">
        <f t="shared" si="105"/>
        <v>1</v>
      </c>
      <c r="BK119" s="1">
        <f t="shared" si="105"/>
        <v>1</v>
      </c>
      <c r="BL119" s="1">
        <f t="shared" si="105"/>
        <v>0</v>
      </c>
      <c r="BM119" s="1">
        <f t="shared" si="105"/>
        <v>1</v>
      </c>
      <c r="BN119" s="1">
        <f t="shared" si="105"/>
        <v>1</v>
      </c>
      <c r="BO119" s="1">
        <f t="shared" si="58"/>
        <v>31</v>
      </c>
      <c r="BP119" s="1">
        <v>21</v>
      </c>
      <c r="BQ119">
        <v>0</v>
      </c>
      <c r="BR119">
        <v>0</v>
      </c>
      <c r="BS119">
        <v>0.25</v>
      </c>
      <c r="BT119">
        <v>0</v>
      </c>
      <c r="BU119" s="126">
        <f t="shared" si="35"/>
        <v>0</v>
      </c>
      <c r="BV119" s="126">
        <f t="shared" si="36"/>
        <v>0</v>
      </c>
      <c r="BW119" s="126">
        <f t="shared" si="37"/>
        <v>0</v>
      </c>
      <c r="BX119" s="126">
        <f t="shared" si="38"/>
        <v>0</v>
      </c>
      <c r="BY119" s="126">
        <f t="shared" si="39"/>
        <v>0</v>
      </c>
      <c r="BZ119" s="126">
        <f t="shared" si="40"/>
        <v>0</v>
      </c>
      <c r="CA119" s="126">
        <f t="shared" si="41"/>
        <v>0</v>
      </c>
      <c r="CB119" s="126">
        <f t="shared" si="42"/>
        <v>0</v>
      </c>
      <c r="CC119" s="126">
        <f t="shared" si="43"/>
        <v>0</v>
      </c>
      <c r="CD119" s="126">
        <f t="shared" si="44"/>
        <v>0</v>
      </c>
      <c r="CE119" s="126">
        <f t="shared" si="45"/>
        <v>0</v>
      </c>
      <c r="CF119" s="126">
        <f t="shared" si="46"/>
        <v>0</v>
      </c>
      <c r="CG119" s="126">
        <f t="shared" si="47"/>
        <v>0</v>
      </c>
      <c r="CH119" s="126">
        <f t="shared" si="48"/>
        <v>0</v>
      </c>
      <c r="CI119" s="66">
        <f t="shared" si="82"/>
        <v>915245.41409090906</v>
      </c>
      <c r="CJ119" s="66">
        <f t="shared" si="83"/>
        <v>337433.52419354836</v>
      </c>
      <c r="CK119" s="66">
        <f t="shared" si="84"/>
        <v>905674.52158612374</v>
      </c>
    </row>
    <row r="120" spans="1:89" x14ac:dyDescent="0.2">
      <c r="A120" s="101">
        <v>45231</v>
      </c>
      <c r="B120" s="1">
        <f t="shared" si="54"/>
        <v>2023</v>
      </c>
      <c r="C120" s="1">
        <f t="shared" si="55"/>
        <v>11</v>
      </c>
      <c r="D120" s="8">
        <v>33284311.859999999</v>
      </c>
      <c r="E120" s="8">
        <f>IFERROR(VLOOKUP($B120-1,CDM!$L$4:$R$15,2,FALSE)/12,0)+IFERROR(VLOOKUP($B120,CDM!$L$33:$O$44,2,FALSE)/24,0)+IFERROR(VLOOKUP($B120,CDM!$L$33:$O$44,2,FALSE)/2*$C120/78,0)</f>
        <v>1618474.0573183962</v>
      </c>
      <c r="F120" s="8">
        <f t="shared" si="50"/>
        <v>34902785.917318396</v>
      </c>
      <c r="G120" s="8">
        <v>43346</v>
      </c>
      <c r="H120" s="8">
        <v>11929211.300000001</v>
      </c>
      <c r="I120" s="8">
        <f>IFERROR(VLOOKUP($B120-1,CDM!$L$4:$R$15,3,FALSE)/12,0)+IFERROR(VLOOKUP($B120,CDM!$L$33:$O$44,3,FALSE)/24,0)+IFERROR(VLOOKUP($B120,CDM!$L$33:$O$44,3,FALSE)/2*$C120/78,0)</f>
        <v>704281.07574547757</v>
      </c>
      <c r="J120" s="8">
        <f t="shared" si="51"/>
        <v>12633492.375745479</v>
      </c>
      <c r="K120" s="8">
        <v>4342</v>
      </c>
      <c r="L120" s="8">
        <v>27763400.131999999</v>
      </c>
      <c r="M120" s="8">
        <f>IFERROR(VLOOKUP($B120-1,CDM!$L$4:$R$15,4,FALSE)/12,0)+IFERROR(VLOOKUP($B120,CDM!$L$33:$O$44,4,FALSE)/24,0)+IFERROR(VLOOKUP($B120,CDM!$L$33:$O$44,4,FALSE)/2*$C120/78,0)</f>
        <v>2362434.1987307137</v>
      </c>
      <c r="N120" s="8">
        <f t="shared" si="52"/>
        <v>30125834.330730714</v>
      </c>
      <c r="O120" s="4">
        <v>67516.33</v>
      </c>
      <c r="P120" s="8">
        <v>434</v>
      </c>
      <c r="Q120" s="8">
        <v>371381.61</v>
      </c>
      <c r="R120" s="420">
        <v>849.61999999999989</v>
      </c>
      <c r="S120" s="8">
        <v>10223</v>
      </c>
      <c r="T120" s="8">
        <v>26600.04</v>
      </c>
      <c r="U120" s="420">
        <v>74.319999999999993</v>
      </c>
      <c r="V120" s="8">
        <v>348</v>
      </c>
      <c r="W120" s="8">
        <v>75574.649999999994</v>
      </c>
      <c r="X120" s="8">
        <v>259</v>
      </c>
      <c r="Y120" s="8">
        <f>Weather!C120</f>
        <v>639.4867922550452</v>
      </c>
      <c r="Z120" s="8">
        <f>Weather!D120</f>
        <v>0</v>
      </c>
      <c r="AA120" s="8">
        <f>Weather!E120</f>
        <v>579.4867922550452</v>
      </c>
      <c r="AB120" s="8">
        <f>Weather!F120</f>
        <v>0</v>
      </c>
      <c r="AC120" s="8">
        <f>Weather!G120</f>
        <v>519.4867922550452</v>
      </c>
      <c r="AD120" s="8">
        <f>Weather!H120</f>
        <v>0</v>
      </c>
      <c r="AE120" s="8">
        <f>Weather!I120</f>
        <v>459.4867922550452</v>
      </c>
      <c r="AF120" s="8">
        <f>Weather!J120</f>
        <v>0</v>
      </c>
      <c r="AG120" s="8">
        <f>Weather!K120</f>
        <v>399.48679225504515</v>
      </c>
      <c r="AH120" s="8">
        <f>Weather!L120</f>
        <v>0</v>
      </c>
      <c r="AI120" s="8">
        <f>Weather!M120</f>
        <v>339.48679225504515</v>
      </c>
      <c r="AJ120" s="8">
        <f>Weather!N120</f>
        <v>0</v>
      </c>
      <c r="AK120" s="8">
        <f>Weather!O120</f>
        <v>279.48679225504515</v>
      </c>
      <c r="AL120" s="8">
        <f>Weather!P120</f>
        <v>0</v>
      </c>
      <c r="AM120" s="2">
        <f>Weather!Q120</f>
        <v>-1.3162264085015063</v>
      </c>
      <c r="AN120" s="8">
        <f>Economic!C120</f>
        <v>7953.4</v>
      </c>
      <c r="AO120" s="8">
        <f>Economic!D120</f>
        <v>7939.3</v>
      </c>
      <c r="AP120" s="8">
        <f>Economic!E120</f>
        <v>87.2</v>
      </c>
      <c r="AQ120" s="8">
        <f>Economic!F120</f>
        <v>86.9</v>
      </c>
      <c r="AR120" s="8">
        <f>Economic!G120</f>
        <v>852729.2</v>
      </c>
      <c r="AS120" s="8">
        <f>Economic!H120</f>
        <v>6918.4</v>
      </c>
      <c r="AT120" s="8">
        <f>Economic!I120</f>
        <v>869576</v>
      </c>
      <c r="AU120" s="8">
        <f>Economic!J120</f>
        <v>7015</v>
      </c>
      <c r="AV120" s="1">
        <f t="shared" si="56"/>
        <v>119</v>
      </c>
      <c r="AW120" s="1">
        <f t="shared" ref="AW120:BN120" si="106">AW108</f>
        <v>0</v>
      </c>
      <c r="AX120" s="1">
        <f t="shared" si="106"/>
        <v>0</v>
      </c>
      <c r="AY120" s="1">
        <f t="shared" si="106"/>
        <v>0</v>
      </c>
      <c r="AZ120" s="1">
        <f t="shared" si="106"/>
        <v>0</v>
      </c>
      <c r="BA120" s="1">
        <f t="shared" si="106"/>
        <v>0</v>
      </c>
      <c r="BB120" s="1">
        <f t="shared" si="106"/>
        <v>0</v>
      </c>
      <c r="BC120" s="1">
        <f t="shared" si="106"/>
        <v>0</v>
      </c>
      <c r="BD120" s="1">
        <f t="shared" si="106"/>
        <v>0</v>
      </c>
      <c r="BE120" s="1">
        <f t="shared" si="106"/>
        <v>0</v>
      </c>
      <c r="BF120" s="1">
        <f t="shared" si="106"/>
        <v>0</v>
      </c>
      <c r="BG120" s="1">
        <f t="shared" si="106"/>
        <v>1</v>
      </c>
      <c r="BH120" s="1">
        <f t="shared" si="106"/>
        <v>0</v>
      </c>
      <c r="BI120" s="1">
        <f t="shared" si="106"/>
        <v>0</v>
      </c>
      <c r="BJ120" s="1">
        <f t="shared" si="106"/>
        <v>1</v>
      </c>
      <c r="BK120" s="1">
        <f t="shared" si="106"/>
        <v>1</v>
      </c>
      <c r="BL120" s="1">
        <f t="shared" si="106"/>
        <v>0</v>
      </c>
      <c r="BM120" s="1">
        <f t="shared" si="106"/>
        <v>0</v>
      </c>
      <c r="BN120" s="1">
        <f t="shared" si="106"/>
        <v>0</v>
      </c>
      <c r="BO120" s="1">
        <f t="shared" si="58"/>
        <v>30</v>
      </c>
      <c r="BP120" s="1">
        <v>22</v>
      </c>
      <c r="BQ120">
        <v>0</v>
      </c>
      <c r="BR120">
        <v>0</v>
      </c>
      <c r="BS120">
        <v>0.25</v>
      </c>
      <c r="BT120">
        <v>0</v>
      </c>
      <c r="BU120" s="126">
        <f t="shared" ref="BU120:BU133" si="107">$BQ120*Y120</f>
        <v>0</v>
      </c>
      <c r="BV120" s="126">
        <f t="shared" ref="BV120:BV133" si="108">$BQ120*Z120</f>
        <v>0</v>
      </c>
      <c r="BW120" s="126">
        <f t="shared" ref="BW120:BW133" si="109">$BQ120*AA120</f>
        <v>0</v>
      </c>
      <c r="BX120" s="126">
        <f t="shared" ref="BX120:BX133" si="110">$BQ120*AB120</f>
        <v>0</v>
      </c>
      <c r="BY120" s="126">
        <f t="shared" ref="BY120:BY133" si="111">$BQ120*AC120</f>
        <v>0</v>
      </c>
      <c r="BZ120" s="126">
        <f t="shared" ref="BZ120:BZ133" si="112">$BQ120*AD120</f>
        <v>0</v>
      </c>
      <c r="CA120" s="126">
        <f t="shared" ref="CA120:CA133" si="113">$BQ120*AE120</f>
        <v>0</v>
      </c>
      <c r="CB120" s="126">
        <f t="shared" ref="CB120:CB133" si="114">$BQ120*AF120</f>
        <v>0</v>
      </c>
      <c r="CC120" s="126">
        <f t="shared" ref="CC120:CC133" si="115">$BQ120*AG120</f>
        <v>0</v>
      </c>
      <c r="CD120" s="126">
        <f t="shared" ref="CD120:CD133" si="116">$BQ120*AH120</f>
        <v>0</v>
      </c>
      <c r="CE120" s="126">
        <f t="shared" ref="CE120:CE133" si="117">$BQ120*AI120</f>
        <v>0</v>
      </c>
      <c r="CF120" s="126">
        <f t="shared" ref="CF120:CF133" si="118">$BQ120*AJ120</f>
        <v>0</v>
      </c>
      <c r="CG120" s="126">
        <f t="shared" ref="CG120:CG133" si="119">$BQ120*AK120</f>
        <v>0</v>
      </c>
      <c r="CH120" s="126">
        <f t="shared" ref="CH120:CH133" si="120">$BQ120*AL120</f>
        <v>0</v>
      </c>
      <c r="CI120" s="66">
        <f t="shared" ref="CI120:CI132" si="121">F120/BO120</f>
        <v>1163426.1972439466</v>
      </c>
      <c r="CJ120" s="66">
        <f t="shared" ref="CJ120:CJ132" si="122">H120/BO120</f>
        <v>397640.37666666671</v>
      </c>
      <c r="CK120" s="66">
        <f t="shared" ref="CK120:CK132" si="123">N120/BO120</f>
        <v>1004194.4776910238</v>
      </c>
    </row>
    <row r="121" spans="1:89" x14ac:dyDescent="0.2">
      <c r="A121" s="101">
        <v>45261</v>
      </c>
      <c r="B121" s="1">
        <f t="shared" si="54"/>
        <v>2023</v>
      </c>
      <c r="C121" s="1">
        <f t="shared" si="55"/>
        <v>12</v>
      </c>
      <c r="D121" s="8">
        <v>37318007.649999999</v>
      </c>
      <c r="E121" s="8">
        <f>IFERROR(VLOOKUP($B121-1,CDM!$L$4:$R$15,2,FALSE)/12,0)+IFERROR(VLOOKUP($B121,CDM!$L$33:$O$44,2,FALSE)/24,0)+IFERROR(VLOOKUP($B121,CDM!$L$33:$O$44,2,FALSE)/2*$C121/78,0)</f>
        <v>1619191.5078186104</v>
      </c>
      <c r="F121" s="8">
        <f t="shared" si="50"/>
        <v>38937199.157818608</v>
      </c>
      <c r="G121" s="8">
        <v>43346</v>
      </c>
      <c r="H121" s="8">
        <v>12616017.5</v>
      </c>
      <c r="I121" s="8">
        <f>IFERROR(VLOOKUP($B121-1,CDM!$L$4:$R$15,3,FALSE)/12,0)+IFERROR(VLOOKUP($B121,CDM!$L$33:$O$44,3,FALSE)/24,0)+IFERROR(VLOOKUP($B121,CDM!$L$33:$O$44,3,FALSE)/2*$C121/78,0)</f>
        <v>708877.37482855434</v>
      </c>
      <c r="J121" s="8">
        <f t="shared" si="51"/>
        <v>13324894.874828555</v>
      </c>
      <c r="K121" s="8">
        <v>4343</v>
      </c>
      <c r="L121" s="8">
        <v>28951749.210999999</v>
      </c>
      <c r="M121" s="8">
        <f>IFERROR(VLOOKUP($B121-1,CDM!$L$4:$R$15,4,FALSE)/12,0)+IFERROR(VLOOKUP($B121,CDM!$L$33:$O$44,4,FALSE)/24,0)+IFERROR(VLOOKUP($B121,CDM!$L$33:$O$44,4,FALSE)/2*$C121/78,0)</f>
        <v>2374347.7322915928</v>
      </c>
      <c r="N121" s="8">
        <f t="shared" si="52"/>
        <v>31326096.943291593</v>
      </c>
      <c r="O121" s="4">
        <v>66667.889999999985</v>
      </c>
      <c r="P121" s="8">
        <v>435</v>
      </c>
      <c r="Q121" s="8">
        <v>404351.11</v>
      </c>
      <c r="R121" s="420">
        <v>849.83</v>
      </c>
      <c r="S121" s="8">
        <v>10241</v>
      </c>
      <c r="T121" s="8">
        <v>27486.71</v>
      </c>
      <c r="U121" s="420">
        <v>74.319999999999993</v>
      </c>
      <c r="V121" s="8">
        <v>348</v>
      </c>
      <c r="W121" s="8">
        <v>77317.759999999995</v>
      </c>
      <c r="X121" s="8">
        <v>257</v>
      </c>
      <c r="Y121" s="8">
        <f>Weather!C121</f>
        <v>711.47216902018079</v>
      </c>
      <c r="Z121" s="8">
        <f>Weather!D121</f>
        <v>0</v>
      </c>
      <c r="AA121" s="8">
        <f>Weather!E121</f>
        <v>649.47216902018079</v>
      </c>
      <c r="AB121" s="8">
        <f>Weather!F121</f>
        <v>0</v>
      </c>
      <c r="AC121" s="8">
        <f>Weather!G121</f>
        <v>587.47216902018067</v>
      </c>
      <c r="AD121" s="8">
        <f>Weather!H121</f>
        <v>0</v>
      </c>
      <c r="AE121" s="8">
        <f>Weather!I121</f>
        <v>525.47216902018056</v>
      </c>
      <c r="AF121" s="8">
        <f>Weather!J121</f>
        <v>0</v>
      </c>
      <c r="AG121" s="8">
        <f>Weather!K121</f>
        <v>463.47216902018073</v>
      </c>
      <c r="AH121" s="8">
        <f>Weather!L121</f>
        <v>0</v>
      </c>
      <c r="AI121" s="8">
        <f>Weather!M121</f>
        <v>401.47216902018062</v>
      </c>
      <c r="AJ121" s="8">
        <f>Weather!N121</f>
        <v>0</v>
      </c>
      <c r="AK121" s="8">
        <f>Weather!O121</f>
        <v>339.47216902018067</v>
      </c>
      <c r="AL121" s="8">
        <f>Weather!P121</f>
        <v>0</v>
      </c>
      <c r="AM121" s="2">
        <f>Weather!Q121</f>
        <v>-2.9507151296832492</v>
      </c>
      <c r="AN121" s="8">
        <f>Economic!C121</f>
        <v>7938</v>
      </c>
      <c r="AO121" s="8">
        <f>Economic!D121</f>
        <v>7938.2</v>
      </c>
      <c r="AP121" s="8">
        <f>Economic!E121</f>
        <v>87.5</v>
      </c>
      <c r="AQ121" s="8">
        <f>Economic!F121</f>
        <v>87.9</v>
      </c>
      <c r="AR121" s="8">
        <f>Economic!G121</f>
        <v>852729.2</v>
      </c>
      <c r="AS121" s="8">
        <f>Economic!H121</f>
        <v>6918.4</v>
      </c>
      <c r="AT121" s="8">
        <f>Economic!I121</f>
        <v>869576</v>
      </c>
      <c r="AU121" s="8">
        <f>Economic!J121</f>
        <v>7015</v>
      </c>
      <c r="AV121" s="1">
        <f t="shared" si="56"/>
        <v>120</v>
      </c>
      <c r="AW121" s="1">
        <f t="shared" ref="AW121:BN121" si="124">AW109</f>
        <v>0</v>
      </c>
      <c r="AX121" s="1">
        <f t="shared" si="124"/>
        <v>0</v>
      </c>
      <c r="AY121" s="1">
        <f t="shared" si="124"/>
        <v>0</v>
      </c>
      <c r="AZ121" s="1">
        <f t="shared" si="124"/>
        <v>0</v>
      </c>
      <c r="BA121" s="1">
        <f t="shared" si="124"/>
        <v>0</v>
      </c>
      <c r="BB121" s="1">
        <f t="shared" si="124"/>
        <v>0</v>
      </c>
      <c r="BC121" s="1">
        <f t="shared" si="124"/>
        <v>0</v>
      </c>
      <c r="BD121" s="1">
        <f t="shared" si="124"/>
        <v>0</v>
      </c>
      <c r="BE121" s="1">
        <f t="shared" si="124"/>
        <v>0</v>
      </c>
      <c r="BF121" s="1">
        <f t="shared" si="124"/>
        <v>0</v>
      </c>
      <c r="BG121" s="1">
        <f t="shared" si="124"/>
        <v>0</v>
      </c>
      <c r="BH121" s="1">
        <f t="shared" si="124"/>
        <v>1</v>
      </c>
      <c r="BI121" s="1">
        <f t="shared" si="124"/>
        <v>0</v>
      </c>
      <c r="BJ121" s="1">
        <f t="shared" si="124"/>
        <v>0</v>
      </c>
      <c r="BK121" s="1">
        <f t="shared" si="124"/>
        <v>0</v>
      </c>
      <c r="BL121" s="1">
        <f t="shared" si="124"/>
        <v>0</v>
      </c>
      <c r="BM121" s="1">
        <f t="shared" si="124"/>
        <v>0</v>
      </c>
      <c r="BN121" s="1">
        <f t="shared" si="124"/>
        <v>0</v>
      </c>
      <c r="BO121" s="1">
        <f t="shared" si="58"/>
        <v>31</v>
      </c>
      <c r="BP121" s="1">
        <v>19</v>
      </c>
      <c r="BQ121">
        <v>0</v>
      </c>
      <c r="BR121">
        <v>0</v>
      </c>
      <c r="BS121">
        <v>0.25</v>
      </c>
      <c r="BT121">
        <v>0</v>
      </c>
      <c r="BU121" s="126">
        <f t="shared" si="107"/>
        <v>0</v>
      </c>
      <c r="BV121" s="126">
        <f t="shared" si="108"/>
        <v>0</v>
      </c>
      <c r="BW121" s="126">
        <f t="shared" si="109"/>
        <v>0</v>
      </c>
      <c r="BX121" s="126">
        <f t="shared" si="110"/>
        <v>0</v>
      </c>
      <c r="BY121" s="126">
        <f t="shared" si="111"/>
        <v>0</v>
      </c>
      <c r="BZ121" s="126">
        <f t="shared" si="112"/>
        <v>0</v>
      </c>
      <c r="CA121" s="126">
        <f t="shared" si="113"/>
        <v>0</v>
      </c>
      <c r="CB121" s="126">
        <f t="shared" si="114"/>
        <v>0</v>
      </c>
      <c r="CC121" s="126">
        <f t="shared" si="115"/>
        <v>0</v>
      </c>
      <c r="CD121" s="126">
        <f t="shared" si="116"/>
        <v>0</v>
      </c>
      <c r="CE121" s="126">
        <f t="shared" si="117"/>
        <v>0</v>
      </c>
      <c r="CF121" s="126">
        <f t="shared" si="118"/>
        <v>0</v>
      </c>
      <c r="CG121" s="126">
        <f t="shared" si="119"/>
        <v>0</v>
      </c>
      <c r="CH121" s="126">
        <f t="shared" si="120"/>
        <v>0</v>
      </c>
      <c r="CI121" s="66">
        <f t="shared" si="121"/>
        <v>1256038.6825102777</v>
      </c>
      <c r="CJ121" s="66">
        <f t="shared" si="122"/>
        <v>406968.30645161291</v>
      </c>
      <c r="CK121" s="66">
        <f t="shared" si="123"/>
        <v>1010519.2562352127</v>
      </c>
    </row>
    <row r="122" spans="1:89" x14ac:dyDescent="0.2">
      <c r="A122" s="101">
        <v>45292</v>
      </c>
      <c r="B122" s="1">
        <f t="shared" ref="B122:B133" si="125">YEAR(A122)</f>
        <v>2024</v>
      </c>
      <c r="C122" s="1">
        <f t="shared" ref="C122:C133" si="126">MONTH(A122)</f>
        <v>1</v>
      </c>
      <c r="D122" s="8">
        <v>40907933.869999997</v>
      </c>
      <c r="E122" s="8">
        <f>IFERROR(VLOOKUP($B122-1,CDM!$L$4:$R$15,2,FALSE)/12,0)+IFERROR(VLOOKUP($B122,CDM!$L$33:$O$44,2,FALSE)/24,0)+IFERROR(VLOOKUP($B122,CDM!$L$33:$O$44,2,FALSE)/2*$C122/78,0)</f>
        <v>1642357.4904084525</v>
      </c>
      <c r="F122" s="8">
        <f t="shared" si="50"/>
        <v>42550291.360408448</v>
      </c>
      <c r="G122" s="8">
        <v>43359</v>
      </c>
      <c r="H122" s="8">
        <v>13770691.289999999</v>
      </c>
      <c r="I122" s="8">
        <f>IFERROR(VLOOKUP($B122-1,CDM!$L$4:$R$15,3,FALSE)/12,0)+IFERROR(VLOOKUP($B122,CDM!$L$33:$O$44,3,FALSE)/24,0)+IFERROR(VLOOKUP($B122,CDM!$L$33:$O$44,3,FALSE)/2*$C122/78,0)</f>
        <v>714056.69541581371</v>
      </c>
      <c r="J122" s="8">
        <f t="shared" ref="J122" si="127">H122+I122</f>
        <v>14484747.985415813</v>
      </c>
      <c r="K122" s="8">
        <v>4339</v>
      </c>
      <c r="L122" s="8">
        <v>31113563.940000001</v>
      </c>
      <c r="M122" s="8">
        <f>IFERROR(VLOOKUP($B122-1,CDM!$L$4:$R$15,4,FALSE)/12,0)+IFERROR(VLOOKUP($B122,CDM!$L$33:$O$44,4,FALSE)/24,0)+IFERROR(VLOOKUP($B122,CDM!$L$33:$O$44,4,FALSE)/2*$C122/78,0)</f>
        <v>2374345.8557234863</v>
      </c>
      <c r="N122" s="8">
        <f t="shared" ref="N122" si="128">L122+M122</f>
        <v>33487909.795723487</v>
      </c>
      <c r="O122" s="4">
        <v>68839.180000000008</v>
      </c>
      <c r="P122" s="8">
        <v>435</v>
      </c>
      <c r="Q122" s="8">
        <v>393647.1</v>
      </c>
      <c r="R122" s="420">
        <v>849.94</v>
      </c>
      <c r="S122" s="8">
        <v>10241</v>
      </c>
      <c r="T122" s="8">
        <v>27486.71</v>
      </c>
      <c r="U122" s="420">
        <v>74.319999999999993</v>
      </c>
      <c r="V122" s="8">
        <v>348</v>
      </c>
      <c r="W122" s="8">
        <v>76813.59</v>
      </c>
      <c r="X122" s="8">
        <v>255</v>
      </c>
      <c r="Y122" s="8">
        <f>Weather!C122</f>
        <v>873.51250000000005</v>
      </c>
      <c r="Z122" s="8">
        <f>Weather!D122</f>
        <v>0</v>
      </c>
      <c r="AA122" s="8">
        <f>Weather!E122</f>
        <v>811.51250000000005</v>
      </c>
      <c r="AB122" s="8">
        <f>Weather!F122</f>
        <v>0</v>
      </c>
      <c r="AC122" s="8">
        <f>Weather!G122</f>
        <v>749.51250000000005</v>
      </c>
      <c r="AD122" s="8">
        <f>Weather!H122</f>
        <v>0</v>
      </c>
      <c r="AE122" s="8">
        <f>Weather!I122</f>
        <v>687.51250000000005</v>
      </c>
      <c r="AF122" s="8">
        <f>Weather!J122</f>
        <v>0</v>
      </c>
      <c r="AG122" s="8">
        <f>Weather!K122</f>
        <v>625.51250000000005</v>
      </c>
      <c r="AH122" s="8">
        <f>Weather!L122</f>
        <v>0</v>
      </c>
      <c r="AI122" s="8">
        <f>Weather!M122</f>
        <v>563.51250000000005</v>
      </c>
      <c r="AJ122" s="8">
        <f>Weather!N122</f>
        <v>0</v>
      </c>
      <c r="AK122" s="8">
        <f>Weather!O122</f>
        <v>501.51250000000005</v>
      </c>
      <c r="AL122" s="8">
        <f>Weather!P122</f>
        <v>0</v>
      </c>
      <c r="AM122" s="2">
        <f>Weather!Q122</f>
        <v>-8.177822580645163</v>
      </c>
      <c r="AN122" s="8">
        <f>Economic!C122</f>
        <v>7934.2</v>
      </c>
      <c r="AO122" s="8">
        <f>Economic!D122</f>
        <v>7904.9</v>
      </c>
      <c r="AP122" s="8">
        <f>Economic!E122</f>
        <v>87.5</v>
      </c>
      <c r="AQ122" s="8">
        <f>Economic!F122</f>
        <v>87.9</v>
      </c>
      <c r="AR122" s="8">
        <f>Economic!G122</f>
        <v>862535.5858</v>
      </c>
      <c r="AS122" s="8">
        <f>Economic!H122</f>
        <v>6997.9615999999996</v>
      </c>
      <c r="AT122" s="8">
        <f>Economic!I122</f>
        <v>874402</v>
      </c>
      <c r="AU122" s="8">
        <f>Economic!J122</f>
        <v>7160</v>
      </c>
      <c r="AV122" s="1">
        <f t="shared" si="56"/>
        <v>121</v>
      </c>
      <c r="AW122" s="1">
        <f t="shared" ref="AW122:BN122" si="129">AW110</f>
        <v>1</v>
      </c>
      <c r="AX122" s="1">
        <f t="shared" si="129"/>
        <v>0</v>
      </c>
      <c r="AY122" s="1">
        <f t="shared" si="129"/>
        <v>0</v>
      </c>
      <c r="AZ122" s="1">
        <f t="shared" si="129"/>
        <v>0</v>
      </c>
      <c r="BA122" s="1">
        <f t="shared" si="129"/>
        <v>0</v>
      </c>
      <c r="BB122" s="1">
        <f t="shared" si="129"/>
        <v>0</v>
      </c>
      <c r="BC122" s="1">
        <f t="shared" si="129"/>
        <v>0</v>
      </c>
      <c r="BD122" s="1">
        <f t="shared" si="129"/>
        <v>0</v>
      </c>
      <c r="BE122" s="1">
        <f t="shared" si="129"/>
        <v>0</v>
      </c>
      <c r="BF122" s="1">
        <f t="shared" si="129"/>
        <v>0</v>
      </c>
      <c r="BG122" s="1">
        <f t="shared" si="129"/>
        <v>0</v>
      </c>
      <c r="BH122" s="1">
        <f t="shared" si="129"/>
        <v>0</v>
      </c>
      <c r="BI122" s="1">
        <f t="shared" si="129"/>
        <v>0</v>
      </c>
      <c r="BJ122" s="1">
        <f t="shared" si="129"/>
        <v>0</v>
      </c>
      <c r="BK122" s="1">
        <f t="shared" si="129"/>
        <v>0</v>
      </c>
      <c r="BL122" s="1">
        <f t="shared" si="129"/>
        <v>0</v>
      </c>
      <c r="BM122" s="1">
        <f t="shared" si="129"/>
        <v>0</v>
      </c>
      <c r="BN122" s="1">
        <f t="shared" si="129"/>
        <v>0</v>
      </c>
      <c r="BO122" s="1">
        <f t="shared" si="58"/>
        <v>31</v>
      </c>
      <c r="BP122" s="1">
        <v>22</v>
      </c>
      <c r="BQ122">
        <v>0</v>
      </c>
      <c r="BR122">
        <v>0</v>
      </c>
      <c r="BS122">
        <v>0.25</v>
      </c>
      <c r="BT122">
        <v>0</v>
      </c>
      <c r="BU122" s="126">
        <f t="shared" si="107"/>
        <v>0</v>
      </c>
      <c r="BV122" s="126">
        <f t="shared" si="108"/>
        <v>0</v>
      </c>
      <c r="BW122" s="126">
        <f t="shared" si="109"/>
        <v>0</v>
      </c>
      <c r="BX122" s="126">
        <f t="shared" si="110"/>
        <v>0</v>
      </c>
      <c r="BY122" s="126">
        <f t="shared" si="111"/>
        <v>0</v>
      </c>
      <c r="BZ122" s="126">
        <f t="shared" si="112"/>
        <v>0</v>
      </c>
      <c r="CA122" s="126">
        <f t="shared" si="113"/>
        <v>0</v>
      </c>
      <c r="CB122" s="126">
        <f t="shared" si="114"/>
        <v>0</v>
      </c>
      <c r="CC122" s="126">
        <f t="shared" si="115"/>
        <v>0</v>
      </c>
      <c r="CD122" s="126">
        <f t="shared" si="116"/>
        <v>0</v>
      </c>
      <c r="CE122" s="126">
        <f t="shared" si="117"/>
        <v>0</v>
      </c>
      <c r="CF122" s="126">
        <f t="shared" si="118"/>
        <v>0</v>
      </c>
      <c r="CG122" s="126">
        <f t="shared" si="119"/>
        <v>0</v>
      </c>
      <c r="CH122" s="126">
        <f t="shared" si="120"/>
        <v>0</v>
      </c>
      <c r="CI122" s="66">
        <f t="shared" si="121"/>
        <v>1372590.0438841435</v>
      </c>
      <c r="CJ122" s="66">
        <f t="shared" si="122"/>
        <v>444215.84806451609</v>
      </c>
      <c r="CK122" s="66">
        <f t="shared" si="123"/>
        <v>1080255.1547007577</v>
      </c>
    </row>
    <row r="123" spans="1:89" x14ac:dyDescent="0.2">
      <c r="A123" s="101">
        <v>45323</v>
      </c>
      <c r="B123" s="1">
        <f t="shared" si="125"/>
        <v>2024</v>
      </c>
      <c r="C123" s="1">
        <f t="shared" si="126"/>
        <v>2</v>
      </c>
      <c r="D123" s="8">
        <v>35410062.060000002</v>
      </c>
      <c r="E123" s="8">
        <f>IFERROR(VLOOKUP($B123-1,CDM!$L$4:$R$15,2,FALSE)/12,0)+IFERROR(VLOOKUP($B123,CDM!$L$33:$O$44,2,FALSE)/24,0)+IFERROR(VLOOKUP($B123,CDM!$L$33:$O$44,2,FALSE)/2*$C123/78,0)</f>
        <v>1645972.4184539218</v>
      </c>
      <c r="F123" s="8">
        <f t="shared" si="50"/>
        <v>37056034.478453927</v>
      </c>
      <c r="G123" s="8">
        <v>43374</v>
      </c>
      <c r="H123" s="8">
        <v>12353515.24</v>
      </c>
      <c r="I123" s="8">
        <f>IFERROR(VLOOKUP($B123-1,CDM!$L$4:$R$15,3,FALSE)/12,0)+IFERROR(VLOOKUP($B123,CDM!$L$33:$O$44,3,FALSE)/24,0)+IFERROR(VLOOKUP($B123,CDM!$L$33:$O$44,3,FALSE)/2*$C123/78,0)</f>
        <v>718117.89082170464</v>
      </c>
      <c r="J123" s="8">
        <f t="shared" ref="J123:J132" si="130">H123+I123</f>
        <v>13071633.130821705</v>
      </c>
      <c r="K123" s="8">
        <v>4327</v>
      </c>
      <c r="L123" s="8">
        <v>28018990.309999999</v>
      </c>
      <c r="M123" s="8">
        <f>IFERROR(VLOOKUP($B123-1,CDM!$L$4:$R$15,4,FALSE)/12,0)+IFERROR(VLOOKUP($B123,CDM!$L$33:$O$44,4,FALSE)/24,0)+IFERROR(VLOOKUP($B123,CDM!$L$33:$O$44,4,FALSE)/2*$C123/78,0)</f>
        <v>2383082.1967923837</v>
      </c>
      <c r="N123" s="8">
        <f t="shared" ref="N123:N132" si="131">L123+M123</f>
        <v>30402072.506792381</v>
      </c>
      <c r="O123" s="4">
        <v>65284.000000000015</v>
      </c>
      <c r="P123" s="8">
        <v>437</v>
      </c>
      <c r="Q123" s="8">
        <v>336364.47</v>
      </c>
      <c r="R123" s="420">
        <v>849.86999999999989</v>
      </c>
      <c r="S123" s="8">
        <v>10256</v>
      </c>
      <c r="T123" s="8">
        <v>25713.37</v>
      </c>
      <c r="U123" s="420">
        <v>74.319999999999993</v>
      </c>
      <c r="V123" s="8">
        <v>348</v>
      </c>
      <c r="W123" s="8">
        <v>71697</v>
      </c>
      <c r="X123" s="8">
        <v>254</v>
      </c>
      <c r="Y123" s="8">
        <f>Weather!C123</f>
        <v>747.39166666666665</v>
      </c>
      <c r="Z123" s="8">
        <f>Weather!D123</f>
        <v>0</v>
      </c>
      <c r="AA123" s="8">
        <f>Weather!E123</f>
        <v>689.39166666666665</v>
      </c>
      <c r="AB123" s="8">
        <f>Weather!F123</f>
        <v>0</v>
      </c>
      <c r="AC123" s="8">
        <f>Weather!G123</f>
        <v>631.39166666666665</v>
      </c>
      <c r="AD123" s="8">
        <f>Weather!H123</f>
        <v>0</v>
      </c>
      <c r="AE123" s="8">
        <f>Weather!I123</f>
        <v>573.39166666666665</v>
      </c>
      <c r="AF123" s="8">
        <f>Weather!J123</f>
        <v>0</v>
      </c>
      <c r="AG123" s="8">
        <f>Weather!K123</f>
        <v>515.39166666666665</v>
      </c>
      <c r="AH123" s="8">
        <f>Weather!L123</f>
        <v>0</v>
      </c>
      <c r="AI123" s="8">
        <f>Weather!M123</f>
        <v>457.39166666666665</v>
      </c>
      <c r="AJ123" s="8">
        <f>Weather!N123</f>
        <v>0</v>
      </c>
      <c r="AK123" s="8">
        <f>Weather!O123</f>
        <v>399.39166666666665</v>
      </c>
      <c r="AL123" s="8">
        <f>Weather!P123</f>
        <v>0</v>
      </c>
      <c r="AM123" s="2">
        <f>Weather!Q123</f>
        <v>-5.7721264367816101</v>
      </c>
      <c r="AN123" s="8">
        <f>Economic!C123</f>
        <v>7932</v>
      </c>
      <c r="AO123" s="8">
        <f>Economic!D123</f>
        <v>7874.1</v>
      </c>
      <c r="AP123" s="8">
        <f>Economic!E123</f>
        <v>87</v>
      </c>
      <c r="AQ123" s="8">
        <f>Economic!F123</f>
        <v>87</v>
      </c>
      <c r="AR123" s="8">
        <f>Economic!G123</f>
        <v>862535.5858</v>
      </c>
      <c r="AS123" s="8">
        <f>Economic!H123</f>
        <v>6997.9615999999996</v>
      </c>
      <c r="AT123" s="8">
        <f>Economic!I123</f>
        <v>874402</v>
      </c>
      <c r="AU123" s="8">
        <f>Economic!J123</f>
        <v>7160</v>
      </c>
      <c r="AV123" s="1">
        <f t="shared" si="56"/>
        <v>122</v>
      </c>
      <c r="AW123" s="1">
        <f t="shared" ref="AW123:BN123" si="132">AW111</f>
        <v>0</v>
      </c>
      <c r="AX123" s="1">
        <f t="shared" si="132"/>
        <v>1</v>
      </c>
      <c r="AY123" s="1">
        <f t="shared" si="132"/>
        <v>0</v>
      </c>
      <c r="AZ123" s="1">
        <f t="shared" si="132"/>
        <v>0</v>
      </c>
      <c r="BA123" s="1">
        <f t="shared" si="132"/>
        <v>0</v>
      </c>
      <c r="BB123" s="1">
        <f t="shared" si="132"/>
        <v>0</v>
      </c>
      <c r="BC123" s="1">
        <f t="shared" si="132"/>
        <v>0</v>
      </c>
      <c r="BD123" s="1">
        <f t="shared" si="132"/>
        <v>0</v>
      </c>
      <c r="BE123" s="1">
        <f t="shared" si="132"/>
        <v>0</v>
      </c>
      <c r="BF123" s="1">
        <f t="shared" si="132"/>
        <v>0</v>
      </c>
      <c r="BG123" s="1">
        <f t="shared" si="132"/>
        <v>0</v>
      </c>
      <c r="BH123" s="1">
        <f t="shared" si="132"/>
        <v>0</v>
      </c>
      <c r="BI123" s="1">
        <f t="shared" si="132"/>
        <v>0</v>
      </c>
      <c r="BJ123" s="1">
        <f t="shared" si="132"/>
        <v>0</v>
      </c>
      <c r="BK123" s="1">
        <f t="shared" si="132"/>
        <v>0</v>
      </c>
      <c r="BL123" s="1">
        <f t="shared" si="132"/>
        <v>0</v>
      </c>
      <c r="BM123" s="1">
        <f t="shared" si="132"/>
        <v>0</v>
      </c>
      <c r="BN123" s="1">
        <f t="shared" si="132"/>
        <v>0</v>
      </c>
      <c r="BO123" s="1">
        <f t="shared" si="58"/>
        <v>29</v>
      </c>
      <c r="BP123" s="1">
        <v>20</v>
      </c>
      <c r="BQ123">
        <v>0</v>
      </c>
      <c r="BR123">
        <v>0</v>
      </c>
      <c r="BS123">
        <v>0.25</v>
      </c>
      <c r="BT123">
        <v>0</v>
      </c>
      <c r="BU123" s="126">
        <f t="shared" si="107"/>
        <v>0</v>
      </c>
      <c r="BV123" s="126">
        <f t="shared" si="108"/>
        <v>0</v>
      </c>
      <c r="BW123" s="126">
        <f t="shared" si="109"/>
        <v>0</v>
      </c>
      <c r="BX123" s="126">
        <f t="shared" si="110"/>
        <v>0</v>
      </c>
      <c r="BY123" s="126">
        <f t="shared" si="111"/>
        <v>0</v>
      </c>
      <c r="BZ123" s="126">
        <f t="shared" si="112"/>
        <v>0</v>
      </c>
      <c r="CA123" s="126">
        <f t="shared" si="113"/>
        <v>0</v>
      </c>
      <c r="CB123" s="126">
        <f t="shared" si="114"/>
        <v>0</v>
      </c>
      <c r="CC123" s="126">
        <f t="shared" si="115"/>
        <v>0</v>
      </c>
      <c r="CD123" s="126">
        <f t="shared" si="116"/>
        <v>0</v>
      </c>
      <c r="CE123" s="126">
        <f t="shared" si="117"/>
        <v>0</v>
      </c>
      <c r="CF123" s="126">
        <f t="shared" si="118"/>
        <v>0</v>
      </c>
      <c r="CG123" s="126">
        <f t="shared" si="119"/>
        <v>0</v>
      </c>
      <c r="CH123" s="126">
        <f t="shared" si="120"/>
        <v>0</v>
      </c>
      <c r="CI123" s="66">
        <f t="shared" si="121"/>
        <v>1277794.2923604802</v>
      </c>
      <c r="CJ123" s="66">
        <f t="shared" si="122"/>
        <v>425983.28413793107</v>
      </c>
      <c r="CK123" s="66">
        <f t="shared" si="123"/>
        <v>1048347.3278204269</v>
      </c>
    </row>
    <row r="124" spans="1:89" x14ac:dyDescent="0.2">
      <c r="A124" s="101">
        <v>45352</v>
      </c>
      <c r="B124" s="1">
        <f t="shared" si="125"/>
        <v>2024</v>
      </c>
      <c r="C124" s="1">
        <f t="shared" si="126"/>
        <v>3</v>
      </c>
      <c r="D124" s="8">
        <v>34623312.100000001</v>
      </c>
      <c r="E124" s="8">
        <f>IFERROR(VLOOKUP($B124-1,CDM!$L$4:$R$15,2,FALSE)/12,0)+IFERROR(VLOOKUP($B124,CDM!$L$33:$O$44,2,FALSE)/24,0)+IFERROR(VLOOKUP($B124,CDM!$L$33:$O$44,2,FALSE)/2*$C124/78,0)</f>
        <v>1649587.3464993911</v>
      </c>
      <c r="F124" s="8">
        <f t="shared" si="50"/>
        <v>36272899.446499392</v>
      </c>
      <c r="G124" s="8">
        <v>43392</v>
      </c>
      <c r="H124" s="8">
        <v>12557643.710000001</v>
      </c>
      <c r="I124" s="8">
        <f>IFERROR(VLOOKUP($B124-1,CDM!$L$4:$R$15,3,FALSE)/12,0)+IFERROR(VLOOKUP($B124,CDM!$L$33:$O$44,3,FALSE)/24,0)+IFERROR(VLOOKUP($B124,CDM!$L$33:$O$44,3,FALSE)/2*$C124/78,0)</f>
        <v>722179.08622759557</v>
      </c>
      <c r="J124" s="8">
        <f t="shared" si="130"/>
        <v>13279822.796227597</v>
      </c>
      <c r="K124" s="8">
        <v>4332</v>
      </c>
      <c r="L124" s="8">
        <v>28168950.84</v>
      </c>
      <c r="M124" s="8">
        <f>IFERROR(VLOOKUP($B124-1,CDM!$L$4:$R$15,4,FALSE)/12,0)+IFERROR(VLOOKUP($B124,CDM!$L$33:$O$44,4,FALSE)/24,0)+IFERROR(VLOOKUP($B124,CDM!$L$33:$O$44,4,FALSE)/2*$C124/78,0)</f>
        <v>2391818.5378612806</v>
      </c>
      <c r="N124" s="8">
        <f t="shared" si="131"/>
        <v>30560769.37786128</v>
      </c>
      <c r="O124" s="4">
        <v>65525.980000000025</v>
      </c>
      <c r="P124" s="8">
        <v>429</v>
      </c>
      <c r="Q124" s="8">
        <v>316805.25</v>
      </c>
      <c r="R124" s="420">
        <v>849.53</v>
      </c>
      <c r="S124" s="8">
        <v>10256</v>
      </c>
      <c r="T124" s="8">
        <v>27486.71</v>
      </c>
      <c r="U124" s="420">
        <v>74.319999999999993</v>
      </c>
      <c r="V124" s="8">
        <v>348</v>
      </c>
      <c r="W124" s="8">
        <v>76633</v>
      </c>
      <c r="X124" s="8">
        <v>254</v>
      </c>
      <c r="Y124" s="8">
        <f>Weather!C124</f>
        <v>651.45416666666642</v>
      </c>
      <c r="Z124" s="8">
        <f>Weather!D124</f>
        <v>0</v>
      </c>
      <c r="AA124" s="8">
        <f>Weather!E124</f>
        <v>589.45416666666654</v>
      </c>
      <c r="AB124" s="8">
        <f>Weather!F124</f>
        <v>0</v>
      </c>
      <c r="AC124" s="8">
        <f>Weather!G124</f>
        <v>527.45416666666654</v>
      </c>
      <c r="AD124" s="8">
        <f>Weather!H124</f>
        <v>0</v>
      </c>
      <c r="AE124" s="8">
        <f>Weather!I124</f>
        <v>465.45416666666665</v>
      </c>
      <c r="AF124" s="8">
        <f>Weather!J124</f>
        <v>0</v>
      </c>
      <c r="AG124" s="8">
        <f>Weather!K124</f>
        <v>403.45416666666671</v>
      </c>
      <c r="AH124" s="8">
        <f>Weather!L124</f>
        <v>0</v>
      </c>
      <c r="AI124" s="8">
        <f>Weather!M124</f>
        <v>341.45416666666671</v>
      </c>
      <c r="AJ124" s="8">
        <f>Weather!N124</f>
        <v>0</v>
      </c>
      <c r="AK124" s="8">
        <f>Weather!O124</f>
        <v>279.45416666666671</v>
      </c>
      <c r="AL124" s="8">
        <f>Weather!P124</f>
        <v>0</v>
      </c>
      <c r="AM124" s="2">
        <f>Weather!Q124</f>
        <v>-1.0146505376344084</v>
      </c>
      <c r="AN124" s="8">
        <f>Economic!C124</f>
        <v>7950.9</v>
      </c>
      <c r="AO124" s="8">
        <f>Economic!D124</f>
        <v>7870.9</v>
      </c>
      <c r="AP124" s="8">
        <f>Economic!E124</f>
        <v>85.3</v>
      </c>
      <c r="AQ124" s="8">
        <f>Economic!F124</f>
        <v>85</v>
      </c>
      <c r="AR124" s="8">
        <f>Economic!G124</f>
        <v>862535.5858</v>
      </c>
      <c r="AS124" s="8">
        <f>Economic!H124</f>
        <v>6997.9615999999996</v>
      </c>
      <c r="AT124" s="8">
        <f>Economic!I124</f>
        <v>874402</v>
      </c>
      <c r="AU124" s="8">
        <f>Economic!J124</f>
        <v>7160</v>
      </c>
      <c r="AV124" s="1">
        <f t="shared" si="56"/>
        <v>123</v>
      </c>
      <c r="AW124" s="1">
        <f t="shared" ref="AW124:BN124" si="133">AW112</f>
        <v>0</v>
      </c>
      <c r="AX124" s="1">
        <f t="shared" si="133"/>
        <v>0</v>
      </c>
      <c r="AY124" s="1">
        <f t="shared" si="133"/>
        <v>1</v>
      </c>
      <c r="AZ124" s="1">
        <f t="shared" si="133"/>
        <v>0</v>
      </c>
      <c r="BA124" s="1">
        <f t="shared" si="133"/>
        <v>0</v>
      </c>
      <c r="BB124" s="1">
        <f t="shared" si="133"/>
        <v>0</v>
      </c>
      <c r="BC124" s="1">
        <f t="shared" si="133"/>
        <v>0</v>
      </c>
      <c r="BD124" s="1">
        <f t="shared" si="133"/>
        <v>0</v>
      </c>
      <c r="BE124" s="1">
        <f t="shared" si="133"/>
        <v>0</v>
      </c>
      <c r="BF124" s="1">
        <f t="shared" si="133"/>
        <v>0</v>
      </c>
      <c r="BG124" s="1">
        <f t="shared" si="133"/>
        <v>0</v>
      </c>
      <c r="BH124" s="1">
        <f t="shared" si="133"/>
        <v>0</v>
      </c>
      <c r="BI124" s="1">
        <f t="shared" si="133"/>
        <v>1</v>
      </c>
      <c r="BJ124" s="1">
        <f t="shared" si="133"/>
        <v>0</v>
      </c>
      <c r="BK124" s="1">
        <f t="shared" si="133"/>
        <v>1</v>
      </c>
      <c r="BL124" s="1">
        <f t="shared" si="133"/>
        <v>0</v>
      </c>
      <c r="BM124" s="1">
        <f t="shared" si="133"/>
        <v>0</v>
      </c>
      <c r="BN124" s="1">
        <f t="shared" si="133"/>
        <v>0</v>
      </c>
      <c r="BO124" s="1">
        <f t="shared" si="58"/>
        <v>31</v>
      </c>
      <c r="BP124" s="1">
        <v>20</v>
      </c>
      <c r="BQ124">
        <v>0</v>
      </c>
      <c r="BR124">
        <v>0</v>
      </c>
      <c r="BS124">
        <v>0.25</v>
      </c>
      <c r="BT124">
        <v>0</v>
      </c>
      <c r="BU124" s="126">
        <f t="shared" si="107"/>
        <v>0</v>
      </c>
      <c r="BV124" s="126">
        <f t="shared" si="108"/>
        <v>0</v>
      </c>
      <c r="BW124" s="126">
        <f t="shared" si="109"/>
        <v>0</v>
      </c>
      <c r="BX124" s="126">
        <f t="shared" si="110"/>
        <v>0</v>
      </c>
      <c r="BY124" s="126">
        <f t="shared" si="111"/>
        <v>0</v>
      </c>
      <c r="BZ124" s="126">
        <f t="shared" si="112"/>
        <v>0</v>
      </c>
      <c r="CA124" s="126">
        <f t="shared" si="113"/>
        <v>0</v>
      </c>
      <c r="CB124" s="126">
        <f t="shared" si="114"/>
        <v>0</v>
      </c>
      <c r="CC124" s="126">
        <f t="shared" si="115"/>
        <v>0</v>
      </c>
      <c r="CD124" s="126">
        <f t="shared" si="116"/>
        <v>0</v>
      </c>
      <c r="CE124" s="126">
        <f t="shared" si="117"/>
        <v>0</v>
      </c>
      <c r="CF124" s="126">
        <f t="shared" si="118"/>
        <v>0</v>
      </c>
      <c r="CG124" s="126">
        <f t="shared" si="119"/>
        <v>0</v>
      </c>
      <c r="CH124" s="126">
        <f t="shared" si="120"/>
        <v>0</v>
      </c>
      <c r="CI124" s="66">
        <f t="shared" si="121"/>
        <v>1170093.5305322385</v>
      </c>
      <c r="CJ124" s="66">
        <f t="shared" si="122"/>
        <v>405085.28096774197</v>
      </c>
      <c r="CK124" s="66">
        <f t="shared" si="123"/>
        <v>985831.27025358973</v>
      </c>
    </row>
    <row r="125" spans="1:89" x14ac:dyDescent="0.2">
      <c r="A125" s="101">
        <v>45383</v>
      </c>
      <c r="B125" s="1">
        <f t="shared" si="125"/>
        <v>2024</v>
      </c>
      <c r="C125" s="1">
        <f t="shared" si="126"/>
        <v>4</v>
      </c>
      <c r="D125" s="8">
        <v>29018018.43</v>
      </c>
      <c r="E125" s="8">
        <f>IFERROR(VLOOKUP($B125-1,CDM!$L$4:$R$15,2,FALSE)/12,0)+IFERROR(VLOOKUP($B125,CDM!$L$33:$O$44,2,FALSE)/24,0)+IFERROR(VLOOKUP($B125,CDM!$L$33:$O$44,2,FALSE)/2*$C125/78,0)</f>
        <v>1653202.2745448605</v>
      </c>
      <c r="F125" s="8">
        <f t="shared" si="50"/>
        <v>30671220.704544861</v>
      </c>
      <c r="G125" s="8">
        <v>43392</v>
      </c>
      <c r="H125" s="8">
        <v>11112002.220000001</v>
      </c>
      <c r="I125" s="8">
        <f>IFERROR(VLOOKUP($B125-1,CDM!$L$4:$R$15,3,FALSE)/12,0)+IFERROR(VLOOKUP($B125,CDM!$L$33:$O$44,3,FALSE)/24,0)+IFERROR(VLOOKUP($B125,CDM!$L$33:$O$44,3,FALSE)/2*$C125/78,0)</f>
        <v>726240.28163348651</v>
      </c>
      <c r="J125" s="8">
        <f t="shared" si="130"/>
        <v>11838242.501633488</v>
      </c>
      <c r="K125" s="8">
        <v>4329</v>
      </c>
      <c r="L125" s="8">
        <v>25439605.719999999</v>
      </c>
      <c r="M125" s="8">
        <f>IFERROR(VLOOKUP($B125-1,CDM!$L$4:$R$15,4,FALSE)/12,0)+IFERROR(VLOOKUP($B125,CDM!$L$33:$O$44,4,FALSE)/24,0)+IFERROR(VLOOKUP($B125,CDM!$L$33:$O$44,4,FALSE)/2*$C125/78,0)</f>
        <v>2400554.8789301775</v>
      </c>
      <c r="N125" s="8">
        <f t="shared" si="131"/>
        <v>27840160.598930176</v>
      </c>
      <c r="O125" s="4">
        <v>64615.5</v>
      </c>
      <c r="P125" s="8">
        <v>430</v>
      </c>
      <c r="Q125" s="8">
        <v>264387.68</v>
      </c>
      <c r="R125" s="420">
        <v>849.80000000000007</v>
      </c>
      <c r="S125" s="8">
        <v>10254</v>
      </c>
      <c r="T125" s="8">
        <v>26600.04</v>
      </c>
      <c r="U125" s="420">
        <v>74.33</v>
      </c>
      <c r="V125" s="8">
        <v>348</v>
      </c>
      <c r="W125" s="8">
        <v>74190</v>
      </c>
      <c r="X125" s="8">
        <v>254</v>
      </c>
      <c r="Y125" s="8">
        <f>Weather!C125</f>
        <v>463.87916666666666</v>
      </c>
      <c r="Z125" s="8">
        <f>Weather!D125</f>
        <v>0</v>
      </c>
      <c r="AA125" s="8">
        <f>Weather!E125</f>
        <v>403.87916666666666</v>
      </c>
      <c r="AB125" s="8">
        <f>Weather!F125</f>
        <v>0</v>
      </c>
      <c r="AC125" s="8">
        <f>Weather!G125</f>
        <v>343.87916666666666</v>
      </c>
      <c r="AD125" s="8">
        <f>Weather!H125</f>
        <v>0</v>
      </c>
      <c r="AE125" s="8">
        <f>Weather!I125</f>
        <v>283.87916666666678</v>
      </c>
      <c r="AF125" s="8">
        <f>Weather!J125</f>
        <v>0</v>
      </c>
      <c r="AG125" s="8">
        <f>Weather!K125</f>
        <v>223.87916666666672</v>
      </c>
      <c r="AH125" s="8">
        <f>Weather!L125</f>
        <v>0</v>
      </c>
      <c r="AI125" s="8">
        <f>Weather!M125</f>
        <v>165.02083333333334</v>
      </c>
      <c r="AJ125" s="8">
        <f>Weather!N125</f>
        <v>1.141666666666671</v>
      </c>
      <c r="AK125" s="8">
        <f>Weather!O125</f>
        <v>109.46041666666665</v>
      </c>
      <c r="AL125" s="8">
        <f>Weather!P125</f>
        <v>5.5812500000000043</v>
      </c>
      <c r="AM125" s="2">
        <f>Weather!Q125</f>
        <v>4.5373611111111121</v>
      </c>
      <c r="AN125" s="8">
        <f>Economic!C125</f>
        <v>7970.1</v>
      </c>
      <c r="AO125" s="8">
        <f>Economic!D125</f>
        <v>7915</v>
      </c>
      <c r="AP125" s="8">
        <f>Economic!E125</f>
        <v>84.1</v>
      </c>
      <c r="AQ125" s="8">
        <f>Economic!F125</f>
        <v>84</v>
      </c>
      <c r="AR125" s="8">
        <f>Economic!G125</f>
        <v>862535.5858</v>
      </c>
      <c r="AS125" s="8">
        <f>Economic!H125</f>
        <v>6997.9615999999996</v>
      </c>
      <c r="AT125" s="8">
        <f>Economic!I125</f>
        <v>877135</v>
      </c>
      <c r="AU125" s="8">
        <f>Economic!J125</f>
        <v>7358</v>
      </c>
      <c r="AV125" s="1">
        <f t="shared" si="56"/>
        <v>124</v>
      </c>
      <c r="AW125" s="1">
        <f t="shared" ref="AW125:BN125" si="134">AW113</f>
        <v>0</v>
      </c>
      <c r="AX125" s="1">
        <f t="shared" si="134"/>
        <v>0</v>
      </c>
      <c r="AY125" s="1">
        <f t="shared" si="134"/>
        <v>0</v>
      </c>
      <c r="AZ125" s="1">
        <f t="shared" si="134"/>
        <v>1</v>
      </c>
      <c r="BA125" s="1">
        <f t="shared" si="134"/>
        <v>0</v>
      </c>
      <c r="BB125" s="1">
        <f t="shared" si="134"/>
        <v>0</v>
      </c>
      <c r="BC125" s="1">
        <f t="shared" si="134"/>
        <v>0</v>
      </c>
      <c r="BD125" s="1">
        <f t="shared" si="134"/>
        <v>0</v>
      </c>
      <c r="BE125" s="1">
        <f t="shared" si="134"/>
        <v>0</v>
      </c>
      <c r="BF125" s="1">
        <f t="shared" si="134"/>
        <v>0</v>
      </c>
      <c r="BG125" s="1">
        <f t="shared" si="134"/>
        <v>0</v>
      </c>
      <c r="BH125" s="1">
        <f t="shared" si="134"/>
        <v>0</v>
      </c>
      <c r="BI125" s="1">
        <f t="shared" si="134"/>
        <v>1</v>
      </c>
      <c r="BJ125" s="1">
        <f t="shared" si="134"/>
        <v>0</v>
      </c>
      <c r="BK125" s="1">
        <f t="shared" si="134"/>
        <v>1</v>
      </c>
      <c r="BL125" s="1">
        <f t="shared" si="134"/>
        <v>1</v>
      </c>
      <c r="BM125" s="1">
        <f t="shared" si="134"/>
        <v>0</v>
      </c>
      <c r="BN125" s="1">
        <f t="shared" si="134"/>
        <v>1</v>
      </c>
      <c r="BO125" s="1">
        <f t="shared" si="58"/>
        <v>30</v>
      </c>
      <c r="BP125" s="1">
        <v>22</v>
      </c>
      <c r="BQ125">
        <v>0</v>
      </c>
      <c r="BR125">
        <v>0</v>
      </c>
      <c r="BS125">
        <v>0.25</v>
      </c>
      <c r="BT125">
        <v>0</v>
      </c>
      <c r="BU125" s="126">
        <f t="shared" si="107"/>
        <v>0</v>
      </c>
      <c r="BV125" s="126">
        <f t="shared" si="108"/>
        <v>0</v>
      </c>
      <c r="BW125" s="126">
        <f t="shared" si="109"/>
        <v>0</v>
      </c>
      <c r="BX125" s="126">
        <f t="shared" si="110"/>
        <v>0</v>
      </c>
      <c r="BY125" s="126">
        <f t="shared" si="111"/>
        <v>0</v>
      </c>
      <c r="BZ125" s="126">
        <f t="shared" si="112"/>
        <v>0</v>
      </c>
      <c r="CA125" s="126">
        <f t="shared" si="113"/>
        <v>0</v>
      </c>
      <c r="CB125" s="126">
        <f t="shared" si="114"/>
        <v>0</v>
      </c>
      <c r="CC125" s="126">
        <f t="shared" si="115"/>
        <v>0</v>
      </c>
      <c r="CD125" s="126">
        <f t="shared" si="116"/>
        <v>0</v>
      </c>
      <c r="CE125" s="126">
        <f t="shared" si="117"/>
        <v>0</v>
      </c>
      <c r="CF125" s="126">
        <f t="shared" si="118"/>
        <v>0</v>
      </c>
      <c r="CG125" s="126">
        <f t="shared" si="119"/>
        <v>0</v>
      </c>
      <c r="CH125" s="126">
        <f t="shared" si="120"/>
        <v>0</v>
      </c>
      <c r="CI125" s="66">
        <f t="shared" si="121"/>
        <v>1022374.0234848286</v>
      </c>
      <c r="CJ125" s="66">
        <f t="shared" si="122"/>
        <v>370400.07400000002</v>
      </c>
      <c r="CK125" s="66">
        <f t="shared" si="123"/>
        <v>928005.35329767258</v>
      </c>
    </row>
    <row r="126" spans="1:89" x14ac:dyDescent="0.2">
      <c r="A126" s="101">
        <v>45413</v>
      </c>
      <c r="B126" s="1">
        <f t="shared" si="125"/>
        <v>2024</v>
      </c>
      <c r="C126" s="1">
        <f t="shared" si="126"/>
        <v>5</v>
      </c>
      <c r="D126" s="8">
        <v>25572613.309999999</v>
      </c>
      <c r="E126" s="8">
        <f>IFERROR(VLOOKUP($B126-1,CDM!$L$4:$R$15,2,FALSE)/12,0)+IFERROR(VLOOKUP($B126,CDM!$L$33:$O$44,2,FALSE)/24,0)+IFERROR(VLOOKUP($B126,CDM!$L$33:$O$44,2,FALSE)/2*$C126/78,0)</f>
        <v>1656817.2025903298</v>
      </c>
      <c r="F126" s="8">
        <f t="shared" si="50"/>
        <v>27229430.51259033</v>
      </c>
      <c r="G126" s="8">
        <v>43396</v>
      </c>
      <c r="H126" s="8">
        <v>10659949.960000001</v>
      </c>
      <c r="I126" s="8">
        <f>IFERROR(VLOOKUP($B126-1,CDM!$L$4:$R$15,3,FALSE)/12,0)+IFERROR(VLOOKUP($B126,CDM!$L$33:$O$44,3,FALSE)/24,0)+IFERROR(VLOOKUP($B126,CDM!$L$33:$O$44,3,FALSE)/2*$C126/78,0)</f>
        <v>730301.47703937744</v>
      </c>
      <c r="J126" s="8">
        <f t="shared" si="130"/>
        <v>11390251.437039379</v>
      </c>
      <c r="K126" s="8">
        <v>4328</v>
      </c>
      <c r="L126" s="8">
        <v>24463819.5</v>
      </c>
      <c r="M126" s="8">
        <f>IFERROR(VLOOKUP($B126-1,CDM!$L$4:$R$15,4,FALSE)/12,0)+IFERROR(VLOOKUP($B126,CDM!$L$33:$O$44,4,FALSE)/24,0)+IFERROR(VLOOKUP($B126,CDM!$L$33:$O$44,4,FALSE)/2*$C126/78,0)</f>
        <v>2409291.2199990749</v>
      </c>
      <c r="N126" s="8">
        <f t="shared" si="131"/>
        <v>26873110.719999075</v>
      </c>
      <c r="O126" s="4">
        <v>64641.220000000008</v>
      </c>
      <c r="P126" s="8">
        <v>432</v>
      </c>
      <c r="Q126" s="8">
        <v>235763.78</v>
      </c>
      <c r="R126" s="420">
        <v>849.76</v>
      </c>
      <c r="S126" s="8">
        <v>10257</v>
      </c>
      <c r="T126" s="8">
        <v>27366.83</v>
      </c>
      <c r="U126" s="420">
        <v>74.690000000000012</v>
      </c>
      <c r="V126" s="8">
        <v>348</v>
      </c>
      <c r="W126" s="8">
        <v>76633</v>
      </c>
      <c r="X126" s="8">
        <v>254</v>
      </c>
      <c r="Y126" s="8">
        <f>Weather!C126</f>
        <v>202.8125</v>
      </c>
      <c r="Z126" s="8">
        <f>Weather!D126</f>
        <v>0</v>
      </c>
      <c r="AA126" s="8">
        <f>Weather!E126</f>
        <v>145.15416666666664</v>
      </c>
      <c r="AB126" s="8">
        <f>Weather!F126</f>
        <v>4.3416666666666721</v>
      </c>
      <c r="AC126" s="8">
        <f>Weather!G126</f>
        <v>92.68541666666664</v>
      </c>
      <c r="AD126" s="8">
        <f>Weather!H126</f>
        <v>13.872916666666676</v>
      </c>
      <c r="AE126" s="8">
        <f>Weather!I126</f>
        <v>50.627083333333339</v>
      </c>
      <c r="AF126" s="8">
        <f>Weather!J126</f>
        <v>33.814583333333346</v>
      </c>
      <c r="AG126" s="8">
        <f>Weather!K126</f>
        <v>20.881250000000001</v>
      </c>
      <c r="AH126" s="8">
        <f>Weather!L126</f>
        <v>66.068750000000023</v>
      </c>
      <c r="AI126" s="8">
        <f>Weather!M126</f>
        <v>2.6791666666666654</v>
      </c>
      <c r="AJ126" s="8">
        <f>Weather!N126</f>
        <v>109.8666666666667</v>
      </c>
      <c r="AK126" s="8">
        <f>Weather!O126</f>
        <v>0</v>
      </c>
      <c r="AL126" s="8">
        <f>Weather!P126</f>
        <v>169.1875</v>
      </c>
      <c r="AM126" s="2">
        <f>Weather!Q126</f>
        <v>13.457661290322582</v>
      </c>
      <c r="AN126" s="8">
        <f>Economic!C126</f>
        <v>8003.7</v>
      </c>
      <c r="AO126" s="8">
        <f>Economic!D126</f>
        <v>7999.8</v>
      </c>
      <c r="AP126" s="8">
        <f>Economic!E126</f>
        <v>82.8</v>
      </c>
      <c r="AQ126" s="8">
        <f>Economic!F126</f>
        <v>82.7</v>
      </c>
      <c r="AR126" s="8">
        <f>Economic!G126</f>
        <v>862535.5858</v>
      </c>
      <c r="AS126" s="8">
        <f>Economic!H126</f>
        <v>6997.9615999999996</v>
      </c>
      <c r="AT126" s="8">
        <f>Economic!I126</f>
        <v>877135</v>
      </c>
      <c r="AU126" s="8">
        <f>Economic!J126</f>
        <v>7358</v>
      </c>
      <c r="AV126" s="1">
        <f t="shared" si="56"/>
        <v>125</v>
      </c>
      <c r="AW126" s="1">
        <f t="shared" ref="AW126:BN126" si="135">AW114</f>
        <v>0</v>
      </c>
      <c r="AX126" s="1">
        <f t="shared" si="135"/>
        <v>0</v>
      </c>
      <c r="AY126" s="1">
        <f t="shared" si="135"/>
        <v>0</v>
      </c>
      <c r="AZ126" s="1">
        <f t="shared" si="135"/>
        <v>0</v>
      </c>
      <c r="BA126" s="1">
        <f t="shared" si="135"/>
        <v>1</v>
      </c>
      <c r="BB126" s="1">
        <f t="shared" si="135"/>
        <v>0</v>
      </c>
      <c r="BC126" s="1">
        <f t="shared" si="135"/>
        <v>0</v>
      </c>
      <c r="BD126" s="1">
        <f t="shared" si="135"/>
        <v>0</v>
      </c>
      <c r="BE126" s="1">
        <f t="shared" si="135"/>
        <v>0</v>
      </c>
      <c r="BF126" s="1">
        <f t="shared" si="135"/>
        <v>0</v>
      </c>
      <c r="BG126" s="1">
        <f t="shared" si="135"/>
        <v>0</v>
      </c>
      <c r="BH126" s="1">
        <f t="shared" si="135"/>
        <v>0</v>
      </c>
      <c r="BI126" s="1">
        <f t="shared" si="135"/>
        <v>1</v>
      </c>
      <c r="BJ126" s="1">
        <f t="shared" si="135"/>
        <v>0</v>
      </c>
      <c r="BK126" s="1">
        <f t="shared" si="135"/>
        <v>1</v>
      </c>
      <c r="BL126" s="1">
        <f t="shared" si="135"/>
        <v>1</v>
      </c>
      <c r="BM126" s="1">
        <f t="shared" si="135"/>
        <v>0</v>
      </c>
      <c r="BN126" s="1">
        <f t="shared" si="135"/>
        <v>1</v>
      </c>
      <c r="BO126" s="1">
        <f t="shared" si="58"/>
        <v>31</v>
      </c>
      <c r="BP126" s="1">
        <v>22</v>
      </c>
      <c r="BQ126">
        <v>0</v>
      </c>
      <c r="BR126">
        <v>0</v>
      </c>
      <c r="BS126">
        <v>0.25</v>
      </c>
      <c r="BT126">
        <v>0</v>
      </c>
      <c r="BU126" s="126">
        <f t="shared" si="107"/>
        <v>0</v>
      </c>
      <c r="BV126" s="126">
        <f t="shared" si="108"/>
        <v>0</v>
      </c>
      <c r="BW126" s="126">
        <f t="shared" si="109"/>
        <v>0</v>
      </c>
      <c r="BX126" s="126">
        <f t="shared" si="110"/>
        <v>0</v>
      </c>
      <c r="BY126" s="126">
        <f t="shared" si="111"/>
        <v>0</v>
      </c>
      <c r="BZ126" s="126">
        <f t="shared" si="112"/>
        <v>0</v>
      </c>
      <c r="CA126" s="126">
        <f t="shared" si="113"/>
        <v>0</v>
      </c>
      <c r="CB126" s="126">
        <f t="shared" si="114"/>
        <v>0</v>
      </c>
      <c r="CC126" s="126">
        <f t="shared" si="115"/>
        <v>0</v>
      </c>
      <c r="CD126" s="126">
        <f t="shared" si="116"/>
        <v>0</v>
      </c>
      <c r="CE126" s="126">
        <f t="shared" si="117"/>
        <v>0</v>
      </c>
      <c r="CF126" s="126">
        <f t="shared" si="118"/>
        <v>0</v>
      </c>
      <c r="CG126" s="126">
        <f t="shared" si="119"/>
        <v>0</v>
      </c>
      <c r="CH126" s="126">
        <f t="shared" si="120"/>
        <v>0</v>
      </c>
      <c r="CI126" s="66">
        <f t="shared" si="121"/>
        <v>878368.72621259128</v>
      </c>
      <c r="CJ126" s="66">
        <f t="shared" si="122"/>
        <v>343869.35354838712</v>
      </c>
      <c r="CK126" s="66">
        <f t="shared" si="123"/>
        <v>866874.53935480886</v>
      </c>
    </row>
    <row r="127" spans="1:89" x14ac:dyDescent="0.2">
      <c r="A127" s="101">
        <v>45444</v>
      </c>
      <c r="B127" s="1">
        <f t="shared" si="125"/>
        <v>2024</v>
      </c>
      <c r="C127" s="1">
        <f t="shared" si="126"/>
        <v>6</v>
      </c>
      <c r="D127" s="8">
        <v>26258808.32</v>
      </c>
      <c r="E127" s="8">
        <f>IFERROR(VLOOKUP($B127-1,CDM!$L$4:$R$15,2,FALSE)/12,0)+IFERROR(VLOOKUP($B127,CDM!$L$33:$O$44,2,FALSE)/24,0)+IFERROR(VLOOKUP($B127,CDM!$L$33:$O$44,2,FALSE)/2*$C127/78,0)</f>
        <v>1660432.1306357991</v>
      </c>
      <c r="F127" s="8">
        <f t="shared" si="50"/>
        <v>27919240.450635798</v>
      </c>
      <c r="G127" s="8">
        <v>43400</v>
      </c>
      <c r="H127" s="8">
        <v>10610490.390000001</v>
      </c>
      <c r="I127" s="8">
        <f>IFERROR(VLOOKUP($B127-1,CDM!$L$4:$R$15,3,FALSE)/12,0)+IFERROR(VLOOKUP($B127,CDM!$L$33:$O$44,3,FALSE)/24,0)+IFERROR(VLOOKUP($B127,CDM!$L$33:$O$44,3,FALSE)/2*$C127/78,0)</f>
        <v>734362.67244526837</v>
      </c>
      <c r="J127" s="8">
        <f t="shared" si="130"/>
        <v>11344853.062445268</v>
      </c>
      <c r="K127" s="8">
        <v>4329</v>
      </c>
      <c r="L127" s="8">
        <v>24548076.579999998</v>
      </c>
      <c r="M127" s="8">
        <f>IFERROR(VLOOKUP($B127-1,CDM!$L$4:$R$15,4,FALSE)/12,0)+IFERROR(VLOOKUP($B127,CDM!$L$33:$O$44,4,FALSE)/24,0)+IFERROR(VLOOKUP($B127,CDM!$L$33:$O$44,4,FALSE)/2*$C127/78,0)</f>
        <v>2418027.5610679719</v>
      </c>
      <c r="N127" s="8">
        <f t="shared" si="131"/>
        <v>26966104.141067971</v>
      </c>
      <c r="O127" s="4">
        <v>66897.450000000012</v>
      </c>
      <c r="P127" s="8">
        <v>430</v>
      </c>
      <c r="Q127" s="8">
        <v>209908.37</v>
      </c>
      <c r="R127" s="420">
        <v>849.78</v>
      </c>
      <c r="S127" s="8">
        <v>10258</v>
      </c>
      <c r="T127" s="8">
        <v>26400.240000000002</v>
      </c>
      <c r="U127" s="420">
        <v>73.750000000000014</v>
      </c>
      <c r="V127" s="8">
        <v>345</v>
      </c>
      <c r="W127" s="8">
        <v>74190</v>
      </c>
      <c r="X127" s="8">
        <v>254</v>
      </c>
      <c r="Y127" s="8">
        <f>Weather!C127</f>
        <v>113.12708333333332</v>
      </c>
      <c r="Z127" s="8">
        <f>Weather!D127</f>
        <v>17.7</v>
      </c>
      <c r="AA127" s="8">
        <f>Weather!E127</f>
        <v>68.720833333333317</v>
      </c>
      <c r="AB127" s="8">
        <f>Weather!F127</f>
        <v>33.293750000000003</v>
      </c>
      <c r="AC127" s="8">
        <f>Weather!G127</f>
        <v>33.62083333333333</v>
      </c>
      <c r="AD127" s="8">
        <f>Weather!H127</f>
        <v>58.193750000000009</v>
      </c>
      <c r="AE127" s="8">
        <f>Weather!I127</f>
        <v>11.199999999999998</v>
      </c>
      <c r="AF127" s="8">
        <f>Weather!J127</f>
        <v>95.772916666666688</v>
      </c>
      <c r="AG127" s="8">
        <f>Weather!K127</f>
        <v>1.4000000000000004</v>
      </c>
      <c r="AH127" s="8">
        <f>Weather!L127</f>
        <v>145.97291666666669</v>
      </c>
      <c r="AI127" s="8">
        <f>Weather!M127</f>
        <v>0</v>
      </c>
      <c r="AJ127" s="8">
        <f>Weather!N127</f>
        <v>204.57291666666666</v>
      </c>
      <c r="AK127" s="8">
        <f>Weather!O127</f>
        <v>0</v>
      </c>
      <c r="AL127" s="8">
        <f>Weather!P127</f>
        <v>264.57291666666663</v>
      </c>
      <c r="AM127" s="2">
        <f>Weather!Q127</f>
        <v>16.819097222222219</v>
      </c>
      <c r="AN127" s="8">
        <f>Economic!C127</f>
        <v>8031.8</v>
      </c>
      <c r="AO127" s="8">
        <f>Economic!D127</f>
        <v>8092.5</v>
      </c>
      <c r="AP127" s="8">
        <f>Economic!E127</f>
        <v>82.8</v>
      </c>
      <c r="AQ127" s="8">
        <f>Economic!F127</f>
        <v>82.7</v>
      </c>
      <c r="AR127" s="8">
        <f>Economic!G127</f>
        <v>862535.5858</v>
      </c>
      <c r="AS127" s="8">
        <f>Economic!H127</f>
        <v>6997.9615999999996</v>
      </c>
      <c r="AT127" s="8">
        <f>Economic!I127</f>
        <v>877135</v>
      </c>
      <c r="AU127" s="8">
        <f>Economic!J127</f>
        <v>7358</v>
      </c>
      <c r="AV127" s="1">
        <f t="shared" si="56"/>
        <v>126</v>
      </c>
      <c r="AW127" s="1">
        <f t="shared" ref="AW127:BN127" si="136">AW115</f>
        <v>0</v>
      </c>
      <c r="AX127" s="1">
        <f t="shared" si="136"/>
        <v>0</v>
      </c>
      <c r="AY127" s="1">
        <f t="shared" si="136"/>
        <v>0</v>
      </c>
      <c r="AZ127" s="1">
        <f t="shared" si="136"/>
        <v>0</v>
      </c>
      <c r="BA127" s="1">
        <f t="shared" si="136"/>
        <v>0</v>
      </c>
      <c r="BB127" s="1">
        <f t="shared" si="136"/>
        <v>1</v>
      </c>
      <c r="BC127" s="1">
        <f t="shared" si="136"/>
        <v>0</v>
      </c>
      <c r="BD127" s="1">
        <f t="shared" si="136"/>
        <v>0</v>
      </c>
      <c r="BE127" s="1">
        <f t="shared" si="136"/>
        <v>0</v>
      </c>
      <c r="BF127" s="1">
        <f t="shared" si="136"/>
        <v>0</v>
      </c>
      <c r="BG127" s="1">
        <f t="shared" si="136"/>
        <v>0</v>
      </c>
      <c r="BH127" s="1">
        <f t="shared" si="136"/>
        <v>0</v>
      </c>
      <c r="BI127" s="1">
        <f t="shared" si="136"/>
        <v>0</v>
      </c>
      <c r="BJ127" s="1">
        <f t="shared" si="136"/>
        <v>0</v>
      </c>
      <c r="BK127" s="1">
        <f t="shared" si="136"/>
        <v>0</v>
      </c>
      <c r="BL127" s="1">
        <f t="shared" si="136"/>
        <v>0</v>
      </c>
      <c r="BM127" s="1">
        <f t="shared" si="136"/>
        <v>0</v>
      </c>
      <c r="BN127" s="1">
        <f t="shared" si="136"/>
        <v>0</v>
      </c>
      <c r="BO127" s="1">
        <f t="shared" si="58"/>
        <v>30</v>
      </c>
      <c r="BP127" s="1">
        <v>20</v>
      </c>
      <c r="BQ127">
        <v>0</v>
      </c>
      <c r="BR127">
        <v>0</v>
      </c>
      <c r="BS127">
        <v>0.25</v>
      </c>
      <c r="BT127">
        <v>0</v>
      </c>
      <c r="BU127" s="126">
        <f t="shared" si="107"/>
        <v>0</v>
      </c>
      <c r="BV127" s="126">
        <f t="shared" si="108"/>
        <v>0</v>
      </c>
      <c r="BW127" s="126">
        <f t="shared" si="109"/>
        <v>0</v>
      </c>
      <c r="BX127" s="126">
        <f t="shared" si="110"/>
        <v>0</v>
      </c>
      <c r="BY127" s="126">
        <f t="shared" si="111"/>
        <v>0</v>
      </c>
      <c r="BZ127" s="126">
        <f t="shared" si="112"/>
        <v>0</v>
      </c>
      <c r="CA127" s="126">
        <f t="shared" si="113"/>
        <v>0</v>
      </c>
      <c r="CB127" s="126">
        <f t="shared" si="114"/>
        <v>0</v>
      </c>
      <c r="CC127" s="126">
        <f t="shared" si="115"/>
        <v>0</v>
      </c>
      <c r="CD127" s="126">
        <f t="shared" si="116"/>
        <v>0</v>
      </c>
      <c r="CE127" s="126">
        <f t="shared" si="117"/>
        <v>0</v>
      </c>
      <c r="CF127" s="126">
        <f t="shared" si="118"/>
        <v>0</v>
      </c>
      <c r="CG127" s="126">
        <f t="shared" si="119"/>
        <v>0</v>
      </c>
      <c r="CH127" s="126">
        <f t="shared" si="120"/>
        <v>0</v>
      </c>
      <c r="CI127" s="66">
        <f t="shared" si="121"/>
        <v>930641.34835452656</v>
      </c>
      <c r="CJ127" s="66">
        <f t="shared" si="122"/>
        <v>353683.01300000004</v>
      </c>
      <c r="CK127" s="66">
        <f t="shared" si="123"/>
        <v>898870.13803559903</v>
      </c>
    </row>
    <row r="128" spans="1:89" x14ac:dyDescent="0.2">
      <c r="A128" s="101">
        <v>45474</v>
      </c>
      <c r="B128" s="1">
        <f t="shared" si="125"/>
        <v>2024</v>
      </c>
      <c r="C128" s="1">
        <f t="shared" si="126"/>
        <v>7</v>
      </c>
      <c r="D128" s="8">
        <v>30483021.640000001</v>
      </c>
      <c r="E128" s="8">
        <f>IFERROR(VLOOKUP($B128-1,CDM!$L$4:$R$15,2,FALSE)/12,0)+IFERROR(VLOOKUP($B128,CDM!$L$33:$O$44,2,FALSE)/24,0)+IFERROR(VLOOKUP($B128,CDM!$L$33:$O$44,2,FALSE)/2*$C128/78,0)</f>
        <v>1664047.0586812685</v>
      </c>
      <c r="F128" s="8">
        <f t="shared" si="50"/>
        <v>32147068.698681269</v>
      </c>
      <c r="G128" s="8">
        <v>43409</v>
      </c>
      <c r="H128" s="8">
        <v>11649480.41</v>
      </c>
      <c r="I128" s="8">
        <f>IFERROR(VLOOKUP($B128-1,CDM!$L$4:$R$15,3,FALSE)/12,0)+IFERROR(VLOOKUP($B128,CDM!$L$33:$O$44,3,FALSE)/24,0)+IFERROR(VLOOKUP($B128,CDM!$L$33:$O$44,3,FALSE)/2*$C128/78,0)</f>
        <v>738423.8678511593</v>
      </c>
      <c r="J128" s="8">
        <f t="shared" si="130"/>
        <v>12387904.277851159</v>
      </c>
      <c r="K128" s="8">
        <v>4330</v>
      </c>
      <c r="L128" s="8">
        <v>26898324.239999998</v>
      </c>
      <c r="M128" s="8">
        <f>IFERROR(VLOOKUP($B128-1,CDM!$L$4:$R$15,4,FALSE)/12,0)+IFERROR(VLOOKUP($B128,CDM!$L$33:$O$44,4,FALSE)/24,0)+IFERROR(VLOOKUP($B128,CDM!$L$33:$O$44,4,FALSE)/2*$C128/78,0)</f>
        <v>2426763.9021368688</v>
      </c>
      <c r="N128" s="8">
        <f t="shared" si="131"/>
        <v>29325088.142136868</v>
      </c>
      <c r="O128" s="4">
        <v>65512.85</v>
      </c>
      <c r="P128" s="8">
        <v>431</v>
      </c>
      <c r="Q128" s="8">
        <v>227078.43</v>
      </c>
      <c r="R128" s="420">
        <v>848.79</v>
      </c>
      <c r="S128" s="8">
        <v>10258</v>
      </c>
      <c r="T128" s="8">
        <v>27280.25</v>
      </c>
      <c r="U128" s="420">
        <v>73.760000000000005</v>
      </c>
      <c r="V128" s="8">
        <v>345</v>
      </c>
      <c r="W128" s="8">
        <v>76633</v>
      </c>
      <c r="X128" s="8">
        <v>254</v>
      </c>
      <c r="Y128" s="8">
        <f>Weather!C128</f>
        <v>37.364583333333329</v>
      </c>
      <c r="Z128" s="8">
        <f>Weather!D128</f>
        <v>27.299999999999997</v>
      </c>
      <c r="AA128" s="8">
        <f>Weather!E128</f>
        <v>10.652083333333334</v>
      </c>
      <c r="AB128" s="8">
        <f>Weather!F128</f>
        <v>62.587499999999991</v>
      </c>
      <c r="AC128" s="8">
        <f>Weather!G128</f>
        <v>1.8999999999999986</v>
      </c>
      <c r="AD128" s="8">
        <f>Weather!H128</f>
        <v>115.8354166666667</v>
      </c>
      <c r="AE128" s="8">
        <f>Weather!I128</f>
        <v>0</v>
      </c>
      <c r="AF128" s="8">
        <f>Weather!J128</f>
        <v>175.9354166666667</v>
      </c>
      <c r="AG128" s="8">
        <f>Weather!K128</f>
        <v>0</v>
      </c>
      <c r="AH128" s="8">
        <f>Weather!L128</f>
        <v>237.9354166666667</v>
      </c>
      <c r="AI128" s="8">
        <f>Weather!M128</f>
        <v>0</v>
      </c>
      <c r="AJ128" s="8">
        <f>Weather!N128</f>
        <v>299.93541666666664</v>
      </c>
      <c r="AK128" s="8">
        <f>Weather!O128</f>
        <v>0</v>
      </c>
      <c r="AL128" s="8">
        <f>Weather!P128</f>
        <v>361.9354166666667</v>
      </c>
      <c r="AM128" s="2">
        <f>Weather!Q128</f>
        <v>19.675336021505373</v>
      </c>
      <c r="AN128" s="8">
        <f>Economic!C128</f>
        <v>8059</v>
      </c>
      <c r="AO128" s="8">
        <f>Economic!D128</f>
        <v>8149.4</v>
      </c>
      <c r="AP128" s="8">
        <f>Economic!E128</f>
        <v>83.1</v>
      </c>
      <c r="AQ128" s="8">
        <f>Economic!F128</f>
        <v>82.6</v>
      </c>
      <c r="AR128" s="8">
        <f>Economic!G128</f>
        <v>862535.5858</v>
      </c>
      <c r="AS128" s="8">
        <f>Economic!H128</f>
        <v>6997.9615999999996</v>
      </c>
      <c r="AT128" s="8">
        <f>Economic!I128</f>
        <v>877865</v>
      </c>
      <c r="AU128" s="8">
        <f>Economic!J128</f>
        <v>7409</v>
      </c>
      <c r="AV128" s="1">
        <f t="shared" si="56"/>
        <v>127</v>
      </c>
      <c r="AW128" s="1">
        <f t="shared" ref="AW128:BN128" si="137">AW116</f>
        <v>0</v>
      </c>
      <c r="AX128" s="1">
        <f t="shared" si="137"/>
        <v>0</v>
      </c>
      <c r="AY128" s="1">
        <f t="shared" si="137"/>
        <v>0</v>
      </c>
      <c r="AZ128" s="1">
        <f t="shared" si="137"/>
        <v>0</v>
      </c>
      <c r="BA128" s="1">
        <f t="shared" si="137"/>
        <v>0</v>
      </c>
      <c r="BB128" s="1">
        <f t="shared" si="137"/>
        <v>0</v>
      </c>
      <c r="BC128" s="1">
        <f t="shared" si="137"/>
        <v>1</v>
      </c>
      <c r="BD128" s="1">
        <f t="shared" si="137"/>
        <v>0</v>
      </c>
      <c r="BE128" s="1">
        <f t="shared" si="137"/>
        <v>0</v>
      </c>
      <c r="BF128" s="1">
        <f t="shared" si="137"/>
        <v>0</v>
      </c>
      <c r="BG128" s="1">
        <f t="shared" si="137"/>
        <v>0</v>
      </c>
      <c r="BH128" s="1">
        <f t="shared" si="137"/>
        <v>0</v>
      </c>
      <c r="BI128" s="1">
        <f t="shared" si="137"/>
        <v>0</v>
      </c>
      <c r="BJ128" s="1">
        <f t="shared" si="137"/>
        <v>0</v>
      </c>
      <c r="BK128" s="1">
        <f t="shared" si="137"/>
        <v>0</v>
      </c>
      <c r="BL128" s="1">
        <f t="shared" si="137"/>
        <v>0</v>
      </c>
      <c r="BM128" s="1">
        <f t="shared" si="137"/>
        <v>0</v>
      </c>
      <c r="BN128" s="1">
        <f t="shared" si="137"/>
        <v>0</v>
      </c>
      <c r="BO128" s="1">
        <f t="shared" si="58"/>
        <v>31</v>
      </c>
      <c r="BP128" s="1">
        <v>22</v>
      </c>
      <c r="BQ128">
        <v>0</v>
      </c>
      <c r="BR128">
        <v>0</v>
      </c>
      <c r="BS128">
        <v>0.25</v>
      </c>
      <c r="BT128">
        <v>0</v>
      </c>
      <c r="BU128" s="126">
        <f t="shared" si="107"/>
        <v>0</v>
      </c>
      <c r="BV128" s="126">
        <f t="shared" si="108"/>
        <v>0</v>
      </c>
      <c r="BW128" s="126">
        <f t="shared" si="109"/>
        <v>0</v>
      </c>
      <c r="BX128" s="126">
        <f t="shared" si="110"/>
        <v>0</v>
      </c>
      <c r="BY128" s="126">
        <f t="shared" si="111"/>
        <v>0</v>
      </c>
      <c r="BZ128" s="126">
        <f t="shared" si="112"/>
        <v>0</v>
      </c>
      <c r="CA128" s="126">
        <f t="shared" si="113"/>
        <v>0</v>
      </c>
      <c r="CB128" s="126">
        <f t="shared" si="114"/>
        <v>0</v>
      </c>
      <c r="CC128" s="126">
        <f t="shared" si="115"/>
        <v>0</v>
      </c>
      <c r="CD128" s="126">
        <f t="shared" si="116"/>
        <v>0</v>
      </c>
      <c r="CE128" s="126">
        <f t="shared" si="117"/>
        <v>0</v>
      </c>
      <c r="CF128" s="126">
        <f t="shared" si="118"/>
        <v>0</v>
      </c>
      <c r="CG128" s="126">
        <f t="shared" si="119"/>
        <v>0</v>
      </c>
      <c r="CH128" s="126">
        <f t="shared" si="120"/>
        <v>0</v>
      </c>
      <c r="CI128" s="66">
        <f t="shared" si="121"/>
        <v>1037002.2160864925</v>
      </c>
      <c r="CJ128" s="66">
        <f t="shared" si="122"/>
        <v>375789.69064516132</v>
      </c>
      <c r="CK128" s="66">
        <f t="shared" si="123"/>
        <v>945970.58523022151</v>
      </c>
    </row>
    <row r="129" spans="1:89" x14ac:dyDescent="0.2">
      <c r="A129" s="101">
        <v>45505</v>
      </c>
      <c r="B129" s="1">
        <f t="shared" si="125"/>
        <v>2024</v>
      </c>
      <c r="C129" s="1">
        <f t="shared" si="126"/>
        <v>8</v>
      </c>
      <c r="D129" s="8">
        <v>28728936.489999998</v>
      </c>
      <c r="E129" s="8">
        <f>IFERROR(VLOOKUP($B129-1,CDM!$L$4:$R$15,2,FALSE)/12,0)+IFERROR(VLOOKUP($B129,CDM!$L$33:$O$44,2,FALSE)/24,0)+IFERROR(VLOOKUP($B129,CDM!$L$33:$O$44,2,FALSE)/2*$C129/78,0)</f>
        <v>1667661.9867267378</v>
      </c>
      <c r="F129" s="8">
        <f t="shared" si="50"/>
        <v>30396598.476726737</v>
      </c>
      <c r="G129" s="8">
        <v>43408</v>
      </c>
      <c r="H129" s="8">
        <v>11277055.35</v>
      </c>
      <c r="I129" s="8">
        <f>IFERROR(VLOOKUP($B129-1,CDM!$L$4:$R$15,3,FALSE)/12,0)+IFERROR(VLOOKUP($B129,CDM!$L$33:$O$44,3,FALSE)/24,0)+IFERROR(VLOOKUP($B129,CDM!$L$33:$O$44,3,FALSE)/2*$C129/78,0)</f>
        <v>742485.06325705023</v>
      </c>
      <c r="J129" s="8">
        <f t="shared" si="130"/>
        <v>12019540.413257049</v>
      </c>
      <c r="K129" s="8">
        <v>4331</v>
      </c>
      <c r="L129" s="8">
        <v>26462255.760000002</v>
      </c>
      <c r="M129" s="8">
        <f>IFERROR(VLOOKUP($B129-1,CDM!$L$4:$R$15,4,FALSE)/12,0)+IFERROR(VLOOKUP($B129,CDM!$L$33:$O$44,4,FALSE)/24,0)+IFERROR(VLOOKUP($B129,CDM!$L$33:$O$44,4,FALSE)/2*$C129/78,0)</f>
        <v>2435500.2432057662</v>
      </c>
      <c r="N129" s="8">
        <f t="shared" si="131"/>
        <v>28897756.003205769</v>
      </c>
      <c r="O129" s="4">
        <v>66276.299999999988</v>
      </c>
      <c r="P129" s="8">
        <v>431</v>
      </c>
      <c r="Q129" s="8">
        <v>260492.78</v>
      </c>
      <c r="R129" s="420">
        <v>848.6099999999999</v>
      </c>
      <c r="S129" s="8">
        <v>10249</v>
      </c>
      <c r="T129" s="8">
        <v>27280.25</v>
      </c>
      <c r="U129" s="420">
        <v>73.760000000000005</v>
      </c>
      <c r="V129" s="8">
        <v>345</v>
      </c>
      <c r="W129" s="8">
        <v>76633</v>
      </c>
      <c r="X129" s="8">
        <v>254</v>
      </c>
      <c r="Y129" s="8">
        <f>Weather!C129</f>
        <v>65.081249999999997</v>
      </c>
      <c r="Z129" s="8">
        <f>Weather!D129</f>
        <v>22.900000000000006</v>
      </c>
      <c r="AA129" s="8">
        <f>Weather!E129</f>
        <v>33.681249999999999</v>
      </c>
      <c r="AB129" s="8">
        <f>Weather!F129</f>
        <v>53.500000000000007</v>
      </c>
      <c r="AC129" s="8">
        <f>Weather!G129</f>
        <v>13.2</v>
      </c>
      <c r="AD129" s="8">
        <f>Weather!H129</f>
        <v>95.018749999999983</v>
      </c>
      <c r="AE129" s="8">
        <f>Weather!I129</f>
        <v>2.3000000000000007</v>
      </c>
      <c r="AF129" s="8">
        <f>Weather!J129</f>
        <v>146.11875000000001</v>
      </c>
      <c r="AG129" s="8">
        <f>Weather!K129</f>
        <v>0</v>
      </c>
      <c r="AH129" s="8">
        <f>Weather!L129</f>
        <v>205.81874999999999</v>
      </c>
      <c r="AI129" s="8">
        <f>Weather!M129</f>
        <v>0</v>
      </c>
      <c r="AJ129" s="8">
        <f>Weather!N129</f>
        <v>267.81874999999997</v>
      </c>
      <c r="AK129" s="8">
        <f>Weather!O129</f>
        <v>0</v>
      </c>
      <c r="AL129" s="8">
        <f>Weather!P129</f>
        <v>329.81875000000002</v>
      </c>
      <c r="AM129" s="2">
        <f>Weather!Q129</f>
        <v>18.639314516129037</v>
      </c>
      <c r="AN129" s="8">
        <f>Economic!C129</f>
        <v>8066.9</v>
      </c>
      <c r="AO129" s="8">
        <f>Economic!D129</f>
        <v>8147.2</v>
      </c>
      <c r="AP129" s="8">
        <f>Economic!E129</f>
        <v>85</v>
      </c>
      <c r="AQ129" s="8">
        <f>Economic!F129</f>
        <v>84.4</v>
      </c>
      <c r="AR129" s="8">
        <f>Economic!G129</f>
        <v>862535.5858</v>
      </c>
      <c r="AS129" s="8">
        <f>Economic!H129</f>
        <v>6997.9615999999996</v>
      </c>
      <c r="AT129" s="8">
        <f>Economic!I129</f>
        <v>877865</v>
      </c>
      <c r="AU129" s="8">
        <f>Economic!J129</f>
        <v>7409</v>
      </c>
      <c r="AV129" s="1">
        <f t="shared" si="56"/>
        <v>128</v>
      </c>
      <c r="AW129" s="1">
        <f t="shared" ref="AW129:BN129" si="138">AW117</f>
        <v>0</v>
      </c>
      <c r="AX129" s="1">
        <f t="shared" si="138"/>
        <v>0</v>
      </c>
      <c r="AY129" s="1">
        <f t="shared" si="138"/>
        <v>0</v>
      </c>
      <c r="AZ129" s="1">
        <f t="shared" si="138"/>
        <v>0</v>
      </c>
      <c r="BA129" s="1">
        <f t="shared" si="138"/>
        <v>0</v>
      </c>
      <c r="BB129" s="1">
        <f t="shared" si="138"/>
        <v>0</v>
      </c>
      <c r="BC129" s="1">
        <f t="shared" si="138"/>
        <v>0</v>
      </c>
      <c r="BD129" s="1">
        <f t="shared" si="138"/>
        <v>1</v>
      </c>
      <c r="BE129" s="1">
        <f t="shared" si="138"/>
        <v>0</v>
      </c>
      <c r="BF129" s="1">
        <f t="shared" si="138"/>
        <v>0</v>
      </c>
      <c r="BG129" s="1">
        <f t="shared" si="138"/>
        <v>0</v>
      </c>
      <c r="BH129" s="1">
        <f t="shared" si="138"/>
        <v>0</v>
      </c>
      <c r="BI129" s="1">
        <f t="shared" si="138"/>
        <v>0</v>
      </c>
      <c r="BJ129" s="1">
        <f t="shared" si="138"/>
        <v>0</v>
      </c>
      <c r="BK129" s="1">
        <f t="shared" si="138"/>
        <v>0</v>
      </c>
      <c r="BL129" s="1">
        <f t="shared" si="138"/>
        <v>0</v>
      </c>
      <c r="BM129" s="1">
        <f t="shared" si="138"/>
        <v>0</v>
      </c>
      <c r="BN129" s="1">
        <f t="shared" si="138"/>
        <v>0</v>
      </c>
      <c r="BO129" s="1">
        <f t="shared" si="58"/>
        <v>31</v>
      </c>
      <c r="BP129" s="1">
        <v>22</v>
      </c>
      <c r="BQ129">
        <v>0</v>
      </c>
      <c r="BR129">
        <v>0</v>
      </c>
      <c r="BS129">
        <v>0.25</v>
      </c>
      <c r="BT129">
        <v>0</v>
      </c>
      <c r="BU129" s="126">
        <f t="shared" si="107"/>
        <v>0</v>
      </c>
      <c r="BV129" s="126">
        <f t="shared" si="108"/>
        <v>0</v>
      </c>
      <c r="BW129" s="126">
        <f t="shared" si="109"/>
        <v>0</v>
      </c>
      <c r="BX129" s="126">
        <f t="shared" si="110"/>
        <v>0</v>
      </c>
      <c r="BY129" s="126">
        <f t="shared" si="111"/>
        <v>0</v>
      </c>
      <c r="BZ129" s="126">
        <f t="shared" si="112"/>
        <v>0</v>
      </c>
      <c r="CA129" s="126">
        <f t="shared" si="113"/>
        <v>0</v>
      </c>
      <c r="CB129" s="126">
        <f t="shared" si="114"/>
        <v>0</v>
      </c>
      <c r="CC129" s="126">
        <f t="shared" si="115"/>
        <v>0</v>
      </c>
      <c r="CD129" s="126">
        <f t="shared" si="116"/>
        <v>0</v>
      </c>
      <c r="CE129" s="126">
        <f t="shared" si="117"/>
        <v>0</v>
      </c>
      <c r="CF129" s="126">
        <f t="shared" si="118"/>
        <v>0</v>
      </c>
      <c r="CG129" s="126">
        <f t="shared" si="119"/>
        <v>0</v>
      </c>
      <c r="CH129" s="126">
        <f t="shared" si="120"/>
        <v>0</v>
      </c>
      <c r="CI129" s="66">
        <f t="shared" si="121"/>
        <v>980535.43473312049</v>
      </c>
      <c r="CJ129" s="66">
        <f t="shared" si="122"/>
        <v>363775.97903225804</v>
      </c>
      <c r="CK129" s="66">
        <f t="shared" si="123"/>
        <v>932185.67752276675</v>
      </c>
    </row>
    <row r="130" spans="1:89" x14ac:dyDescent="0.2">
      <c r="A130" s="101">
        <v>45536</v>
      </c>
      <c r="B130" s="1">
        <f t="shared" si="125"/>
        <v>2024</v>
      </c>
      <c r="C130" s="1">
        <f t="shared" si="126"/>
        <v>9</v>
      </c>
      <c r="D130" s="8">
        <v>25066843.239999998</v>
      </c>
      <c r="E130" s="8">
        <f>IFERROR(VLOOKUP($B130-1,CDM!$L$4:$R$15,2,FALSE)/12,0)+IFERROR(VLOOKUP($B130,CDM!$L$33:$O$44,2,FALSE)/24,0)+IFERROR(VLOOKUP($B130,CDM!$L$33:$O$44,2,FALSE)/2*$C130/78,0)</f>
        <v>1671276.9147722072</v>
      </c>
      <c r="F130" s="8">
        <f t="shared" si="50"/>
        <v>26738120.154772207</v>
      </c>
      <c r="G130" s="8">
        <v>43417</v>
      </c>
      <c r="H130" s="8">
        <v>10309425.609999999</v>
      </c>
      <c r="I130" s="8">
        <f>IFERROR(VLOOKUP($B130-1,CDM!$L$4:$R$15,3,FALSE)/12,0)+IFERROR(VLOOKUP($B130,CDM!$L$33:$O$44,3,FALSE)/24,0)+IFERROR(VLOOKUP($B130,CDM!$L$33:$O$44,3,FALSE)/2*$C130/78,0)</f>
        <v>746546.25866294117</v>
      </c>
      <c r="J130" s="8">
        <f t="shared" si="130"/>
        <v>11055971.86866294</v>
      </c>
      <c r="K130" s="8">
        <v>4329</v>
      </c>
      <c r="L130" s="8">
        <v>25076696.98</v>
      </c>
      <c r="M130" s="8">
        <f>IFERROR(VLOOKUP($B130-1,CDM!$L$4:$R$15,4,FALSE)/12,0)+IFERROR(VLOOKUP($B130,CDM!$L$33:$O$44,4,FALSE)/24,0)+IFERROR(VLOOKUP($B130,CDM!$L$33:$O$44,4,FALSE)/2*$C130/78,0)</f>
        <v>2444236.5842746631</v>
      </c>
      <c r="N130" s="8">
        <f t="shared" si="131"/>
        <v>27520933.564274665</v>
      </c>
      <c r="O130" s="4">
        <v>64195.130000000019</v>
      </c>
      <c r="P130" s="8">
        <v>431</v>
      </c>
      <c r="Q130" s="8">
        <v>292735.26</v>
      </c>
      <c r="R130" s="420">
        <v>848.51</v>
      </c>
      <c r="S130" s="8">
        <v>10249</v>
      </c>
      <c r="T130" s="8">
        <v>26400.240000000002</v>
      </c>
      <c r="U130" s="420">
        <v>73.759999999999991</v>
      </c>
      <c r="V130" s="8">
        <v>345</v>
      </c>
      <c r="W130" s="8">
        <v>74079.460000000006</v>
      </c>
      <c r="X130" s="8">
        <v>254</v>
      </c>
      <c r="Y130" s="8">
        <f>Weather!C130</f>
        <v>117.28541666666663</v>
      </c>
      <c r="Z130" s="8">
        <f>Weather!D130</f>
        <v>3.100000000000005</v>
      </c>
      <c r="AA130" s="8">
        <f>Weather!E130</f>
        <v>74.385416666666686</v>
      </c>
      <c r="AB130" s="8">
        <f>Weather!F130</f>
        <v>20.20000000000001</v>
      </c>
      <c r="AC130" s="8">
        <f>Weather!G130</f>
        <v>38.591666666666683</v>
      </c>
      <c r="AD130" s="8">
        <f>Weather!H130</f>
        <v>44.406250000000014</v>
      </c>
      <c r="AE130" s="8">
        <f>Weather!I130</f>
        <v>19.100000000000001</v>
      </c>
      <c r="AF130" s="8">
        <f>Weather!J130</f>
        <v>84.914583333333354</v>
      </c>
      <c r="AG130" s="8">
        <f>Weather!K130</f>
        <v>7.5</v>
      </c>
      <c r="AH130" s="8">
        <f>Weather!L130</f>
        <v>133.3145833333333</v>
      </c>
      <c r="AI130" s="8">
        <f>Weather!M130</f>
        <v>3.9000000000000004</v>
      </c>
      <c r="AJ130" s="8">
        <f>Weather!N130</f>
        <v>189.71458333333334</v>
      </c>
      <c r="AK130" s="8">
        <f>Weather!O130</f>
        <v>1.9000000000000004</v>
      </c>
      <c r="AL130" s="8">
        <f>Weather!P130</f>
        <v>247.71458333333334</v>
      </c>
      <c r="AM130" s="2">
        <f>Weather!Q130</f>
        <v>16.193819444444447</v>
      </c>
      <c r="AN130" s="8">
        <f>Economic!C130</f>
        <v>8086</v>
      </c>
      <c r="AO130" s="8">
        <f>Economic!D130</f>
        <v>8123.6</v>
      </c>
      <c r="AP130" s="8">
        <f>Economic!E130</f>
        <v>86.3</v>
      </c>
      <c r="AQ130" s="8">
        <f>Economic!F130</f>
        <v>85.5</v>
      </c>
      <c r="AR130" s="8">
        <f>Economic!G130</f>
        <v>862535.5858</v>
      </c>
      <c r="AS130" s="8">
        <f>Economic!H130</f>
        <v>6997.9615999999996</v>
      </c>
      <c r="AT130" s="8">
        <f>Economic!I130</f>
        <v>877865</v>
      </c>
      <c r="AU130" s="8">
        <f>Economic!J130</f>
        <v>7409</v>
      </c>
      <c r="AV130" s="1">
        <f t="shared" si="56"/>
        <v>129</v>
      </c>
      <c r="AW130" s="1">
        <f t="shared" ref="AW130:BN130" si="139">AW118</f>
        <v>0</v>
      </c>
      <c r="AX130" s="1">
        <f t="shared" si="139"/>
        <v>0</v>
      </c>
      <c r="AY130" s="1">
        <f t="shared" si="139"/>
        <v>0</v>
      </c>
      <c r="AZ130" s="1">
        <f t="shared" si="139"/>
        <v>0</v>
      </c>
      <c r="BA130" s="1">
        <f t="shared" si="139"/>
        <v>0</v>
      </c>
      <c r="BB130" s="1">
        <f t="shared" si="139"/>
        <v>0</v>
      </c>
      <c r="BC130" s="1">
        <f t="shared" si="139"/>
        <v>0</v>
      </c>
      <c r="BD130" s="1">
        <f t="shared" si="139"/>
        <v>0</v>
      </c>
      <c r="BE130" s="1">
        <f t="shared" si="139"/>
        <v>1</v>
      </c>
      <c r="BF130" s="1">
        <f t="shared" si="139"/>
        <v>0</v>
      </c>
      <c r="BG130" s="1">
        <f t="shared" si="139"/>
        <v>0</v>
      </c>
      <c r="BH130" s="1">
        <f t="shared" si="139"/>
        <v>0</v>
      </c>
      <c r="BI130" s="1">
        <f t="shared" si="139"/>
        <v>0</v>
      </c>
      <c r="BJ130" s="1">
        <f t="shared" si="139"/>
        <v>1</v>
      </c>
      <c r="BK130" s="1">
        <f t="shared" si="139"/>
        <v>1</v>
      </c>
      <c r="BL130" s="1">
        <f t="shared" si="139"/>
        <v>0</v>
      </c>
      <c r="BM130" s="1">
        <f t="shared" si="139"/>
        <v>1</v>
      </c>
      <c r="BN130" s="1">
        <f t="shared" si="139"/>
        <v>1</v>
      </c>
      <c r="BO130" s="1">
        <f t="shared" si="58"/>
        <v>30</v>
      </c>
      <c r="BP130" s="1">
        <v>20</v>
      </c>
      <c r="BQ130">
        <v>0</v>
      </c>
      <c r="BR130">
        <v>0</v>
      </c>
      <c r="BS130">
        <v>0.25</v>
      </c>
      <c r="BT130">
        <v>0</v>
      </c>
      <c r="BU130" s="126">
        <f t="shared" si="107"/>
        <v>0</v>
      </c>
      <c r="BV130" s="126">
        <f t="shared" si="108"/>
        <v>0</v>
      </c>
      <c r="BW130" s="126">
        <f t="shared" si="109"/>
        <v>0</v>
      </c>
      <c r="BX130" s="126">
        <f t="shared" si="110"/>
        <v>0</v>
      </c>
      <c r="BY130" s="126">
        <f t="shared" si="111"/>
        <v>0</v>
      </c>
      <c r="BZ130" s="126">
        <f t="shared" si="112"/>
        <v>0</v>
      </c>
      <c r="CA130" s="126">
        <f t="shared" si="113"/>
        <v>0</v>
      </c>
      <c r="CB130" s="126">
        <f t="shared" si="114"/>
        <v>0</v>
      </c>
      <c r="CC130" s="126">
        <f t="shared" si="115"/>
        <v>0</v>
      </c>
      <c r="CD130" s="126">
        <f t="shared" si="116"/>
        <v>0</v>
      </c>
      <c r="CE130" s="126">
        <f t="shared" si="117"/>
        <v>0</v>
      </c>
      <c r="CF130" s="126">
        <f t="shared" si="118"/>
        <v>0</v>
      </c>
      <c r="CG130" s="126">
        <f t="shared" si="119"/>
        <v>0</v>
      </c>
      <c r="CH130" s="126">
        <f t="shared" si="120"/>
        <v>0</v>
      </c>
      <c r="CI130" s="66">
        <f t="shared" si="121"/>
        <v>891270.67182574025</v>
      </c>
      <c r="CJ130" s="66">
        <f t="shared" si="122"/>
        <v>343647.52033333329</v>
      </c>
      <c r="CK130" s="66">
        <f t="shared" si="123"/>
        <v>917364.45214248879</v>
      </c>
    </row>
    <row r="131" spans="1:89" x14ac:dyDescent="0.2">
      <c r="A131" s="101">
        <v>45566</v>
      </c>
      <c r="B131" s="1">
        <f t="shared" si="125"/>
        <v>2024</v>
      </c>
      <c r="C131" s="1">
        <f t="shared" si="126"/>
        <v>10</v>
      </c>
      <c r="D131" s="8">
        <v>25995184.969999999</v>
      </c>
      <c r="E131" s="8">
        <f>IFERROR(VLOOKUP($B131-1,CDM!$L$4:$R$15,2,FALSE)/12,0)+IFERROR(VLOOKUP($B131,CDM!$L$33:$O$44,2,FALSE)/24,0)+IFERROR(VLOOKUP($B131,CDM!$L$33:$O$44,2,FALSE)/2*$C131/78,0)</f>
        <v>1674891.8428176765</v>
      </c>
      <c r="F131" s="8">
        <f t="shared" si="50"/>
        <v>27670076.812817674</v>
      </c>
      <c r="G131" s="8">
        <v>43434</v>
      </c>
      <c r="H131" s="8">
        <v>10504197.02</v>
      </c>
      <c r="I131" s="8">
        <f>IFERROR(VLOOKUP($B131-1,CDM!$L$4:$R$15,3,FALSE)/12,0)+IFERROR(VLOOKUP($B131,CDM!$L$33:$O$44,3,FALSE)/24,0)+IFERROR(VLOOKUP($B131,CDM!$L$33:$O$44,3,FALSE)/2*$C131/78,0)</f>
        <v>750607.4540688321</v>
      </c>
      <c r="J131" s="8">
        <f t="shared" si="130"/>
        <v>11254804.474068832</v>
      </c>
      <c r="K131" s="8">
        <v>4336</v>
      </c>
      <c r="L131" s="8">
        <v>25524138.780000001</v>
      </c>
      <c r="M131" s="8">
        <f>IFERROR(VLOOKUP($B131-1,CDM!$L$4:$R$15,4,FALSE)/12,0)+IFERROR(VLOOKUP($B131,CDM!$L$33:$O$44,4,FALSE)/24,0)+IFERROR(VLOOKUP($B131,CDM!$L$33:$O$44,4,FALSE)/2*$C131/78,0)</f>
        <v>2452972.9253435601</v>
      </c>
      <c r="N131" s="8">
        <f t="shared" si="131"/>
        <v>27977111.705343559</v>
      </c>
      <c r="O131" s="4">
        <v>63511.289999999986</v>
      </c>
      <c r="P131" s="8">
        <v>432</v>
      </c>
      <c r="Q131" s="8">
        <v>345914.72</v>
      </c>
      <c r="R131" s="420">
        <v>848.7</v>
      </c>
      <c r="S131" s="8">
        <v>10248</v>
      </c>
      <c r="T131" s="8">
        <v>27280.25</v>
      </c>
      <c r="U131" s="420">
        <v>73.760000000000005</v>
      </c>
      <c r="V131" s="8">
        <v>345</v>
      </c>
      <c r="W131" s="8">
        <v>76406.539999999994</v>
      </c>
      <c r="X131" s="8">
        <v>253</v>
      </c>
      <c r="Y131" s="8">
        <f>Weather!C131</f>
        <v>370.53125000000006</v>
      </c>
      <c r="Z131" s="8">
        <f>Weather!D131</f>
        <v>0</v>
      </c>
      <c r="AA131" s="8">
        <f>Weather!E131</f>
        <v>308.53125</v>
      </c>
      <c r="AB131" s="8">
        <f>Weather!F131</f>
        <v>0</v>
      </c>
      <c r="AC131" s="8">
        <f>Weather!G131</f>
        <v>246.73125000000002</v>
      </c>
      <c r="AD131" s="8">
        <f>Weather!H131</f>
        <v>0.19999999999999929</v>
      </c>
      <c r="AE131" s="8">
        <f>Weather!I131</f>
        <v>191.26041666666669</v>
      </c>
      <c r="AF131" s="8">
        <f>Weather!J131</f>
        <v>6.7291666666666661</v>
      </c>
      <c r="AG131" s="8">
        <f>Weather!K131</f>
        <v>141.66041666666669</v>
      </c>
      <c r="AH131" s="8">
        <f>Weather!L131</f>
        <v>19.129166666666666</v>
      </c>
      <c r="AI131" s="8">
        <f>Weather!M131</f>
        <v>95.160416666666663</v>
      </c>
      <c r="AJ131" s="8">
        <f>Weather!N131</f>
        <v>34.629166666666663</v>
      </c>
      <c r="AK131" s="8">
        <f>Weather!O131</f>
        <v>56.760416666666664</v>
      </c>
      <c r="AL131" s="8">
        <f>Weather!P131</f>
        <v>58.229166666666671</v>
      </c>
      <c r="AM131" s="2">
        <f>Weather!Q131</f>
        <v>8.0473790322580641</v>
      </c>
      <c r="AN131" s="8">
        <f>Economic!C131</f>
        <v>8094</v>
      </c>
      <c r="AO131" s="8">
        <f>Economic!D131</f>
        <v>8109.5</v>
      </c>
      <c r="AP131" s="8">
        <f>Economic!E131</f>
        <v>86.1</v>
      </c>
      <c r="AQ131" s="8">
        <f>Economic!F131</f>
        <v>85.7</v>
      </c>
      <c r="AR131" s="8">
        <f>Economic!G131</f>
        <v>862535.5858</v>
      </c>
      <c r="AS131" s="8">
        <f>Economic!H131</f>
        <v>6997.9615999999996</v>
      </c>
      <c r="AT131" s="8">
        <f>Economic!I131</f>
        <v>869576</v>
      </c>
      <c r="AU131" s="8">
        <f>Economic!J131</f>
        <v>7015</v>
      </c>
      <c r="AV131" s="1">
        <f t="shared" si="56"/>
        <v>130</v>
      </c>
      <c r="AW131" s="1">
        <f t="shared" ref="AW131:BN131" si="140">AW119</f>
        <v>0</v>
      </c>
      <c r="AX131" s="1">
        <f t="shared" si="140"/>
        <v>0</v>
      </c>
      <c r="AY131" s="1">
        <f t="shared" si="140"/>
        <v>0</v>
      </c>
      <c r="AZ131" s="1">
        <f t="shared" si="140"/>
        <v>0</v>
      </c>
      <c r="BA131" s="1">
        <f t="shared" si="140"/>
        <v>0</v>
      </c>
      <c r="BB131" s="1">
        <f t="shared" si="140"/>
        <v>0</v>
      </c>
      <c r="BC131" s="1">
        <f t="shared" si="140"/>
        <v>0</v>
      </c>
      <c r="BD131" s="1">
        <f t="shared" si="140"/>
        <v>0</v>
      </c>
      <c r="BE131" s="1">
        <f t="shared" si="140"/>
        <v>0</v>
      </c>
      <c r="BF131" s="1">
        <f t="shared" si="140"/>
        <v>1</v>
      </c>
      <c r="BG131" s="1">
        <f t="shared" si="140"/>
        <v>0</v>
      </c>
      <c r="BH131" s="1">
        <f t="shared" si="140"/>
        <v>0</v>
      </c>
      <c r="BI131" s="1">
        <f t="shared" si="140"/>
        <v>0</v>
      </c>
      <c r="BJ131" s="1">
        <f t="shared" si="140"/>
        <v>1</v>
      </c>
      <c r="BK131" s="1">
        <f t="shared" si="140"/>
        <v>1</v>
      </c>
      <c r="BL131" s="1">
        <f t="shared" si="140"/>
        <v>0</v>
      </c>
      <c r="BM131" s="1">
        <f t="shared" si="140"/>
        <v>1</v>
      </c>
      <c r="BN131" s="1">
        <f t="shared" si="140"/>
        <v>1</v>
      </c>
      <c r="BO131" s="1">
        <f t="shared" si="58"/>
        <v>31</v>
      </c>
      <c r="BP131" s="1">
        <v>22</v>
      </c>
      <c r="BQ131">
        <v>0</v>
      </c>
      <c r="BR131">
        <v>0</v>
      </c>
      <c r="BS131">
        <v>0.25</v>
      </c>
      <c r="BT131">
        <v>0</v>
      </c>
      <c r="BU131" s="126">
        <f t="shared" si="107"/>
        <v>0</v>
      </c>
      <c r="BV131" s="126">
        <f t="shared" si="108"/>
        <v>0</v>
      </c>
      <c r="BW131" s="126">
        <f t="shared" si="109"/>
        <v>0</v>
      </c>
      <c r="BX131" s="126">
        <f t="shared" si="110"/>
        <v>0</v>
      </c>
      <c r="BY131" s="126">
        <f t="shared" si="111"/>
        <v>0</v>
      </c>
      <c r="BZ131" s="126">
        <f t="shared" si="112"/>
        <v>0</v>
      </c>
      <c r="CA131" s="126">
        <f t="shared" si="113"/>
        <v>0</v>
      </c>
      <c r="CB131" s="126">
        <f t="shared" si="114"/>
        <v>0</v>
      </c>
      <c r="CC131" s="126">
        <f t="shared" si="115"/>
        <v>0</v>
      </c>
      <c r="CD131" s="126">
        <f t="shared" si="116"/>
        <v>0</v>
      </c>
      <c r="CE131" s="126">
        <f t="shared" si="117"/>
        <v>0</v>
      </c>
      <c r="CF131" s="126">
        <f t="shared" si="118"/>
        <v>0</v>
      </c>
      <c r="CG131" s="126">
        <f t="shared" si="119"/>
        <v>0</v>
      </c>
      <c r="CH131" s="126">
        <f t="shared" si="120"/>
        <v>0</v>
      </c>
      <c r="CI131" s="66">
        <f t="shared" si="121"/>
        <v>892583.12299411849</v>
      </c>
      <c r="CJ131" s="66">
        <f t="shared" si="122"/>
        <v>338845.06516129029</v>
      </c>
      <c r="CK131" s="66">
        <f t="shared" si="123"/>
        <v>902487.47436592123</v>
      </c>
    </row>
    <row r="132" spans="1:89" x14ac:dyDescent="0.2">
      <c r="A132" s="101">
        <v>45597</v>
      </c>
      <c r="B132" s="1">
        <f t="shared" si="125"/>
        <v>2024</v>
      </c>
      <c r="C132" s="1">
        <f t="shared" si="126"/>
        <v>11</v>
      </c>
      <c r="D132" s="8">
        <v>31491925.43</v>
      </c>
      <c r="E132" s="8">
        <f>IFERROR(VLOOKUP($B132-1,CDM!$L$4:$R$15,2,FALSE)/12,0)+IFERROR(VLOOKUP($B132,CDM!$L$33:$O$44,2,FALSE)/24,0)+IFERROR(VLOOKUP($B132,CDM!$L$33:$O$44,2,FALSE)/2*$C132/78,0)</f>
        <v>1678506.7708631458</v>
      </c>
      <c r="F132" s="8">
        <f t="shared" si="50"/>
        <v>33170432.200863145</v>
      </c>
      <c r="G132" s="8">
        <v>43444</v>
      </c>
      <c r="H132" s="8">
        <v>11547587.310000001</v>
      </c>
      <c r="I132" s="8">
        <f>IFERROR(VLOOKUP($B132-1,CDM!$L$4:$R$15,3,FALSE)/12,0)+IFERROR(VLOOKUP($B132,CDM!$L$33:$O$44,3,FALSE)/24,0)+IFERROR(VLOOKUP($B132,CDM!$L$33:$O$44,3,FALSE)/2*$C132/78,0)</f>
        <v>754668.64947472315</v>
      </c>
      <c r="J132" s="8">
        <f t="shared" si="130"/>
        <v>12302255.959474724</v>
      </c>
      <c r="K132" s="8">
        <v>4334</v>
      </c>
      <c r="L132" s="8">
        <v>26517710.280000001</v>
      </c>
      <c r="M132" s="8">
        <f>IFERROR(VLOOKUP($B132-1,CDM!$L$4:$R$15,4,FALSE)/12,0)+IFERROR(VLOOKUP($B132,CDM!$L$33:$O$44,4,FALSE)/24,0)+IFERROR(VLOOKUP($B132,CDM!$L$33:$O$44,4,FALSE)/2*$C132/78,0)</f>
        <v>2461709.2664124575</v>
      </c>
      <c r="N132" s="8">
        <f t="shared" si="131"/>
        <v>28979419.546412461</v>
      </c>
      <c r="O132" s="4">
        <v>62492.110000000008</v>
      </c>
      <c r="P132" s="8">
        <v>433</v>
      </c>
      <c r="Q132" s="8">
        <v>371681.81</v>
      </c>
      <c r="R132" s="420">
        <v>848.46</v>
      </c>
      <c r="S132" s="8">
        <v>10251</v>
      </c>
      <c r="T132" s="8">
        <v>26400.240000000002</v>
      </c>
      <c r="U132" s="420">
        <v>73.760000000000005</v>
      </c>
      <c r="V132" s="8">
        <v>344</v>
      </c>
      <c r="W132" s="8">
        <v>73970</v>
      </c>
      <c r="X132" s="8">
        <v>253</v>
      </c>
      <c r="Y132" s="8">
        <f>Weather!C132</f>
        <v>558.92291666666665</v>
      </c>
      <c r="Z132" s="8">
        <f>Weather!D132</f>
        <v>0</v>
      </c>
      <c r="AA132" s="8">
        <f>Weather!E132</f>
        <v>498.92291666666665</v>
      </c>
      <c r="AB132" s="8">
        <f>Weather!F132</f>
        <v>0</v>
      </c>
      <c r="AC132" s="8">
        <f>Weather!G132</f>
        <v>438.92291666666665</v>
      </c>
      <c r="AD132" s="8">
        <f>Weather!H132</f>
        <v>0</v>
      </c>
      <c r="AE132" s="8">
        <f>Weather!I132</f>
        <v>379.02291666666673</v>
      </c>
      <c r="AF132" s="8">
        <f>Weather!J132</f>
        <v>9.9999999999999645E-2</v>
      </c>
      <c r="AG132" s="8">
        <f>Weather!K132</f>
        <v>321.02291666666667</v>
      </c>
      <c r="AH132" s="8">
        <f>Weather!L132</f>
        <v>2.0999999999999996</v>
      </c>
      <c r="AI132" s="8">
        <f>Weather!M132</f>
        <v>263.02291666666667</v>
      </c>
      <c r="AJ132" s="8">
        <f>Weather!N132</f>
        <v>4.0999999999999996</v>
      </c>
      <c r="AK132" s="8">
        <f>Weather!O132</f>
        <v>205.02291666666665</v>
      </c>
      <c r="AL132" s="8">
        <f>Weather!P132</f>
        <v>6.1</v>
      </c>
      <c r="AM132" s="2">
        <f>Weather!Q132</f>
        <v>1.3692361111111111</v>
      </c>
      <c r="AN132" s="8">
        <f>Economic!C132</f>
        <v>8102.8</v>
      </c>
      <c r="AO132" s="8">
        <f>Economic!D132</f>
        <v>8101.2</v>
      </c>
      <c r="AP132" s="8">
        <f>Economic!E132</f>
        <v>85.4</v>
      </c>
      <c r="AQ132" s="8">
        <f>Economic!F132</f>
        <v>85.9</v>
      </c>
      <c r="AR132" s="8">
        <f>Economic!G132</f>
        <v>862535.5858</v>
      </c>
      <c r="AS132" s="8">
        <f>Economic!H132</f>
        <v>6997.9615999999996</v>
      </c>
      <c r="AT132" s="8">
        <f>Economic!I132</f>
        <v>869576</v>
      </c>
      <c r="AU132" s="8">
        <f>Economic!J132</f>
        <v>7015</v>
      </c>
      <c r="AV132" s="1">
        <f t="shared" si="56"/>
        <v>131</v>
      </c>
      <c r="AW132" s="1">
        <f t="shared" ref="AW132:BN132" si="141">AW120</f>
        <v>0</v>
      </c>
      <c r="AX132" s="1">
        <f t="shared" si="141"/>
        <v>0</v>
      </c>
      <c r="AY132" s="1">
        <f t="shared" si="141"/>
        <v>0</v>
      </c>
      <c r="AZ132" s="1">
        <f t="shared" si="141"/>
        <v>0</v>
      </c>
      <c r="BA132" s="1">
        <f t="shared" si="141"/>
        <v>0</v>
      </c>
      <c r="BB132" s="1">
        <f t="shared" si="141"/>
        <v>0</v>
      </c>
      <c r="BC132" s="1">
        <f t="shared" si="141"/>
        <v>0</v>
      </c>
      <c r="BD132" s="1">
        <f t="shared" si="141"/>
        <v>0</v>
      </c>
      <c r="BE132" s="1">
        <f t="shared" si="141"/>
        <v>0</v>
      </c>
      <c r="BF132" s="1">
        <f t="shared" si="141"/>
        <v>0</v>
      </c>
      <c r="BG132" s="1">
        <f t="shared" si="141"/>
        <v>1</v>
      </c>
      <c r="BH132" s="1">
        <f t="shared" si="141"/>
        <v>0</v>
      </c>
      <c r="BI132" s="1">
        <f t="shared" si="141"/>
        <v>0</v>
      </c>
      <c r="BJ132" s="1">
        <f t="shared" si="141"/>
        <v>1</v>
      </c>
      <c r="BK132" s="1">
        <f t="shared" si="141"/>
        <v>1</v>
      </c>
      <c r="BL132" s="1">
        <f t="shared" si="141"/>
        <v>0</v>
      </c>
      <c r="BM132" s="1">
        <f t="shared" si="141"/>
        <v>0</v>
      </c>
      <c r="BN132" s="1">
        <f t="shared" si="141"/>
        <v>0</v>
      </c>
      <c r="BO132" s="1">
        <f t="shared" si="58"/>
        <v>30</v>
      </c>
      <c r="BP132" s="1">
        <v>21</v>
      </c>
      <c r="BQ132">
        <v>0</v>
      </c>
      <c r="BR132">
        <v>0</v>
      </c>
      <c r="BS132">
        <v>0.25</v>
      </c>
      <c r="BT132">
        <v>0</v>
      </c>
      <c r="BU132" s="126">
        <f t="shared" si="107"/>
        <v>0</v>
      </c>
      <c r="BV132" s="126">
        <f t="shared" si="108"/>
        <v>0</v>
      </c>
      <c r="BW132" s="126">
        <f t="shared" si="109"/>
        <v>0</v>
      </c>
      <c r="BX132" s="126">
        <f t="shared" si="110"/>
        <v>0</v>
      </c>
      <c r="BY132" s="126">
        <f t="shared" si="111"/>
        <v>0</v>
      </c>
      <c r="BZ132" s="126">
        <f t="shared" si="112"/>
        <v>0</v>
      </c>
      <c r="CA132" s="126">
        <f t="shared" si="113"/>
        <v>0</v>
      </c>
      <c r="CB132" s="126">
        <f t="shared" si="114"/>
        <v>0</v>
      </c>
      <c r="CC132" s="126">
        <f t="shared" si="115"/>
        <v>0</v>
      </c>
      <c r="CD132" s="126">
        <f t="shared" si="116"/>
        <v>0</v>
      </c>
      <c r="CE132" s="126">
        <f t="shared" si="117"/>
        <v>0</v>
      </c>
      <c r="CF132" s="126">
        <f t="shared" si="118"/>
        <v>0</v>
      </c>
      <c r="CG132" s="126">
        <f t="shared" si="119"/>
        <v>0</v>
      </c>
      <c r="CH132" s="126">
        <f t="shared" si="120"/>
        <v>0</v>
      </c>
      <c r="CI132" s="66">
        <f t="shared" si="121"/>
        <v>1105681.0733621048</v>
      </c>
      <c r="CJ132" s="66">
        <f t="shared" si="122"/>
        <v>384919.57699999999</v>
      </c>
      <c r="CK132" s="66">
        <f t="shared" si="123"/>
        <v>965980.651547082</v>
      </c>
    </row>
    <row r="133" spans="1:89" x14ac:dyDescent="0.2">
      <c r="A133" s="101">
        <v>45627</v>
      </c>
      <c r="B133" s="1">
        <f t="shared" si="125"/>
        <v>2024</v>
      </c>
      <c r="C133" s="1">
        <f t="shared" si="126"/>
        <v>12</v>
      </c>
      <c r="E133" s="8"/>
      <c r="F133" s="8"/>
      <c r="G133" s="8">
        <v>43463</v>
      </c>
      <c r="H133" s="8"/>
      <c r="I133" s="8"/>
      <c r="J133" s="8"/>
      <c r="K133" s="8">
        <v>4334</v>
      </c>
      <c r="L133" s="8"/>
      <c r="M133" s="8"/>
      <c r="N133" s="8"/>
      <c r="O133" s="4"/>
      <c r="P133" s="8">
        <v>433</v>
      </c>
      <c r="Q133" s="8"/>
      <c r="R133" s="420"/>
      <c r="S133" s="8">
        <v>10258</v>
      </c>
      <c r="T133" s="8"/>
      <c r="U133" s="420"/>
      <c r="V133" s="8">
        <v>343</v>
      </c>
      <c r="W133" s="8"/>
      <c r="X133" s="8">
        <v>253</v>
      </c>
      <c r="Y133" s="8">
        <f>Weather!C133</f>
        <v>843.35625000000005</v>
      </c>
      <c r="Z133" s="8">
        <f>Weather!D133</f>
        <v>0</v>
      </c>
      <c r="AA133" s="8">
        <f>Weather!E133</f>
        <v>781.35624999999993</v>
      </c>
      <c r="AB133" s="8">
        <f>Weather!F133</f>
        <v>0</v>
      </c>
      <c r="AC133" s="8">
        <f>Weather!G133</f>
        <v>719.35624999999993</v>
      </c>
      <c r="AD133" s="8">
        <f>Weather!H133</f>
        <v>0</v>
      </c>
      <c r="AE133" s="8">
        <f>Weather!I133</f>
        <v>657.35625000000005</v>
      </c>
      <c r="AF133" s="8">
        <f>Weather!J133</f>
        <v>0</v>
      </c>
      <c r="AG133" s="8">
        <f>Weather!K133</f>
        <v>595.35625000000005</v>
      </c>
      <c r="AH133" s="8">
        <f>Weather!L133</f>
        <v>0</v>
      </c>
      <c r="AI133" s="8">
        <f>Weather!M133</f>
        <v>533.35625000000005</v>
      </c>
      <c r="AJ133" s="8">
        <f>Weather!N133</f>
        <v>0</v>
      </c>
      <c r="AK133" s="8">
        <f>Weather!O133</f>
        <v>471.35624999999999</v>
      </c>
      <c r="AL133" s="8">
        <f>Weather!P133</f>
        <v>0</v>
      </c>
      <c r="AM133" s="2">
        <f>Weather!Q133</f>
        <v>-7.2050403225806452</v>
      </c>
      <c r="AN133" s="8">
        <f>Economic!C133</f>
        <v>8105.1</v>
      </c>
      <c r="AO133" s="8">
        <f>Economic!D133</f>
        <v>8097.3</v>
      </c>
      <c r="AP133" s="8">
        <f>Economic!E133</f>
        <v>85</v>
      </c>
      <c r="AQ133" s="8">
        <f>Economic!F133</f>
        <v>86.4</v>
      </c>
      <c r="AR133" s="8">
        <f>Economic!G133</f>
        <v>862535.5858</v>
      </c>
      <c r="AS133" s="8">
        <f>Economic!H133</f>
        <v>6997.9615999999996</v>
      </c>
      <c r="AT133" s="8">
        <f>Economic!I133</f>
        <v>869576</v>
      </c>
      <c r="AU133" s="8">
        <f>Economic!J133</f>
        <v>7015</v>
      </c>
      <c r="AV133" s="1">
        <f t="shared" si="56"/>
        <v>132</v>
      </c>
      <c r="AW133" s="1">
        <f t="shared" ref="AW133:BN133" si="142">AW121</f>
        <v>0</v>
      </c>
      <c r="AX133" s="1">
        <f t="shared" si="142"/>
        <v>0</v>
      </c>
      <c r="AY133" s="1">
        <f t="shared" si="142"/>
        <v>0</v>
      </c>
      <c r="AZ133" s="1">
        <f t="shared" si="142"/>
        <v>0</v>
      </c>
      <c r="BA133" s="1">
        <f t="shared" si="142"/>
        <v>0</v>
      </c>
      <c r="BB133" s="1">
        <f t="shared" si="142"/>
        <v>0</v>
      </c>
      <c r="BC133" s="1">
        <f t="shared" si="142"/>
        <v>0</v>
      </c>
      <c r="BD133" s="1">
        <f t="shared" si="142"/>
        <v>0</v>
      </c>
      <c r="BE133" s="1">
        <f t="shared" si="142"/>
        <v>0</v>
      </c>
      <c r="BF133" s="1">
        <f t="shared" si="142"/>
        <v>0</v>
      </c>
      <c r="BG133" s="1">
        <f t="shared" si="142"/>
        <v>0</v>
      </c>
      <c r="BH133" s="1">
        <f t="shared" si="142"/>
        <v>1</v>
      </c>
      <c r="BI133" s="1">
        <f t="shared" si="142"/>
        <v>0</v>
      </c>
      <c r="BJ133" s="1">
        <f t="shared" si="142"/>
        <v>0</v>
      </c>
      <c r="BK133" s="1">
        <f t="shared" si="142"/>
        <v>0</v>
      </c>
      <c r="BL133" s="1">
        <f t="shared" si="142"/>
        <v>0</v>
      </c>
      <c r="BM133" s="1">
        <f t="shared" si="142"/>
        <v>0</v>
      </c>
      <c r="BN133" s="1">
        <f t="shared" si="142"/>
        <v>0</v>
      </c>
      <c r="BO133" s="1">
        <f t="shared" si="58"/>
        <v>31</v>
      </c>
      <c r="BP133" s="1">
        <v>20</v>
      </c>
      <c r="BQ133">
        <v>0</v>
      </c>
      <c r="BR133">
        <v>0</v>
      </c>
      <c r="BS133">
        <v>0.25</v>
      </c>
      <c r="BT133">
        <v>0</v>
      </c>
      <c r="BU133" s="126">
        <f t="shared" si="107"/>
        <v>0</v>
      </c>
      <c r="BV133" s="126">
        <f t="shared" si="108"/>
        <v>0</v>
      </c>
      <c r="BW133" s="126">
        <f t="shared" si="109"/>
        <v>0</v>
      </c>
      <c r="BX133" s="126">
        <f t="shared" si="110"/>
        <v>0</v>
      </c>
      <c r="BY133" s="126">
        <f t="shared" si="111"/>
        <v>0</v>
      </c>
      <c r="BZ133" s="126">
        <f t="shared" si="112"/>
        <v>0</v>
      </c>
      <c r="CA133" s="126">
        <f t="shared" si="113"/>
        <v>0</v>
      </c>
      <c r="CB133" s="126">
        <f t="shared" si="114"/>
        <v>0</v>
      </c>
      <c r="CC133" s="126">
        <f t="shared" si="115"/>
        <v>0</v>
      </c>
      <c r="CD133" s="126">
        <f t="shared" si="116"/>
        <v>0</v>
      </c>
      <c r="CE133" s="126">
        <f t="shared" si="117"/>
        <v>0</v>
      </c>
      <c r="CF133" s="126">
        <f t="shared" si="118"/>
        <v>0</v>
      </c>
      <c r="CG133" s="126">
        <f t="shared" si="119"/>
        <v>0</v>
      </c>
      <c r="CH133" s="126">
        <f t="shared" si="120"/>
        <v>0</v>
      </c>
      <c r="CI133" s="66"/>
      <c r="CJ133" s="66"/>
      <c r="CK133" s="66"/>
    </row>
    <row r="134" spans="1:89" x14ac:dyDescent="0.2">
      <c r="G134" s="4"/>
      <c r="H134" s="4"/>
      <c r="I134" s="8"/>
      <c r="J134" s="8"/>
      <c r="K134" s="4"/>
      <c r="L134" s="4"/>
      <c r="M134" s="8"/>
      <c r="N134" s="8"/>
      <c r="O134" s="4"/>
      <c r="P134" s="4"/>
      <c r="Q134" s="4"/>
      <c r="R134" s="4"/>
      <c r="S134" s="4"/>
      <c r="T134" s="4"/>
      <c r="U134" s="4"/>
      <c r="V134" s="4"/>
      <c r="W134" s="4"/>
      <c r="X134" s="4"/>
    </row>
    <row r="135" spans="1:89" x14ac:dyDescent="0.2">
      <c r="G135" s="4"/>
      <c r="H135" s="4"/>
      <c r="I135" s="8"/>
      <c r="J135" s="8"/>
      <c r="K135" s="4"/>
      <c r="L135" s="4"/>
      <c r="M135" s="8"/>
      <c r="N135" s="8"/>
      <c r="O135" s="4"/>
      <c r="P135" s="4"/>
      <c r="Q135" s="4"/>
      <c r="R135" s="4"/>
      <c r="S135" s="4"/>
      <c r="T135" s="4"/>
      <c r="U135" s="4"/>
      <c r="V135" s="4"/>
      <c r="W135" s="4"/>
      <c r="X135" s="4"/>
    </row>
  </sheetData>
  <pageMargins left="0.75" right="0.75" top="1" bottom="1" header="0.5" footer="0.5"/>
  <pageSetup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709B-DD65-45B5-9B6E-D749BD6D5025}">
  <sheetPr codeName="Sheet15"/>
  <dimension ref="A1:W146"/>
  <sheetViews>
    <sheetView topLeftCell="A91" workbookViewId="0">
      <selection activeCell="D133" sqref="D133"/>
    </sheetView>
  </sheetViews>
  <sheetFormatPr defaultRowHeight="12.75" x14ac:dyDescent="0.2"/>
  <cols>
    <col min="1" max="1" width="12" style="28" customWidth="1"/>
    <col min="4" max="4" width="14.6640625" style="18" bestFit="1" customWidth="1"/>
    <col min="11" max="11" width="13.6640625" bestFit="1" customWidth="1"/>
    <col min="12" max="12" width="13.83203125" bestFit="1" customWidth="1"/>
    <col min="13" max="13" width="10.6640625" customWidth="1"/>
    <col min="14" max="14" width="13.83203125" bestFit="1" customWidth="1"/>
    <col min="15" max="15" width="14.33203125" bestFit="1" customWidth="1"/>
    <col min="16" max="17" width="14.1640625" customWidth="1"/>
    <col min="19" max="19" width="14.83203125" bestFit="1" customWidth="1"/>
    <col min="20" max="20" width="10.6640625" customWidth="1"/>
    <col min="21" max="21" width="10.5" customWidth="1"/>
  </cols>
  <sheetData>
    <row r="1" spans="1:23"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134</v>
      </c>
      <c r="L1" t="str">
        <f>E1</f>
        <v>HDD12</v>
      </c>
      <c r="M1" t="str">
        <f>F1</f>
        <v>CDD18</v>
      </c>
      <c r="N1" t="str">
        <f>G1</f>
        <v>MonthDays</v>
      </c>
      <c r="O1" t="str">
        <f>H1</f>
        <v>COVID_WFH</v>
      </c>
      <c r="P1" t="str">
        <f>I1</f>
        <v>Shoulder</v>
      </c>
      <c r="Q1" t="s">
        <v>164</v>
      </c>
    </row>
    <row r="2" spans="1:23" x14ac:dyDescent="0.2">
      <c r="A2" s="28">
        <f>'Monthly Data'!A2</f>
        <v>41640</v>
      </c>
      <c r="B2">
        <f>'Monthly Data'!C2</f>
        <v>1</v>
      </c>
      <c r="C2">
        <f>'Monthly Data'!B2</f>
        <v>2014</v>
      </c>
      <c r="D2" s="18">
        <f>'Monthly Data'!F2</f>
        <v>49739999.203906089</v>
      </c>
      <c r="E2" s="215">
        <f ca="1">Weather!CE36</f>
        <v>728.68367523535153</v>
      </c>
      <c r="F2" s="216">
        <f ca="1">Weather!AM36</f>
        <v>0</v>
      </c>
      <c r="G2">
        <f>'Monthly Data'!BO2</f>
        <v>31</v>
      </c>
      <c r="H2">
        <f>'Monthly Data'!BS2</f>
        <v>0</v>
      </c>
      <c r="I2">
        <f>'Monthly Data'!BK2</f>
        <v>0</v>
      </c>
      <c r="K2" s="17">
        <f t="shared" ref="K2:K33" si="0">$T$7</f>
        <v>-1956373.74241439</v>
      </c>
      <c r="L2" s="17">
        <f ca="1">E2*$T$8</f>
        <v>18194680.976936534</v>
      </c>
      <c r="M2" s="17">
        <f ca="1">F2*$T$9</f>
        <v>0</v>
      </c>
      <c r="N2" s="17">
        <f>G2*$T$10</f>
        <v>27425350.500205077</v>
      </c>
      <c r="O2" s="17">
        <f>H2*$T$11</f>
        <v>0</v>
      </c>
      <c r="P2" s="17">
        <f>I2*$T$12</f>
        <v>0</v>
      </c>
      <c r="Q2" s="17">
        <f ca="1">SUM(K2:P2)</f>
        <v>43663657.734727219</v>
      </c>
      <c r="S2" t="s">
        <v>484</v>
      </c>
    </row>
    <row r="3" spans="1:23" x14ac:dyDescent="0.2">
      <c r="A3" s="28">
        <f>'Monthly Data'!A3</f>
        <v>41671</v>
      </c>
      <c r="B3">
        <f>'Monthly Data'!C3</f>
        <v>2</v>
      </c>
      <c r="C3">
        <f>'Monthly Data'!B3</f>
        <v>2014</v>
      </c>
      <c r="D3" s="18">
        <f>'Monthly Data'!F3</f>
        <v>42862938.403064542</v>
      </c>
      <c r="E3" s="215">
        <f ca="1">Weather!CE37</f>
        <v>655.75083333333328</v>
      </c>
      <c r="F3" s="216">
        <f ca="1">Weather!AM37</f>
        <v>0</v>
      </c>
      <c r="G3">
        <f>'Monthly Data'!BO3</f>
        <v>28</v>
      </c>
      <c r="H3">
        <f>'Monthly Data'!BS3</f>
        <v>0</v>
      </c>
      <c r="I3">
        <f>'Monthly Data'!BK3</f>
        <v>0</v>
      </c>
      <c r="K3" s="17">
        <f t="shared" si="0"/>
        <v>-1956373.74241439</v>
      </c>
      <c r="L3" s="17">
        <f t="shared" ref="L3:L66" ca="1" si="1">E3*$T$8</f>
        <v>16373603.002711328</v>
      </c>
      <c r="M3" s="17">
        <f t="shared" ref="M3:M66" ca="1" si="2">F3*$T$9</f>
        <v>0</v>
      </c>
      <c r="N3" s="17">
        <f t="shared" ref="N3:N66" si="3">G3*$T$10</f>
        <v>24771284.322765879</v>
      </c>
      <c r="O3" s="17">
        <f t="shared" ref="O3:O66" si="4">H3*$T$11</f>
        <v>0</v>
      </c>
      <c r="P3" s="17">
        <f t="shared" ref="P3:P66" si="5">I3*$T$12</f>
        <v>0</v>
      </c>
      <c r="Q3" s="17">
        <f t="shared" ref="Q3:Q66" ca="1" si="6">SUM(K3:P3)</f>
        <v>39188513.583062813</v>
      </c>
      <c r="S3" t="s">
        <v>138</v>
      </c>
    </row>
    <row r="4" spans="1:23" x14ac:dyDescent="0.2">
      <c r="A4" s="28">
        <f>'Monthly Data'!A4</f>
        <v>41699</v>
      </c>
      <c r="B4">
        <f>'Monthly Data'!C4</f>
        <v>3</v>
      </c>
      <c r="C4">
        <f>'Monthly Data'!B4</f>
        <v>2014</v>
      </c>
      <c r="D4" s="18">
        <f>'Monthly Data'!F4</f>
        <v>41151306.654312156</v>
      </c>
      <c r="E4" s="215">
        <f ca="1">Weather!CE38</f>
        <v>531.1185376765136</v>
      </c>
      <c r="F4" s="216">
        <f ca="1">Weather!AM38</f>
        <v>0</v>
      </c>
      <c r="G4">
        <f>'Monthly Data'!BO4</f>
        <v>31</v>
      </c>
      <c r="H4">
        <f>'Monthly Data'!BS4</f>
        <v>0</v>
      </c>
      <c r="I4">
        <f>'Monthly Data'!BK4</f>
        <v>1</v>
      </c>
      <c r="K4" s="17">
        <f t="shared" si="0"/>
        <v>-1956373.74241439</v>
      </c>
      <c r="L4" s="17">
        <f t="shared" ca="1" si="1"/>
        <v>13261628.718167821</v>
      </c>
      <c r="M4" s="17">
        <f t="shared" ca="1" si="2"/>
        <v>0</v>
      </c>
      <c r="N4" s="17">
        <f t="shared" si="3"/>
        <v>27425350.500205077</v>
      </c>
      <c r="O4" s="17">
        <f t="shared" si="4"/>
        <v>0</v>
      </c>
      <c r="P4" s="17">
        <f t="shared" si="5"/>
        <v>-1149094.2112539201</v>
      </c>
      <c r="Q4" s="17">
        <f t="shared" ca="1" si="6"/>
        <v>37581511.264704593</v>
      </c>
      <c r="S4" t="s">
        <v>490</v>
      </c>
    </row>
    <row r="5" spans="1:23" x14ac:dyDescent="0.2">
      <c r="A5" s="28">
        <f>'Monthly Data'!A5</f>
        <v>41730</v>
      </c>
      <c r="B5">
        <f>'Monthly Data'!C5</f>
        <v>4</v>
      </c>
      <c r="C5">
        <f>'Monthly Data'!B5</f>
        <v>2014</v>
      </c>
      <c r="D5" s="18">
        <f>'Monthly Data'!F5</f>
        <v>33726515.482850805</v>
      </c>
      <c r="E5" s="215">
        <f ca="1">Weather!CE39</f>
        <v>291.21791666666667</v>
      </c>
      <c r="F5" s="216">
        <f ca="1">Weather!AM39</f>
        <v>0</v>
      </c>
      <c r="G5">
        <f>'Monthly Data'!BO5</f>
        <v>30</v>
      </c>
      <c r="H5">
        <f>'Monthly Data'!BS5</f>
        <v>0</v>
      </c>
      <c r="I5">
        <f>'Monthly Data'!BK5</f>
        <v>1</v>
      </c>
      <c r="K5" s="17">
        <f t="shared" si="0"/>
        <v>-1956373.74241439</v>
      </c>
      <c r="L5" s="17">
        <f t="shared" ca="1" si="1"/>
        <v>7271491.4147167243</v>
      </c>
      <c r="M5" s="17">
        <f t="shared" ca="1" si="2"/>
        <v>0</v>
      </c>
      <c r="N5" s="17">
        <f t="shared" si="3"/>
        <v>26540661.774392013</v>
      </c>
      <c r="O5" s="17">
        <f t="shared" si="4"/>
        <v>0</v>
      </c>
      <c r="P5" s="17">
        <f t="shared" si="5"/>
        <v>-1149094.2112539201</v>
      </c>
      <c r="Q5" s="17">
        <f t="shared" ca="1" si="6"/>
        <v>30706685.235440429</v>
      </c>
    </row>
    <row r="6" spans="1:23" x14ac:dyDescent="0.2">
      <c r="A6" s="28">
        <f>'Monthly Data'!A6</f>
        <v>41760</v>
      </c>
      <c r="B6">
        <f>'Monthly Data'!C6</f>
        <v>5</v>
      </c>
      <c r="C6">
        <f>'Monthly Data'!B6</f>
        <v>2014</v>
      </c>
      <c r="D6" s="18">
        <f>'Monthly Data'!F6</f>
        <v>27384700.889515348</v>
      </c>
      <c r="E6" s="215">
        <f ca="1">Weather!CE40</f>
        <v>76.006595892171191</v>
      </c>
      <c r="F6" s="216">
        <f ca="1">Weather!AM40</f>
        <v>9.6293749999999996</v>
      </c>
      <c r="G6">
        <f>'Monthly Data'!BO6</f>
        <v>31</v>
      </c>
      <c r="H6">
        <f>'Monthly Data'!BS6</f>
        <v>0</v>
      </c>
      <c r="I6">
        <f>'Monthly Data'!BK6</f>
        <v>1</v>
      </c>
      <c r="K6" s="17">
        <f t="shared" si="0"/>
        <v>-1956373.74241439</v>
      </c>
      <c r="L6" s="17">
        <f t="shared" ca="1" si="1"/>
        <v>1897827.2896731673</v>
      </c>
      <c r="M6" s="17">
        <f t="shared" ca="1" si="2"/>
        <v>507100.96506269928</v>
      </c>
      <c r="N6" s="17">
        <f t="shared" si="3"/>
        <v>27425350.500205077</v>
      </c>
      <c r="O6" s="17">
        <f t="shared" si="4"/>
        <v>0</v>
      </c>
      <c r="P6" s="17">
        <f t="shared" si="5"/>
        <v>-1149094.2112539201</v>
      </c>
      <c r="Q6" s="17">
        <f t="shared" ca="1" si="6"/>
        <v>26724810.801272634</v>
      </c>
      <c r="T6" t="s">
        <v>139</v>
      </c>
      <c r="U6" t="s">
        <v>140</v>
      </c>
      <c r="V6" t="s">
        <v>141</v>
      </c>
      <c r="W6" t="s">
        <v>142</v>
      </c>
    </row>
    <row r="7" spans="1:23" x14ac:dyDescent="0.2">
      <c r="A7" s="28">
        <f>'Monthly Data'!A7</f>
        <v>41791</v>
      </c>
      <c r="B7">
        <f>'Monthly Data'!C7</f>
        <v>6</v>
      </c>
      <c r="C7">
        <f>'Monthly Data'!B7</f>
        <v>2014</v>
      </c>
      <c r="D7" s="18">
        <f>'Monthly Data'!F7</f>
        <v>24640954.003170546</v>
      </c>
      <c r="E7" s="215">
        <f ca="1">Weather!CE41</f>
        <v>4.2034708921711843</v>
      </c>
      <c r="F7" s="216">
        <f ca="1">Weather!AM41</f>
        <v>25.077154107828811</v>
      </c>
      <c r="G7">
        <f>'Monthly Data'!BO7</f>
        <v>30</v>
      </c>
      <c r="H7">
        <f>'Monthly Data'!BS7</f>
        <v>0</v>
      </c>
      <c r="I7">
        <f>'Monthly Data'!BK7</f>
        <v>0</v>
      </c>
      <c r="K7" s="17">
        <f t="shared" si="0"/>
        <v>-1956373.74241439</v>
      </c>
      <c r="L7" s="17">
        <f t="shared" ca="1" si="1"/>
        <v>104957.49318686409</v>
      </c>
      <c r="M7" s="17">
        <f t="shared" ca="1" si="2"/>
        <v>1320610.0135373296</v>
      </c>
      <c r="N7" s="17">
        <f t="shared" si="3"/>
        <v>26540661.774392013</v>
      </c>
      <c r="O7" s="17">
        <f t="shared" si="4"/>
        <v>0</v>
      </c>
      <c r="P7" s="17">
        <f t="shared" si="5"/>
        <v>0</v>
      </c>
      <c r="Q7" s="17">
        <f t="shared" ca="1" si="6"/>
        <v>26009855.538701817</v>
      </c>
      <c r="S7" t="s">
        <v>134</v>
      </c>
      <c r="T7" s="105">
        <v>-1956373.74241439</v>
      </c>
      <c r="U7" s="105">
        <v>3040014.5087131201</v>
      </c>
      <c r="V7" s="76">
        <v>-0.64354092284992304</v>
      </c>
      <c r="W7" s="251">
        <v>0.52105209471446901</v>
      </c>
    </row>
    <row r="8" spans="1:23" x14ac:dyDescent="0.2">
      <c r="A8" s="28">
        <f>'Monthly Data'!A8</f>
        <v>41821</v>
      </c>
      <c r="B8">
        <f>'Monthly Data'!C8</f>
        <v>7</v>
      </c>
      <c r="C8">
        <f>'Monthly Data'!B8</f>
        <v>2014</v>
      </c>
      <c r="D8" s="18">
        <f>'Monthly Data'!F8</f>
        <v>24994769.104995698</v>
      </c>
      <c r="E8" s="215">
        <f ca="1">Weather!CE42</f>
        <v>0</v>
      </c>
      <c r="F8" s="216">
        <f ca="1">Weather!AM42</f>
        <v>56.475141548990976</v>
      </c>
      <c r="G8">
        <f>'Monthly Data'!BO8</f>
        <v>31</v>
      </c>
      <c r="H8">
        <f>'Monthly Data'!BS8</f>
        <v>0</v>
      </c>
      <c r="I8">
        <f>'Monthly Data'!BK8</f>
        <v>0</v>
      </c>
      <c r="K8" s="17">
        <f t="shared" si="0"/>
        <v>-1956373.74241439</v>
      </c>
      <c r="L8" s="17">
        <f t="shared" ca="1" si="1"/>
        <v>0</v>
      </c>
      <c r="M8" s="17">
        <f t="shared" ca="1" si="2"/>
        <v>2974086.9767296286</v>
      </c>
      <c r="N8" s="17">
        <f t="shared" si="3"/>
        <v>27425350.500205077</v>
      </c>
      <c r="O8" s="17">
        <f t="shared" si="4"/>
        <v>0</v>
      </c>
      <c r="P8" s="17">
        <f t="shared" si="5"/>
        <v>0</v>
      </c>
      <c r="Q8" s="17">
        <f t="shared" ca="1" si="6"/>
        <v>28443063.734520316</v>
      </c>
      <c r="S8" t="s">
        <v>32</v>
      </c>
      <c r="T8" s="105">
        <v>24969.244674048699</v>
      </c>
      <c r="U8" s="105">
        <v>570.37956726039602</v>
      </c>
      <c r="V8" s="76">
        <v>43.776541284567998</v>
      </c>
      <c r="W8" s="251">
        <v>1.12895231545913E-77</v>
      </c>
    </row>
    <row r="9" spans="1:23" x14ac:dyDescent="0.2">
      <c r="A9" s="28">
        <f>'Monthly Data'!A9</f>
        <v>41852</v>
      </c>
      <c r="B9">
        <f>'Monthly Data'!C9</f>
        <v>8</v>
      </c>
      <c r="C9">
        <f>'Monthly Data'!B9</f>
        <v>2014</v>
      </c>
      <c r="D9" s="18">
        <f>'Monthly Data'!F9</f>
        <v>25099596.710185621</v>
      </c>
      <c r="E9" s="215">
        <f ca="1">Weather!CE43</f>
        <v>0.73208333333333309</v>
      </c>
      <c r="F9" s="216">
        <f ca="1">Weather!AM43</f>
        <v>35.296250000000008</v>
      </c>
      <c r="G9">
        <f>'Monthly Data'!BO9</f>
        <v>31</v>
      </c>
      <c r="H9">
        <f>'Monthly Data'!BS9</f>
        <v>0</v>
      </c>
      <c r="I9">
        <f>'Monthly Data'!BK9</f>
        <v>0</v>
      </c>
      <c r="K9" s="17">
        <f t="shared" si="0"/>
        <v>-1956373.74241439</v>
      </c>
      <c r="L9" s="17">
        <f t="shared" ca="1" si="1"/>
        <v>18279.567871793144</v>
      </c>
      <c r="M9" s="17">
        <f t="shared" ca="1" si="2"/>
        <v>1858766.7878854342</v>
      </c>
      <c r="N9" s="17">
        <f t="shared" si="3"/>
        <v>27425350.500205077</v>
      </c>
      <c r="O9" s="17">
        <f t="shared" si="4"/>
        <v>0</v>
      </c>
      <c r="P9" s="17">
        <f t="shared" si="5"/>
        <v>0</v>
      </c>
      <c r="Q9" s="17">
        <f t="shared" ca="1" si="6"/>
        <v>27346023.113547914</v>
      </c>
      <c r="S9" t="s">
        <v>27</v>
      </c>
      <c r="T9" s="105">
        <v>52661.877334998302</v>
      </c>
      <c r="U9" s="105">
        <v>6971.8459227396997</v>
      </c>
      <c r="V9" s="76">
        <v>7.5535056165303303</v>
      </c>
      <c r="W9" s="251">
        <v>7.789641813815E-12</v>
      </c>
    </row>
    <row r="10" spans="1:23" x14ac:dyDescent="0.2">
      <c r="A10" s="28">
        <f>'Monthly Data'!A10</f>
        <v>41883</v>
      </c>
      <c r="B10">
        <f>'Monthly Data'!C10</f>
        <v>9</v>
      </c>
      <c r="C10">
        <f>'Monthly Data'!B10</f>
        <v>2014</v>
      </c>
      <c r="D10" s="18">
        <f>'Monthly Data'!F10</f>
        <v>25409916.865108382</v>
      </c>
      <c r="E10" s="215">
        <f ca="1">Weather!CE44</f>
        <v>26.6509001176757</v>
      </c>
      <c r="F10" s="216">
        <f ca="1">Weather!AM44</f>
        <v>11.128958333333333</v>
      </c>
      <c r="G10">
        <f>'Monthly Data'!BO10</f>
        <v>30</v>
      </c>
      <c r="H10">
        <f>'Monthly Data'!BS10</f>
        <v>0</v>
      </c>
      <c r="I10">
        <f>'Monthly Data'!BK10</f>
        <v>1</v>
      </c>
      <c r="K10" s="17">
        <f t="shared" si="0"/>
        <v>-1956373.74241439</v>
      </c>
      <c r="L10" s="17">
        <f t="shared" ca="1" si="1"/>
        <v>665452.84582187783</v>
      </c>
      <c r="M10" s="17">
        <f t="shared" ca="1" si="2"/>
        <v>586071.83861630713</v>
      </c>
      <c r="N10" s="17">
        <f t="shared" si="3"/>
        <v>26540661.774392013</v>
      </c>
      <c r="O10" s="17">
        <f t="shared" si="4"/>
        <v>0</v>
      </c>
      <c r="P10" s="17">
        <f t="shared" si="5"/>
        <v>-1149094.2112539201</v>
      </c>
      <c r="Q10" s="17">
        <f t="shared" ca="1" si="6"/>
        <v>24686718.505161889</v>
      </c>
      <c r="S10" t="s">
        <v>66</v>
      </c>
      <c r="T10" s="105">
        <v>884688.72581306705</v>
      </c>
      <c r="U10" s="105">
        <v>100950.069331437</v>
      </c>
      <c r="V10" s="76">
        <v>8.7636267282638105</v>
      </c>
      <c r="W10" s="251">
        <v>1.13799902645692E-14</v>
      </c>
    </row>
    <row r="11" spans="1:23" x14ac:dyDescent="0.2">
      <c r="A11" s="28">
        <f>'Monthly Data'!A11</f>
        <v>41913</v>
      </c>
      <c r="B11">
        <f>'Monthly Data'!C11</f>
        <v>10</v>
      </c>
      <c r="C11">
        <f>'Monthly Data'!B11</f>
        <v>2014</v>
      </c>
      <c r="D11" s="18">
        <f>'Monthly Data'!F11</f>
        <v>30084252.514873486</v>
      </c>
      <c r="E11" s="215">
        <f ca="1">Weather!CE45</f>
        <v>177.51367324027484</v>
      </c>
      <c r="F11" s="216">
        <f ca="1">Weather!AM45</f>
        <v>0.44687499999999963</v>
      </c>
      <c r="G11">
        <f>'Monthly Data'!BO11</f>
        <v>31</v>
      </c>
      <c r="H11">
        <f>'Monthly Data'!BS11</f>
        <v>0</v>
      </c>
      <c r="I11">
        <f>'Monthly Data'!BK11</f>
        <v>1</v>
      </c>
      <c r="K11" s="17">
        <f t="shared" si="0"/>
        <v>-1956373.74241439</v>
      </c>
      <c r="L11" s="17">
        <f t="shared" ca="1" si="1"/>
        <v>4432382.3401255533</v>
      </c>
      <c r="M11" s="17">
        <f t="shared" ca="1" si="2"/>
        <v>23533.276434077346</v>
      </c>
      <c r="N11" s="17">
        <f t="shared" si="3"/>
        <v>27425350.500205077</v>
      </c>
      <c r="O11" s="17">
        <f t="shared" si="4"/>
        <v>0</v>
      </c>
      <c r="P11" s="17">
        <f t="shared" si="5"/>
        <v>-1149094.2112539201</v>
      </c>
      <c r="Q11" s="17">
        <f t="shared" ca="1" si="6"/>
        <v>28775798.163096398</v>
      </c>
      <c r="S11" t="s">
        <v>70</v>
      </c>
      <c r="T11" s="105">
        <v>2103852.6986380499</v>
      </c>
      <c r="U11" s="105">
        <v>448006.62902908103</v>
      </c>
      <c r="V11" s="76">
        <v>4.6960302868676802</v>
      </c>
      <c r="W11" s="251">
        <v>6.8678879659091402E-6</v>
      </c>
    </row>
    <row r="12" spans="1:23" x14ac:dyDescent="0.2">
      <c r="A12" s="28">
        <f>'Monthly Data'!A12</f>
        <v>41944</v>
      </c>
      <c r="B12">
        <f>'Monthly Data'!C12</f>
        <v>11</v>
      </c>
      <c r="C12">
        <f>'Monthly Data'!B12</f>
        <v>2014</v>
      </c>
      <c r="D12" s="18">
        <f>'Monthly Data'!F12</f>
        <v>35778259.692600749</v>
      </c>
      <c r="E12" s="215">
        <f ca="1">Weather!CE46</f>
        <v>390.8187460098469</v>
      </c>
      <c r="F12" s="216">
        <f ca="1">Weather!AM46</f>
        <v>0</v>
      </c>
      <c r="G12">
        <f>'Monthly Data'!BO12</f>
        <v>30</v>
      </c>
      <c r="H12">
        <f>'Monthly Data'!BS12</f>
        <v>0</v>
      </c>
      <c r="I12">
        <f>'Monthly Data'!BK12</f>
        <v>1</v>
      </c>
      <c r="K12" s="17">
        <f t="shared" si="0"/>
        <v>-1956373.74241439</v>
      </c>
      <c r="L12" s="17">
        <f t="shared" ca="1" si="1"/>
        <v>9758448.8923247606</v>
      </c>
      <c r="M12" s="17">
        <f t="shared" ca="1" si="2"/>
        <v>0</v>
      </c>
      <c r="N12" s="17">
        <f t="shared" si="3"/>
        <v>26540661.774392013</v>
      </c>
      <c r="O12" s="17">
        <f t="shared" si="4"/>
        <v>0</v>
      </c>
      <c r="P12" s="17">
        <f t="shared" si="5"/>
        <v>-1149094.2112539201</v>
      </c>
      <c r="Q12" s="17">
        <f t="shared" ca="1" si="6"/>
        <v>33193642.713048466</v>
      </c>
      <c r="S12" t="s">
        <v>62</v>
      </c>
      <c r="T12" s="105">
        <v>-1149094.2112539201</v>
      </c>
      <c r="U12" s="105">
        <v>239076.156899044</v>
      </c>
      <c r="V12" s="76">
        <v>-4.8063940217139596</v>
      </c>
      <c r="W12" s="251">
        <v>4.3263619654112698E-6</v>
      </c>
    </row>
    <row r="13" spans="1:23" x14ac:dyDescent="0.2">
      <c r="A13" s="28">
        <f>'Monthly Data'!A13</f>
        <v>41974</v>
      </c>
      <c r="B13">
        <f>'Monthly Data'!C13</f>
        <v>12</v>
      </c>
      <c r="C13">
        <f>'Monthly Data'!B13</f>
        <v>2014</v>
      </c>
      <c r="D13" s="18">
        <f>'Monthly Data'!F13</f>
        <v>42258828.755309202</v>
      </c>
      <c r="E13" s="215">
        <f ca="1">Weather!CE47</f>
        <v>570.62936502461719</v>
      </c>
      <c r="F13" s="216">
        <f ca="1">Weather!AM47</f>
        <v>0</v>
      </c>
      <c r="G13">
        <f>'Monthly Data'!BO13</f>
        <v>31</v>
      </c>
      <c r="H13">
        <f>'Monthly Data'!BS13</f>
        <v>0</v>
      </c>
      <c r="I13">
        <f>'Monthly Data'!BK13</f>
        <v>0</v>
      </c>
      <c r="K13" s="17">
        <f t="shared" si="0"/>
        <v>-1956373.74241439</v>
      </c>
      <c r="L13" s="17">
        <f t="shared" ca="1" si="1"/>
        <v>14248184.233496714</v>
      </c>
      <c r="M13" s="17">
        <f t="shared" ca="1" si="2"/>
        <v>0</v>
      </c>
      <c r="N13" s="17">
        <f t="shared" si="3"/>
        <v>27425350.500205077</v>
      </c>
      <c r="O13" s="17">
        <f t="shared" si="4"/>
        <v>0</v>
      </c>
      <c r="P13" s="17">
        <f t="shared" si="5"/>
        <v>0</v>
      </c>
      <c r="Q13" s="17">
        <f t="shared" ca="1" si="6"/>
        <v>39717160.991287403</v>
      </c>
    </row>
    <row r="14" spans="1:23" x14ac:dyDescent="0.2">
      <c r="A14" s="28">
        <f>'Monthly Data'!A14</f>
        <v>42005</v>
      </c>
      <c r="B14">
        <f>'Monthly Data'!C14</f>
        <v>1</v>
      </c>
      <c r="C14">
        <f>'Monthly Data'!B14</f>
        <v>2015</v>
      </c>
      <c r="D14" s="18">
        <f>'Monthly Data'!F14</f>
        <v>47554511.246614844</v>
      </c>
      <c r="E14" s="10">
        <f ca="1">E2</f>
        <v>728.68367523535153</v>
      </c>
      <c r="F14" s="10">
        <f ca="1">F2</f>
        <v>0</v>
      </c>
      <c r="G14">
        <f>'Monthly Data'!BO14</f>
        <v>31</v>
      </c>
      <c r="H14">
        <f>'Monthly Data'!BS14</f>
        <v>0</v>
      </c>
      <c r="I14">
        <f>'Monthly Data'!BK14</f>
        <v>0</v>
      </c>
      <c r="K14" s="17">
        <f t="shared" si="0"/>
        <v>-1956373.74241439</v>
      </c>
      <c r="L14" s="17">
        <f t="shared" ca="1" si="1"/>
        <v>18194680.976936534</v>
      </c>
      <c r="M14" s="17">
        <f t="shared" ca="1" si="2"/>
        <v>0</v>
      </c>
      <c r="N14" s="17">
        <f t="shared" si="3"/>
        <v>27425350.500205077</v>
      </c>
      <c r="O14" s="17">
        <f t="shared" si="4"/>
        <v>0</v>
      </c>
      <c r="P14" s="17">
        <f t="shared" si="5"/>
        <v>0</v>
      </c>
      <c r="Q14" s="17">
        <f t="shared" ca="1" si="6"/>
        <v>43663657.734727219</v>
      </c>
      <c r="S14" t="s">
        <v>143</v>
      </c>
    </row>
    <row r="15" spans="1:23" x14ac:dyDescent="0.2">
      <c r="A15" s="28">
        <f>'Monthly Data'!A15</f>
        <v>42036</v>
      </c>
      <c r="B15">
        <f>'Monthly Data'!C15</f>
        <v>2</v>
      </c>
      <c r="C15">
        <f>'Monthly Data'!B15</f>
        <v>2015</v>
      </c>
      <c r="D15" s="18">
        <f>'Monthly Data'!F15</f>
        <v>42204351.624248534</v>
      </c>
      <c r="E15" s="10">
        <f t="shared" ref="E15:F15" ca="1" si="7">E3</f>
        <v>655.75083333333328</v>
      </c>
      <c r="F15" s="10">
        <f t="shared" ca="1" si="7"/>
        <v>0</v>
      </c>
      <c r="G15">
        <f>'Monthly Data'!BO15</f>
        <v>28</v>
      </c>
      <c r="H15">
        <f>'Monthly Data'!BS15</f>
        <v>0</v>
      </c>
      <c r="I15">
        <f>'Monthly Data'!BK15</f>
        <v>0</v>
      </c>
      <c r="K15" s="17">
        <f t="shared" si="0"/>
        <v>-1956373.74241439</v>
      </c>
      <c r="L15" s="17">
        <f t="shared" ca="1" si="1"/>
        <v>16373603.002711328</v>
      </c>
      <c r="M15" s="17">
        <f t="shared" ca="1" si="2"/>
        <v>0</v>
      </c>
      <c r="N15" s="17">
        <f t="shared" si="3"/>
        <v>24771284.322765879</v>
      </c>
      <c r="O15" s="17">
        <f t="shared" si="4"/>
        <v>0</v>
      </c>
      <c r="P15" s="17">
        <f t="shared" si="5"/>
        <v>0</v>
      </c>
      <c r="Q15" s="17">
        <f t="shared" ca="1" si="6"/>
        <v>39188513.583062813</v>
      </c>
      <c r="S15" t="s">
        <v>144</v>
      </c>
      <c r="T15">
        <v>148352832191464</v>
      </c>
      <c r="U15" t="s">
        <v>145</v>
      </c>
      <c r="V15" s="105">
        <v>1089413.90551604</v>
      </c>
    </row>
    <row r="16" spans="1:23" x14ac:dyDescent="0.2">
      <c r="A16" s="28">
        <f>'Monthly Data'!A16</f>
        <v>42064</v>
      </c>
      <c r="B16">
        <f>'Monthly Data'!C16</f>
        <v>3</v>
      </c>
      <c r="C16">
        <f>'Monthly Data'!B16</f>
        <v>2015</v>
      </c>
      <c r="D16" s="18">
        <f>'Monthly Data'!F16</f>
        <v>39410637.810047477</v>
      </c>
      <c r="E16" s="10">
        <f t="shared" ref="E16:F16" ca="1" si="8">E4</f>
        <v>531.1185376765136</v>
      </c>
      <c r="F16" s="10">
        <f t="shared" ca="1" si="8"/>
        <v>0</v>
      </c>
      <c r="G16">
        <f>'Monthly Data'!BO16</f>
        <v>31</v>
      </c>
      <c r="H16">
        <f>'Monthly Data'!BS16</f>
        <v>0</v>
      </c>
      <c r="I16">
        <f>'Monthly Data'!BK16</f>
        <v>1</v>
      </c>
      <c r="K16" s="17">
        <f t="shared" si="0"/>
        <v>-1956373.74241439</v>
      </c>
      <c r="L16" s="17">
        <f t="shared" ca="1" si="1"/>
        <v>13261628.718167821</v>
      </c>
      <c r="M16" s="17">
        <f t="shared" ca="1" si="2"/>
        <v>0</v>
      </c>
      <c r="N16" s="17">
        <f t="shared" si="3"/>
        <v>27425350.500205077</v>
      </c>
      <c r="O16" s="17">
        <f t="shared" si="4"/>
        <v>0</v>
      </c>
      <c r="P16" s="17">
        <f t="shared" si="5"/>
        <v>-1149094.2112539201</v>
      </c>
      <c r="Q16" s="17">
        <f t="shared" ca="1" si="6"/>
        <v>37581511.264704593</v>
      </c>
      <c r="S16" t="s">
        <v>146</v>
      </c>
      <c r="T16" s="252">
        <v>0.97226032536850804</v>
      </c>
      <c r="U16" t="s">
        <v>147</v>
      </c>
      <c r="V16" s="252">
        <v>0.97115073838324895</v>
      </c>
    </row>
    <row r="17" spans="1:22" x14ac:dyDescent="0.2">
      <c r="A17" s="28">
        <f>'Monthly Data'!A17</f>
        <v>42095</v>
      </c>
      <c r="B17">
        <f>'Monthly Data'!C17</f>
        <v>4</v>
      </c>
      <c r="C17">
        <f>'Monthly Data'!B17</f>
        <v>2015</v>
      </c>
      <c r="D17" s="18">
        <f>'Monthly Data'!F17</f>
        <v>31522989.511739235</v>
      </c>
      <c r="E17" s="10">
        <f t="shared" ref="E17:F17" ca="1" si="9">E5</f>
        <v>291.21791666666667</v>
      </c>
      <c r="F17" s="10">
        <f t="shared" ca="1" si="9"/>
        <v>0</v>
      </c>
      <c r="G17">
        <f>'Monthly Data'!BO17</f>
        <v>30</v>
      </c>
      <c r="H17">
        <f>'Monthly Data'!BS17</f>
        <v>0</v>
      </c>
      <c r="I17">
        <f>'Monthly Data'!BK17</f>
        <v>1</v>
      </c>
      <c r="K17" s="17">
        <f t="shared" si="0"/>
        <v>-1956373.74241439</v>
      </c>
      <c r="L17" s="17">
        <f t="shared" ca="1" si="1"/>
        <v>7271491.4147167243</v>
      </c>
      <c r="M17" s="17">
        <f t="shared" ca="1" si="2"/>
        <v>0</v>
      </c>
      <c r="N17" s="17">
        <f t="shared" si="3"/>
        <v>26540661.774392013</v>
      </c>
      <c r="O17" s="17">
        <f t="shared" si="4"/>
        <v>0</v>
      </c>
      <c r="P17" s="17">
        <f t="shared" si="5"/>
        <v>-1149094.2112539201</v>
      </c>
      <c r="Q17" s="17">
        <f t="shared" ca="1" si="6"/>
        <v>30706685.235440429</v>
      </c>
      <c r="S17" t="s">
        <v>485</v>
      </c>
      <c r="T17" s="76">
        <v>575.04462718739796</v>
      </c>
      <c r="U17" t="s">
        <v>148</v>
      </c>
      <c r="V17" s="252">
        <v>1.9524379408792601E-84</v>
      </c>
    </row>
    <row r="18" spans="1:22" x14ac:dyDescent="0.2">
      <c r="A18" s="28">
        <f>'Monthly Data'!A18</f>
        <v>42125</v>
      </c>
      <c r="B18">
        <f>'Monthly Data'!C18</f>
        <v>5</v>
      </c>
      <c r="C18">
        <f>'Monthly Data'!B18</f>
        <v>2015</v>
      </c>
      <c r="D18" s="18">
        <f>'Monthly Data'!F18</f>
        <v>25792582.373976927</v>
      </c>
      <c r="E18" s="10">
        <f t="shared" ref="E18:F18" ca="1" si="10">E6</f>
        <v>76.006595892171191</v>
      </c>
      <c r="F18" s="10">
        <f t="shared" ca="1" si="10"/>
        <v>9.6293749999999996</v>
      </c>
      <c r="G18">
        <f>'Monthly Data'!BO18</f>
        <v>31</v>
      </c>
      <c r="H18">
        <f>'Monthly Data'!BS18</f>
        <v>0</v>
      </c>
      <c r="I18">
        <f>'Monthly Data'!BK18</f>
        <v>1</v>
      </c>
      <c r="K18" s="17">
        <f t="shared" si="0"/>
        <v>-1956373.74241439</v>
      </c>
      <c r="L18" s="17">
        <f t="shared" ca="1" si="1"/>
        <v>1897827.2896731673</v>
      </c>
      <c r="M18" s="17">
        <f t="shared" ca="1" si="2"/>
        <v>507100.96506269928</v>
      </c>
      <c r="N18" s="17">
        <f t="shared" si="3"/>
        <v>27425350.500205077</v>
      </c>
      <c r="O18" s="17">
        <f t="shared" si="4"/>
        <v>0</v>
      </c>
      <c r="P18" s="17">
        <f t="shared" si="5"/>
        <v>-1149094.2112539201</v>
      </c>
      <c r="Q18" s="17">
        <f t="shared" ca="1" si="6"/>
        <v>26724810.801272634</v>
      </c>
      <c r="S18" t="s">
        <v>149</v>
      </c>
      <c r="T18" s="252">
        <v>-3.9947005231748503E-2</v>
      </c>
      <c r="U18" t="s">
        <v>150</v>
      </c>
      <c r="V18" s="252">
        <v>1.9973966565849599</v>
      </c>
    </row>
    <row r="19" spans="1:22" x14ac:dyDescent="0.2">
      <c r="A19" s="28">
        <f>'Monthly Data'!A19</f>
        <v>42156</v>
      </c>
      <c r="B19">
        <f>'Monthly Data'!C19</f>
        <v>6</v>
      </c>
      <c r="C19">
        <f>'Monthly Data'!B19</f>
        <v>2015</v>
      </c>
      <c r="D19" s="18">
        <f>'Monthly Data'!F19</f>
        <v>24102849.621862877</v>
      </c>
      <c r="E19" s="10">
        <f t="shared" ref="E19:F19" ca="1" si="11">E7</f>
        <v>4.2034708921711843</v>
      </c>
      <c r="F19" s="10">
        <f t="shared" ca="1" si="11"/>
        <v>25.077154107828811</v>
      </c>
      <c r="G19">
        <f>'Monthly Data'!BO19</f>
        <v>30</v>
      </c>
      <c r="H19">
        <f>'Monthly Data'!BS19</f>
        <v>0</v>
      </c>
      <c r="I19">
        <f>'Monthly Data'!BK19</f>
        <v>0</v>
      </c>
      <c r="K19" s="17">
        <f t="shared" si="0"/>
        <v>-1956373.74241439</v>
      </c>
      <c r="L19" s="17">
        <f t="shared" ca="1" si="1"/>
        <v>104957.49318686409</v>
      </c>
      <c r="M19" s="17">
        <f t="shared" ca="1" si="2"/>
        <v>1320610.0135373296</v>
      </c>
      <c r="N19" s="17">
        <f t="shared" si="3"/>
        <v>26540661.774392013</v>
      </c>
      <c r="O19" s="17">
        <f t="shared" si="4"/>
        <v>0</v>
      </c>
      <c r="P19" s="17">
        <f t="shared" si="5"/>
        <v>0</v>
      </c>
      <c r="Q19" s="17">
        <f t="shared" ca="1" si="6"/>
        <v>26009855.538701817</v>
      </c>
    </row>
    <row r="20" spans="1:22" x14ac:dyDescent="0.2">
      <c r="A20" s="28">
        <f>'Monthly Data'!A20</f>
        <v>42186</v>
      </c>
      <c r="B20">
        <f>'Monthly Data'!C20</f>
        <v>7</v>
      </c>
      <c r="C20">
        <f>'Monthly Data'!B20</f>
        <v>2015</v>
      </c>
      <c r="D20" s="18">
        <f>'Monthly Data'!F20</f>
        <v>25673766.616705209</v>
      </c>
      <c r="E20" s="10">
        <f t="shared" ref="E20:F20" ca="1" si="12">E8</f>
        <v>0</v>
      </c>
      <c r="F20" s="10">
        <f t="shared" ca="1" si="12"/>
        <v>56.475141548990976</v>
      </c>
      <c r="G20">
        <f>'Monthly Data'!BO20</f>
        <v>31</v>
      </c>
      <c r="H20">
        <f>'Monthly Data'!BS20</f>
        <v>0</v>
      </c>
      <c r="I20">
        <f>'Monthly Data'!BK20</f>
        <v>0</v>
      </c>
      <c r="K20" s="17">
        <f t="shared" si="0"/>
        <v>-1956373.74241439</v>
      </c>
      <c r="L20" s="17">
        <f t="shared" ca="1" si="1"/>
        <v>0</v>
      </c>
      <c r="M20" s="17">
        <f t="shared" ca="1" si="2"/>
        <v>2974086.9767296286</v>
      </c>
      <c r="N20" s="17">
        <f t="shared" si="3"/>
        <v>27425350.500205077</v>
      </c>
      <c r="O20" s="17">
        <f t="shared" si="4"/>
        <v>0</v>
      </c>
      <c r="P20" s="17">
        <f t="shared" si="5"/>
        <v>0</v>
      </c>
      <c r="Q20" s="17">
        <f t="shared" ca="1" si="6"/>
        <v>28443063.734520316</v>
      </c>
      <c r="S20" t="s">
        <v>151</v>
      </c>
    </row>
    <row r="21" spans="1:22" x14ac:dyDescent="0.2">
      <c r="A21" s="28">
        <f>'Monthly Data'!A21</f>
        <v>42217</v>
      </c>
      <c r="B21">
        <f>'Monthly Data'!C21</f>
        <v>8</v>
      </c>
      <c r="C21">
        <f>'Monthly Data'!B21</f>
        <v>2015</v>
      </c>
      <c r="D21" s="18">
        <f>'Monthly Data'!F21</f>
        <v>25829204.73398304</v>
      </c>
      <c r="E21" s="10">
        <f t="shared" ref="E21:F21" ca="1" si="13">E9</f>
        <v>0.73208333333333309</v>
      </c>
      <c r="F21" s="10">
        <f t="shared" ca="1" si="13"/>
        <v>35.296250000000008</v>
      </c>
      <c r="G21">
        <f>'Monthly Data'!BO21</f>
        <v>31</v>
      </c>
      <c r="H21">
        <f>'Monthly Data'!BS21</f>
        <v>0</v>
      </c>
      <c r="I21">
        <f>'Monthly Data'!BK21</f>
        <v>0</v>
      </c>
      <c r="K21" s="17">
        <f t="shared" si="0"/>
        <v>-1956373.74241439</v>
      </c>
      <c r="L21" s="17">
        <f t="shared" ca="1" si="1"/>
        <v>18279.567871793144</v>
      </c>
      <c r="M21" s="17">
        <f t="shared" ca="1" si="2"/>
        <v>1858766.7878854342</v>
      </c>
      <c r="N21" s="17">
        <f t="shared" si="3"/>
        <v>27425350.500205077</v>
      </c>
      <c r="O21" s="17">
        <f t="shared" si="4"/>
        <v>0</v>
      </c>
      <c r="P21" s="17">
        <f t="shared" si="5"/>
        <v>0</v>
      </c>
      <c r="Q21" s="17">
        <f t="shared" ca="1" si="6"/>
        <v>27346023.113547914</v>
      </c>
      <c r="S21" t="s">
        <v>152</v>
      </c>
      <c r="T21">
        <v>32495719.496887598</v>
      </c>
      <c r="U21" t="s">
        <v>153</v>
      </c>
      <c r="V21">
        <v>6403745.97615878</v>
      </c>
    </row>
    <row r="22" spans="1:22" x14ac:dyDescent="0.2">
      <c r="A22" s="28">
        <f>'Monthly Data'!A22</f>
        <v>42248</v>
      </c>
      <c r="B22">
        <f>'Monthly Data'!C22</f>
        <v>9</v>
      </c>
      <c r="C22">
        <f>'Monthly Data'!B22</f>
        <v>2015</v>
      </c>
      <c r="D22" s="18">
        <f>'Monthly Data'!F22</f>
        <v>25236217.744057812</v>
      </c>
      <c r="E22" s="10">
        <f t="shared" ref="E22:F22" ca="1" si="14">E10</f>
        <v>26.6509001176757</v>
      </c>
      <c r="F22" s="10">
        <f t="shared" ca="1" si="14"/>
        <v>11.128958333333333</v>
      </c>
      <c r="G22">
        <f>'Monthly Data'!BO22</f>
        <v>30</v>
      </c>
      <c r="H22">
        <f>'Monthly Data'!BS22</f>
        <v>0</v>
      </c>
      <c r="I22">
        <f>'Monthly Data'!BK22</f>
        <v>1</v>
      </c>
      <c r="K22" s="17">
        <f t="shared" si="0"/>
        <v>-1956373.74241439</v>
      </c>
      <c r="L22" s="17">
        <f t="shared" ca="1" si="1"/>
        <v>665452.84582187783</v>
      </c>
      <c r="M22" s="17">
        <f t="shared" ca="1" si="2"/>
        <v>586071.83861630713</v>
      </c>
      <c r="N22" s="17">
        <f t="shared" si="3"/>
        <v>26540661.774392013</v>
      </c>
      <c r="O22" s="17">
        <f t="shared" si="4"/>
        <v>0</v>
      </c>
      <c r="P22" s="17">
        <f t="shared" si="5"/>
        <v>-1149094.2112539201</v>
      </c>
      <c r="Q22" s="17">
        <f t="shared" ca="1" si="6"/>
        <v>24686718.505161889</v>
      </c>
    </row>
    <row r="23" spans="1:22" x14ac:dyDescent="0.2">
      <c r="A23" s="28">
        <f>'Monthly Data'!A23</f>
        <v>42278</v>
      </c>
      <c r="B23">
        <f>'Monthly Data'!C23</f>
        <v>10</v>
      </c>
      <c r="C23">
        <f>'Monthly Data'!B23</f>
        <v>2015</v>
      </c>
      <c r="D23" s="18">
        <f>'Monthly Data'!F23</f>
        <v>28041945.938314706</v>
      </c>
      <c r="E23" s="10">
        <f t="shared" ref="E23:F23" ca="1" si="15">E11</f>
        <v>177.51367324027484</v>
      </c>
      <c r="F23" s="10">
        <f t="shared" ca="1" si="15"/>
        <v>0.44687499999999963</v>
      </c>
      <c r="G23">
        <f>'Monthly Data'!BO23</f>
        <v>31</v>
      </c>
      <c r="H23">
        <f>'Monthly Data'!BS23</f>
        <v>0</v>
      </c>
      <c r="I23">
        <f>'Monthly Data'!BK23</f>
        <v>1</v>
      </c>
      <c r="K23" s="17">
        <f t="shared" si="0"/>
        <v>-1956373.74241439</v>
      </c>
      <c r="L23" s="17">
        <f t="shared" ca="1" si="1"/>
        <v>4432382.3401255533</v>
      </c>
      <c r="M23" s="17">
        <f t="shared" ca="1" si="2"/>
        <v>23533.276434077346</v>
      </c>
      <c r="N23" s="17">
        <f t="shared" si="3"/>
        <v>27425350.500205077</v>
      </c>
      <c r="O23" s="17">
        <f t="shared" si="4"/>
        <v>0</v>
      </c>
      <c r="P23" s="17">
        <f t="shared" si="5"/>
        <v>-1149094.2112539201</v>
      </c>
      <c r="Q23" s="17">
        <f t="shared" ca="1" si="6"/>
        <v>28775798.163096398</v>
      </c>
    </row>
    <row r="24" spans="1:22" x14ac:dyDescent="0.2">
      <c r="A24" s="28">
        <f>'Monthly Data'!A24</f>
        <v>42309</v>
      </c>
      <c r="B24">
        <f>'Monthly Data'!C24</f>
        <v>11</v>
      </c>
      <c r="C24">
        <f>'Monthly Data'!B24</f>
        <v>2015</v>
      </c>
      <c r="D24" s="18">
        <f>'Monthly Data'!F24</f>
        <v>31333244.388989836</v>
      </c>
      <c r="E24" s="10">
        <f t="shared" ref="E24:F24" ca="1" si="16">E12</f>
        <v>390.8187460098469</v>
      </c>
      <c r="F24" s="10">
        <f t="shared" ca="1" si="16"/>
        <v>0</v>
      </c>
      <c r="G24">
        <f>'Monthly Data'!BO24</f>
        <v>30</v>
      </c>
      <c r="H24">
        <f>'Monthly Data'!BS24</f>
        <v>0</v>
      </c>
      <c r="I24">
        <f>'Monthly Data'!BK24</f>
        <v>1</v>
      </c>
      <c r="K24" s="17">
        <f t="shared" si="0"/>
        <v>-1956373.74241439</v>
      </c>
      <c r="L24" s="17">
        <f t="shared" ca="1" si="1"/>
        <v>9758448.8923247606</v>
      </c>
      <c r="M24" s="17">
        <f t="shared" ca="1" si="2"/>
        <v>0</v>
      </c>
      <c r="N24" s="17">
        <f t="shared" si="3"/>
        <v>26540661.774392013</v>
      </c>
      <c r="O24" s="17">
        <f t="shared" si="4"/>
        <v>0</v>
      </c>
      <c r="P24" s="17">
        <f t="shared" si="5"/>
        <v>-1149094.2112539201</v>
      </c>
      <c r="Q24" s="17">
        <f t="shared" ca="1" si="6"/>
        <v>33193642.713048466</v>
      </c>
    </row>
    <row r="25" spans="1:22" x14ac:dyDescent="0.2">
      <c r="A25" s="28">
        <f>'Monthly Data'!A25</f>
        <v>42339</v>
      </c>
      <c r="B25">
        <f>'Monthly Data'!C25</f>
        <v>12</v>
      </c>
      <c r="C25">
        <f>'Monthly Data'!B25</f>
        <v>2015</v>
      </c>
      <c r="D25" s="18">
        <f>'Monthly Data'!F25</f>
        <v>36693303.595950089</v>
      </c>
      <c r="E25" s="10">
        <f t="shared" ref="E25:F25" ca="1" si="17">E13</f>
        <v>570.62936502461719</v>
      </c>
      <c r="F25" s="10">
        <f t="shared" ca="1" si="17"/>
        <v>0</v>
      </c>
      <c r="G25">
        <f>'Monthly Data'!BO25</f>
        <v>31</v>
      </c>
      <c r="H25">
        <f>'Monthly Data'!BS25</f>
        <v>0</v>
      </c>
      <c r="I25">
        <f>'Monthly Data'!BK25</f>
        <v>0</v>
      </c>
      <c r="K25" s="17">
        <f t="shared" si="0"/>
        <v>-1956373.74241439</v>
      </c>
      <c r="L25" s="17">
        <f t="shared" ca="1" si="1"/>
        <v>14248184.233496714</v>
      </c>
      <c r="M25" s="17">
        <f t="shared" ca="1" si="2"/>
        <v>0</v>
      </c>
      <c r="N25" s="17">
        <f t="shared" si="3"/>
        <v>27425350.500205077</v>
      </c>
      <c r="O25" s="17">
        <f t="shared" si="4"/>
        <v>0</v>
      </c>
      <c r="P25" s="17">
        <f t="shared" si="5"/>
        <v>0</v>
      </c>
      <c r="Q25" s="17">
        <f t="shared" ca="1" si="6"/>
        <v>39717160.991287403</v>
      </c>
    </row>
    <row r="26" spans="1:22" x14ac:dyDescent="0.2">
      <c r="A26" s="28">
        <f>'Monthly Data'!A26</f>
        <v>42370</v>
      </c>
      <c r="B26">
        <f>'Monthly Data'!C26</f>
        <v>1</v>
      </c>
      <c r="C26">
        <f>'Monthly Data'!B26</f>
        <v>2016</v>
      </c>
      <c r="D26" s="18">
        <f>'Monthly Data'!F26</f>
        <v>41372173.652349353</v>
      </c>
      <c r="E26" s="10">
        <f t="shared" ref="E26:F26" ca="1" si="18">E14</f>
        <v>728.68367523535153</v>
      </c>
      <c r="F26" s="10">
        <f t="shared" ca="1" si="18"/>
        <v>0</v>
      </c>
      <c r="G26">
        <f>'Monthly Data'!BO26</f>
        <v>31</v>
      </c>
      <c r="H26">
        <f>'Monthly Data'!BS26</f>
        <v>0</v>
      </c>
      <c r="I26">
        <f>'Monthly Data'!BK26</f>
        <v>0</v>
      </c>
      <c r="K26" s="17">
        <f t="shared" si="0"/>
        <v>-1956373.74241439</v>
      </c>
      <c r="L26" s="17">
        <f t="shared" ca="1" si="1"/>
        <v>18194680.976936534</v>
      </c>
      <c r="M26" s="17">
        <f t="shared" ca="1" si="2"/>
        <v>0</v>
      </c>
      <c r="N26" s="17">
        <f t="shared" si="3"/>
        <v>27425350.500205077</v>
      </c>
      <c r="O26" s="17">
        <f t="shared" si="4"/>
        <v>0</v>
      </c>
      <c r="P26" s="17">
        <f t="shared" si="5"/>
        <v>0</v>
      </c>
      <c r="Q26" s="17">
        <f t="shared" ca="1" si="6"/>
        <v>43663657.734727219</v>
      </c>
    </row>
    <row r="27" spans="1:22" x14ac:dyDescent="0.2">
      <c r="A27" s="28">
        <f>'Monthly Data'!A27</f>
        <v>42401</v>
      </c>
      <c r="B27">
        <f>'Monthly Data'!C27</f>
        <v>2</v>
      </c>
      <c r="C27">
        <f>'Monthly Data'!B27</f>
        <v>2016</v>
      </c>
      <c r="D27" s="18">
        <f>'Monthly Data'!F27</f>
        <v>38274735.283061758</v>
      </c>
      <c r="E27" s="10">
        <f t="shared" ref="E27:F27" ca="1" si="19">E15</f>
        <v>655.75083333333328</v>
      </c>
      <c r="F27" s="10">
        <f t="shared" ca="1" si="19"/>
        <v>0</v>
      </c>
      <c r="G27">
        <f>'Monthly Data'!BO27</f>
        <v>29</v>
      </c>
      <c r="H27">
        <f>'Monthly Data'!BS27</f>
        <v>0</v>
      </c>
      <c r="I27">
        <f>'Monthly Data'!BK27</f>
        <v>0</v>
      </c>
      <c r="K27" s="17">
        <f t="shared" si="0"/>
        <v>-1956373.74241439</v>
      </c>
      <c r="L27" s="17">
        <f t="shared" ca="1" si="1"/>
        <v>16373603.002711328</v>
      </c>
      <c r="M27" s="17">
        <f t="shared" ca="1" si="2"/>
        <v>0</v>
      </c>
      <c r="N27" s="17">
        <f t="shared" si="3"/>
        <v>25655973.048578944</v>
      </c>
      <c r="O27" s="17">
        <f t="shared" si="4"/>
        <v>0</v>
      </c>
      <c r="P27" s="17">
        <f t="shared" si="5"/>
        <v>0</v>
      </c>
      <c r="Q27" s="17">
        <f t="shared" ca="1" si="6"/>
        <v>40073202.308875881</v>
      </c>
    </row>
    <row r="28" spans="1:22" x14ac:dyDescent="0.2">
      <c r="A28" s="28">
        <f>'Monthly Data'!A28</f>
        <v>42430</v>
      </c>
      <c r="B28">
        <f>'Monthly Data'!C28</f>
        <v>3</v>
      </c>
      <c r="C28">
        <f>'Monthly Data'!B28</f>
        <v>2016</v>
      </c>
      <c r="D28" s="18">
        <f>'Monthly Data'!F28</f>
        <v>36337940.50300879</v>
      </c>
      <c r="E28" s="10">
        <f t="shared" ref="E28:F28" ca="1" si="20">E16</f>
        <v>531.1185376765136</v>
      </c>
      <c r="F28" s="10">
        <f t="shared" ca="1" si="20"/>
        <v>0</v>
      </c>
      <c r="G28">
        <f>'Monthly Data'!BO28</f>
        <v>31</v>
      </c>
      <c r="H28">
        <f>'Monthly Data'!BS28</f>
        <v>0</v>
      </c>
      <c r="I28">
        <f>'Monthly Data'!BK28</f>
        <v>1</v>
      </c>
      <c r="K28" s="17">
        <f t="shared" si="0"/>
        <v>-1956373.74241439</v>
      </c>
      <c r="L28" s="17">
        <f t="shared" ca="1" si="1"/>
        <v>13261628.718167821</v>
      </c>
      <c r="M28" s="17">
        <f t="shared" ca="1" si="2"/>
        <v>0</v>
      </c>
      <c r="N28" s="17">
        <f t="shared" si="3"/>
        <v>27425350.500205077</v>
      </c>
      <c r="O28" s="17">
        <f t="shared" si="4"/>
        <v>0</v>
      </c>
      <c r="P28" s="17">
        <f t="shared" si="5"/>
        <v>-1149094.2112539201</v>
      </c>
      <c r="Q28" s="17">
        <f t="shared" ca="1" si="6"/>
        <v>37581511.264704593</v>
      </c>
    </row>
    <row r="29" spans="1:22" x14ac:dyDescent="0.2">
      <c r="A29" s="28">
        <f>'Monthly Data'!A29</f>
        <v>42461</v>
      </c>
      <c r="B29">
        <f>'Monthly Data'!C29</f>
        <v>4</v>
      </c>
      <c r="C29">
        <f>'Monthly Data'!B29</f>
        <v>2016</v>
      </c>
      <c r="D29" s="18">
        <f>'Monthly Data'!F29</f>
        <v>30505983.058929548</v>
      </c>
      <c r="E29" s="10">
        <f t="shared" ref="E29:F29" ca="1" si="21">E17</f>
        <v>291.21791666666667</v>
      </c>
      <c r="F29" s="10">
        <f t="shared" ca="1" si="21"/>
        <v>0</v>
      </c>
      <c r="G29">
        <f>'Monthly Data'!BO29</f>
        <v>30</v>
      </c>
      <c r="H29">
        <f>'Monthly Data'!BS29</f>
        <v>0</v>
      </c>
      <c r="I29">
        <f>'Monthly Data'!BK29</f>
        <v>1</v>
      </c>
      <c r="K29" s="17">
        <f t="shared" si="0"/>
        <v>-1956373.74241439</v>
      </c>
      <c r="L29" s="17">
        <f t="shared" ca="1" si="1"/>
        <v>7271491.4147167243</v>
      </c>
      <c r="M29" s="17">
        <f t="shared" ca="1" si="2"/>
        <v>0</v>
      </c>
      <c r="N29" s="17">
        <f t="shared" si="3"/>
        <v>26540661.774392013</v>
      </c>
      <c r="O29" s="17">
        <f t="shared" si="4"/>
        <v>0</v>
      </c>
      <c r="P29" s="17">
        <f t="shared" si="5"/>
        <v>-1149094.2112539201</v>
      </c>
      <c r="Q29" s="17">
        <f t="shared" ca="1" si="6"/>
        <v>30706685.235440429</v>
      </c>
    </row>
    <row r="30" spans="1:22" x14ac:dyDescent="0.2">
      <c r="A30" s="28">
        <f>'Monthly Data'!A30</f>
        <v>42491</v>
      </c>
      <c r="B30">
        <f>'Monthly Data'!C30</f>
        <v>5</v>
      </c>
      <c r="C30">
        <f>'Monthly Data'!B30</f>
        <v>2016</v>
      </c>
      <c r="D30" s="18">
        <f>'Monthly Data'!F30</f>
        <v>26057753.769623701</v>
      </c>
      <c r="E30" s="10">
        <f t="shared" ref="E30:F30" ca="1" si="22">E18</f>
        <v>76.006595892171191</v>
      </c>
      <c r="F30" s="10">
        <f t="shared" ca="1" si="22"/>
        <v>9.6293749999999996</v>
      </c>
      <c r="G30">
        <f>'Monthly Data'!BO30</f>
        <v>31</v>
      </c>
      <c r="H30">
        <f>'Monthly Data'!BS30</f>
        <v>0</v>
      </c>
      <c r="I30">
        <f>'Monthly Data'!BK30</f>
        <v>1</v>
      </c>
      <c r="K30" s="17">
        <f t="shared" si="0"/>
        <v>-1956373.74241439</v>
      </c>
      <c r="L30" s="17">
        <f t="shared" ca="1" si="1"/>
        <v>1897827.2896731673</v>
      </c>
      <c r="M30" s="17">
        <f t="shared" ca="1" si="2"/>
        <v>507100.96506269928</v>
      </c>
      <c r="N30" s="17">
        <f t="shared" si="3"/>
        <v>27425350.500205077</v>
      </c>
      <c r="O30" s="17">
        <f t="shared" si="4"/>
        <v>0</v>
      </c>
      <c r="P30" s="17">
        <f t="shared" si="5"/>
        <v>-1149094.2112539201</v>
      </c>
      <c r="Q30" s="17">
        <f t="shared" ca="1" si="6"/>
        <v>26724810.801272634</v>
      </c>
    </row>
    <row r="31" spans="1:22" x14ac:dyDescent="0.2">
      <c r="A31" s="28">
        <f>'Monthly Data'!A31</f>
        <v>42522</v>
      </c>
      <c r="B31">
        <f>'Monthly Data'!C31</f>
        <v>6</v>
      </c>
      <c r="C31">
        <f>'Monthly Data'!B31</f>
        <v>2016</v>
      </c>
      <c r="D31" s="18">
        <f>'Monthly Data'!F31</f>
        <v>25131212.759782858</v>
      </c>
      <c r="E31" s="10">
        <f t="shared" ref="E31:F31" ca="1" si="23">E19</f>
        <v>4.2034708921711843</v>
      </c>
      <c r="F31" s="10">
        <f t="shared" ca="1" si="23"/>
        <v>25.077154107828811</v>
      </c>
      <c r="G31">
        <f>'Monthly Data'!BO31</f>
        <v>30</v>
      </c>
      <c r="H31">
        <f>'Monthly Data'!BS31</f>
        <v>0</v>
      </c>
      <c r="I31">
        <f>'Monthly Data'!BK31</f>
        <v>0</v>
      </c>
      <c r="K31" s="17">
        <f t="shared" si="0"/>
        <v>-1956373.74241439</v>
      </c>
      <c r="L31" s="17">
        <f t="shared" ca="1" si="1"/>
        <v>104957.49318686409</v>
      </c>
      <c r="M31" s="17">
        <f t="shared" ca="1" si="2"/>
        <v>1320610.0135373296</v>
      </c>
      <c r="N31" s="17">
        <f t="shared" si="3"/>
        <v>26540661.774392013</v>
      </c>
      <c r="O31" s="17">
        <f t="shared" si="4"/>
        <v>0</v>
      </c>
      <c r="P31" s="17">
        <f t="shared" si="5"/>
        <v>0</v>
      </c>
      <c r="Q31" s="17">
        <f t="shared" ca="1" si="6"/>
        <v>26009855.538701817</v>
      </c>
    </row>
    <row r="32" spans="1:22" x14ac:dyDescent="0.2">
      <c r="A32" s="28">
        <f>'Monthly Data'!A32</f>
        <v>42552</v>
      </c>
      <c r="B32">
        <f>'Monthly Data'!C32</f>
        <v>7</v>
      </c>
      <c r="C32">
        <f>'Monthly Data'!B32</f>
        <v>2016</v>
      </c>
      <c r="D32" s="18">
        <f>'Monthly Data'!F32</f>
        <v>27482089.560612053</v>
      </c>
      <c r="E32" s="10">
        <f t="shared" ref="E32:F32" ca="1" si="24">E20</f>
        <v>0</v>
      </c>
      <c r="F32" s="10">
        <f t="shared" ca="1" si="24"/>
        <v>56.475141548990976</v>
      </c>
      <c r="G32">
        <f>'Monthly Data'!BO32</f>
        <v>31</v>
      </c>
      <c r="H32">
        <f>'Monthly Data'!BS32</f>
        <v>0</v>
      </c>
      <c r="I32">
        <f>'Monthly Data'!BK32</f>
        <v>0</v>
      </c>
      <c r="K32" s="17">
        <f t="shared" si="0"/>
        <v>-1956373.74241439</v>
      </c>
      <c r="L32" s="17">
        <f t="shared" ca="1" si="1"/>
        <v>0</v>
      </c>
      <c r="M32" s="17">
        <f t="shared" ca="1" si="2"/>
        <v>2974086.9767296286</v>
      </c>
      <c r="N32" s="17">
        <f t="shared" si="3"/>
        <v>27425350.500205077</v>
      </c>
      <c r="O32" s="17">
        <f t="shared" si="4"/>
        <v>0</v>
      </c>
      <c r="P32" s="17">
        <f t="shared" si="5"/>
        <v>0</v>
      </c>
      <c r="Q32" s="17">
        <f t="shared" ca="1" si="6"/>
        <v>28443063.734520316</v>
      </c>
    </row>
    <row r="33" spans="1:17" x14ac:dyDescent="0.2">
      <c r="A33" s="28">
        <f>'Monthly Data'!A33</f>
        <v>42583</v>
      </c>
      <c r="B33">
        <f>'Monthly Data'!C33</f>
        <v>8</v>
      </c>
      <c r="C33">
        <f>'Monthly Data'!B33</f>
        <v>2016</v>
      </c>
      <c r="D33" s="18">
        <f>'Monthly Data'!F33</f>
        <v>26892456.97727035</v>
      </c>
      <c r="E33" s="10">
        <f t="shared" ref="E33:F33" ca="1" si="25">E21</f>
        <v>0.73208333333333309</v>
      </c>
      <c r="F33" s="10">
        <f t="shared" ca="1" si="25"/>
        <v>35.296250000000008</v>
      </c>
      <c r="G33">
        <f>'Monthly Data'!BO33</f>
        <v>31</v>
      </c>
      <c r="H33">
        <f>'Monthly Data'!BS33</f>
        <v>0</v>
      </c>
      <c r="I33">
        <f>'Monthly Data'!BK33</f>
        <v>0</v>
      </c>
      <c r="K33" s="17">
        <f t="shared" si="0"/>
        <v>-1956373.74241439</v>
      </c>
      <c r="L33" s="17">
        <f t="shared" ca="1" si="1"/>
        <v>18279.567871793144</v>
      </c>
      <c r="M33" s="17">
        <f t="shared" ca="1" si="2"/>
        <v>1858766.7878854342</v>
      </c>
      <c r="N33" s="17">
        <f t="shared" si="3"/>
        <v>27425350.500205077</v>
      </c>
      <c r="O33" s="17">
        <f t="shared" si="4"/>
        <v>0</v>
      </c>
      <c r="P33" s="17">
        <f t="shared" si="5"/>
        <v>0</v>
      </c>
      <c r="Q33" s="17">
        <f t="shared" ca="1" si="6"/>
        <v>27346023.113547914</v>
      </c>
    </row>
    <row r="34" spans="1:17" x14ac:dyDescent="0.2">
      <c r="A34" s="28">
        <f>'Monthly Data'!A34</f>
        <v>42614</v>
      </c>
      <c r="B34">
        <f>'Monthly Data'!C34</f>
        <v>9</v>
      </c>
      <c r="C34">
        <f>'Monthly Data'!B34</f>
        <v>2016</v>
      </c>
      <c r="D34" s="18">
        <f>'Monthly Data'!F34</f>
        <v>24816050.515237778</v>
      </c>
      <c r="E34" s="10">
        <f t="shared" ref="E34:F34" ca="1" si="26">E22</f>
        <v>26.6509001176757</v>
      </c>
      <c r="F34" s="10">
        <f t="shared" ca="1" si="26"/>
        <v>11.128958333333333</v>
      </c>
      <c r="G34">
        <f>'Monthly Data'!BO34</f>
        <v>30</v>
      </c>
      <c r="H34">
        <f>'Monthly Data'!BS34</f>
        <v>0</v>
      </c>
      <c r="I34">
        <f>'Monthly Data'!BK34</f>
        <v>1</v>
      </c>
      <c r="K34" s="17">
        <f t="shared" ref="K34:K65" si="27">$T$7</f>
        <v>-1956373.74241439</v>
      </c>
      <c r="L34" s="17">
        <f t="shared" ca="1" si="1"/>
        <v>665452.84582187783</v>
      </c>
      <c r="M34" s="17">
        <f t="shared" ca="1" si="2"/>
        <v>586071.83861630713</v>
      </c>
      <c r="N34" s="17">
        <f t="shared" si="3"/>
        <v>26540661.774392013</v>
      </c>
      <c r="O34" s="17">
        <f t="shared" si="4"/>
        <v>0</v>
      </c>
      <c r="P34" s="17">
        <f t="shared" si="5"/>
        <v>-1149094.2112539201</v>
      </c>
      <c r="Q34" s="17">
        <f t="shared" ca="1" si="6"/>
        <v>24686718.505161889</v>
      </c>
    </row>
    <row r="35" spans="1:17" x14ac:dyDescent="0.2">
      <c r="A35" s="28">
        <f>'Monthly Data'!A35</f>
        <v>42644</v>
      </c>
      <c r="B35">
        <f>'Monthly Data'!C35</f>
        <v>10</v>
      </c>
      <c r="C35">
        <f>'Monthly Data'!B35</f>
        <v>2016</v>
      </c>
      <c r="D35" s="18">
        <f>'Monthly Data'!F35</f>
        <v>26301016.269701853</v>
      </c>
      <c r="E35" s="10">
        <f t="shared" ref="E35:F35" ca="1" si="28">E23</f>
        <v>177.51367324027484</v>
      </c>
      <c r="F35" s="10">
        <f t="shared" ca="1" si="28"/>
        <v>0.44687499999999963</v>
      </c>
      <c r="G35">
        <f>'Monthly Data'!BO35</f>
        <v>31</v>
      </c>
      <c r="H35">
        <f>'Monthly Data'!BS35</f>
        <v>0</v>
      </c>
      <c r="I35">
        <f>'Monthly Data'!BK35</f>
        <v>1</v>
      </c>
      <c r="K35" s="17">
        <f t="shared" si="27"/>
        <v>-1956373.74241439</v>
      </c>
      <c r="L35" s="17">
        <f t="shared" ca="1" si="1"/>
        <v>4432382.3401255533</v>
      </c>
      <c r="M35" s="17">
        <f t="shared" ca="1" si="2"/>
        <v>23533.276434077346</v>
      </c>
      <c r="N35" s="17">
        <f t="shared" si="3"/>
        <v>27425350.500205077</v>
      </c>
      <c r="O35" s="17">
        <f t="shared" si="4"/>
        <v>0</v>
      </c>
      <c r="P35" s="17">
        <f t="shared" si="5"/>
        <v>-1149094.2112539201</v>
      </c>
      <c r="Q35" s="17">
        <f t="shared" ca="1" si="6"/>
        <v>28775798.163096398</v>
      </c>
    </row>
    <row r="36" spans="1:17" x14ac:dyDescent="0.2">
      <c r="A36" s="28">
        <f>'Monthly Data'!A36</f>
        <v>42675</v>
      </c>
      <c r="B36">
        <f>'Monthly Data'!C36</f>
        <v>11</v>
      </c>
      <c r="C36">
        <f>'Monthly Data'!B36</f>
        <v>2016</v>
      </c>
      <c r="D36" s="18">
        <f>'Monthly Data'!F36</f>
        <v>30154736.379422963</v>
      </c>
      <c r="E36" s="10">
        <f t="shared" ref="E36:F36" ca="1" si="29">E24</f>
        <v>390.8187460098469</v>
      </c>
      <c r="F36" s="10">
        <f t="shared" ca="1" si="29"/>
        <v>0</v>
      </c>
      <c r="G36">
        <f>'Monthly Data'!BO36</f>
        <v>30</v>
      </c>
      <c r="H36">
        <f>'Monthly Data'!BS36</f>
        <v>0</v>
      </c>
      <c r="I36">
        <f>'Monthly Data'!BK36</f>
        <v>1</v>
      </c>
      <c r="K36" s="17">
        <f t="shared" si="27"/>
        <v>-1956373.74241439</v>
      </c>
      <c r="L36" s="17">
        <f t="shared" ca="1" si="1"/>
        <v>9758448.8923247606</v>
      </c>
      <c r="M36" s="17">
        <f t="shared" ca="1" si="2"/>
        <v>0</v>
      </c>
      <c r="N36" s="17">
        <f t="shared" si="3"/>
        <v>26540661.774392013</v>
      </c>
      <c r="O36" s="17">
        <f t="shared" si="4"/>
        <v>0</v>
      </c>
      <c r="P36" s="17">
        <f t="shared" si="5"/>
        <v>-1149094.2112539201</v>
      </c>
      <c r="Q36" s="17">
        <f t="shared" ca="1" si="6"/>
        <v>33193642.713048466</v>
      </c>
    </row>
    <row r="37" spans="1:17" x14ac:dyDescent="0.2">
      <c r="A37" s="28">
        <f>'Monthly Data'!A37</f>
        <v>42705</v>
      </c>
      <c r="B37">
        <f>'Monthly Data'!C37</f>
        <v>12</v>
      </c>
      <c r="C37">
        <f>'Monthly Data'!B37</f>
        <v>2016</v>
      </c>
      <c r="D37" s="18">
        <f>'Monthly Data'!F37</f>
        <v>39354812.091523588</v>
      </c>
      <c r="E37" s="10">
        <f t="shared" ref="E37:F37" ca="1" si="30">E25</f>
        <v>570.62936502461719</v>
      </c>
      <c r="F37" s="10">
        <f t="shared" ca="1" si="30"/>
        <v>0</v>
      </c>
      <c r="G37">
        <f>'Monthly Data'!BO37</f>
        <v>31</v>
      </c>
      <c r="H37">
        <f>'Monthly Data'!BS37</f>
        <v>0</v>
      </c>
      <c r="I37">
        <f>'Monthly Data'!BK37</f>
        <v>0</v>
      </c>
      <c r="K37" s="17">
        <f t="shared" si="27"/>
        <v>-1956373.74241439</v>
      </c>
      <c r="L37" s="17">
        <f t="shared" ca="1" si="1"/>
        <v>14248184.233496714</v>
      </c>
      <c r="M37" s="17">
        <f t="shared" ca="1" si="2"/>
        <v>0</v>
      </c>
      <c r="N37" s="17">
        <f t="shared" si="3"/>
        <v>27425350.500205077</v>
      </c>
      <c r="O37" s="17">
        <f t="shared" si="4"/>
        <v>0</v>
      </c>
      <c r="P37" s="17">
        <f t="shared" si="5"/>
        <v>0</v>
      </c>
      <c r="Q37" s="17">
        <f t="shared" ca="1" si="6"/>
        <v>39717160.991287403</v>
      </c>
    </row>
    <row r="38" spans="1:17" x14ac:dyDescent="0.2">
      <c r="A38" s="28">
        <f>'Monthly Data'!A38</f>
        <v>42736</v>
      </c>
      <c r="B38">
        <f>'Monthly Data'!C38</f>
        <v>1</v>
      </c>
      <c r="C38">
        <f>'Monthly Data'!B38</f>
        <v>2017</v>
      </c>
      <c r="D38" s="18">
        <f>'Monthly Data'!F38</f>
        <v>40174272.583988234</v>
      </c>
      <c r="E38" s="10">
        <f t="shared" ref="E38:F38" ca="1" si="31">E26</f>
        <v>728.68367523535153</v>
      </c>
      <c r="F38" s="10">
        <f t="shared" ca="1" si="31"/>
        <v>0</v>
      </c>
      <c r="G38">
        <f>'Monthly Data'!BO38</f>
        <v>31</v>
      </c>
      <c r="H38">
        <f>'Monthly Data'!BS38</f>
        <v>0</v>
      </c>
      <c r="I38">
        <f>'Monthly Data'!BK38</f>
        <v>0</v>
      </c>
      <c r="K38" s="17">
        <f t="shared" si="27"/>
        <v>-1956373.74241439</v>
      </c>
      <c r="L38" s="17">
        <f t="shared" ca="1" si="1"/>
        <v>18194680.976936534</v>
      </c>
      <c r="M38" s="17">
        <f t="shared" ca="1" si="2"/>
        <v>0</v>
      </c>
      <c r="N38" s="17">
        <f t="shared" si="3"/>
        <v>27425350.500205077</v>
      </c>
      <c r="O38" s="17">
        <f t="shared" si="4"/>
        <v>0</v>
      </c>
      <c r="P38" s="17">
        <f t="shared" si="5"/>
        <v>0</v>
      </c>
      <c r="Q38" s="17">
        <f t="shared" ca="1" si="6"/>
        <v>43663657.734727219</v>
      </c>
    </row>
    <row r="39" spans="1:17" x14ac:dyDescent="0.2">
      <c r="A39" s="28">
        <f>'Monthly Data'!A39</f>
        <v>42767</v>
      </c>
      <c r="B39">
        <f>'Monthly Data'!C39</f>
        <v>2</v>
      </c>
      <c r="C39">
        <f>'Monthly Data'!B39</f>
        <v>2017</v>
      </c>
      <c r="D39" s="18">
        <f>'Monthly Data'!F39</f>
        <v>35385413.861019395</v>
      </c>
      <c r="E39" s="10">
        <f t="shared" ref="E39:F39" ca="1" si="32">E27</f>
        <v>655.75083333333328</v>
      </c>
      <c r="F39" s="10">
        <f t="shared" ca="1" si="32"/>
        <v>0</v>
      </c>
      <c r="G39">
        <f>'Monthly Data'!BO39</f>
        <v>28</v>
      </c>
      <c r="H39">
        <f>'Monthly Data'!BS39</f>
        <v>0</v>
      </c>
      <c r="I39">
        <f>'Monthly Data'!BK39</f>
        <v>0</v>
      </c>
      <c r="K39" s="17">
        <f t="shared" si="27"/>
        <v>-1956373.74241439</v>
      </c>
      <c r="L39" s="17">
        <f t="shared" ca="1" si="1"/>
        <v>16373603.002711328</v>
      </c>
      <c r="M39" s="17">
        <f t="shared" ca="1" si="2"/>
        <v>0</v>
      </c>
      <c r="N39" s="17">
        <f t="shared" si="3"/>
        <v>24771284.322765879</v>
      </c>
      <c r="O39" s="17">
        <f t="shared" si="4"/>
        <v>0</v>
      </c>
      <c r="P39" s="17">
        <f t="shared" si="5"/>
        <v>0</v>
      </c>
      <c r="Q39" s="17">
        <f t="shared" ca="1" si="6"/>
        <v>39188513.583062813</v>
      </c>
    </row>
    <row r="40" spans="1:17" x14ac:dyDescent="0.2">
      <c r="A40" s="28">
        <f>'Monthly Data'!A40</f>
        <v>42795</v>
      </c>
      <c r="B40">
        <f>'Monthly Data'!C40</f>
        <v>3</v>
      </c>
      <c r="C40">
        <f>'Monthly Data'!B40</f>
        <v>2017</v>
      </c>
      <c r="D40" s="18">
        <f>'Monthly Data'!F40</f>
        <v>36573863.20518063</v>
      </c>
      <c r="E40" s="10">
        <f t="shared" ref="E40:F40" ca="1" si="33">E28</f>
        <v>531.1185376765136</v>
      </c>
      <c r="F40" s="10">
        <f t="shared" ca="1" si="33"/>
        <v>0</v>
      </c>
      <c r="G40">
        <f>'Monthly Data'!BO40</f>
        <v>31</v>
      </c>
      <c r="H40">
        <f>'Monthly Data'!BS40</f>
        <v>0</v>
      </c>
      <c r="I40">
        <f>'Monthly Data'!BK40</f>
        <v>1</v>
      </c>
      <c r="K40" s="17">
        <f t="shared" si="27"/>
        <v>-1956373.74241439</v>
      </c>
      <c r="L40" s="17">
        <f t="shared" ca="1" si="1"/>
        <v>13261628.718167821</v>
      </c>
      <c r="M40" s="17">
        <f t="shared" ca="1" si="2"/>
        <v>0</v>
      </c>
      <c r="N40" s="17">
        <f t="shared" si="3"/>
        <v>27425350.500205077</v>
      </c>
      <c r="O40" s="17">
        <f t="shared" si="4"/>
        <v>0</v>
      </c>
      <c r="P40" s="17">
        <f t="shared" si="5"/>
        <v>-1149094.2112539201</v>
      </c>
      <c r="Q40" s="17">
        <f t="shared" ca="1" si="6"/>
        <v>37581511.264704593</v>
      </c>
    </row>
    <row r="41" spans="1:17" x14ac:dyDescent="0.2">
      <c r="A41" s="28">
        <f>'Monthly Data'!A41</f>
        <v>42826</v>
      </c>
      <c r="B41">
        <f>'Monthly Data'!C41</f>
        <v>4</v>
      </c>
      <c r="C41">
        <f>'Monthly Data'!B41</f>
        <v>2017</v>
      </c>
      <c r="D41" s="18">
        <f>'Monthly Data'!F41</f>
        <v>29225148.14688924</v>
      </c>
      <c r="E41" s="10">
        <f t="shared" ref="E41:F41" ca="1" si="34">E29</f>
        <v>291.21791666666667</v>
      </c>
      <c r="F41" s="10">
        <f t="shared" ca="1" si="34"/>
        <v>0</v>
      </c>
      <c r="G41">
        <f>'Monthly Data'!BO41</f>
        <v>30</v>
      </c>
      <c r="H41">
        <f>'Monthly Data'!BS41</f>
        <v>0</v>
      </c>
      <c r="I41">
        <f>'Monthly Data'!BK41</f>
        <v>1</v>
      </c>
      <c r="K41" s="17">
        <f t="shared" si="27"/>
        <v>-1956373.74241439</v>
      </c>
      <c r="L41" s="17">
        <f t="shared" ca="1" si="1"/>
        <v>7271491.4147167243</v>
      </c>
      <c r="M41" s="17">
        <f t="shared" ca="1" si="2"/>
        <v>0</v>
      </c>
      <c r="N41" s="17">
        <f t="shared" si="3"/>
        <v>26540661.774392013</v>
      </c>
      <c r="O41" s="17">
        <f t="shared" si="4"/>
        <v>0</v>
      </c>
      <c r="P41" s="17">
        <f t="shared" si="5"/>
        <v>-1149094.2112539201</v>
      </c>
      <c r="Q41" s="17">
        <f t="shared" ca="1" si="6"/>
        <v>30706685.235440429</v>
      </c>
    </row>
    <row r="42" spans="1:17" x14ac:dyDescent="0.2">
      <c r="A42" s="28">
        <f>'Monthly Data'!A42</f>
        <v>42856</v>
      </c>
      <c r="B42">
        <f>'Monthly Data'!C42</f>
        <v>5</v>
      </c>
      <c r="C42">
        <f>'Monthly Data'!B42</f>
        <v>2017</v>
      </c>
      <c r="D42" s="18">
        <f>'Monthly Data'!F42</f>
        <v>25362616.954719719</v>
      </c>
      <c r="E42" s="10">
        <f t="shared" ref="E42:F42" ca="1" si="35">E30</f>
        <v>76.006595892171191</v>
      </c>
      <c r="F42" s="10">
        <f t="shared" ca="1" si="35"/>
        <v>9.6293749999999996</v>
      </c>
      <c r="G42">
        <f>'Monthly Data'!BO42</f>
        <v>31</v>
      </c>
      <c r="H42">
        <f>'Monthly Data'!BS42</f>
        <v>0</v>
      </c>
      <c r="I42">
        <f>'Monthly Data'!BK42</f>
        <v>1</v>
      </c>
      <c r="K42" s="17">
        <f t="shared" si="27"/>
        <v>-1956373.74241439</v>
      </c>
      <c r="L42" s="17">
        <f t="shared" ca="1" si="1"/>
        <v>1897827.2896731673</v>
      </c>
      <c r="M42" s="17">
        <f t="shared" ca="1" si="2"/>
        <v>507100.96506269928</v>
      </c>
      <c r="N42" s="17">
        <f t="shared" si="3"/>
        <v>27425350.500205077</v>
      </c>
      <c r="O42" s="17">
        <f t="shared" si="4"/>
        <v>0</v>
      </c>
      <c r="P42" s="17">
        <f t="shared" si="5"/>
        <v>-1149094.2112539201</v>
      </c>
      <c r="Q42" s="17">
        <f t="shared" ca="1" si="6"/>
        <v>26724810.801272634</v>
      </c>
    </row>
    <row r="43" spans="1:17" x14ac:dyDescent="0.2">
      <c r="A43" s="28">
        <f>'Monthly Data'!A43</f>
        <v>42887</v>
      </c>
      <c r="B43">
        <f>'Monthly Data'!C43</f>
        <v>6</v>
      </c>
      <c r="C43">
        <f>'Monthly Data'!B43</f>
        <v>2017</v>
      </c>
      <c r="D43" s="18">
        <f>'Monthly Data'!F43</f>
        <v>23651666.519475527</v>
      </c>
      <c r="E43" s="10">
        <f t="shared" ref="E43:F43" ca="1" si="36">E31</f>
        <v>4.2034708921711843</v>
      </c>
      <c r="F43" s="10">
        <f t="shared" ca="1" si="36"/>
        <v>25.077154107828811</v>
      </c>
      <c r="G43">
        <f>'Monthly Data'!BO43</f>
        <v>30</v>
      </c>
      <c r="H43">
        <f>'Monthly Data'!BS43</f>
        <v>0</v>
      </c>
      <c r="I43">
        <f>'Monthly Data'!BK43</f>
        <v>0</v>
      </c>
      <c r="K43" s="17">
        <f t="shared" si="27"/>
        <v>-1956373.74241439</v>
      </c>
      <c r="L43" s="17">
        <f t="shared" ca="1" si="1"/>
        <v>104957.49318686409</v>
      </c>
      <c r="M43" s="17">
        <f t="shared" ca="1" si="2"/>
        <v>1320610.0135373296</v>
      </c>
      <c r="N43" s="17">
        <f t="shared" si="3"/>
        <v>26540661.774392013</v>
      </c>
      <c r="O43" s="17">
        <f t="shared" si="4"/>
        <v>0</v>
      </c>
      <c r="P43" s="17">
        <f t="shared" si="5"/>
        <v>0</v>
      </c>
      <c r="Q43" s="17">
        <f t="shared" ca="1" si="6"/>
        <v>26009855.538701817</v>
      </c>
    </row>
    <row r="44" spans="1:17" x14ac:dyDescent="0.2">
      <c r="A44" s="28">
        <f>'Monthly Data'!A44</f>
        <v>42917</v>
      </c>
      <c r="B44">
        <f>'Monthly Data'!C44</f>
        <v>7</v>
      </c>
      <c r="C44">
        <f>'Monthly Data'!B44</f>
        <v>2017</v>
      </c>
      <c r="D44" s="18">
        <f>'Monthly Data'!F44</f>
        <v>25687567.091892406</v>
      </c>
      <c r="E44" s="10">
        <f t="shared" ref="E44:F44" ca="1" si="37">E32</f>
        <v>0</v>
      </c>
      <c r="F44" s="10">
        <f t="shared" ca="1" si="37"/>
        <v>56.475141548990976</v>
      </c>
      <c r="G44">
        <f>'Monthly Data'!BO44</f>
        <v>31</v>
      </c>
      <c r="H44">
        <f>'Monthly Data'!BS44</f>
        <v>0</v>
      </c>
      <c r="I44">
        <f>'Monthly Data'!BK44</f>
        <v>0</v>
      </c>
      <c r="K44" s="17">
        <f t="shared" si="27"/>
        <v>-1956373.74241439</v>
      </c>
      <c r="L44" s="17">
        <f t="shared" ca="1" si="1"/>
        <v>0</v>
      </c>
      <c r="M44" s="17">
        <f t="shared" ca="1" si="2"/>
        <v>2974086.9767296286</v>
      </c>
      <c r="N44" s="17">
        <f t="shared" si="3"/>
        <v>27425350.500205077</v>
      </c>
      <c r="O44" s="17">
        <f t="shared" si="4"/>
        <v>0</v>
      </c>
      <c r="P44" s="17">
        <f t="shared" si="5"/>
        <v>0</v>
      </c>
      <c r="Q44" s="17">
        <f t="shared" ca="1" si="6"/>
        <v>28443063.734520316</v>
      </c>
    </row>
    <row r="45" spans="1:17" x14ac:dyDescent="0.2">
      <c r="A45" s="28">
        <f>'Monthly Data'!A45</f>
        <v>42948</v>
      </c>
      <c r="B45">
        <f>'Monthly Data'!C45</f>
        <v>8</v>
      </c>
      <c r="C45">
        <f>'Monthly Data'!B45</f>
        <v>2017</v>
      </c>
      <c r="D45" s="18">
        <f>'Monthly Data'!F45</f>
        <v>24822990.21198979</v>
      </c>
      <c r="E45" s="10">
        <f t="shared" ref="E45:F45" ca="1" si="38">E33</f>
        <v>0.73208333333333309</v>
      </c>
      <c r="F45" s="10">
        <f t="shared" ca="1" si="38"/>
        <v>35.296250000000008</v>
      </c>
      <c r="G45">
        <f>'Monthly Data'!BO45</f>
        <v>31</v>
      </c>
      <c r="H45">
        <f>'Monthly Data'!BS45</f>
        <v>0</v>
      </c>
      <c r="I45">
        <f>'Monthly Data'!BK45</f>
        <v>0</v>
      </c>
      <c r="K45" s="17">
        <f t="shared" si="27"/>
        <v>-1956373.74241439</v>
      </c>
      <c r="L45" s="17">
        <f t="shared" ca="1" si="1"/>
        <v>18279.567871793144</v>
      </c>
      <c r="M45" s="17">
        <f t="shared" ca="1" si="2"/>
        <v>1858766.7878854342</v>
      </c>
      <c r="N45" s="17">
        <f t="shared" si="3"/>
        <v>27425350.500205077</v>
      </c>
      <c r="O45" s="17">
        <f t="shared" si="4"/>
        <v>0</v>
      </c>
      <c r="P45" s="17">
        <f t="shared" si="5"/>
        <v>0</v>
      </c>
      <c r="Q45" s="17">
        <f t="shared" ca="1" si="6"/>
        <v>27346023.113547914</v>
      </c>
    </row>
    <row r="46" spans="1:17" x14ac:dyDescent="0.2">
      <c r="A46" s="28">
        <f>'Monthly Data'!A46</f>
        <v>42979</v>
      </c>
      <c r="B46">
        <f>'Monthly Data'!C46</f>
        <v>9</v>
      </c>
      <c r="C46">
        <f>'Monthly Data'!B46</f>
        <v>2017</v>
      </c>
      <c r="D46" s="18">
        <f>'Monthly Data'!F46</f>
        <v>24260809.784453958</v>
      </c>
      <c r="E46" s="10">
        <f t="shared" ref="E46:F46" ca="1" si="39">E34</f>
        <v>26.6509001176757</v>
      </c>
      <c r="F46" s="10">
        <f t="shared" ca="1" si="39"/>
        <v>11.128958333333333</v>
      </c>
      <c r="G46">
        <f>'Monthly Data'!BO46</f>
        <v>30</v>
      </c>
      <c r="H46">
        <f>'Monthly Data'!BS46</f>
        <v>0</v>
      </c>
      <c r="I46">
        <f>'Monthly Data'!BK46</f>
        <v>1</v>
      </c>
      <c r="K46" s="17">
        <f t="shared" si="27"/>
        <v>-1956373.74241439</v>
      </c>
      <c r="L46" s="17">
        <f t="shared" ca="1" si="1"/>
        <v>665452.84582187783</v>
      </c>
      <c r="M46" s="17">
        <f t="shared" ca="1" si="2"/>
        <v>586071.83861630713</v>
      </c>
      <c r="N46" s="17">
        <f t="shared" si="3"/>
        <v>26540661.774392013</v>
      </c>
      <c r="O46" s="17">
        <f t="shared" si="4"/>
        <v>0</v>
      </c>
      <c r="P46" s="17">
        <f t="shared" si="5"/>
        <v>-1149094.2112539201</v>
      </c>
      <c r="Q46" s="17">
        <f t="shared" ca="1" si="6"/>
        <v>24686718.505161889</v>
      </c>
    </row>
    <row r="47" spans="1:17" x14ac:dyDescent="0.2">
      <c r="A47" s="28">
        <f>'Monthly Data'!A47</f>
        <v>43009</v>
      </c>
      <c r="B47">
        <f>'Monthly Data'!C47</f>
        <v>10</v>
      </c>
      <c r="C47">
        <f>'Monthly Data'!B47</f>
        <v>2017</v>
      </c>
      <c r="D47" s="18">
        <f>'Monthly Data'!F47</f>
        <v>26789305.491885893</v>
      </c>
      <c r="E47" s="10">
        <f t="shared" ref="E47:F47" ca="1" si="40">E35</f>
        <v>177.51367324027484</v>
      </c>
      <c r="F47" s="10">
        <f t="shared" ca="1" si="40"/>
        <v>0.44687499999999963</v>
      </c>
      <c r="G47">
        <f>'Monthly Data'!BO47</f>
        <v>31</v>
      </c>
      <c r="H47">
        <f>'Monthly Data'!BS47</f>
        <v>0</v>
      </c>
      <c r="I47">
        <f>'Monthly Data'!BK47</f>
        <v>1</v>
      </c>
      <c r="K47" s="17">
        <f t="shared" si="27"/>
        <v>-1956373.74241439</v>
      </c>
      <c r="L47" s="17">
        <f t="shared" ca="1" si="1"/>
        <v>4432382.3401255533</v>
      </c>
      <c r="M47" s="17">
        <f t="shared" ca="1" si="2"/>
        <v>23533.276434077346</v>
      </c>
      <c r="N47" s="17">
        <f t="shared" si="3"/>
        <v>27425350.500205077</v>
      </c>
      <c r="O47" s="17">
        <f t="shared" si="4"/>
        <v>0</v>
      </c>
      <c r="P47" s="17">
        <f t="shared" si="5"/>
        <v>-1149094.2112539201</v>
      </c>
      <c r="Q47" s="17">
        <f t="shared" ca="1" si="6"/>
        <v>28775798.163096398</v>
      </c>
    </row>
    <row r="48" spans="1:17" x14ac:dyDescent="0.2">
      <c r="A48" s="28">
        <f>'Monthly Data'!A48</f>
        <v>43040</v>
      </c>
      <c r="B48">
        <f>'Monthly Data'!C48</f>
        <v>11</v>
      </c>
      <c r="C48">
        <f>'Monthly Data'!B48</f>
        <v>2017</v>
      </c>
      <c r="D48" s="18">
        <f>'Monthly Data'!F48</f>
        <v>33472091.689021043</v>
      </c>
      <c r="E48" s="10">
        <f t="shared" ref="E48:F48" ca="1" si="41">E36</f>
        <v>390.8187460098469</v>
      </c>
      <c r="F48" s="10">
        <f t="shared" ca="1" si="41"/>
        <v>0</v>
      </c>
      <c r="G48">
        <f>'Monthly Data'!BO48</f>
        <v>30</v>
      </c>
      <c r="H48">
        <f>'Monthly Data'!BS48</f>
        <v>0</v>
      </c>
      <c r="I48">
        <f>'Monthly Data'!BK48</f>
        <v>1</v>
      </c>
      <c r="K48" s="17">
        <f t="shared" si="27"/>
        <v>-1956373.74241439</v>
      </c>
      <c r="L48" s="17">
        <f t="shared" ca="1" si="1"/>
        <v>9758448.8923247606</v>
      </c>
      <c r="M48" s="17">
        <f t="shared" ca="1" si="2"/>
        <v>0</v>
      </c>
      <c r="N48" s="17">
        <f t="shared" si="3"/>
        <v>26540661.774392013</v>
      </c>
      <c r="O48" s="17">
        <f t="shared" si="4"/>
        <v>0</v>
      </c>
      <c r="P48" s="17">
        <f t="shared" si="5"/>
        <v>-1149094.2112539201</v>
      </c>
      <c r="Q48" s="17">
        <f t="shared" ca="1" si="6"/>
        <v>33193642.713048466</v>
      </c>
    </row>
    <row r="49" spans="1:17" x14ac:dyDescent="0.2">
      <c r="A49" s="28">
        <f>'Monthly Data'!A49</f>
        <v>43070</v>
      </c>
      <c r="B49">
        <f>'Monthly Data'!C49</f>
        <v>12</v>
      </c>
      <c r="C49">
        <f>'Monthly Data'!B49</f>
        <v>2017</v>
      </c>
      <c r="D49" s="18">
        <f>'Monthly Data'!F49</f>
        <v>44424054.277723424</v>
      </c>
      <c r="E49" s="10">
        <f t="shared" ref="E49:F49" ca="1" si="42">E37</f>
        <v>570.62936502461719</v>
      </c>
      <c r="F49" s="10">
        <f t="shared" ca="1" si="42"/>
        <v>0</v>
      </c>
      <c r="G49">
        <f>'Monthly Data'!BO49</f>
        <v>31</v>
      </c>
      <c r="H49">
        <f>'Monthly Data'!BS49</f>
        <v>0</v>
      </c>
      <c r="I49">
        <f>'Monthly Data'!BK49</f>
        <v>0</v>
      </c>
      <c r="K49" s="17">
        <f t="shared" si="27"/>
        <v>-1956373.74241439</v>
      </c>
      <c r="L49" s="17">
        <f t="shared" ca="1" si="1"/>
        <v>14248184.233496714</v>
      </c>
      <c r="M49" s="17">
        <f t="shared" ca="1" si="2"/>
        <v>0</v>
      </c>
      <c r="N49" s="17">
        <f t="shared" si="3"/>
        <v>27425350.500205077</v>
      </c>
      <c r="O49" s="17">
        <f t="shared" si="4"/>
        <v>0</v>
      </c>
      <c r="P49" s="17">
        <f t="shared" si="5"/>
        <v>0</v>
      </c>
      <c r="Q49" s="17">
        <f t="shared" ca="1" si="6"/>
        <v>39717160.991287403</v>
      </c>
    </row>
    <row r="50" spans="1:17" x14ac:dyDescent="0.2">
      <c r="A50" s="28">
        <f>'Monthly Data'!A50</f>
        <v>43101</v>
      </c>
      <c r="B50">
        <f>'Monthly Data'!C50</f>
        <v>1</v>
      </c>
      <c r="C50">
        <f>'Monthly Data'!B50</f>
        <v>2018</v>
      </c>
      <c r="D50" s="18">
        <f>'Monthly Data'!F50</f>
        <v>45520581.955199547</v>
      </c>
      <c r="E50" s="10">
        <f t="shared" ref="E50:F50" ca="1" si="43">E38</f>
        <v>728.68367523535153</v>
      </c>
      <c r="F50" s="10">
        <f t="shared" ca="1" si="43"/>
        <v>0</v>
      </c>
      <c r="G50">
        <f>'Monthly Data'!BO50</f>
        <v>31</v>
      </c>
      <c r="H50">
        <f>'Monthly Data'!BS50</f>
        <v>0</v>
      </c>
      <c r="I50">
        <f>'Monthly Data'!BK50</f>
        <v>0</v>
      </c>
      <c r="K50" s="17">
        <f t="shared" si="27"/>
        <v>-1956373.74241439</v>
      </c>
      <c r="L50" s="17">
        <f t="shared" ca="1" si="1"/>
        <v>18194680.976936534</v>
      </c>
      <c r="M50" s="17">
        <f t="shared" ca="1" si="2"/>
        <v>0</v>
      </c>
      <c r="N50" s="17">
        <f t="shared" si="3"/>
        <v>27425350.500205077</v>
      </c>
      <c r="O50" s="17">
        <f t="shared" si="4"/>
        <v>0</v>
      </c>
      <c r="P50" s="17">
        <f t="shared" si="5"/>
        <v>0</v>
      </c>
      <c r="Q50" s="17">
        <f t="shared" ca="1" si="6"/>
        <v>43663657.734727219</v>
      </c>
    </row>
    <row r="51" spans="1:17" x14ac:dyDescent="0.2">
      <c r="A51" s="28">
        <f>'Monthly Data'!A51</f>
        <v>43132</v>
      </c>
      <c r="B51">
        <f>'Monthly Data'!C51</f>
        <v>2</v>
      </c>
      <c r="C51">
        <f>'Monthly Data'!B51</f>
        <v>2018</v>
      </c>
      <c r="D51" s="18">
        <f>'Monthly Data'!F51</f>
        <v>37472089.839686185</v>
      </c>
      <c r="E51" s="10">
        <f t="shared" ref="E51:F51" ca="1" si="44">E39</f>
        <v>655.75083333333328</v>
      </c>
      <c r="F51" s="10">
        <f t="shared" ca="1" si="44"/>
        <v>0</v>
      </c>
      <c r="G51">
        <f>'Monthly Data'!BO51</f>
        <v>28</v>
      </c>
      <c r="H51">
        <f>'Monthly Data'!BS51</f>
        <v>0</v>
      </c>
      <c r="I51">
        <f>'Monthly Data'!BK51</f>
        <v>0</v>
      </c>
      <c r="K51" s="17">
        <f t="shared" si="27"/>
        <v>-1956373.74241439</v>
      </c>
      <c r="L51" s="17">
        <f t="shared" ca="1" si="1"/>
        <v>16373603.002711328</v>
      </c>
      <c r="M51" s="17">
        <f t="shared" ca="1" si="2"/>
        <v>0</v>
      </c>
      <c r="N51" s="17">
        <f t="shared" si="3"/>
        <v>24771284.322765879</v>
      </c>
      <c r="O51" s="17">
        <f t="shared" si="4"/>
        <v>0</v>
      </c>
      <c r="P51" s="17">
        <f t="shared" si="5"/>
        <v>0</v>
      </c>
      <c r="Q51" s="17">
        <f t="shared" ca="1" si="6"/>
        <v>39188513.583062813</v>
      </c>
    </row>
    <row r="52" spans="1:17" x14ac:dyDescent="0.2">
      <c r="A52" s="28">
        <f>'Monthly Data'!A52</f>
        <v>43160</v>
      </c>
      <c r="B52">
        <f>'Monthly Data'!C52</f>
        <v>3</v>
      </c>
      <c r="C52">
        <f>'Monthly Data'!B52</f>
        <v>2018</v>
      </c>
      <c r="D52" s="18">
        <f>'Monthly Data'!F52</f>
        <v>36600167.801154256</v>
      </c>
      <c r="E52" s="10">
        <f t="shared" ref="E52:F52" ca="1" si="45">E40</f>
        <v>531.1185376765136</v>
      </c>
      <c r="F52" s="10">
        <f t="shared" ca="1" si="45"/>
        <v>0</v>
      </c>
      <c r="G52">
        <f>'Monthly Data'!BO52</f>
        <v>31</v>
      </c>
      <c r="H52">
        <f>'Monthly Data'!BS52</f>
        <v>0</v>
      </c>
      <c r="I52">
        <f>'Monthly Data'!BK52</f>
        <v>1</v>
      </c>
      <c r="K52" s="17">
        <f t="shared" si="27"/>
        <v>-1956373.74241439</v>
      </c>
      <c r="L52" s="17">
        <f t="shared" ca="1" si="1"/>
        <v>13261628.718167821</v>
      </c>
      <c r="M52" s="17">
        <f t="shared" ca="1" si="2"/>
        <v>0</v>
      </c>
      <c r="N52" s="17">
        <f t="shared" si="3"/>
        <v>27425350.500205077</v>
      </c>
      <c r="O52" s="17">
        <f t="shared" si="4"/>
        <v>0</v>
      </c>
      <c r="P52" s="17">
        <f t="shared" si="5"/>
        <v>-1149094.2112539201</v>
      </c>
      <c r="Q52" s="17">
        <f t="shared" ca="1" si="6"/>
        <v>37581511.264704593</v>
      </c>
    </row>
    <row r="53" spans="1:17" x14ac:dyDescent="0.2">
      <c r="A53" s="28">
        <f>'Monthly Data'!A53</f>
        <v>43191</v>
      </c>
      <c r="B53">
        <f>'Monthly Data'!C53</f>
        <v>4</v>
      </c>
      <c r="C53">
        <f>'Monthly Data'!B53</f>
        <v>2018</v>
      </c>
      <c r="D53" s="18">
        <f>'Monthly Data'!F53</f>
        <v>31766180.561929934</v>
      </c>
      <c r="E53" s="10">
        <f t="shared" ref="E53:F53" ca="1" si="46">E41</f>
        <v>291.21791666666667</v>
      </c>
      <c r="F53" s="10">
        <f t="shared" ca="1" si="46"/>
        <v>0</v>
      </c>
      <c r="G53">
        <f>'Monthly Data'!BO53</f>
        <v>30</v>
      </c>
      <c r="H53">
        <f>'Monthly Data'!BS53</f>
        <v>0</v>
      </c>
      <c r="I53">
        <f>'Monthly Data'!BK53</f>
        <v>1</v>
      </c>
      <c r="K53" s="17">
        <f t="shared" si="27"/>
        <v>-1956373.74241439</v>
      </c>
      <c r="L53" s="17">
        <f t="shared" ca="1" si="1"/>
        <v>7271491.4147167243</v>
      </c>
      <c r="M53" s="17">
        <f t="shared" ca="1" si="2"/>
        <v>0</v>
      </c>
      <c r="N53" s="17">
        <f t="shared" si="3"/>
        <v>26540661.774392013</v>
      </c>
      <c r="O53" s="17">
        <f t="shared" si="4"/>
        <v>0</v>
      </c>
      <c r="P53" s="17">
        <f t="shared" si="5"/>
        <v>-1149094.2112539201</v>
      </c>
      <c r="Q53" s="17">
        <f t="shared" ca="1" si="6"/>
        <v>30706685.235440429</v>
      </c>
    </row>
    <row r="54" spans="1:17" x14ac:dyDescent="0.2">
      <c r="A54" s="28">
        <f>'Monthly Data'!A54</f>
        <v>43221</v>
      </c>
      <c r="B54">
        <f>'Monthly Data'!C54</f>
        <v>5</v>
      </c>
      <c r="C54">
        <f>'Monthly Data'!B54</f>
        <v>2018</v>
      </c>
      <c r="D54" s="18">
        <f>'Monthly Data'!F54</f>
        <v>26041589.172468107</v>
      </c>
      <c r="E54" s="10">
        <f t="shared" ref="E54:F54" ca="1" si="47">E42</f>
        <v>76.006595892171191</v>
      </c>
      <c r="F54" s="10">
        <f t="shared" ca="1" si="47"/>
        <v>9.6293749999999996</v>
      </c>
      <c r="G54">
        <f>'Monthly Data'!BO54</f>
        <v>31</v>
      </c>
      <c r="H54">
        <f>'Monthly Data'!BS54</f>
        <v>0</v>
      </c>
      <c r="I54">
        <f>'Monthly Data'!BK54</f>
        <v>1</v>
      </c>
      <c r="K54" s="17">
        <f t="shared" si="27"/>
        <v>-1956373.74241439</v>
      </c>
      <c r="L54" s="17">
        <f t="shared" ca="1" si="1"/>
        <v>1897827.2896731673</v>
      </c>
      <c r="M54" s="17">
        <f t="shared" ca="1" si="2"/>
        <v>507100.96506269928</v>
      </c>
      <c r="N54" s="17">
        <f t="shared" si="3"/>
        <v>27425350.500205077</v>
      </c>
      <c r="O54" s="17">
        <f t="shared" si="4"/>
        <v>0</v>
      </c>
      <c r="P54" s="17">
        <f t="shared" si="5"/>
        <v>-1149094.2112539201</v>
      </c>
      <c r="Q54" s="17">
        <f t="shared" ca="1" si="6"/>
        <v>26724810.801272634</v>
      </c>
    </row>
    <row r="55" spans="1:17" x14ac:dyDescent="0.2">
      <c r="A55" s="28">
        <f>'Monthly Data'!A55</f>
        <v>43252</v>
      </c>
      <c r="B55">
        <f>'Monthly Data'!C55</f>
        <v>6</v>
      </c>
      <c r="C55">
        <f>'Monthly Data'!B55</f>
        <v>2018</v>
      </c>
      <c r="D55" s="18">
        <f>'Monthly Data'!F55</f>
        <v>26204691.073098194</v>
      </c>
      <c r="E55" s="10">
        <f t="shared" ref="E55:F55" ca="1" si="48">E43</f>
        <v>4.2034708921711843</v>
      </c>
      <c r="F55" s="10">
        <f t="shared" ca="1" si="48"/>
        <v>25.077154107828811</v>
      </c>
      <c r="G55">
        <f>'Monthly Data'!BO55</f>
        <v>30</v>
      </c>
      <c r="H55">
        <f>'Monthly Data'!BS55</f>
        <v>0</v>
      </c>
      <c r="I55">
        <f>'Monthly Data'!BK55</f>
        <v>0</v>
      </c>
      <c r="K55" s="17">
        <f t="shared" si="27"/>
        <v>-1956373.74241439</v>
      </c>
      <c r="L55" s="17">
        <f t="shared" ca="1" si="1"/>
        <v>104957.49318686409</v>
      </c>
      <c r="M55" s="17">
        <f t="shared" ca="1" si="2"/>
        <v>1320610.0135373296</v>
      </c>
      <c r="N55" s="17">
        <f t="shared" si="3"/>
        <v>26540661.774392013</v>
      </c>
      <c r="O55" s="17">
        <f t="shared" si="4"/>
        <v>0</v>
      </c>
      <c r="P55" s="17">
        <f t="shared" si="5"/>
        <v>0</v>
      </c>
      <c r="Q55" s="17">
        <f t="shared" ca="1" si="6"/>
        <v>26009855.538701817</v>
      </c>
    </row>
    <row r="56" spans="1:17" x14ac:dyDescent="0.2">
      <c r="A56" s="28">
        <f>'Monthly Data'!A56</f>
        <v>43282</v>
      </c>
      <c r="B56">
        <f>'Monthly Data'!C56</f>
        <v>7</v>
      </c>
      <c r="C56">
        <f>'Monthly Data'!B56</f>
        <v>2018</v>
      </c>
      <c r="D56" s="18">
        <f>'Monthly Data'!F56</f>
        <v>29942956.550238851</v>
      </c>
      <c r="E56" s="10">
        <f t="shared" ref="E56:F56" ca="1" si="49">E44</f>
        <v>0</v>
      </c>
      <c r="F56" s="10">
        <f t="shared" ca="1" si="49"/>
        <v>56.475141548990976</v>
      </c>
      <c r="G56">
        <f>'Monthly Data'!BO56</f>
        <v>31</v>
      </c>
      <c r="H56">
        <f>'Monthly Data'!BS56</f>
        <v>0</v>
      </c>
      <c r="I56">
        <f>'Monthly Data'!BK56</f>
        <v>0</v>
      </c>
      <c r="K56" s="17">
        <f t="shared" si="27"/>
        <v>-1956373.74241439</v>
      </c>
      <c r="L56" s="17">
        <f t="shared" ca="1" si="1"/>
        <v>0</v>
      </c>
      <c r="M56" s="17">
        <f t="shared" ca="1" si="2"/>
        <v>2974086.9767296286</v>
      </c>
      <c r="N56" s="17">
        <f t="shared" si="3"/>
        <v>27425350.500205077</v>
      </c>
      <c r="O56" s="17">
        <f t="shared" si="4"/>
        <v>0</v>
      </c>
      <c r="P56" s="17">
        <f t="shared" si="5"/>
        <v>0</v>
      </c>
      <c r="Q56" s="17">
        <f t="shared" ca="1" si="6"/>
        <v>28443063.734520316</v>
      </c>
    </row>
    <row r="57" spans="1:17" x14ac:dyDescent="0.2">
      <c r="A57" s="28">
        <f>'Monthly Data'!A57</f>
        <v>43313</v>
      </c>
      <c r="B57">
        <f>'Monthly Data'!C57</f>
        <v>8</v>
      </c>
      <c r="C57">
        <f>'Monthly Data'!B57</f>
        <v>2018</v>
      </c>
      <c r="D57" s="18">
        <f>'Monthly Data'!F57</f>
        <v>28759316.024186172</v>
      </c>
      <c r="E57" s="10">
        <f t="shared" ref="E57:F57" ca="1" si="50">E45</f>
        <v>0.73208333333333309</v>
      </c>
      <c r="F57" s="10">
        <f t="shared" ca="1" si="50"/>
        <v>35.296250000000008</v>
      </c>
      <c r="G57">
        <f>'Monthly Data'!BO57</f>
        <v>31</v>
      </c>
      <c r="H57">
        <f>'Monthly Data'!BS57</f>
        <v>0</v>
      </c>
      <c r="I57">
        <f>'Monthly Data'!BK57</f>
        <v>0</v>
      </c>
      <c r="K57" s="17">
        <f t="shared" si="27"/>
        <v>-1956373.74241439</v>
      </c>
      <c r="L57" s="17">
        <f t="shared" ca="1" si="1"/>
        <v>18279.567871793144</v>
      </c>
      <c r="M57" s="17">
        <f t="shared" ca="1" si="2"/>
        <v>1858766.7878854342</v>
      </c>
      <c r="N57" s="17">
        <f t="shared" si="3"/>
        <v>27425350.500205077</v>
      </c>
      <c r="O57" s="17">
        <f t="shared" si="4"/>
        <v>0</v>
      </c>
      <c r="P57" s="17">
        <f t="shared" si="5"/>
        <v>0</v>
      </c>
      <c r="Q57" s="17">
        <f t="shared" ca="1" si="6"/>
        <v>27346023.113547914</v>
      </c>
    </row>
    <row r="58" spans="1:17" x14ac:dyDescent="0.2">
      <c r="A58" s="28">
        <f>'Monthly Data'!A58</f>
        <v>43344</v>
      </c>
      <c r="B58">
        <f>'Monthly Data'!C58</f>
        <v>9</v>
      </c>
      <c r="C58">
        <f>'Monthly Data'!B58</f>
        <v>2018</v>
      </c>
      <c r="D58" s="18">
        <f>'Monthly Data'!F58</f>
        <v>25634956.45174019</v>
      </c>
      <c r="E58" s="10">
        <f t="shared" ref="E58:F58" ca="1" si="51">E46</f>
        <v>26.6509001176757</v>
      </c>
      <c r="F58" s="10">
        <f t="shared" ca="1" si="51"/>
        <v>11.128958333333333</v>
      </c>
      <c r="G58">
        <f>'Monthly Data'!BO58</f>
        <v>30</v>
      </c>
      <c r="H58">
        <f>'Monthly Data'!BS58</f>
        <v>0</v>
      </c>
      <c r="I58">
        <f>'Monthly Data'!BK58</f>
        <v>1</v>
      </c>
      <c r="K58" s="17">
        <f t="shared" si="27"/>
        <v>-1956373.74241439</v>
      </c>
      <c r="L58" s="17">
        <f t="shared" ca="1" si="1"/>
        <v>665452.84582187783</v>
      </c>
      <c r="M58" s="17">
        <f t="shared" ca="1" si="2"/>
        <v>586071.83861630713</v>
      </c>
      <c r="N58" s="17">
        <f t="shared" si="3"/>
        <v>26540661.774392013</v>
      </c>
      <c r="O58" s="17">
        <f t="shared" si="4"/>
        <v>0</v>
      </c>
      <c r="P58" s="17">
        <f t="shared" si="5"/>
        <v>-1149094.2112539201</v>
      </c>
      <c r="Q58" s="17">
        <f t="shared" ca="1" si="6"/>
        <v>24686718.505161889</v>
      </c>
    </row>
    <row r="59" spans="1:17" x14ac:dyDescent="0.2">
      <c r="A59" s="28">
        <f>'Monthly Data'!A59</f>
        <v>43374</v>
      </c>
      <c r="B59">
        <f>'Monthly Data'!C59</f>
        <v>10</v>
      </c>
      <c r="C59">
        <f>'Monthly Data'!B59</f>
        <v>2018</v>
      </c>
      <c r="D59" s="18">
        <f>'Monthly Data'!F59</f>
        <v>29875577.738693967</v>
      </c>
      <c r="E59" s="10">
        <f t="shared" ref="E59:F59" ca="1" si="52">E47</f>
        <v>177.51367324027484</v>
      </c>
      <c r="F59" s="10">
        <f t="shared" ca="1" si="52"/>
        <v>0.44687499999999963</v>
      </c>
      <c r="G59">
        <f>'Monthly Data'!BO59</f>
        <v>31</v>
      </c>
      <c r="H59">
        <f>'Monthly Data'!BS59</f>
        <v>0</v>
      </c>
      <c r="I59">
        <f>'Monthly Data'!BK59</f>
        <v>1</v>
      </c>
      <c r="K59" s="17">
        <f t="shared" si="27"/>
        <v>-1956373.74241439</v>
      </c>
      <c r="L59" s="17">
        <f t="shared" ca="1" si="1"/>
        <v>4432382.3401255533</v>
      </c>
      <c r="M59" s="17">
        <f t="shared" ca="1" si="2"/>
        <v>23533.276434077346</v>
      </c>
      <c r="N59" s="17">
        <f t="shared" si="3"/>
        <v>27425350.500205077</v>
      </c>
      <c r="O59" s="17">
        <f t="shared" si="4"/>
        <v>0</v>
      </c>
      <c r="P59" s="17">
        <f t="shared" si="5"/>
        <v>-1149094.2112539201</v>
      </c>
      <c r="Q59" s="17">
        <f t="shared" ca="1" si="6"/>
        <v>28775798.163096398</v>
      </c>
    </row>
    <row r="60" spans="1:17" x14ac:dyDescent="0.2">
      <c r="A60" s="28">
        <f>'Monthly Data'!A60</f>
        <v>43405</v>
      </c>
      <c r="B60">
        <f>'Monthly Data'!C60</f>
        <v>11</v>
      </c>
      <c r="C60">
        <f>'Monthly Data'!B60</f>
        <v>2018</v>
      </c>
      <c r="D60" s="18">
        <f>'Monthly Data'!F60</f>
        <v>35543400.996821858</v>
      </c>
      <c r="E60" s="10">
        <f t="shared" ref="E60:F60" ca="1" si="53">E48</f>
        <v>390.8187460098469</v>
      </c>
      <c r="F60" s="10">
        <f t="shared" ca="1" si="53"/>
        <v>0</v>
      </c>
      <c r="G60">
        <f>'Monthly Data'!BO60</f>
        <v>30</v>
      </c>
      <c r="H60">
        <f>'Monthly Data'!BS60</f>
        <v>0</v>
      </c>
      <c r="I60">
        <f>'Monthly Data'!BK60</f>
        <v>1</v>
      </c>
      <c r="K60" s="17">
        <f t="shared" si="27"/>
        <v>-1956373.74241439</v>
      </c>
      <c r="L60" s="17">
        <f t="shared" ca="1" si="1"/>
        <v>9758448.8923247606</v>
      </c>
      <c r="M60" s="17">
        <f t="shared" ca="1" si="2"/>
        <v>0</v>
      </c>
      <c r="N60" s="17">
        <f t="shared" si="3"/>
        <v>26540661.774392013</v>
      </c>
      <c r="O60" s="17">
        <f t="shared" si="4"/>
        <v>0</v>
      </c>
      <c r="P60" s="17">
        <f t="shared" si="5"/>
        <v>-1149094.2112539201</v>
      </c>
      <c r="Q60" s="17">
        <f t="shared" ca="1" si="6"/>
        <v>33193642.713048466</v>
      </c>
    </row>
    <row r="61" spans="1:17" x14ac:dyDescent="0.2">
      <c r="A61" s="28">
        <f>'Monthly Data'!A61</f>
        <v>43435</v>
      </c>
      <c r="B61">
        <f>'Monthly Data'!C61</f>
        <v>12</v>
      </c>
      <c r="C61">
        <f>'Monthly Data'!B61</f>
        <v>2018</v>
      </c>
      <c r="D61" s="18">
        <f>'Monthly Data'!F61</f>
        <v>41267204.336152174</v>
      </c>
      <c r="E61" s="10">
        <f t="shared" ref="E61:F61" ca="1" si="54">E49</f>
        <v>570.62936502461719</v>
      </c>
      <c r="F61" s="10">
        <f t="shared" ca="1" si="54"/>
        <v>0</v>
      </c>
      <c r="G61">
        <f>'Monthly Data'!BO61</f>
        <v>31</v>
      </c>
      <c r="H61">
        <f>'Monthly Data'!BS61</f>
        <v>0</v>
      </c>
      <c r="I61">
        <f>'Monthly Data'!BK61</f>
        <v>0</v>
      </c>
      <c r="K61" s="17">
        <f t="shared" si="27"/>
        <v>-1956373.74241439</v>
      </c>
      <c r="L61" s="17">
        <f t="shared" ca="1" si="1"/>
        <v>14248184.233496714</v>
      </c>
      <c r="M61" s="17">
        <f t="shared" ca="1" si="2"/>
        <v>0</v>
      </c>
      <c r="N61" s="17">
        <f t="shared" si="3"/>
        <v>27425350.500205077</v>
      </c>
      <c r="O61" s="17">
        <f t="shared" si="4"/>
        <v>0</v>
      </c>
      <c r="P61" s="17">
        <f t="shared" si="5"/>
        <v>0</v>
      </c>
      <c r="Q61" s="17">
        <f t="shared" ca="1" si="6"/>
        <v>39717160.991287403</v>
      </c>
    </row>
    <row r="62" spans="1:17" x14ac:dyDescent="0.2">
      <c r="A62" s="28">
        <f>'Monthly Data'!A62</f>
        <v>43466</v>
      </c>
      <c r="B62">
        <f>'Monthly Data'!C62</f>
        <v>1</v>
      </c>
      <c r="C62">
        <f>'Monthly Data'!B62</f>
        <v>2019</v>
      </c>
      <c r="D62" s="18">
        <f>'Monthly Data'!F62</f>
        <v>46349988.259634361</v>
      </c>
      <c r="E62" s="10">
        <f t="shared" ref="E62:F62" ca="1" si="55">E50</f>
        <v>728.68367523535153</v>
      </c>
      <c r="F62" s="10">
        <f t="shared" ca="1" si="55"/>
        <v>0</v>
      </c>
      <c r="G62">
        <f>'Monthly Data'!BO62</f>
        <v>31</v>
      </c>
      <c r="H62">
        <f>'Monthly Data'!BS62</f>
        <v>0</v>
      </c>
      <c r="I62">
        <f>'Monthly Data'!BK62</f>
        <v>0</v>
      </c>
      <c r="K62" s="17">
        <f t="shared" si="27"/>
        <v>-1956373.74241439</v>
      </c>
      <c r="L62" s="17">
        <f t="shared" ca="1" si="1"/>
        <v>18194680.976936534</v>
      </c>
      <c r="M62" s="17">
        <f t="shared" ca="1" si="2"/>
        <v>0</v>
      </c>
      <c r="N62" s="17">
        <f t="shared" si="3"/>
        <v>27425350.500205077</v>
      </c>
      <c r="O62" s="17">
        <f t="shared" si="4"/>
        <v>0</v>
      </c>
      <c r="P62" s="17">
        <f t="shared" si="5"/>
        <v>0</v>
      </c>
      <c r="Q62" s="17">
        <f t="shared" ca="1" si="6"/>
        <v>43663657.734727219</v>
      </c>
    </row>
    <row r="63" spans="1:17" x14ac:dyDescent="0.2">
      <c r="A63" s="28">
        <f>'Monthly Data'!A63</f>
        <v>43497</v>
      </c>
      <c r="B63">
        <f>'Monthly Data'!C63</f>
        <v>2</v>
      </c>
      <c r="C63">
        <f>'Monthly Data'!B63</f>
        <v>2019</v>
      </c>
      <c r="D63" s="18">
        <f>'Monthly Data'!F63</f>
        <v>40264271.143208794</v>
      </c>
      <c r="E63" s="10">
        <f t="shared" ref="E63:F63" ca="1" si="56">E51</f>
        <v>655.75083333333328</v>
      </c>
      <c r="F63" s="10">
        <f t="shared" ca="1" si="56"/>
        <v>0</v>
      </c>
      <c r="G63">
        <f>'Monthly Data'!BO63</f>
        <v>28</v>
      </c>
      <c r="H63">
        <f>'Monthly Data'!BS63</f>
        <v>0</v>
      </c>
      <c r="I63">
        <f>'Monthly Data'!BK63</f>
        <v>0</v>
      </c>
      <c r="K63" s="17">
        <f t="shared" si="27"/>
        <v>-1956373.74241439</v>
      </c>
      <c r="L63" s="17">
        <f t="shared" ca="1" si="1"/>
        <v>16373603.002711328</v>
      </c>
      <c r="M63" s="17">
        <f t="shared" ca="1" si="2"/>
        <v>0</v>
      </c>
      <c r="N63" s="17">
        <f t="shared" si="3"/>
        <v>24771284.322765879</v>
      </c>
      <c r="O63" s="17">
        <f t="shared" si="4"/>
        <v>0</v>
      </c>
      <c r="P63" s="17">
        <f t="shared" si="5"/>
        <v>0</v>
      </c>
      <c r="Q63" s="17">
        <f t="shared" ca="1" si="6"/>
        <v>39188513.583062813</v>
      </c>
    </row>
    <row r="64" spans="1:17" x14ac:dyDescent="0.2">
      <c r="A64" s="28">
        <f>'Monthly Data'!A64</f>
        <v>43525</v>
      </c>
      <c r="B64">
        <f>'Monthly Data'!C64</f>
        <v>3</v>
      </c>
      <c r="C64">
        <f>'Monthly Data'!B64</f>
        <v>2019</v>
      </c>
      <c r="D64" s="18">
        <f>'Monthly Data'!F64</f>
        <v>38046077.156783223</v>
      </c>
      <c r="E64" s="10">
        <f t="shared" ref="E64:F64" ca="1" si="57">E52</f>
        <v>531.1185376765136</v>
      </c>
      <c r="F64" s="10">
        <f t="shared" ca="1" si="57"/>
        <v>0</v>
      </c>
      <c r="G64">
        <f>'Monthly Data'!BO64</f>
        <v>31</v>
      </c>
      <c r="H64">
        <f>'Monthly Data'!BS64</f>
        <v>0</v>
      </c>
      <c r="I64">
        <f>'Monthly Data'!BK64</f>
        <v>1</v>
      </c>
      <c r="K64" s="17">
        <f t="shared" si="27"/>
        <v>-1956373.74241439</v>
      </c>
      <c r="L64" s="17">
        <f t="shared" ca="1" si="1"/>
        <v>13261628.718167821</v>
      </c>
      <c r="M64" s="17">
        <f t="shared" ca="1" si="2"/>
        <v>0</v>
      </c>
      <c r="N64" s="17">
        <f t="shared" si="3"/>
        <v>27425350.500205077</v>
      </c>
      <c r="O64" s="17">
        <f t="shared" si="4"/>
        <v>0</v>
      </c>
      <c r="P64" s="17">
        <f t="shared" si="5"/>
        <v>-1149094.2112539201</v>
      </c>
      <c r="Q64" s="17">
        <f t="shared" ca="1" si="6"/>
        <v>37581511.264704593</v>
      </c>
    </row>
    <row r="65" spans="1:17" x14ac:dyDescent="0.2">
      <c r="A65" s="28">
        <f>'Monthly Data'!A65</f>
        <v>43556</v>
      </c>
      <c r="B65">
        <f>'Monthly Data'!C65</f>
        <v>4</v>
      </c>
      <c r="C65">
        <f>'Monthly Data'!B65</f>
        <v>2019</v>
      </c>
      <c r="D65" s="18">
        <f>'Monthly Data'!F65</f>
        <v>31820714.450357649</v>
      </c>
      <c r="E65" s="10">
        <f t="shared" ref="E65:F65" ca="1" si="58">E53</f>
        <v>291.21791666666667</v>
      </c>
      <c r="F65" s="10">
        <f t="shared" ca="1" si="58"/>
        <v>0</v>
      </c>
      <c r="G65">
        <f>'Monthly Data'!BO65</f>
        <v>30</v>
      </c>
      <c r="H65">
        <f>'Monthly Data'!BS65</f>
        <v>0</v>
      </c>
      <c r="I65">
        <f>'Monthly Data'!BK65</f>
        <v>1</v>
      </c>
      <c r="K65" s="17">
        <f t="shared" si="27"/>
        <v>-1956373.74241439</v>
      </c>
      <c r="L65" s="17">
        <f t="shared" ca="1" si="1"/>
        <v>7271491.4147167243</v>
      </c>
      <c r="M65" s="17">
        <f t="shared" ca="1" si="2"/>
        <v>0</v>
      </c>
      <c r="N65" s="17">
        <f t="shared" si="3"/>
        <v>26540661.774392013</v>
      </c>
      <c r="O65" s="17">
        <f t="shared" si="4"/>
        <v>0</v>
      </c>
      <c r="P65" s="17">
        <f t="shared" si="5"/>
        <v>-1149094.2112539201</v>
      </c>
      <c r="Q65" s="17">
        <f t="shared" ca="1" si="6"/>
        <v>30706685.235440429</v>
      </c>
    </row>
    <row r="66" spans="1:17" x14ac:dyDescent="0.2">
      <c r="A66" s="28">
        <f>'Monthly Data'!A66</f>
        <v>43586</v>
      </c>
      <c r="B66">
        <f>'Monthly Data'!C66</f>
        <v>5</v>
      </c>
      <c r="C66">
        <f>'Monthly Data'!B66</f>
        <v>2019</v>
      </c>
      <c r="D66" s="18">
        <f>'Monthly Data'!F66</f>
        <v>26566440.643932082</v>
      </c>
      <c r="E66" s="10">
        <f t="shared" ref="E66:F66" ca="1" si="59">E54</f>
        <v>76.006595892171191</v>
      </c>
      <c r="F66" s="10">
        <f t="shared" ca="1" si="59"/>
        <v>9.6293749999999996</v>
      </c>
      <c r="G66">
        <f>'Monthly Data'!BO66</f>
        <v>31</v>
      </c>
      <c r="H66">
        <f>'Monthly Data'!BS66</f>
        <v>0</v>
      </c>
      <c r="I66">
        <f>'Monthly Data'!BK66</f>
        <v>1</v>
      </c>
      <c r="K66" s="17">
        <f t="shared" ref="K66:K97" si="60">$T$7</f>
        <v>-1956373.74241439</v>
      </c>
      <c r="L66" s="17">
        <f t="shared" ca="1" si="1"/>
        <v>1897827.2896731673</v>
      </c>
      <c r="M66" s="17">
        <f t="shared" ca="1" si="2"/>
        <v>507100.96506269928</v>
      </c>
      <c r="N66" s="17">
        <f t="shared" si="3"/>
        <v>27425350.500205077</v>
      </c>
      <c r="O66" s="17">
        <f t="shared" si="4"/>
        <v>0</v>
      </c>
      <c r="P66" s="17">
        <f t="shared" si="5"/>
        <v>-1149094.2112539201</v>
      </c>
      <c r="Q66" s="17">
        <f t="shared" ca="1" si="6"/>
        <v>26724810.801272634</v>
      </c>
    </row>
    <row r="67" spans="1:17" x14ac:dyDescent="0.2">
      <c r="A67" s="28">
        <f>'Monthly Data'!A67</f>
        <v>43617</v>
      </c>
      <c r="B67">
        <f>'Monthly Data'!C67</f>
        <v>6</v>
      </c>
      <c r="C67">
        <f>'Monthly Data'!B67</f>
        <v>2019</v>
      </c>
      <c r="D67" s="18">
        <f>'Monthly Data'!F67</f>
        <v>25527424.167506509</v>
      </c>
      <c r="E67" s="10">
        <f t="shared" ref="E67:F67" ca="1" si="61">E55</f>
        <v>4.2034708921711843</v>
      </c>
      <c r="F67" s="10">
        <f t="shared" ca="1" si="61"/>
        <v>25.077154107828811</v>
      </c>
      <c r="G67">
        <f>'Monthly Data'!BO67</f>
        <v>30</v>
      </c>
      <c r="H67">
        <f>'Monthly Data'!BS67</f>
        <v>0</v>
      </c>
      <c r="I67">
        <f>'Monthly Data'!BK67</f>
        <v>0</v>
      </c>
      <c r="K67" s="17">
        <f t="shared" si="60"/>
        <v>-1956373.74241439</v>
      </c>
      <c r="L67" s="17">
        <f t="shared" ref="L67:L130" ca="1" si="62">E67*$T$8</f>
        <v>104957.49318686409</v>
      </c>
      <c r="M67" s="17">
        <f t="shared" ref="M67:M130" ca="1" si="63">F67*$T$9</f>
        <v>1320610.0135373296</v>
      </c>
      <c r="N67" s="17">
        <f t="shared" ref="N67:N130" si="64">G67*$T$10</f>
        <v>26540661.774392013</v>
      </c>
      <c r="O67" s="17">
        <f t="shared" ref="O67:O130" si="65">H67*$T$11</f>
        <v>0</v>
      </c>
      <c r="P67" s="17">
        <f t="shared" ref="P67:P130" si="66">I67*$T$12</f>
        <v>0</v>
      </c>
      <c r="Q67" s="17">
        <f t="shared" ref="Q67:Q130" ca="1" si="67">SUM(K67:P67)</f>
        <v>26009855.538701817</v>
      </c>
    </row>
    <row r="68" spans="1:17" x14ac:dyDescent="0.2">
      <c r="A68" s="28">
        <f>'Monthly Data'!A68</f>
        <v>43647</v>
      </c>
      <c r="B68">
        <f>'Monthly Data'!C68</f>
        <v>7</v>
      </c>
      <c r="C68">
        <f>'Monthly Data'!B68</f>
        <v>2019</v>
      </c>
      <c r="D68" s="18">
        <f>'Monthly Data'!F68</f>
        <v>29663002.171080936</v>
      </c>
      <c r="E68" s="10">
        <f t="shared" ref="E68:F68" ca="1" si="68">E56</f>
        <v>0</v>
      </c>
      <c r="F68" s="10">
        <f t="shared" ca="1" si="68"/>
        <v>56.475141548990976</v>
      </c>
      <c r="G68">
        <f>'Monthly Data'!BO68</f>
        <v>31</v>
      </c>
      <c r="H68">
        <f>'Monthly Data'!BS68</f>
        <v>0</v>
      </c>
      <c r="I68">
        <f>'Monthly Data'!BK68</f>
        <v>0</v>
      </c>
      <c r="K68" s="17">
        <f t="shared" si="60"/>
        <v>-1956373.74241439</v>
      </c>
      <c r="L68" s="17">
        <f t="shared" ca="1" si="62"/>
        <v>0</v>
      </c>
      <c r="M68" s="17">
        <f t="shared" ca="1" si="63"/>
        <v>2974086.9767296286</v>
      </c>
      <c r="N68" s="17">
        <f t="shared" si="64"/>
        <v>27425350.500205077</v>
      </c>
      <c r="O68" s="17">
        <f t="shared" si="65"/>
        <v>0</v>
      </c>
      <c r="P68" s="17">
        <f t="shared" si="66"/>
        <v>0</v>
      </c>
      <c r="Q68" s="17">
        <f t="shared" ca="1" si="67"/>
        <v>28443063.734520316</v>
      </c>
    </row>
    <row r="69" spans="1:17" x14ac:dyDescent="0.2">
      <c r="A69" s="28">
        <f>'Monthly Data'!A69</f>
        <v>43678</v>
      </c>
      <c r="B69">
        <f>'Monthly Data'!C69</f>
        <v>8</v>
      </c>
      <c r="C69">
        <f>'Monthly Data'!B69</f>
        <v>2019</v>
      </c>
      <c r="D69" s="18">
        <f>'Monthly Data'!F69</f>
        <v>27101734.964655366</v>
      </c>
      <c r="E69" s="10">
        <f t="shared" ref="E69:F69" ca="1" si="69">E57</f>
        <v>0.73208333333333309</v>
      </c>
      <c r="F69" s="10">
        <f t="shared" ca="1" si="69"/>
        <v>35.296250000000008</v>
      </c>
      <c r="G69">
        <f>'Monthly Data'!BO69</f>
        <v>31</v>
      </c>
      <c r="H69">
        <f>'Monthly Data'!BS69</f>
        <v>0</v>
      </c>
      <c r="I69">
        <f>'Monthly Data'!BK69</f>
        <v>0</v>
      </c>
      <c r="K69" s="17">
        <f t="shared" si="60"/>
        <v>-1956373.74241439</v>
      </c>
      <c r="L69" s="17">
        <f t="shared" ca="1" si="62"/>
        <v>18279.567871793144</v>
      </c>
      <c r="M69" s="17">
        <f t="shared" ca="1" si="63"/>
        <v>1858766.7878854342</v>
      </c>
      <c r="N69" s="17">
        <f t="shared" si="64"/>
        <v>27425350.500205077</v>
      </c>
      <c r="O69" s="17">
        <f t="shared" si="65"/>
        <v>0</v>
      </c>
      <c r="P69" s="17">
        <f t="shared" si="66"/>
        <v>0</v>
      </c>
      <c r="Q69" s="17">
        <f t="shared" ca="1" si="67"/>
        <v>27346023.113547914</v>
      </c>
    </row>
    <row r="70" spans="1:17" x14ac:dyDescent="0.2">
      <c r="A70" s="28">
        <f>'Monthly Data'!A70</f>
        <v>43709</v>
      </c>
      <c r="B70">
        <f>'Monthly Data'!C70</f>
        <v>9</v>
      </c>
      <c r="C70">
        <f>'Monthly Data'!B70</f>
        <v>2019</v>
      </c>
      <c r="D70" s="18">
        <f>'Monthly Data'!F70</f>
        <v>24213463.878229793</v>
      </c>
      <c r="E70" s="10">
        <f t="shared" ref="E70:F70" ca="1" si="70">E58</f>
        <v>26.6509001176757</v>
      </c>
      <c r="F70" s="10">
        <f t="shared" ca="1" si="70"/>
        <v>11.128958333333333</v>
      </c>
      <c r="G70">
        <f>'Monthly Data'!BO70</f>
        <v>30</v>
      </c>
      <c r="H70">
        <f>'Monthly Data'!BS70</f>
        <v>0</v>
      </c>
      <c r="I70">
        <f>'Monthly Data'!BK70</f>
        <v>1</v>
      </c>
      <c r="K70" s="17">
        <f t="shared" si="60"/>
        <v>-1956373.74241439</v>
      </c>
      <c r="L70" s="17">
        <f t="shared" ca="1" si="62"/>
        <v>665452.84582187783</v>
      </c>
      <c r="M70" s="17">
        <f t="shared" ca="1" si="63"/>
        <v>586071.83861630713</v>
      </c>
      <c r="N70" s="17">
        <f t="shared" si="64"/>
        <v>26540661.774392013</v>
      </c>
      <c r="O70" s="17">
        <f t="shared" si="65"/>
        <v>0</v>
      </c>
      <c r="P70" s="17">
        <f t="shared" si="66"/>
        <v>-1149094.2112539201</v>
      </c>
      <c r="Q70" s="17">
        <f t="shared" ca="1" si="67"/>
        <v>24686718.505161889</v>
      </c>
    </row>
    <row r="71" spans="1:17" x14ac:dyDescent="0.2">
      <c r="A71" s="28">
        <f>'Monthly Data'!A71</f>
        <v>43739</v>
      </c>
      <c r="B71">
        <f>'Monthly Data'!C71</f>
        <v>10</v>
      </c>
      <c r="C71">
        <f>'Monthly Data'!B71</f>
        <v>2019</v>
      </c>
      <c r="D71" s="18">
        <f>'Monthly Data'!F71</f>
        <v>27632465.091804221</v>
      </c>
      <c r="E71" s="10">
        <f t="shared" ref="E71:F71" ca="1" si="71">E59</f>
        <v>177.51367324027484</v>
      </c>
      <c r="F71" s="10">
        <f t="shared" ca="1" si="71"/>
        <v>0.44687499999999963</v>
      </c>
      <c r="G71">
        <f>'Monthly Data'!BO71</f>
        <v>31</v>
      </c>
      <c r="H71">
        <f>'Monthly Data'!BS71</f>
        <v>0</v>
      </c>
      <c r="I71">
        <f>'Monthly Data'!BK71</f>
        <v>1</v>
      </c>
      <c r="K71" s="17">
        <f t="shared" si="60"/>
        <v>-1956373.74241439</v>
      </c>
      <c r="L71" s="17">
        <f t="shared" ca="1" si="62"/>
        <v>4432382.3401255533</v>
      </c>
      <c r="M71" s="17">
        <f t="shared" ca="1" si="63"/>
        <v>23533.276434077346</v>
      </c>
      <c r="N71" s="17">
        <f t="shared" si="64"/>
        <v>27425350.500205077</v>
      </c>
      <c r="O71" s="17">
        <f t="shared" si="65"/>
        <v>0</v>
      </c>
      <c r="P71" s="17">
        <f t="shared" si="66"/>
        <v>-1149094.2112539201</v>
      </c>
      <c r="Q71" s="17">
        <f t="shared" ca="1" si="67"/>
        <v>28775798.163096398</v>
      </c>
    </row>
    <row r="72" spans="1:17" x14ac:dyDescent="0.2">
      <c r="A72" s="28">
        <f>'Monthly Data'!A72</f>
        <v>43770</v>
      </c>
      <c r="B72">
        <f>'Monthly Data'!C72</f>
        <v>11</v>
      </c>
      <c r="C72">
        <f>'Monthly Data'!B72</f>
        <v>2019</v>
      </c>
      <c r="D72" s="18">
        <f>'Monthly Data'!F72</f>
        <v>36562187.96537865</v>
      </c>
      <c r="E72" s="10">
        <f t="shared" ref="E72:F72" ca="1" si="72">E60</f>
        <v>390.8187460098469</v>
      </c>
      <c r="F72" s="10">
        <f t="shared" ca="1" si="72"/>
        <v>0</v>
      </c>
      <c r="G72">
        <f>'Monthly Data'!BO72</f>
        <v>30</v>
      </c>
      <c r="H72">
        <f>'Monthly Data'!BS72</f>
        <v>0</v>
      </c>
      <c r="I72">
        <f>'Monthly Data'!BK72</f>
        <v>1</v>
      </c>
      <c r="K72" s="17">
        <f t="shared" si="60"/>
        <v>-1956373.74241439</v>
      </c>
      <c r="L72" s="17">
        <f t="shared" ca="1" si="62"/>
        <v>9758448.8923247606</v>
      </c>
      <c r="M72" s="17">
        <f t="shared" ca="1" si="63"/>
        <v>0</v>
      </c>
      <c r="N72" s="17">
        <f t="shared" si="64"/>
        <v>26540661.774392013</v>
      </c>
      <c r="O72" s="17">
        <f t="shared" si="65"/>
        <v>0</v>
      </c>
      <c r="P72" s="17">
        <f t="shared" si="66"/>
        <v>-1149094.2112539201</v>
      </c>
      <c r="Q72" s="17">
        <f t="shared" ca="1" si="67"/>
        <v>33193642.713048466</v>
      </c>
    </row>
    <row r="73" spans="1:17" x14ac:dyDescent="0.2">
      <c r="A73" s="28">
        <f>'Monthly Data'!A73</f>
        <v>43800</v>
      </c>
      <c r="B73">
        <f>'Monthly Data'!C73</f>
        <v>12</v>
      </c>
      <c r="C73">
        <f>'Monthly Data'!B73</f>
        <v>2019</v>
      </c>
      <c r="D73" s="18">
        <f>'Monthly Data'!F73</f>
        <v>40960320.168953083</v>
      </c>
      <c r="E73" s="10">
        <f t="shared" ref="E73:F73" ca="1" si="73">E61</f>
        <v>570.62936502461719</v>
      </c>
      <c r="F73" s="10">
        <f t="shared" ca="1" si="73"/>
        <v>0</v>
      </c>
      <c r="G73">
        <f>'Monthly Data'!BO73</f>
        <v>31</v>
      </c>
      <c r="H73">
        <f>'Monthly Data'!BS73</f>
        <v>0</v>
      </c>
      <c r="I73">
        <f>'Monthly Data'!BK73</f>
        <v>0</v>
      </c>
      <c r="K73" s="17">
        <f t="shared" si="60"/>
        <v>-1956373.74241439</v>
      </c>
      <c r="L73" s="17">
        <f t="shared" ca="1" si="62"/>
        <v>14248184.233496714</v>
      </c>
      <c r="M73" s="17">
        <f t="shared" ca="1" si="63"/>
        <v>0</v>
      </c>
      <c r="N73" s="17">
        <f t="shared" si="64"/>
        <v>27425350.500205077</v>
      </c>
      <c r="O73" s="17">
        <f t="shared" si="65"/>
        <v>0</v>
      </c>
      <c r="P73" s="17">
        <f t="shared" si="66"/>
        <v>0</v>
      </c>
      <c r="Q73" s="17">
        <f t="shared" ca="1" si="67"/>
        <v>39717160.991287403</v>
      </c>
    </row>
    <row r="74" spans="1:17" x14ac:dyDescent="0.2">
      <c r="A74" s="28">
        <f>'Monthly Data'!A74</f>
        <v>43831</v>
      </c>
      <c r="B74">
        <f>'Monthly Data'!C74</f>
        <v>1</v>
      </c>
      <c r="C74">
        <f>'Monthly Data'!B74</f>
        <v>2020</v>
      </c>
      <c r="D74" s="18">
        <f>'Monthly Data'!F74</f>
        <v>41114550.962867439</v>
      </c>
      <c r="E74" s="10">
        <f t="shared" ref="E74:F74" ca="1" si="74">E62</f>
        <v>728.68367523535153</v>
      </c>
      <c r="F74" s="10">
        <f t="shared" ca="1" si="74"/>
        <v>0</v>
      </c>
      <c r="G74">
        <f>'Monthly Data'!BO74</f>
        <v>31</v>
      </c>
      <c r="H74">
        <f>'Monthly Data'!BS74</f>
        <v>0</v>
      </c>
      <c r="I74">
        <f>'Monthly Data'!BK74</f>
        <v>0</v>
      </c>
      <c r="K74" s="17">
        <f t="shared" si="60"/>
        <v>-1956373.74241439</v>
      </c>
      <c r="L74" s="17">
        <f t="shared" ca="1" si="62"/>
        <v>18194680.976936534</v>
      </c>
      <c r="M74" s="17">
        <f t="shared" ca="1" si="63"/>
        <v>0</v>
      </c>
      <c r="N74" s="17">
        <f t="shared" si="64"/>
        <v>27425350.500205077</v>
      </c>
      <c r="O74" s="17">
        <f t="shared" si="65"/>
        <v>0</v>
      </c>
      <c r="P74" s="17">
        <f t="shared" si="66"/>
        <v>0</v>
      </c>
      <c r="Q74" s="17">
        <f t="shared" ca="1" si="67"/>
        <v>43663657.734727219</v>
      </c>
    </row>
    <row r="75" spans="1:17" x14ac:dyDescent="0.2">
      <c r="A75" s="28">
        <f>'Monthly Data'!A75</f>
        <v>43862</v>
      </c>
      <c r="B75">
        <f>'Monthly Data'!C75</f>
        <v>2</v>
      </c>
      <c r="C75">
        <f>'Monthly Data'!B75</f>
        <v>2020</v>
      </c>
      <c r="D75" s="18">
        <f>'Monthly Data'!F75</f>
        <v>37817384.928010598</v>
      </c>
      <c r="E75" s="10">
        <f t="shared" ref="E75:F75" ca="1" si="75">E63</f>
        <v>655.75083333333328</v>
      </c>
      <c r="F75" s="10">
        <f t="shared" ca="1" si="75"/>
        <v>0</v>
      </c>
      <c r="G75">
        <f>'Monthly Data'!BO75</f>
        <v>29</v>
      </c>
      <c r="H75">
        <f>'Monthly Data'!BS75</f>
        <v>0</v>
      </c>
      <c r="I75">
        <f>'Monthly Data'!BK75</f>
        <v>0</v>
      </c>
      <c r="K75" s="17">
        <f t="shared" si="60"/>
        <v>-1956373.74241439</v>
      </c>
      <c r="L75" s="17">
        <f t="shared" ca="1" si="62"/>
        <v>16373603.002711328</v>
      </c>
      <c r="M75" s="17">
        <f t="shared" ca="1" si="63"/>
        <v>0</v>
      </c>
      <c r="N75" s="17">
        <f t="shared" si="64"/>
        <v>25655973.048578944</v>
      </c>
      <c r="O75" s="17">
        <f t="shared" si="65"/>
        <v>0</v>
      </c>
      <c r="P75" s="17">
        <f t="shared" si="66"/>
        <v>0</v>
      </c>
      <c r="Q75" s="17">
        <f t="shared" ca="1" si="67"/>
        <v>40073202.308875881</v>
      </c>
    </row>
    <row r="76" spans="1:17" x14ac:dyDescent="0.2">
      <c r="A76" s="28">
        <f>'Monthly Data'!A76</f>
        <v>43891</v>
      </c>
      <c r="B76">
        <f>'Monthly Data'!C76</f>
        <v>3</v>
      </c>
      <c r="C76">
        <f>'Monthly Data'!B76</f>
        <v>2020</v>
      </c>
      <c r="D76" s="18">
        <f>'Monthly Data'!F76</f>
        <v>36840381.413153768</v>
      </c>
      <c r="E76" s="10">
        <f t="shared" ref="E76:F76" ca="1" si="76">E64</f>
        <v>531.1185376765136</v>
      </c>
      <c r="F76" s="10">
        <f t="shared" ca="1" si="76"/>
        <v>0</v>
      </c>
      <c r="G76">
        <f>'Monthly Data'!BO76</f>
        <v>31</v>
      </c>
      <c r="H76">
        <f>'Monthly Data'!BS76</f>
        <v>0.5</v>
      </c>
      <c r="I76">
        <f>'Monthly Data'!BK76</f>
        <v>1</v>
      </c>
      <c r="K76" s="17">
        <f t="shared" si="60"/>
        <v>-1956373.74241439</v>
      </c>
      <c r="L76" s="17">
        <f t="shared" ca="1" si="62"/>
        <v>13261628.718167821</v>
      </c>
      <c r="M76" s="17">
        <f t="shared" ca="1" si="63"/>
        <v>0</v>
      </c>
      <c r="N76" s="17">
        <f t="shared" si="64"/>
        <v>27425350.500205077</v>
      </c>
      <c r="O76" s="17">
        <f t="shared" si="65"/>
        <v>1051926.3493190249</v>
      </c>
      <c r="P76" s="17">
        <f t="shared" si="66"/>
        <v>-1149094.2112539201</v>
      </c>
      <c r="Q76" s="17">
        <f t="shared" ca="1" si="67"/>
        <v>38633437.614023618</v>
      </c>
    </row>
    <row r="77" spans="1:17" x14ac:dyDescent="0.2">
      <c r="A77" s="28">
        <f>'Monthly Data'!A77</f>
        <v>43922</v>
      </c>
      <c r="B77">
        <f>'Monthly Data'!C77</f>
        <v>4</v>
      </c>
      <c r="C77">
        <f>'Monthly Data'!B77</f>
        <v>2020</v>
      </c>
      <c r="D77" s="18">
        <f>'Monthly Data'!F77</f>
        <v>32323910.638296925</v>
      </c>
      <c r="E77" s="10">
        <f t="shared" ref="E77:F77" ca="1" si="77">E65</f>
        <v>291.21791666666667</v>
      </c>
      <c r="F77" s="10">
        <f t="shared" ca="1" si="77"/>
        <v>0</v>
      </c>
      <c r="G77">
        <f>'Monthly Data'!BO77</f>
        <v>30</v>
      </c>
      <c r="H77">
        <f>'Monthly Data'!BS77</f>
        <v>1</v>
      </c>
      <c r="I77">
        <f>'Monthly Data'!BK77</f>
        <v>1</v>
      </c>
      <c r="K77" s="17">
        <f t="shared" si="60"/>
        <v>-1956373.74241439</v>
      </c>
      <c r="L77" s="17">
        <f t="shared" ca="1" si="62"/>
        <v>7271491.4147167243</v>
      </c>
      <c r="M77" s="17">
        <f t="shared" ca="1" si="63"/>
        <v>0</v>
      </c>
      <c r="N77" s="17">
        <f t="shared" si="64"/>
        <v>26540661.774392013</v>
      </c>
      <c r="O77" s="17">
        <f t="shared" si="65"/>
        <v>2103852.6986380499</v>
      </c>
      <c r="P77" s="17">
        <f t="shared" si="66"/>
        <v>-1149094.2112539201</v>
      </c>
      <c r="Q77" s="17">
        <f t="shared" ca="1" si="67"/>
        <v>32810537.934078477</v>
      </c>
    </row>
    <row r="78" spans="1:17" x14ac:dyDescent="0.2">
      <c r="A78" s="28">
        <f>'Monthly Data'!A78</f>
        <v>43952</v>
      </c>
      <c r="B78">
        <f>'Monthly Data'!C78</f>
        <v>5</v>
      </c>
      <c r="C78">
        <f>'Monthly Data'!B78</f>
        <v>2020</v>
      </c>
      <c r="D78" s="18">
        <f>'Monthly Data'!F78</f>
        <v>29728529.533440087</v>
      </c>
      <c r="E78" s="10">
        <f t="shared" ref="E78:F78" ca="1" si="78">E66</f>
        <v>76.006595892171191</v>
      </c>
      <c r="F78" s="10">
        <f t="shared" ca="1" si="78"/>
        <v>9.6293749999999996</v>
      </c>
      <c r="G78">
        <f>'Monthly Data'!BO78</f>
        <v>31</v>
      </c>
      <c r="H78">
        <f>'Monthly Data'!BS78</f>
        <v>1</v>
      </c>
      <c r="I78">
        <f>'Monthly Data'!BK78</f>
        <v>1</v>
      </c>
      <c r="K78" s="17">
        <f t="shared" si="60"/>
        <v>-1956373.74241439</v>
      </c>
      <c r="L78" s="17">
        <f t="shared" ca="1" si="62"/>
        <v>1897827.2896731673</v>
      </c>
      <c r="M78" s="17">
        <f t="shared" ca="1" si="63"/>
        <v>507100.96506269928</v>
      </c>
      <c r="N78" s="17">
        <f t="shared" si="64"/>
        <v>27425350.500205077</v>
      </c>
      <c r="O78" s="17">
        <f t="shared" si="65"/>
        <v>2103852.6986380499</v>
      </c>
      <c r="P78" s="17">
        <f t="shared" si="66"/>
        <v>-1149094.2112539201</v>
      </c>
      <c r="Q78" s="17">
        <f t="shared" ca="1" si="67"/>
        <v>28828663.499910682</v>
      </c>
    </row>
    <row r="79" spans="1:17" x14ac:dyDescent="0.2">
      <c r="A79" s="28">
        <f>'Monthly Data'!A79</f>
        <v>43983</v>
      </c>
      <c r="B79">
        <f>'Monthly Data'!C79</f>
        <v>6</v>
      </c>
      <c r="C79">
        <f>'Monthly Data'!B79</f>
        <v>2020</v>
      </c>
      <c r="D79" s="18">
        <f>'Monthly Data'!F79</f>
        <v>29557827.458583251</v>
      </c>
      <c r="E79" s="10">
        <f t="shared" ref="E79:F79" ca="1" si="79">E67</f>
        <v>4.2034708921711843</v>
      </c>
      <c r="F79" s="10">
        <f t="shared" ca="1" si="79"/>
        <v>25.077154107828811</v>
      </c>
      <c r="G79">
        <f>'Monthly Data'!BO79</f>
        <v>30</v>
      </c>
      <c r="H79">
        <f>'Monthly Data'!BS79</f>
        <v>1</v>
      </c>
      <c r="I79">
        <f>'Monthly Data'!BK79</f>
        <v>0</v>
      </c>
      <c r="K79" s="17">
        <f t="shared" si="60"/>
        <v>-1956373.74241439</v>
      </c>
      <c r="L79" s="17">
        <f t="shared" ca="1" si="62"/>
        <v>104957.49318686409</v>
      </c>
      <c r="M79" s="17">
        <f t="shared" ca="1" si="63"/>
        <v>1320610.0135373296</v>
      </c>
      <c r="N79" s="17">
        <f t="shared" si="64"/>
        <v>26540661.774392013</v>
      </c>
      <c r="O79" s="17">
        <f t="shared" si="65"/>
        <v>2103852.6986380499</v>
      </c>
      <c r="P79" s="17">
        <f t="shared" si="66"/>
        <v>0</v>
      </c>
      <c r="Q79" s="17">
        <f t="shared" ca="1" si="67"/>
        <v>28113708.237339869</v>
      </c>
    </row>
    <row r="80" spans="1:17" x14ac:dyDescent="0.2">
      <c r="A80" s="28">
        <f>'Monthly Data'!A80</f>
        <v>44013</v>
      </c>
      <c r="B80">
        <f>'Monthly Data'!C80</f>
        <v>7</v>
      </c>
      <c r="C80">
        <f>'Monthly Data'!B80</f>
        <v>2020</v>
      </c>
      <c r="D80" s="18">
        <f>'Monthly Data'!F80</f>
        <v>33373151.203726415</v>
      </c>
      <c r="E80" s="10">
        <f t="shared" ref="E80:F80" ca="1" si="80">E68</f>
        <v>0</v>
      </c>
      <c r="F80" s="10">
        <f t="shared" ca="1" si="80"/>
        <v>56.475141548990976</v>
      </c>
      <c r="G80">
        <f>'Monthly Data'!BO80</f>
        <v>31</v>
      </c>
      <c r="H80">
        <f>'Monthly Data'!BS80</f>
        <v>1</v>
      </c>
      <c r="I80">
        <f>'Monthly Data'!BK80</f>
        <v>0</v>
      </c>
      <c r="K80" s="17">
        <f t="shared" si="60"/>
        <v>-1956373.74241439</v>
      </c>
      <c r="L80" s="17">
        <f t="shared" ca="1" si="62"/>
        <v>0</v>
      </c>
      <c r="M80" s="17">
        <f t="shared" ca="1" si="63"/>
        <v>2974086.9767296286</v>
      </c>
      <c r="N80" s="17">
        <f t="shared" si="64"/>
        <v>27425350.500205077</v>
      </c>
      <c r="O80" s="17">
        <f t="shared" si="65"/>
        <v>2103852.6986380499</v>
      </c>
      <c r="P80" s="17">
        <f t="shared" si="66"/>
        <v>0</v>
      </c>
      <c r="Q80" s="17">
        <f t="shared" ca="1" si="67"/>
        <v>30546916.433158368</v>
      </c>
    </row>
    <row r="81" spans="1:17" x14ac:dyDescent="0.2">
      <c r="A81" s="28">
        <f>'Monthly Data'!A81</f>
        <v>44044</v>
      </c>
      <c r="B81">
        <f>'Monthly Data'!C81</f>
        <v>8</v>
      </c>
      <c r="C81">
        <f>'Monthly Data'!B81</f>
        <v>2020</v>
      </c>
      <c r="D81" s="18">
        <f>'Monthly Data'!F81</f>
        <v>29693676.668869577</v>
      </c>
      <c r="E81" s="10">
        <f t="shared" ref="E81:F81" ca="1" si="81">E69</f>
        <v>0.73208333333333309</v>
      </c>
      <c r="F81" s="10">
        <f t="shared" ca="1" si="81"/>
        <v>35.296250000000008</v>
      </c>
      <c r="G81">
        <f>'Monthly Data'!BO81</f>
        <v>31</v>
      </c>
      <c r="H81">
        <f>'Monthly Data'!BS81</f>
        <v>1</v>
      </c>
      <c r="I81">
        <f>'Monthly Data'!BK81</f>
        <v>0</v>
      </c>
      <c r="K81" s="17">
        <f t="shared" si="60"/>
        <v>-1956373.74241439</v>
      </c>
      <c r="L81" s="17">
        <f t="shared" ca="1" si="62"/>
        <v>18279.567871793144</v>
      </c>
      <c r="M81" s="17">
        <f t="shared" ca="1" si="63"/>
        <v>1858766.7878854342</v>
      </c>
      <c r="N81" s="17">
        <f t="shared" si="64"/>
        <v>27425350.500205077</v>
      </c>
      <c r="O81" s="17">
        <f t="shared" si="65"/>
        <v>2103852.6986380499</v>
      </c>
      <c r="P81" s="17">
        <f t="shared" si="66"/>
        <v>0</v>
      </c>
      <c r="Q81" s="17">
        <f t="shared" ca="1" si="67"/>
        <v>29449875.812185965</v>
      </c>
    </row>
    <row r="82" spans="1:17" x14ac:dyDescent="0.2">
      <c r="A82" s="28">
        <f>'Monthly Data'!A82</f>
        <v>44075</v>
      </c>
      <c r="B82">
        <f>'Monthly Data'!C82</f>
        <v>9</v>
      </c>
      <c r="C82">
        <f>'Monthly Data'!B82</f>
        <v>2020</v>
      </c>
      <c r="D82" s="18">
        <f>'Monthly Data'!F82</f>
        <v>25944890.22401274</v>
      </c>
      <c r="E82" s="10">
        <f t="shared" ref="E82:F82" ca="1" si="82">E70</f>
        <v>26.6509001176757</v>
      </c>
      <c r="F82" s="10">
        <f t="shared" ca="1" si="82"/>
        <v>11.128958333333333</v>
      </c>
      <c r="G82">
        <f>'Monthly Data'!BO82</f>
        <v>30</v>
      </c>
      <c r="H82">
        <f>'Monthly Data'!BS82</f>
        <v>1</v>
      </c>
      <c r="I82">
        <f>'Monthly Data'!BK82</f>
        <v>1</v>
      </c>
      <c r="K82" s="17">
        <f t="shared" si="60"/>
        <v>-1956373.74241439</v>
      </c>
      <c r="L82" s="17">
        <f t="shared" ca="1" si="62"/>
        <v>665452.84582187783</v>
      </c>
      <c r="M82" s="17">
        <f t="shared" ca="1" si="63"/>
        <v>586071.83861630713</v>
      </c>
      <c r="N82" s="17">
        <f t="shared" si="64"/>
        <v>26540661.774392013</v>
      </c>
      <c r="O82" s="17">
        <f t="shared" si="65"/>
        <v>2103852.6986380499</v>
      </c>
      <c r="P82" s="17">
        <f t="shared" si="66"/>
        <v>-1149094.2112539201</v>
      </c>
      <c r="Q82" s="17">
        <f t="shared" ca="1" si="67"/>
        <v>26790571.203799941</v>
      </c>
    </row>
    <row r="83" spans="1:17" x14ac:dyDescent="0.2">
      <c r="A83" s="28">
        <f>'Monthly Data'!A83</f>
        <v>44105</v>
      </c>
      <c r="B83">
        <f>'Monthly Data'!C83</f>
        <v>10</v>
      </c>
      <c r="C83">
        <f>'Monthly Data'!B83</f>
        <v>2020</v>
      </c>
      <c r="D83" s="18">
        <f>'Monthly Data'!F83</f>
        <v>30180388.669155903</v>
      </c>
      <c r="E83" s="10">
        <f t="shared" ref="E83:F83" ca="1" si="83">E71</f>
        <v>177.51367324027484</v>
      </c>
      <c r="F83" s="10">
        <f t="shared" ca="1" si="83"/>
        <v>0.44687499999999963</v>
      </c>
      <c r="G83">
        <f>'Monthly Data'!BO83</f>
        <v>31</v>
      </c>
      <c r="H83">
        <f>'Monthly Data'!BS83</f>
        <v>1</v>
      </c>
      <c r="I83">
        <f>'Monthly Data'!BK83</f>
        <v>1</v>
      </c>
      <c r="K83" s="17">
        <f t="shared" si="60"/>
        <v>-1956373.74241439</v>
      </c>
      <c r="L83" s="17">
        <f t="shared" ca="1" si="62"/>
        <v>4432382.3401255533</v>
      </c>
      <c r="M83" s="17">
        <f t="shared" ca="1" si="63"/>
        <v>23533.276434077346</v>
      </c>
      <c r="N83" s="17">
        <f t="shared" si="64"/>
        <v>27425350.500205077</v>
      </c>
      <c r="O83" s="17">
        <f t="shared" si="65"/>
        <v>2103852.6986380499</v>
      </c>
      <c r="P83" s="17">
        <f t="shared" si="66"/>
        <v>-1149094.2112539201</v>
      </c>
      <c r="Q83" s="17">
        <f t="shared" ca="1" si="67"/>
        <v>30879650.86173445</v>
      </c>
    </row>
    <row r="84" spans="1:17" x14ac:dyDescent="0.2">
      <c r="A84" s="28">
        <f>'Monthly Data'!A84</f>
        <v>44136</v>
      </c>
      <c r="B84">
        <f>'Monthly Data'!C84</f>
        <v>11</v>
      </c>
      <c r="C84">
        <f>'Monthly Data'!B84</f>
        <v>2020</v>
      </c>
      <c r="D84" s="18">
        <f>'Monthly Data'!F84</f>
        <v>33811578.484299064</v>
      </c>
      <c r="E84" s="10">
        <f t="shared" ref="E84:F84" ca="1" si="84">E72</f>
        <v>390.8187460098469</v>
      </c>
      <c r="F84" s="10">
        <f t="shared" ca="1" si="84"/>
        <v>0</v>
      </c>
      <c r="G84">
        <f>'Monthly Data'!BO84</f>
        <v>30</v>
      </c>
      <c r="H84">
        <f>'Monthly Data'!BS84</f>
        <v>1</v>
      </c>
      <c r="I84">
        <f>'Monthly Data'!BK84</f>
        <v>1</v>
      </c>
      <c r="K84" s="17">
        <f t="shared" si="60"/>
        <v>-1956373.74241439</v>
      </c>
      <c r="L84" s="17">
        <f t="shared" ca="1" si="62"/>
        <v>9758448.8923247606</v>
      </c>
      <c r="M84" s="17">
        <f t="shared" ca="1" si="63"/>
        <v>0</v>
      </c>
      <c r="N84" s="17">
        <f t="shared" si="64"/>
        <v>26540661.774392013</v>
      </c>
      <c r="O84" s="17">
        <f t="shared" si="65"/>
        <v>2103852.6986380499</v>
      </c>
      <c r="P84" s="17">
        <f t="shared" si="66"/>
        <v>-1149094.2112539201</v>
      </c>
      <c r="Q84" s="17">
        <f t="shared" ca="1" si="67"/>
        <v>35297495.411686517</v>
      </c>
    </row>
    <row r="85" spans="1:17" x14ac:dyDescent="0.2">
      <c r="A85" s="28">
        <f>'Monthly Data'!A85</f>
        <v>44166</v>
      </c>
      <c r="B85">
        <f>'Monthly Data'!C85</f>
        <v>12</v>
      </c>
      <c r="C85">
        <f>'Monthly Data'!B85</f>
        <v>2020</v>
      </c>
      <c r="D85" s="18">
        <f>'Monthly Data'!F85</f>
        <v>40838337.479442224</v>
      </c>
      <c r="E85" s="10">
        <f t="shared" ref="E85:F85" ca="1" si="85">E73</f>
        <v>570.62936502461719</v>
      </c>
      <c r="F85" s="10">
        <f t="shared" ca="1" si="85"/>
        <v>0</v>
      </c>
      <c r="G85">
        <f>'Monthly Data'!BO85</f>
        <v>31</v>
      </c>
      <c r="H85">
        <f>'Monthly Data'!BS85</f>
        <v>1</v>
      </c>
      <c r="I85">
        <f>'Monthly Data'!BK85</f>
        <v>0</v>
      </c>
      <c r="K85" s="17">
        <f t="shared" si="60"/>
        <v>-1956373.74241439</v>
      </c>
      <c r="L85" s="17">
        <f t="shared" ca="1" si="62"/>
        <v>14248184.233496714</v>
      </c>
      <c r="M85" s="17">
        <f t="shared" ca="1" si="63"/>
        <v>0</v>
      </c>
      <c r="N85" s="17">
        <f t="shared" si="64"/>
        <v>27425350.500205077</v>
      </c>
      <c r="O85" s="17">
        <f t="shared" si="65"/>
        <v>2103852.6986380499</v>
      </c>
      <c r="P85" s="17">
        <f t="shared" si="66"/>
        <v>0</v>
      </c>
      <c r="Q85" s="17">
        <f t="shared" ca="1" si="67"/>
        <v>41821013.689925455</v>
      </c>
    </row>
    <row r="86" spans="1:17" x14ac:dyDescent="0.2">
      <c r="A86" s="28">
        <f>'Monthly Data'!A86</f>
        <v>44197</v>
      </c>
      <c r="B86">
        <f>'Monthly Data'!C86</f>
        <v>1</v>
      </c>
      <c r="C86">
        <f>'Monthly Data'!B86</f>
        <v>2021</v>
      </c>
      <c r="D86" s="18">
        <f>'Monthly Data'!F86</f>
        <v>42530208.31538289</v>
      </c>
      <c r="E86" s="10">
        <f t="shared" ref="E86:F86" ca="1" si="86">E74</f>
        <v>728.68367523535153</v>
      </c>
      <c r="F86" s="10">
        <f t="shared" ca="1" si="86"/>
        <v>0</v>
      </c>
      <c r="G86">
        <f>'Monthly Data'!BO86</f>
        <v>31</v>
      </c>
      <c r="H86">
        <f>'Monthly Data'!BS86</f>
        <v>0.75</v>
      </c>
      <c r="I86">
        <f>'Monthly Data'!BK86</f>
        <v>0</v>
      </c>
      <c r="K86" s="17">
        <f t="shared" si="60"/>
        <v>-1956373.74241439</v>
      </c>
      <c r="L86" s="17">
        <f t="shared" ca="1" si="62"/>
        <v>18194680.976936534</v>
      </c>
      <c r="M86" s="17">
        <f t="shared" ca="1" si="63"/>
        <v>0</v>
      </c>
      <c r="N86" s="17">
        <f t="shared" si="64"/>
        <v>27425350.500205077</v>
      </c>
      <c r="O86" s="17">
        <f t="shared" si="65"/>
        <v>1577889.5239785374</v>
      </c>
      <c r="P86" s="17">
        <f t="shared" si="66"/>
        <v>0</v>
      </c>
      <c r="Q86" s="17">
        <f t="shared" ca="1" si="67"/>
        <v>45241547.258705758</v>
      </c>
    </row>
    <row r="87" spans="1:17" x14ac:dyDescent="0.2">
      <c r="A87" s="28">
        <f>'Monthly Data'!A87</f>
        <v>44228</v>
      </c>
      <c r="B87">
        <f>'Monthly Data'!C87</f>
        <v>2</v>
      </c>
      <c r="C87">
        <f>'Monthly Data'!B87</f>
        <v>2021</v>
      </c>
      <c r="D87" s="18">
        <f>'Monthly Data'!F87</f>
        <v>40231756.483946629</v>
      </c>
      <c r="E87" s="10">
        <f t="shared" ref="E87:F87" ca="1" si="87">E75</f>
        <v>655.75083333333328</v>
      </c>
      <c r="F87" s="10">
        <f t="shared" ca="1" si="87"/>
        <v>0</v>
      </c>
      <c r="G87">
        <f>'Monthly Data'!BO87</f>
        <v>28</v>
      </c>
      <c r="H87">
        <f>'Monthly Data'!BS87</f>
        <v>0.75</v>
      </c>
      <c r="I87">
        <f>'Monthly Data'!BK87</f>
        <v>0</v>
      </c>
      <c r="K87" s="17">
        <f t="shared" si="60"/>
        <v>-1956373.74241439</v>
      </c>
      <c r="L87" s="17">
        <f t="shared" ca="1" si="62"/>
        <v>16373603.002711328</v>
      </c>
      <c r="M87" s="17">
        <f t="shared" ca="1" si="63"/>
        <v>0</v>
      </c>
      <c r="N87" s="17">
        <f t="shared" si="64"/>
        <v>24771284.322765879</v>
      </c>
      <c r="O87" s="17">
        <f t="shared" si="65"/>
        <v>1577889.5239785374</v>
      </c>
      <c r="P87" s="17">
        <f t="shared" si="66"/>
        <v>0</v>
      </c>
      <c r="Q87" s="17">
        <f t="shared" ca="1" si="67"/>
        <v>40766403.107041351</v>
      </c>
    </row>
    <row r="88" spans="1:17" x14ac:dyDescent="0.2">
      <c r="A88" s="28">
        <f>'Monthly Data'!A88</f>
        <v>44256</v>
      </c>
      <c r="B88">
        <f>'Monthly Data'!C88</f>
        <v>3</v>
      </c>
      <c r="C88">
        <f>'Monthly Data'!B88</f>
        <v>2021</v>
      </c>
      <c r="D88" s="18">
        <f>'Monthly Data'!F88</f>
        <v>36730744.112510376</v>
      </c>
      <c r="E88" s="10">
        <f t="shared" ref="E88:F88" ca="1" si="88">E76</f>
        <v>531.1185376765136</v>
      </c>
      <c r="F88" s="10">
        <f t="shared" ca="1" si="88"/>
        <v>0</v>
      </c>
      <c r="G88">
        <f>'Monthly Data'!BO88</f>
        <v>31</v>
      </c>
      <c r="H88">
        <f>'Monthly Data'!BS88</f>
        <v>0.75</v>
      </c>
      <c r="I88">
        <f>'Monthly Data'!BK88</f>
        <v>1</v>
      </c>
      <c r="K88" s="17">
        <f t="shared" si="60"/>
        <v>-1956373.74241439</v>
      </c>
      <c r="L88" s="17">
        <f t="shared" ca="1" si="62"/>
        <v>13261628.718167821</v>
      </c>
      <c r="M88" s="17">
        <f t="shared" ca="1" si="63"/>
        <v>0</v>
      </c>
      <c r="N88" s="17">
        <f t="shared" si="64"/>
        <v>27425350.500205077</v>
      </c>
      <c r="O88" s="17">
        <f t="shared" si="65"/>
        <v>1577889.5239785374</v>
      </c>
      <c r="P88" s="17">
        <f t="shared" si="66"/>
        <v>-1149094.2112539201</v>
      </c>
      <c r="Q88" s="17">
        <f t="shared" ca="1" si="67"/>
        <v>39159400.788683131</v>
      </c>
    </row>
    <row r="89" spans="1:17" x14ac:dyDescent="0.2">
      <c r="A89" s="28">
        <f>'Monthly Data'!A89</f>
        <v>44287</v>
      </c>
      <c r="B89">
        <f>'Monthly Data'!C89</f>
        <v>4</v>
      </c>
      <c r="C89">
        <f>'Monthly Data'!B89</f>
        <v>2021</v>
      </c>
      <c r="D89" s="18">
        <f>'Monthly Data'!F89</f>
        <v>29987134.981074113</v>
      </c>
      <c r="E89" s="10">
        <f t="shared" ref="E89:F89" ca="1" si="89">E77</f>
        <v>291.21791666666667</v>
      </c>
      <c r="F89" s="10">
        <f t="shared" ca="1" si="89"/>
        <v>0</v>
      </c>
      <c r="G89">
        <f>'Monthly Data'!BO89</f>
        <v>30</v>
      </c>
      <c r="H89">
        <f>'Monthly Data'!BS89</f>
        <v>0.75</v>
      </c>
      <c r="I89">
        <f>'Monthly Data'!BK89</f>
        <v>1</v>
      </c>
      <c r="K89" s="17">
        <f t="shared" si="60"/>
        <v>-1956373.74241439</v>
      </c>
      <c r="L89" s="17">
        <f t="shared" ca="1" si="62"/>
        <v>7271491.4147167243</v>
      </c>
      <c r="M89" s="17">
        <f t="shared" ca="1" si="63"/>
        <v>0</v>
      </c>
      <c r="N89" s="17">
        <f t="shared" si="64"/>
        <v>26540661.774392013</v>
      </c>
      <c r="O89" s="17">
        <f t="shared" si="65"/>
        <v>1577889.5239785374</v>
      </c>
      <c r="P89" s="17">
        <f t="shared" si="66"/>
        <v>-1149094.2112539201</v>
      </c>
      <c r="Q89" s="17">
        <f t="shared" ca="1" si="67"/>
        <v>32284574.759418968</v>
      </c>
    </row>
    <row r="90" spans="1:17" x14ac:dyDescent="0.2">
      <c r="A90" s="28">
        <f>'Monthly Data'!A90</f>
        <v>44317</v>
      </c>
      <c r="B90">
        <f>'Monthly Data'!C90</f>
        <v>5</v>
      </c>
      <c r="C90">
        <f>'Monthly Data'!B90</f>
        <v>2021</v>
      </c>
      <c r="D90" s="18">
        <f>'Monthly Data'!F90</f>
        <v>28148573.559637856</v>
      </c>
      <c r="E90" s="10">
        <f t="shared" ref="E90:F90" ca="1" si="90">E78</f>
        <v>76.006595892171191</v>
      </c>
      <c r="F90" s="10">
        <f t="shared" ca="1" si="90"/>
        <v>9.6293749999999996</v>
      </c>
      <c r="G90">
        <f>'Monthly Data'!BO90</f>
        <v>31</v>
      </c>
      <c r="H90">
        <f>'Monthly Data'!BS90</f>
        <v>0.75</v>
      </c>
      <c r="I90">
        <f>'Monthly Data'!BK90</f>
        <v>1</v>
      </c>
      <c r="K90" s="17">
        <f t="shared" si="60"/>
        <v>-1956373.74241439</v>
      </c>
      <c r="L90" s="17">
        <f t="shared" ca="1" si="62"/>
        <v>1897827.2896731673</v>
      </c>
      <c r="M90" s="17">
        <f t="shared" ca="1" si="63"/>
        <v>507100.96506269928</v>
      </c>
      <c r="N90" s="17">
        <f t="shared" si="64"/>
        <v>27425350.500205077</v>
      </c>
      <c r="O90" s="17">
        <f t="shared" si="65"/>
        <v>1577889.5239785374</v>
      </c>
      <c r="P90" s="17">
        <f t="shared" si="66"/>
        <v>-1149094.2112539201</v>
      </c>
      <c r="Q90" s="17">
        <f t="shared" ca="1" si="67"/>
        <v>28302700.325251173</v>
      </c>
    </row>
    <row r="91" spans="1:17" x14ac:dyDescent="0.2">
      <c r="A91" s="28">
        <f>'Monthly Data'!A91</f>
        <v>44348</v>
      </c>
      <c r="B91">
        <f>'Monthly Data'!C91</f>
        <v>6</v>
      </c>
      <c r="C91">
        <f>'Monthly Data'!B91</f>
        <v>2021</v>
      </c>
      <c r="D91" s="18">
        <f>'Monthly Data'!F91</f>
        <v>27805602.948201597</v>
      </c>
      <c r="E91" s="10">
        <f t="shared" ref="E91:F91" ca="1" si="91">E79</f>
        <v>4.2034708921711843</v>
      </c>
      <c r="F91" s="10">
        <f t="shared" ca="1" si="91"/>
        <v>25.077154107828811</v>
      </c>
      <c r="G91">
        <f>'Monthly Data'!BO91</f>
        <v>30</v>
      </c>
      <c r="H91">
        <f>'Monthly Data'!BS91</f>
        <v>0.75</v>
      </c>
      <c r="I91">
        <f>'Monthly Data'!BK91</f>
        <v>0</v>
      </c>
      <c r="K91" s="17">
        <f t="shared" si="60"/>
        <v>-1956373.74241439</v>
      </c>
      <c r="L91" s="17">
        <f t="shared" ca="1" si="62"/>
        <v>104957.49318686409</v>
      </c>
      <c r="M91" s="17">
        <f t="shared" ca="1" si="63"/>
        <v>1320610.0135373296</v>
      </c>
      <c r="N91" s="17">
        <f t="shared" si="64"/>
        <v>26540661.774392013</v>
      </c>
      <c r="O91" s="17">
        <f t="shared" si="65"/>
        <v>1577889.5239785374</v>
      </c>
      <c r="P91" s="17">
        <f t="shared" si="66"/>
        <v>0</v>
      </c>
      <c r="Q91" s="17">
        <f t="shared" ca="1" si="67"/>
        <v>27587745.062680356</v>
      </c>
    </row>
    <row r="92" spans="1:17" x14ac:dyDescent="0.2">
      <c r="A92" s="28">
        <f>'Monthly Data'!A92</f>
        <v>44378</v>
      </c>
      <c r="B92">
        <f>'Monthly Data'!C92</f>
        <v>7</v>
      </c>
      <c r="C92">
        <f>'Monthly Data'!B92</f>
        <v>2021</v>
      </c>
      <c r="D92" s="18">
        <f>'Monthly Data'!F92</f>
        <v>29964928.846765336</v>
      </c>
      <c r="E92" s="10">
        <f t="shared" ref="E92:F92" ca="1" si="92">E80</f>
        <v>0</v>
      </c>
      <c r="F92" s="10">
        <f t="shared" ca="1" si="92"/>
        <v>56.475141548990976</v>
      </c>
      <c r="G92">
        <f>'Monthly Data'!BO92</f>
        <v>31</v>
      </c>
      <c r="H92">
        <f>'Monthly Data'!BS92</f>
        <v>0.75</v>
      </c>
      <c r="I92">
        <f>'Monthly Data'!BK92</f>
        <v>0</v>
      </c>
      <c r="K92" s="17">
        <f t="shared" si="60"/>
        <v>-1956373.74241439</v>
      </c>
      <c r="L92" s="17">
        <f t="shared" ca="1" si="62"/>
        <v>0</v>
      </c>
      <c r="M92" s="17">
        <f t="shared" ca="1" si="63"/>
        <v>2974086.9767296286</v>
      </c>
      <c r="N92" s="17">
        <f t="shared" si="64"/>
        <v>27425350.500205077</v>
      </c>
      <c r="O92" s="17">
        <f t="shared" si="65"/>
        <v>1577889.5239785374</v>
      </c>
      <c r="P92" s="17">
        <f t="shared" si="66"/>
        <v>0</v>
      </c>
      <c r="Q92" s="17">
        <f t="shared" ca="1" si="67"/>
        <v>30020953.258498855</v>
      </c>
    </row>
    <row r="93" spans="1:17" x14ac:dyDescent="0.2">
      <c r="A93" s="28">
        <f>'Monthly Data'!A93</f>
        <v>44409</v>
      </c>
      <c r="B93">
        <f>'Monthly Data'!C93</f>
        <v>8</v>
      </c>
      <c r="C93">
        <f>'Monthly Data'!B93</f>
        <v>2021</v>
      </c>
      <c r="D93" s="18">
        <f>'Monthly Data'!F93</f>
        <v>30815942.315329079</v>
      </c>
      <c r="E93" s="10">
        <f t="shared" ref="E93:F93" ca="1" si="93">E81</f>
        <v>0.73208333333333309</v>
      </c>
      <c r="F93" s="10">
        <f t="shared" ca="1" si="93"/>
        <v>35.296250000000008</v>
      </c>
      <c r="G93">
        <f>'Monthly Data'!BO93</f>
        <v>31</v>
      </c>
      <c r="H93">
        <f>'Monthly Data'!BS93</f>
        <v>0.75</v>
      </c>
      <c r="I93">
        <f>'Monthly Data'!BK93</f>
        <v>0</v>
      </c>
      <c r="K93" s="17">
        <f t="shared" si="60"/>
        <v>-1956373.74241439</v>
      </c>
      <c r="L93" s="17">
        <f t="shared" ca="1" si="62"/>
        <v>18279.567871793144</v>
      </c>
      <c r="M93" s="17">
        <f t="shared" ca="1" si="63"/>
        <v>1858766.7878854342</v>
      </c>
      <c r="N93" s="17">
        <f t="shared" si="64"/>
        <v>27425350.500205077</v>
      </c>
      <c r="O93" s="17">
        <f t="shared" si="65"/>
        <v>1577889.5239785374</v>
      </c>
      <c r="P93" s="17">
        <f t="shared" si="66"/>
        <v>0</v>
      </c>
      <c r="Q93" s="17">
        <f t="shared" ca="1" si="67"/>
        <v>28923912.637526453</v>
      </c>
    </row>
    <row r="94" spans="1:17" x14ac:dyDescent="0.2">
      <c r="A94" s="28">
        <f>'Monthly Data'!A94</f>
        <v>44440</v>
      </c>
      <c r="B94">
        <f>'Monthly Data'!C94</f>
        <v>9</v>
      </c>
      <c r="C94">
        <f>'Monthly Data'!B94</f>
        <v>2021</v>
      </c>
      <c r="D94" s="18">
        <f>'Monthly Data'!F94</f>
        <v>25926319.283892822</v>
      </c>
      <c r="E94" s="10">
        <f t="shared" ref="E94:F94" ca="1" si="94">E82</f>
        <v>26.6509001176757</v>
      </c>
      <c r="F94" s="10">
        <f t="shared" ca="1" si="94"/>
        <v>11.128958333333333</v>
      </c>
      <c r="G94">
        <f>'Monthly Data'!BO94</f>
        <v>30</v>
      </c>
      <c r="H94">
        <f>'Monthly Data'!BS94</f>
        <v>0.75</v>
      </c>
      <c r="I94">
        <f>'Monthly Data'!BK94</f>
        <v>1</v>
      </c>
      <c r="K94" s="17">
        <f t="shared" si="60"/>
        <v>-1956373.74241439</v>
      </c>
      <c r="L94" s="17">
        <f t="shared" ca="1" si="62"/>
        <v>665452.84582187783</v>
      </c>
      <c r="M94" s="17">
        <f t="shared" ca="1" si="63"/>
        <v>586071.83861630713</v>
      </c>
      <c r="N94" s="17">
        <f t="shared" si="64"/>
        <v>26540661.774392013</v>
      </c>
      <c r="O94" s="17">
        <f t="shared" si="65"/>
        <v>1577889.5239785374</v>
      </c>
      <c r="P94" s="17">
        <f t="shared" si="66"/>
        <v>-1149094.2112539201</v>
      </c>
      <c r="Q94" s="17">
        <f t="shared" ca="1" si="67"/>
        <v>26264608.029140428</v>
      </c>
    </row>
    <row r="95" spans="1:17" x14ac:dyDescent="0.2">
      <c r="A95" s="28">
        <f>'Monthly Data'!A95</f>
        <v>44470</v>
      </c>
      <c r="B95">
        <f>'Monthly Data'!C95</f>
        <v>10</v>
      </c>
      <c r="C95">
        <f>'Monthly Data'!B95</f>
        <v>2021</v>
      </c>
      <c r="D95" s="18">
        <f>'Monthly Data'!F95</f>
        <v>27354078.152456563</v>
      </c>
      <c r="E95" s="10">
        <f t="shared" ref="E95:F95" ca="1" si="95">E83</f>
        <v>177.51367324027484</v>
      </c>
      <c r="F95" s="10">
        <f t="shared" ca="1" si="95"/>
        <v>0.44687499999999963</v>
      </c>
      <c r="G95">
        <f>'Monthly Data'!BO95</f>
        <v>31</v>
      </c>
      <c r="H95">
        <f>'Monthly Data'!BS95</f>
        <v>0.75</v>
      </c>
      <c r="I95">
        <f>'Monthly Data'!BK95</f>
        <v>1</v>
      </c>
      <c r="K95" s="17">
        <f t="shared" si="60"/>
        <v>-1956373.74241439</v>
      </c>
      <c r="L95" s="17">
        <f t="shared" ca="1" si="62"/>
        <v>4432382.3401255533</v>
      </c>
      <c r="M95" s="17">
        <f t="shared" ca="1" si="63"/>
        <v>23533.276434077346</v>
      </c>
      <c r="N95" s="17">
        <f t="shared" si="64"/>
        <v>27425350.500205077</v>
      </c>
      <c r="O95" s="17">
        <f t="shared" si="65"/>
        <v>1577889.5239785374</v>
      </c>
      <c r="P95" s="17">
        <f t="shared" si="66"/>
        <v>-1149094.2112539201</v>
      </c>
      <c r="Q95" s="17">
        <f t="shared" ca="1" si="67"/>
        <v>30353687.687074937</v>
      </c>
    </row>
    <row r="96" spans="1:17" x14ac:dyDescent="0.2">
      <c r="A96" s="28">
        <f>'Monthly Data'!A96</f>
        <v>44501</v>
      </c>
      <c r="B96">
        <f>'Monthly Data'!C96</f>
        <v>11</v>
      </c>
      <c r="C96">
        <f>'Monthly Data'!B96</f>
        <v>2021</v>
      </c>
      <c r="D96" s="18">
        <f>'Monthly Data'!F96</f>
        <v>32953447.321020301</v>
      </c>
      <c r="E96" s="10">
        <f t="shared" ref="E96:F96" ca="1" si="96">E84</f>
        <v>390.8187460098469</v>
      </c>
      <c r="F96" s="10">
        <f t="shared" ca="1" si="96"/>
        <v>0</v>
      </c>
      <c r="G96">
        <f>'Monthly Data'!BO96</f>
        <v>30</v>
      </c>
      <c r="H96">
        <f>'Monthly Data'!BS96</f>
        <v>0.75</v>
      </c>
      <c r="I96">
        <f>'Monthly Data'!BK96</f>
        <v>1</v>
      </c>
      <c r="K96" s="17">
        <f t="shared" si="60"/>
        <v>-1956373.74241439</v>
      </c>
      <c r="L96" s="17">
        <f t="shared" ca="1" si="62"/>
        <v>9758448.8923247606</v>
      </c>
      <c r="M96" s="17">
        <f t="shared" ca="1" si="63"/>
        <v>0</v>
      </c>
      <c r="N96" s="17">
        <f t="shared" si="64"/>
        <v>26540661.774392013</v>
      </c>
      <c r="O96" s="17">
        <f t="shared" si="65"/>
        <v>1577889.5239785374</v>
      </c>
      <c r="P96" s="17">
        <f t="shared" si="66"/>
        <v>-1149094.2112539201</v>
      </c>
      <c r="Q96" s="17">
        <f t="shared" ca="1" si="67"/>
        <v>34771532.237027004</v>
      </c>
    </row>
    <row r="97" spans="1:17" x14ac:dyDescent="0.2">
      <c r="A97" s="28">
        <f>'Monthly Data'!A97</f>
        <v>44531</v>
      </c>
      <c r="B97">
        <f>'Monthly Data'!C97</f>
        <v>12</v>
      </c>
      <c r="C97">
        <f>'Monthly Data'!B97</f>
        <v>2021</v>
      </c>
      <c r="D97" s="18">
        <f>'Monthly Data'!F97</f>
        <v>41398567.21958404</v>
      </c>
      <c r="E97" s="10">
        <f t="shared" ref="E97:F97" ca="1" si="97">E85</f>
        <v>570.62936502461719</v>
      </c>
      <c r="F97" s="10">
        <f t="shared" ca="1" si="97"/>
        <v>0</v>
      </c>
      <c r="G97">
        <f>'Monthly Data'!BO97</f>
        <v>31</v>
      </c>
      <c r="H97">
        <f>'Monthly Data'!BS97</f>
        <v>0.75</v>
      </c>
      <c r="I97">
        <f>'Monthly Data'!BK97</f>
        <v>0</v>
      </c>
      <c r="K97" s="17">
        <f t="shared" si="60"/>
        <v>-1956373.74241439</v>
      </c>
      <c r="L97" s="17">
        <f t="shared" ca="1" si="62"/>
        <v>14248184.233496714</v>
      </c>
      <c r="M97" s="17">
        <f t="shared" ca="1" si="63"/>
        <v>0</v>
      </c>
      <c r="N97" s="17">
        <f t="shared" si="64"/>
        <v>27425350.500205077</v>
      </c>
      <c r="O97" s="17">
        <f t="shared" si="65"/>
        <v>1577889.5239785374</v>
      </c>
      <c r="P97" s="17">
        <f t="shared" si="66"/>
        <v>0</v>
      </c>
      <c r="Q97" s="17">
        <f t="shared" ca="1" si="67"/>
        <v>41295050.515265942</v>
      </c>
    </row>
    <row r="98" spans="1:17" x14ac:dyDescent="0.2">
      <c r="A98" s="28">
        <f>'Monthly Data'!A98</f>
        <v>44562</v>
      </c>
      <c r="B98">
        <f>'Monthly Data'!C98</f>
        <v>1</v>
      </c>
      <c r="C98">
        <f>'Monthly Data'!B98</f>
        <v>2022</v>
      </c>
      <c r="D98" s="18">
        <f>'Monthly Data'!F98</f>
        <v>48603336.169453375</v>
      </c>
      <c r="E98" s="10">
        <f t="shared" ref="E98:F98" ca="1" si="98">E86</f>
        <v>728.68367523535153</v>
      </c>
      <c r="F98" s="10">
        <f t="shared" ca="1" si="98"/>
        <v>0</v>
      </c>
      <c r="G98">
        <f>'Monthly Data'!BO98</f>
        <v>31</v>
      </c>
      <c r="H98">
        <f>'Monthly Data'!BS98</f>
        <v>0.5</v>
      </c>
      <c r="I98">
        <f>'Monthly Data'!BK98</f>
        <v>0</v>
      </c>
      <c r="K98" s="17">
        <f t="shared" ref="K98:K129" si="99">$T$7</f>
        <v>-1956373.74241439</v>
      </c>
      <c r="L98" s="17">
        <f t="shared" ca="1" si="62"/>
        <v>18194680.976936534</v>
      </c>
      <c r="M98" s="17">
        <f t="shared" ca="1" si="63"/>
        <v>0</v>
      </c>
      <c r="N98" s="17">
        <f t="shared" si="64"/>
        <v>27425350.500205077</v>
      </c>
      <c r="O98" s="17">
        <f t="shared" si="65"/>
        <v>1051926.3493190249</v>
      </c>
      <c r="P98" s="17">
        <f t="shared" si="66"/>
        <v>0</v>
      </c>
      <c r="Q98" s="17">
        <f t="shared" ca="1" si="67"/>
        <v>44715584.084046245</v>
      </c>
    </row>
    <row r="99" spans="1:17" x14ac:dyDescent="0.2">
      <c r="A99" s="28">
        <f>'Monthly Data'!A99</f>
        <v>44593</v>
      </c>
      <c r="B99">
        <f>'Monthly Data'!C99</f>
        <v>2</v>
      </c>
      <c r="C99">
        <f>'Monthly Data'!B99</f>
        <v>2022</v>
      </c>
      <c r="D99" s="18">
        <f>'Monthly Data'!F99</f>
        <v>41341771.798382699</v>
      </c>
      <c r="E99" s="10">
        <f t="shared" ref="E99:F99" ca="1" si="100">E87</f>
        <v>655.75083333333328</v>
      </c>
      <c r="F99" s="10">
        <f t="shared" ca="1" si="100"/>
        <v>0</v>
      </c>
      <c r="G99">
        <f>'Monthly Data'!BO99</f>
        <v>28</v>
      </c>
      <c r="H99">
        <f>'Monthly Data'!BS99</f>
        <v>0.5</v>
      </c>
      <c r="I99">
        <f>'Monthly Data'!BK99</f>
        <v>0</v>
      </c>
      <c r="K99" s="17">
        <f t="shared" si="99"/>
        <v>-1956373.74241439</v>
      </c>
      <c r="L99" s="17">
        <f t="shared" ca="1" si="62"/>
        <v>16373603.002711328</v>
      </c>
      <c r="M99" s="17">
        <f t="shared" ca="1" si="63"/>
        <v>0</v>
      </c>
      <c r="N99" s="17">
        <f t="shared" si="64"/>
        <v>24771284.322765879</v>
      </c>
      <c r="O99" s="17">
        <f t="shared" si="65"/>
        <v>1051926.3493190249</v>
      </c>
      <c r="P99" s="17">
        <f t="shared" si="66"/>
        <v>0</v>
      </c>
      <c r="Q99" s="17">
        <f t="shared" ca="1" si="67"/>
        <v>40240439.932381839</v>
      </c>
    </row>
    <row r="100" spans="1:17" x14ac:dyDescent="0.2">
      <c r="A100" s="28">
        <f>'Monthly Data'!A100</f>
        <v>44621</v>
      </c>
      <c r="B100">
        <f>'Monthly Data'!C100</f>
        <v>3</v>
      </c>
      <c r="C100">
        <f>'Monthly Data'!B100</f>
        <v>2022</v>
      </c>
      <c r="D100" s="18">
        <f>'Monthly Data'!F100</f>
        <v>39077708.027312025</v>
      </c>
      <c r="E100" s="10">
        <f t="shared" ref="E100:F100" ca="1" si="101">E88</f>
        <v>531.1185376765136</v>
      </c>
      <c r="F100" s="10">
        <f t="shared" ca="1" si="101"/>
        <v>0</v>
      </c>
      <c r="G100">
        <f>'Monthly Data'!BO100</f>
        <v>31</v>
      </c>
      <c r="H100">
        <f>'Monthly Data'!BS100</f>
        <v>0.5</v>
      </c>
      <c r="I100">
        <f>'Monthly Data'!BK100</f>
        <v>1</v>
      </c>
      <c r="K100" s="17">
        <f t="shared" si="99"/>
        <v>-1956373.74241439</v>
      </c>
      <c r="L100" s="17">
        <f t="shared" ca="1" si="62"/>
        <v>13261628.718167821</v>
      </c>
      <c r="M100" s="17">
        <f t="shared" ca="1" si="63"/>
        <v>0</v>
      </c>
      <c r="N100" s="17">
        <f t="shared" si="64"/>
        <v>27425350.500205077</v>
      </c>
      <c r="O100" s="17">
        <f t="shared" si="65"/>
        <v>1051926.3493190249</v>
      </c>
      <c r="P100" s="17">
        <f t="shared" si="66"/>
        <v>-1149094.2112539201</v>
      </c>
      <c r="Q100" s="17">
        <f t="shared" ca="1" si="67"/>
        <v>38633437.614023618</v>
      </c>
    </row>
    <row r="101" spans="1:17" x14ac:dyDescent="0.2">
      <c r="A101" s="28">
        <f>'Monthly Data'!A101</f>
        <v>44652</v>
      </c>
      <c r="B101">
        <f>'Monthly Data'!C101</f>
        <v>4</v>
      </c>
      <c r="C101">
        <f>'Monthly Data'!B101</f>
        <v>2022</v>
      </c>
      <c r="D101" s="18">
        <f>'Monthly Data'!F101</f>
        <v>31812872.776241343</v>
      </c>
      <c r="E101" s="10">
        <f t="shared" ref="E101:F101" ca="1" si="102">E89</f>
        <v>291.21791666666667</v>
      </c>
      <c r="F101" s="10">
        <f t="shared" ca="1" si="102"/>
        <v>0</v>
      </c>
      <c r="G101">
        <f>'Monthly Data'!BO101</f>
        <v>30</v>
      </c>
      <c r="H101">
        <f>'Monthly Data'!BS101</f>
        <v>0.5</v>
      </c>
      <c r="I101">
        <f>'Monthly Data'!BK101</f>
        <v>1</v>
      </c>
      <c r="K101" s="17">
        <f t="shared" si="99"/>
        <v>-1956373.74241439</v>
      </c>
      <c r="L101" s="17">
        <f t="shared" ca="1" si="62"/>
        <v>7271491.4147167243</v>
      </c>
      <c r="M101" s="17">
        <f t="shared" ca="1" si="63"/>
        <v>0</v>
      </c>
      <c r="N101" s="17">
        <f t="shared" si="64"/>
        <v>26540661.774392013</v>
      </c>
      <c r="O101" s="17">
        <f t="shared" si="65"/>
        <v>1051926.3493190249</v>
      </c>
      <c r="P101" s="17">
        <f t="shared" si="66"/>
        <v>-1149094.2112539201</v>
      </c>
      <c r="Q101" s="17">
        <f t="shared" ca="1" si="67"/>
        <v>31758611.584759455</v>
      </c>
    </row>
    <row r="102" spans="1:17" x14ac:dyDescent="0.2">
      <c r="A102" s="28">
        <f>'Monthly Data'!A102</f>
        <v>44682</v>
      </c>
      <c r="B102">
        <f>'Monthly Data'!C102</f>
        <v>5</v>
      </c>
      <c r="C102">
        <f>'Monthly Data'!B102</f>
        <v>2022</v>
      </c>
      <c r="D102" s="18">
        <f>'Monthly Data'!F102</f>
        <v>27326711.455170669</v>
      </c>
      <c r="E102" s="10">
        <f t="shared" ref="E102:F102" ca="1" si="103">E90</f>
        <v>76.006595892171191</v>
      </c>
      <c r="F102" s="10">
        <f t="shared" ca="1" si="103"/>
        <v>9.6293749999999996</v>
      </c>
      <c r="G102">
        <f>'Monthly Data'!BO102</f>
        <v>31</v>
      </c>
      <c r="H102">
        <f>'Monthly Data'!BS102</f>
        <v>0.5</v>
      </c>
      <c r="I102">
        <f>'Monthly Data'!BK102</f>
        <v>1</v>
      </c>
      <c r="K102" s="17">
        <f t="shared" si="99"/>
        <v>-1956373.74241439</v>
      </c>
      <c r="L102" s="17">
        <f t="shared" ca="1" si="62"/>
        <v>1897827.2896731673</v>
      </c>
      <c r="M102" s="17">
        <f t="shared" ca="1" si="63"/>
        <v>507100.96506269928</v>
      </c>
      <c r="N102" s="17">
        <f t="shared" si="64"/>
        <v>27425350.500205077</v>
      </c>
      <c r="O102" s="17">
        <f t="shared" si="65"/>
        <v>1051926.3493190249</v>
      </c>
      <c r="P102" s="17">
        <f t="shared" si="66"/>
        <v>-1149094.2112539201</v>
      </c>
      <c r="Q102" s="17">
        <f t="shared" ca="1" si="67"/>
        <v>27776737.15059166</v>
      </c>
    </row>
    <row r="103" spans="1:17" x14ac:dyDescent="0.2">
      <c r="A103" s="28">
        <f>'Monthly Data'!A103</f>
        <v>44713</v>
      </c>
      <c r="B103">
        <f>'Monthly Data'!C103</f>
        <v>6</v>
      </c>
      <c r="C103">
        <f>'Monthly Data'!B103</f>
        <v>2022</v>
      </c>
      <c r="D103" s="18">
        <f>'Monthly Data'!F103</f>
        <v>26661606.264099989</v>
      </c>
      <c r="E103" s="10">
        <f t="shared" ref="E103:F103" ca="1" si="104">E91</f>
        <v>4.2034708921711843</v>
      </c>
      <c r="F103" s="10">
        <f t="shared" ca="1" si="104"/>
        <v>25.077154107828811</v>
      </c>
      <c r="G103">
        <f>'Monthly Data'!BO103</f>
        <v>30</v>
      </c>
      <c r="H103">
        <f>'Monthly Data'!BS103</f>
        <v>0.5</v>
      </c>
      <c r="I103">
        <f>'Monthly Data'!BK103</f>
        <v>0</v>
      </c>
      <c r="K103" s="17">
        <f t="shared" si="99"/>
        <v>-1956373.74241439</v>
      </c>
      <c r="L103" s="17">
        <f t="shared" ca="1" si="62"/>
        <v>104957.49318686409</v>
      </c>
      <c r="M103" s="17">
        <f t="shared" ca="1" si="63"/>
        <v>1320610.0135373296</v>
      </c>
      <c r="N103" s="17">
        <f t="shared" si="64"/>
        <v>26540661.774392013</v>
      </c>
      <c r="O103" s="17">
        <f t="shared" si="65"/>
        <v>1051926.3493190249</v>
      </c>
      <c r="P103" s="17">
        <f t="shared" si="66"/>
        <v>0</v>
      </c>
      <c r="Q103" s="17">
        <f t="shared" ca="1" si="67"/>
        <v>27061781.888020843</v>
      </c>
    </row>
    <row r="104" spans="1:17" x14ac:dyDescent="0.2">
      <c r="A104" s="28">
        <f>'Monthly Data'!A104</f>
        <v>44743</v>
      </c>
      <c r="B104">
        <f>'Monthly Data'!C104</f>
        <v>7</v>
      </c>
      <c r="C104">
        <f>'Monthly Data'!B104</f>
        <v>2022</v>
      </c>
      <c r="D104" s="18">
        <f>'Monthly Data'!F104</f>
        <v>29470184.383029308</v>
      </c>
      <c r="E104" s="10">
        <f t="shared" ref="E104:F104" ca="1" si="105">E92</f>
        <v>0</v>
      </c>
      <c r="F104" s="10">
        <f t="shared" ca="1" si="105"/>
        <v>56.475141548990976</v>
      </c>
      <c r="G104">
        <f>'Monthly Data'!BO104</f>
        <v>31</v>
      </c>
      <c r="H104">
        <f>'Monthly Data'!BS104</f>
        <v>0.5</v>
      </c>
      <c r="I104">
        <f>'Monthly Data'!BK104</f>
        <v>0</v>
      </c>
      <c r="K104" s="17">
        <f t="shared" si="99"/>
        <v>-1956373.74241439</v>
      </c>
      <c r="L104" s="17">
        <f t="shared" ca="1" si="62"/>
        <v>0</v>
      </c>
      <c r="M104" s="17">
        <f t="shared" ca="1" si="63"/>
        <v>2974086.9767296286</v>
      </c>
      <c r="N104" s="17">
        <f t="shared" si="64"/>
        <v>27425350.500205077</v>
      </c>
      <c r="O104" s="17">
        <f t="shared" si="65"/>
        <v>1051926.3493190249</v>
      </c>
      <c r="P104" s="17">
        <f t="shared" si="66"/>
        <v>0</v>
      </c>
      <c r="Q104" s="17">
        <f t="shared" ca="1" si="67"/>
        <v>29494990.083839342</v>
      </c>
    </row>
    <row r="105" spans="1:17" x14ac:dyDescent="0.2">
      <c r="A105" s="28">
        <f>'Monthly Data'!A105</f>
        <v>44774</v>
      </c>
      <c r="B105">
        <f>'Monthly Data'!C105</f>
        <v>8</v>
      </c>
      <c r="C105">
        <f>'Monthly Data'!B105</f>
        <v>2022</v>
      </c>
      <c r="D105" s="18">
        <f>'Monthly Data'!F105</f>
        <v>29185319.021958631</v>
      </c>
      <c r="E105" s="10">
        <f t="shared" ref="E105:F105" ca="1" si="106">E93</f>
        <v>0.73208333333333309</v>
      </c>
      <c r="F105" s="10">
        <f t="shared" ca="1" si="106"/>
        <v>35.296250000000008</v>
      </c>
      <c r="G105">
        <f>'Monthly Data'!BO105</f>
        <v>31</v>
      </c>
      <c r="H105">
        <f>'Monthly Data'!BS105</f>
        <v>0.5</v>
      </c>
      <c r="I105">
        <f>'Monthly Data'!BK105</f>
        <v>0</v>
      </c>
      <c r="K105" s="17">
        <f t="shared" si="99"/>
        <v>-1956373.74241439</v>
      </c>
      <c r="L105" s="17">
        <f t="shared" ca="1" si="62"/>
        <v>18279.567871793144</v>
      </c>
      <c r="M105" s="17">
        <f t="shared" ca="1" si="63"/>
        <v>1858766.7878854342</v>
      </c>
      <c r="N105" s="17">
        <f t="shared" si="64"/>
        <v>27425350.500205077</v>
      </c>
      <c r="O105" s="17">
        <f t="shared" si="65"/>
        <v>1051926.3493190249</v>
      </c>
      <c r="P105" s="17">
        <f t="shared" si="66"/>
        <v>0</v>
      </c>
      <c r="Q105" s="17">
        <f t="shared" ca="1" si="67"/>
        <v>28397949.46286694</v>
      </c>
    </row>
    <row r="106" spans="1:17" x14ac:dyDescent="0.2">
      <c r="A106" s="28">
        <f>'Monthly Data'!A106</f>
        <v>44805</v>
      </c>
      <c r="B106">
        <f>'Monthly Data'!C106</f>
        <v>9</v>
      </c>
      <c r="C106">
        <f>'Monthly Data'!B106</f>
        <v>2022</v>
      </c>
      <c r="D106" s="18">
        <f>'Monthly Data'!F106</f>
        <v>26321435.78088795</v>
      </c>
      <c r="E106" s="10">
        <f t="shared" ref="E106:F106" ca="1" si="107">E94</f>
        <v>26.6509001176757</v>
      </c>
      <c r="F106" s="10">
        <f t="shared" ca="1" si="107"/>
        <v>11.128958333333333</v>
      </c>
      <c r="G106">
        <f>'Monthly Data'!BO106</f>
        <v>30</v>
      </c>
      <c r="H106">
        <f>'Monthly Data'!BS106</f>
        <v>0.5</v>
      </c>
      <c r="I106">
        <f>'Monthly Data'!BK106</f>
        <v>1</v>
      </c>
      <c r="K106" s="17">
        <f t="shared" si="99"/>
        <v>-1956373.74241439</v>
      </c>
      <c r="L106" s="17">
        <f t="shared" ca="1" si="62"/>
        <v>665452.84582187783</v>
      </c>
      <c r="M106" s="17">
        <f t="shared" ca="1" si="63"/>
        <v>586071.83861630713</v>
      </c>
      <c r="N106" s="17">
        <f t="shared" si="64"/>
        <v>26540661.774392013</v>
      </c>
      <c r="O106" s="17">
        <f t="shared" si="65"/>
        <v>1051926.3493190249</v>
      </c>
      <c r="P106" s="17">
        <f t="shared" si="66"/>
        <v>-1149094.2112539201</v>
      </c>
      <c r="Q106" s="17">
        <f t="shared" ca="1" si="67"/>
        <v>25738644.854480915</v>
      </c>
    </row>
    <row r="107" spans="1:17" x14ac:dyDescent="0.2">
      <c r="A107" s="28">
        <f>'Monthly Data'!A107</f>
        <v>44835</v>
      </c>
      <c r="B107">
        <f>'Monthly Data'!C107</f>
        <v>10</v>
      </c>
      <c r="C107">
        <f>'Monthly Data'!B107</f>
        <v>2022</v>
      </c>
      <c r="D107" s="18">
        <f>'Monthly Data'!F107</f>
        <v>27718622.209817275</v>
      </c>
      <c r="E107" s="10">
        <f t="shared" ref="E107:F107" ca="1" si="108">E95</f>
        <v>177.51367324027484</v>
      </c>
      <c r="F107" s="10">
        <f t="shared" ca="1" si="108"/>
        <v>0.44687499999999963</v>
      </c>
      <c r="G107">
        <f>'Monthly Data'!BO107</f>
        <v>31</v>
      </c>
      <c r="H107">
        <f>'Monthly Data'!BS107</f>
        <v>0.5</v>
      </c>
      <c r="I107">
        <f>'Monthly Data'!BK107</f>
        <v>1</v>
      </c>
      <c r="K107" s="17">
        <f t="shared" si="99"/>
        <v>-1956373.74241439</v>
      </c>
      <c r="L107" s="17">
        <f t="shared" ca="1" si="62"/>
        <v>4432382.3401255533</v>
      </c>
      <c r="M107" s="17">
        <f t="shared" ca="1" si="63"/>
        <v>23533.276434077346</v>
      </c>
      <c r="N107" s="17">
        <f t="shared" si="64"/>
        <v>27425350.500205077</v>
      </c>
      <c r="O107" s="17">
        <f t="shared" si="65"/>
        <v>1051926.3493190249</v>
      </c>
      <c r="P107" s="17">
        <f t="shared" si="66"/>
        <v>-1149094.2112539201</v>
      </c>
      <c r="Q107" s="17">
        <f t="shared" ca="1" si="67"/>
        <v>29827724.512415424</v>
      </c>
    </row>
    <row r="108" spans="1:17" x14ac:dyDescent="0.2">
      <c r="A108" s="28">
        <f>'Monthly Data'!A108</f>
        <v>44866</v>
      </c>
      <c r="B108">
        <f>'Monthly Data'!C108</f>
        <v>11</v>
      </c>
      <c r="C108">
        <f>'Monthly Data'!B108</f>
        <v>2022</v>
      </c>
      <c r="D108" s="18">
        <f>'Monthly Data'!F108</f>
        <v>32699792.778746594</v>
      </c>
      <c r="E108" s="10">
        <f t="shared" ref="E108:F108" ca="1" si="109">E96</f>
        <v>390.8187460098469</v>
      </c>
      <c r="F108" s="10">
        <f t="shared" ca="1" si="109"/>
        <v>0</v>
      </c>
      <c r="G108">
        <f>'Monthly Data'!BO108</f>
        <v>30</v>
      </c>
      <c r="H108">
        <f>'Monthly Data'!BS108</f>
        <v>0.5</v>
      </c>
      <c r="I108">
        <f>'Monthly Data'!BK108</f>
        <v>1</v>
      </c>
      <c r="K108" s="17">
        <f t="shared" si="99"/>
        <v>-1956373.74241439</v>
      </c>
      <c r="L108" s="17">
        <f t="shared" ca="1" si="62"/>
        <v>9758448.8923247606</v>
      </c>
      <c r="M108" s="17">
        <f t="shared" ca="1" si="63"/>
        <v>0</v>
      </c>
      <c r="N108" s="17">
        <f t="shared" si="64"/>
        <v>26540661.774392013</v>
      </c>
      <c r="O108" s="17">
        <f t="shared" si="65"/>
        <v>1051926.3493190249</v>
      </c>
      <c r="P108" s="17">
        <f t="shared" si="66"/>
        <v>-1149094.2112539201</v>
      </c>
      <c r="Q108" s="17">
        <f t="shared" ca="1" si="67"/>
        <v>34245569.062367491</v>
      </c>
    </row>
    <row r="109" spans="1:17" x14ac:dyDescent="0.2">
      <c r="A109" s="28">
        <f>'Monthly Data'!A109</f>
        <v>44896</v>
      </c>
      <c r="B109">
        <f>'Monthly Data'!C109</f>
        <v>12</v>
      </c>
      <c r="C109">
        <f>'Monthly Data'!B109</f>
        <v>2022</v>
      </c>
      <c r="D109" s="18">
        <f>'Monthly Data'!F109</f>
        <v>39727803.907675914</v>
      </c>
      <c r="E109" s="10">
        <f t="shared" ref="E109:F109" ca="1" si="110">E97</f>
        <v>570.62936502461719</v>
      </c>
      <c r="F109" s="10">
        <f t="shared" ca="1" si="110"/>
        <v>0</v>
      </c>
      <c r="G109">
        <f>'Monthly Data'!BO109</f>
        <v>31</v>
      </c>
      <c r="H109">
        <f>'Monthly Data'!BS109</f>
        <v>0.5</v>
      </c>
      <c r="I109">
        <f>'Monthly Data'!BK109</f>
        <v>0</v>
      </c>
      <c r="K109" s="17">
        <f t="shared" si="99"/>
        <v>-1956373.74241439</v>
      </c>
      <c r="L109" s="17">
        <f t="shared" ca="1" si="62"/>
        <v>14248184.233496714</v>
      </c>
      <c r="M109" s="17">
        <f t="shared" ca="1" si="63"/>
        <v>0</v>
      </c>
      <c r="N109" s="17">
        <f t="shared" si="64"/>
        <v>27425350.500205077</v>
      </c>
      <c r="O109" s="17">
        <f t="shared" si="65"/>
        <v>1051926.3493190249</v>
      </c>
      <c r="P109" s="17">
        <f t="shared" si="66"/>
        <v>0</v>
      </c>
      <c r="Q109" s="17">
        <f t="shared" ca="1" si="67"/>
        <v>40769087.340606429</v>
      </c>
    </row>
    <row r="110" spans="1:17" x14ac:dyDescent="0.2">
      <c r="A110" s="28">
        <f>'Monthly Data'!A110</f>
        <v>44927</v>
      </c>
      <c r="B110">
        <f>'Monthly Data'!C110</f>
        <v>1</v>
      </c>
      <c r="C110">
        <f>'Monthly Data'!B110</f>
        <v>2023</v>
      </c>
      <c r="D110" s="18">
        <f>'Monthly Data'!F110</f>
        <v>41500301.622316256</v>
      </c>
      <c r="E110" s="10">
        <f t="shared" ref="E110:F110" ca="1" si="111">E98</f>
        <v>728.68367523535153</v>
      </c>
      <c r="F110" s="10">
        <f t="shared" ca="1" si="111"/>
        <v>0</v>
      </c>
      <c r="G110">
        <f>'Monthly Data'!BO110</f>
        <v>31</v>
      </c>
      <c r="H110">
        <f>'Monthly Data'!BS110</f>
        <v>0.25</v>
      </c>
      <c r="I110">
        <f>'Monthly Data'!BK110</f>
        <v>0</v>
      </c>
      <c r="K110" s="17">
        <f t="shared" si="99"/>
        <v>-1956373.74241439</v>
      </c>
      <c r="L110" s="17">
        <f t="shared" ca="1" si="62"/>
        <v>18194680.976936534</v>
      </c>
      <c r="M110" s="17">
        <f t="shared" ca="1" si="63"/>
        <v>0</v>
      </c>
      <c r="N110" s="17">
        <f t="shared" si="64"/>
        <v>27425350.500205077</v>
      </c>
      <c r="O110" s="17">
        <f t="shared" si="65"/>
        <v>525963.17465951247</v>
      </c>
      <c r="P110" s="17">
        <f t="shared" si="66"/>
        <v>0</v>
      </c>
      <c r="Q110" s="17">
        <f t="shared" ca="1" si="67"/>
        <v>44189620.909386732</v>
      </c>
    </row>
    <row r="111" spans="1:17" x14ac:dyDescent="0.2">
      <c r="A111" s="28">
        <f>'Monthly Data'!A111</f>
        <v>44958</v>
      </c>
      <c r="B111">
        <f>'Monthly Data'!C111</f>
        <v>2</v>
      </c>
      <c r="C111">
        <f>'Monthly Data'!B111</f>
        <v>2023</v>
      </c>
      <c r="D111" s="18">
        <f>'Monthly Data'!F111</f>
        <v>37620293.28281647</v>
      </c>
      <c r="E111" s="10">
        <f t="shared" ref="E111:F111" ca="1" si="112">E99</f>
        <v>655.75083333333328</v>
      </c>
      <c r="F111" s="10">
        <f t="shared" ca="1" si="112"/>
        <v>0</v>
      </c>
      <c r="G111">
        <f>'Monthly Data'!BO111</f>
        <v>28</v>
      </c>
      <c r="H111">
        <f>'Monthly Data'!BS111</f>
        <v>0.25</v>
      </c>
      <c r="I111">
        <f>'Monthly Data'!BK111</f>
        <v>0</v>
      </c>
      <c r="K111" s="17">
        <f t="shared" si="99"/>
        <v>-1956373.74241439</v>
      </c>
      <c r="L111" s="17">
        <f t="shared" ca="1" si="62"/>
        <v>16373603.002711328</v>
      </c>
      <c r="M111" s="17">
        <f t="shared" ca="1" si="63"/>
        <v>0</v>
      </c>
      <c r="N111" s="17">
        <f t="shared" si="64"/>
        <v>24771284.322765879</v>
      </c>
      <c r="O111" s="17">
        <f t="shared" si="65"/>
        <v>525963.17465951247</v>
      </c>
      <c r="P111" s="17">
        <f t="shared" si="66"/>
        <v>0</v>
      </c>
      <c r="Q111" s="17">
        <f t="shared" ca="1" si="67"/>
        <v>39714476.757722326</v>
      </c>
    </row>
    <row r="112" spans="1:17" x14ac:dyDescent="0.2">
      <c r="A112" s="28">
        <f>'Monthly Data'!A112</f>
        <v>44986</v>
      </c>
      <c r="B112">
        <f>'Monthly Data'!C112</f>
        <v>3</v>
      </c>
      <c r="C112">
        <f>'Monthly Data'!B112</f>
        <v>2023</v>
      </c>
      <c r="D112" s="18">
        <f>'Monthly Data'!F112</f>
        <v>37731390.093316682</v>
      </c>
      <c r="E112" s="10">
        <f t="shared" ref="E112:F112" ca="1" si="113">E100</f>
        <v>531.1185376765136</v>
      </c>
      <c r="F112" s="10">
        <f t="shared" ca="1" si="113"/>
        <v>0</v>
      </c>
      <c r="G112">
        <f>'Monthly Data'!BO112</f>
        <v>31</v>
      </c>
      <c r="H112">
        <f>'Monthly Data'!BS112</f>
        <v>0.25</v>
      </c>
      <c r="I112">
        <f>'Monthly Data'!BK112</f>
        <v>1</v>
      </c>
      <c r="K112" s="17">
        <f t="shared" si="99"/>
        <v>-1956373.74241439</v>
      </c>
      <c r="L112" s="17">
        <f t="shared" ca="1" si="62"/>
        <v>13261628.718167821</v>
      </c>
      <c r="M112" s="17">
        <f t="shared" ca="1" si="63"/>
        <v>0</v>
      </c>
      <c r="N112" s="17">
        <f t="shared" si="64"/>
        <v>27425350.500205077</v>
      </c>
      <c r="O112" s="17">
        <f t="shared" si="65"/>
        <v>525963.17465951247</v>
      </c>
      <c r="P112" s="17">
        <f t="shared" si="66"/>
        <v>-1149094.2112539201</v>
      </c>
      <c r="Q112" s="17">
        <f t="shared" ca="1" si="67"/>
        <v>38107474.439364105</v>
      </c>
    </row>
    <row r="113" spans="1:20" x14ac:dyDescent="0.2">
      <c r="A113" s="28">
        <f>'Monthly Data'!A113</f>
        <v>45017</v>
      </c>
      <c r="B113">
        <f>'Monthly Data'!C113</f>
        <v>4</v>
      </c>
      <c r="C113">
        <f>'Monthly Data'!B113</f>
        <v>2023</v>
      </c>
      <c r="D113" s="18">
        <f>'Monthly Data'!F113</f>
        <v>31188523.153816897</v>
      </c>
      <c r="E113" s="10">
        <f t="shared" ref="E113:F113" ca="1" si="114">E101</f>
        <v>291.21791666666667</v>
      </c>
      <c r="F113" s="10">
        <f t="shared" ca="1" si="114"/>
        <v>0</v>
      </c>
      <c r="G113">
        <f>'Monthly Data'!BO113</f>
        <v>30</v>
      </c>
      <c r="H113">
        <f>'Monthly Data'!BS113</f>
        <v>0.25</v>
      </c>
      <c r="I113">
        <f>'Monthly Data'!BK113</f>
        <v>1</v>
      </c>
      <c r="K113" s="17">
        <f t="shared" si="99"/>
        <v>-1956373.74241439</v>
      </c>
      <c r="L113" s="17">
        <f t="shared" ca="1" si="62"/>
        <v>7271491.4147167243</v>
      </c>
      <c r="M113" s="17">
        <f t="shared" ca="1" si="63"/>
        <v>0</v>
      </c>
      <c r="N113" s="17">
        <f t="shared" si="64"/>
        <v>26540661.774392013</v>
      </c>
      <c r="O113" s="17">
        <f t="shared" si="65"/>
        <v>525963.17465951247</v>
      </c>
      <c r="P113" s="17">
        <f t="shared" si="66"/>
        <v>-1149094.2112539201</v>
      </c>
      <c r="Q113" s="17">
        <f t="shared" ca="1" si="67"/>
        <v>31232648.410099942</v>
      </c>
    </row>
    <row r="114" spans="1:20" x14ac:dyDescent="0.2">
      <c r="A114" s="28">
        <f>'Monthly Data'!A114</f>
        <v>45047</v>
      </c>
      <c r="B114">
        <f>'Monthly Data'!C114</f>
        <v>5</v>
      </c>
      <c r="C114">
        <f>'Monthly Data'!B114</f>
        <v>2023</v>
      </c>
      <c r="D114" s="18">
        <f>'Monthly Data'!F114</f>
        <v>28061532.914317109</v>
      </c>
      <c r="E114" s="10">
        <f t="shared" ref="E114:F114" ca="1" si="115">E102</f>
        <v>76.006595892171191</v>
      </c>
      <c r="F114" s="10">
        <f t="shared" ca="1" si="115"/>
        <v>9.6293749999999996</v>
      </c>
      <c r="G114">
        <f>'Monthly Data'!BO114</f>
        <v>31</v>
      </c>
      <c r="H114">
        <f>'Monthly Data'!BS114</f>
        <v>0.25</v>
      </c>
      <c r="I114">
        <f>'Monthly Data'!BK114</f>
        <v>1</v>
      </c>
      <c r="K114" s="17">
        <f t="shared" si="99"/>
        <v>-1956373.74241439</v>
      </c>
      <c r="L114" s="17">
        <f t="shared" ca="1" si="62"/>
        <v>1897827.2896731673</v>
      </c>
      <c r="M114" s="17">
        <f t="shared" ca="1" si="63"/>
        <v>507100.96506269928</v>
      </c>
      <c r="N114" s="17">
        <f t="shared" si="64"/>
        <v>27425350.500205077</v>
      </c>
      <c r="O114" s="17">
        <f t="shared" si="65"/>
        <v>525963.17465951247</v>
      </c>
      <c r="P114" s="17">
        <f t="shared" si="66"/>
        <v>-1149094.2112539201</v>
      </c>
      <c r="Q114" s="17">
        <f t="shared" ca="1" si="67"/>
        <v>27250773.975932147</v>
      </c>
    </row>
    <row r="115" spans="1:20" x14ac:dyDescent="0.2">
      <c r="A115" s="28">
        <f>'Monthly Data'!A115</f>
        <v>45078</v>
      </c>
      <c r="B115">
        <f>'Monthly Data'!C115</f>
        <v>6</v>
      </c>
      <c r="C115">
        <f>'Monthly Data'!B115</f>
        <v>2023</v>
      </c>
      <c r="D115" s="18">
        <f>'Monthly Data'!F115</f>
        <v>28907676.224817328</v>
      </c>
      <c r="E115" s="10">
        <f t="shared" ref="E115:F115" ca="1" si="116">E103</f>
        <v>4.2034708921711843</v>
      </c>
      <c r="F115" s="10">
        <f t="shared" ca="1" si="116"/>
        <v>25.077154107828811</v>
      </c>
      <c r="G115">
        <f>'Monthly Data'!BO115</f>
        <v>30</v>
      </c>
      <c r="H115">
        <f>'Monthly Data'!BS115</f>
        <v>0.25</v>
      </c>
      <c r="I115">
        <f>'Monthly Data'!BK115</f>
        <v>0</v>
      </c>
      <c r="K115" s="17">
        <f t="shared" si="99"/>
        <v>-1956373.74241439</v>
      </c>
      <c r="L115" s="17">
        <f t="shared" ca="1" si="62"/>
        <v>104957.49318686409</v>
      </c>
      <c r="M115" s="17">
        <f t="shared" ca="1" si="63"/>
        <v>1320610.0135373296</v>
      </c>
      <c r="N115" s="17">
        <f t="shared" si="64"/>
        <v>26540661.774392013</v>
      </c>
      <c r="O115" s="17">
        <f t="shared" si="65"/>
        <v>525963.17465951247</v>
      </c>
      <c r="P115" s="17">
        <f t="shared" si="66"/>
        <v>0</v>
      </c>
      <c r="Q115" s="17">
        <f t="shared" ca="1" si="67"/>
        <v>26535818.71336133</v>
      </c>
    </row>
    <row r="116" spans="1:20" x14ac:dyDescent="0.2">
      <c r="A116" s="28">
        <f>'Monthly Data'!A116</f>
        <v>45108</v>
      </c>
      <c r="B116">
        <f>'Monthly Data'!C116</f>
        <v>7</v>
      </c>
      <c r="C116">
        <f>'Monthly Data'!B116</f>
        <v>2023</v>
      </c>
      <c r="D116" s="18">
        <f>'Monthly Data'!F116</f>
        <v>30778974.405317537</v>
      </c>
      <c r="E116" s="10">
        <f t="shared" ref="E116:F116" ca="1" si="117">E104</f>
        <v>0</v>
      </c>
      <c r="F116" s="10">
        <f t="shared" ca="1" si="117"/>
        <v>56.475141548990976</v>
      </c>
      <c r="G116">
        <f>'Monthly Data'!BO116</f>
        <v>31</v>
      </c>
      <c r="H116">
        <f>'Monthly Data'!BS116</f>
        <v>0.25</v>
      </c>
      <c r="I116">
        <f>'Monthly Data'!BK116</f>
        <v>0</v>
      </c>
      <c r="K116" s="17">
        <f t="shared" si="99"/>
        <v>-1956373.74241439</v>
      </c>
      <c r="L116" s="17">
        <f t="shared" ca="1" si="62"/>
        <v>0</v>
      </c>
      <c r="M116" s="17">
        <f t="shared" ca="1" si="63"/>
        <v>2974086.9767296286</v>
      </c>
      <c r="N116" s="17">
        <f t="shared" si="64"/>
        <v>27425350.500205077</v>
      </c>
      <c r="O116" s="17">
        <f t="shared" si="65"/>
        <v>525963.17465951247</v>
      </c>
      <c r="P116" s="17">
        <f t="shared" si="66"/>
        <v>0</v>
      </c>
      <c r="Q116" s="17">
        <f t="shared" ca="1" si="67"/>
        <v>28969026.909179829</v>
      </c>
    </row>
    <row r="117" spans="1:20" x14ac:dyDescent="0.2">
      <c r="A117" s="28">
        <f>'Monthly Data'!A117</f>
        <v>45139</v>
      </c>
      <c r="B117">
        <f>'Monthly Data'!C117</f>
        <v>8</v>
      </c>
      <c r="C117">
        <f>'Monthly Data'!B117</f>
        <v>2023</v>
      </c>
      <c r="D117" s="18">
        <f>'Monthly Data'!F117</f>
        <v>27909829.945817754</v>
      </c>
      <c r="E117" s="10">
        <f t="shared" ref="E117:F117" ca="1" si="118">E105</f>
        <v>0.73208333333333309</v>
      </c>
      <c r="F117" s="10">
        <f t="shared" ca="1" si="118"/>
        <v>35.296250000000008</v>
      </c>
      <c r="G117">
        <f>'Monthly Data'!BO117</f>
        <v>31</v>
      </c>
      <c r="H117">
        <f>'Monthly Data'!BS117</f>
        <v>0.25</v>
      </c>
      <c r="I117">
        <f>'Monthly Data'!BK117</f>
        <v>0</v>
      </c>
      <c r="K117" s="17">
        <f t="shared" si="99"/>
        <v>-1956373.74241439</v>
      </c>
      <c r="L117" s="17">
        <f t="shared" ca="1" si="62"/>
        <v>18279.567871793144</v>
      </c>
      <c r="M117" s="17">
        <f t="shared" ca="1" si="63"/>
        <v>1858766.7878854342</v>
      </c>
      <c r="N117" s="17">
        <f t="shared" si="64"/>
        <v>27425350.500205077</v>
      </c>
      <c r="O117" s="17">
        <f t="shared" si="65"/>
        <v>525963.17465951247</v>
      </c>
      <c r="P117" s="17">
        <f t="shared" si="66"/>
        <v>0</v>
      </c>
      <c r="Q117" s="17">
        <f t="shared" ca="1" si="67"/>
        <v>27871986.288207427</v>
      </c>
    </row>
    <row r="118" spans="1:20" x14ac:dyDescent="0.2">
      <c r="A118" s="28">
        <f>'Monthly Data'!A118</f>
        <v>45170</v>
      </c>
      <c r="B118">
        <f>'Monthly Data'!C118</f>
        <v>9</v>
      </c>
      <c r="C118">
        <f>'Monthly Data'!B118</f>
        <v>2023</v>
      </c>
      <c r="D118" s="18">
        <f>'Monthly Data'!F118</f>
        <v>25812443.776317969</v>
      </c>
      <c r="E118" s="10">
        <f t="shared" ref="E118:F118" ca="1" si="119">E106</f>
        <v>26.6509001176757</v>
      </c>
      <c r="F118" s="10">
        <f t="shared" ca="1" si="119"/>
        <v>11.128958333333333</v>
      </c>
      <c r="G118">
        <f>'Monthly Data'!BO118</f>
        <v>30</v>
      </c>
      <c r="H118">
        <f>'Monthly Data'!BS118</f>
        <v>0.25</v>
      </c>
      <c r="I118">
        <f>'Monthly Data'!BK118</f>
        <v>1</v>
      </c>
      <c r="K118" s="17">
        <f t="shared" si="99"/>
        <v>-1956373.74241439</v>
      </c>
      <c r="L118" s="17">
        <f t="shared" ca="1" si="62"/>
        <v>665452.84582187783</v>
      </c>
      <c r="M118" s="17">
        <f t="shared" ca="1" si="63"/>
        <v>586071.83861630713</v>
      </c>
      <c r="N118" s="17">
        <f t="shared" si="64"/>
        <v>26540661.774392013</v>
      </c>
      <c r="O118" s="17">
        <f t="shared" si="65"/>
        <v>525963.17465951247</v>
      </c>
      <c r="P118" s="17">
        <f t="shared" si="66"/>
        <v>-1149094.2112539201</v>
      </c>
      <c r="Q118" s="17">
        <f t="shared" ca="1" si="67"/>
        <v>25212681.679821402</v>
      </c>
    </row>
    <row r="119" spans="1:20" x14ac:dyDescent="0.2">
      <c r="A119" s="28">
        <f>'Monthly Data'!A119</f>
        <v>45200</v>
      </c>
      <c r="B119">
        <f>'Monthly Data'!C119</f>
        <v>10</v>
      </c>
      <c r="C119">
        <f>'Monthly Data'!B119</f>
        <v>2023</v>
      </c>
      <c r="D119" s="18">
        <f>'Monthly Data'!F119</f>
        <v>28372607.836818181</v>
      </c>
      <c r="E119" s="10">
        <f t="shared" ref="E119:F119" ca="1" si="120">E107</f>
        <v>177.51367324027484</v>
      </c>
      <c r="F119" s="10">
        <f t="shared" ca="1" si="120"/>
        <v>0.44687499999999963</v>
      </c>
      <c r="G119">
        <f>'Monthly Data'!BO119</f>
        <v>31</v>
      </c>
      <c r="H119">
        <f>'Monthly Data'!BS119</f>
        <v>0.25</v>
      </c>
      <c r="I119">
        <f>'Monthly Data'!BK119</f>
        <v>1</v>
      </c>
      <c r="K119" s="17">
        <f t="shared" si="99"/>
        <v>-1956373.74241439</v>
      </c>
      <c r="L119" s="17">
        <f t="shared" ca="1" si="62"/>
        <v>4432382.3401255533</v>
      </c>
      <c r="M119" s="17">
        <f t="shared" ca="1" si="63"/>
        <v>23533.276434077346</v>
      </c>
      <c r="N119" s="17">
        <f t="shared" si="64"/>
        <v>27425350.500205077</v>
      </c>
      <c r="O119" s="17">
        <f t="shared" si="65"/>
        <v>525963.17465951247</v>
      </c>
      <c r="P119" s="17">
        <f t="shared" si="66"/>
        <v>-1149094.2112539201</v>
      </c>
      <c r="Q119" s="17">
        <f t="shared" ca="1" si="67"/>
        <v>29301761.337755911</v>
      </c>
    </row>
    <row r="120" spans="1:20" x14ac:dyDescent="0.2">
      <c r="A120" s="28">
        <f>'Monthly Data'!A120</f>
        <v>45231</v>
      </c>
      <c r="B120">
        <f>'Monthly Data'!C120</f>
        <v>11</v>
      </c>
      <c r="C120">
        <f>'Monthly Data'!B120</f>
        <v>2023</v>
      </c>
      <c r="D120" s="18">
        <f>'Monthly Data'!F120</f>
        <v>34902785.917318396</v>
      </c>
      <c r="E120" s="10">
        <f t="shared" ref="E120:F120" ca="1" si="121">E108</f>
        <v>390.8187460098469</v>
      </c>
      <c r="F120" s="10">
        <f t="shared" ca="1" si="121"/>
        <v>0</v>
      </c>
      <c r="G120">
        <f>'Monthly Data'!BO120</f>
        <v>30</v>
      </c>
      <c r="H120">
        <f>'Monthly Data'!BS120</f>
        <v>0.25</v>
      </c>
      <c r="I120">
        <f>'Monthly Data'!BK120</f>
        <v>1</v>
      </c>
      <c r="K120" s="17">
        <f t="shared" si="99"/>
        <v>-1956373.74241439</v>
      </c>
      <c r="L120" s="17">
        <f t="shared" ca="1" si="62"/>
        <v>9758448.8923247606</v>
      </c>
      <c r="M120" s="17">
        <f t="shared" ca="1" si="63"/>
        <v>0</v>
      </c>
      <c r="N120" s="17">
        <f t="shared" si="64"/>
        <v>26540661.774392013</v>
      </c>
      <c r="O120" s="17">
        <f t="shared" si="65"/>
        <v>525963.17465951247</v>
      </c>
      <c r="P120" s="17">
        <f t="shared" si="66"/>
        <v>-1149094.2112539201</v>
      </c>
      <c r="Q120" s="17">
        <f t="shared" ca="1" si="67"/>
        <v>33719605.887707978</v>
      </c>
    </row>
    <row r="121" spans="1:20" x14ac:dyDescent="0.2">
      <c r="A121" s="28">
        <f>'Monthly Data'!A121</f>
        <v>45261</v>
      </c>
      <c r="B121">
        <f>'Monthly Data'!C121</f>
        <v>12</v>
      </c>
      <c r="C121">
        <f>'Monthly Data'!B121</f>
        <v>2023</v>
      </c>
      <c r="D121" s="18">
        <f>'Monthly Data'!F121</f>
        <v>38937199.157818608</v>
      </c>
      <c r="E121" s="10">
        <f t="shared" ref="E121:F121" ca="1" si="122">E109</f>
        <v>570.62936502461719</v>
      </c>
      <c r="F121" s="10">
        <f t="shared" ca="1" si="122"/>
        <v>0</v>
      </c>
      <c r="G121">
        <f>'Monthly Data'!BO121</f>
        <v>31</v>
      </c>
      <c r="H121">
        <f>'Monthly Data'!BS121</f>
        <v>0.25</v>
      </c>
      <c r="I121">
        <f>'Monthly Data'!BK121</f>
        <v>0</v>
      </c>
      <c r="K121" s="17">
        <f t="shared" si="99"/>
        <v>-1956373.74241439</v>
      </c>
      <c r="L121" s="17">
        <f t="shared" ca="1" si="62"/>
        <v>14248184.233496714</v>
      </c>
      <c r="M121" s="17">
        <f t="shared" ca="1" si="63"/>
        <v>0</v>
      </c>
      <c r="N121" s="17">
        <f t="shared" si="64"/>
        <v>27425350.500205077</v>
      </c>
      <c r="O121" s="17">
        <f t="shared" si="65"/>
        <v>525963.17465951247</v>
      </c>
      <c r="P121" s="17">
        <f t="shared" si="66"/>
        <v>0</v>
      </c>
      <c r="Q121" s="17">
        <f t="shared" ca="1" si="67"/>
        <v>40243124.165946916</v>
      </c>
    </row>
    <row r="122" spans="1:20" x14ac:dyDescent="0.2">
      <c r="A122" s="28">
        <f>EOMONTH(A121,0)+1</f>
        <v>45292</v>
      </c>
      <c r="B122">
        <f>MONTH(A122)</f>
        <v>1</v>
      </c>
      <c r="C122">
        <f>YEAR(A122)</f>
        <v>2024</v>
      </c>
      <c r="D122" s="18">
        <f>'Monthly Data'!F122</f>
        <v>42550291.360408448</v>
      </c>
      <c r="E122" s="10">
        <f t="shared" ref="E122:F122" ca="1" si="123">E110</f>
        <v>728.68367523535153</v>
      </c>
      <c r="F122" s="10">
        <f t="shared" ca="1" si="123"/>
        <v>0</v>
      </c>
      <c r="G122">
        <f>G74</f>
        <v>31</v>
      </c>
      <c r="H122">
        <f>'Monthly Data'!BS122</f>
        <v>0.25</v>
      </c>
      <c r="I122">
        <f>I110</f>
        <v>0</v>
      </c>
      <c r="K122" s="17">
        <f t="shared" si="99"/>
        <v>-1956373.74241439</v>
      </c>
      <c r="L122" s="17">
        <f t="shared" ca="1" si="62"/>
        <v>18194680.976936534</v>
      </c>
      <c r="M122" s="17">
        <f t="shared" ca="1" si="63"/>
        <v>0</v>
      </c>
      <c r="N122" s="17">
        <f t="shared" si="64"/>
        <v>27425350.500205077</v>
      </c>
      <c r="O122" s="17">
        <f t="shared" si="65"/>
        <v>525963.17465951247</v>
      </c>
      <c r="P122" s="17">
        <f t="shared" si="66"/>
        <v>0</v>
      </c>
      <c r="Q122" s="17">
        <f t="shared" ca="1" si="67"/>
        <v>44189620.909386732</v>
      </c>
    </row>
    <row r="123" spans="1:20" x14ac:dyDescent="0.2">
      <c r="A123" s="28">
        <f t="shared" ref="A123:A145" si="124">EOMONTH(A122,0)+1</f>
        <v>45323</v>
      </c>
      <c r="B123">
        <f t="shared" ref="B123:B145" si="125">MONTH(A123)</f>
        <v>2</v>
      </c>
      <c r="C123">
        <f t="shared" ref="C123:C145" si="126">YEAR(A123)</f>
        <v>2024</v>
      </c>
      <c r="D123" s="18">
        <f>'Monthly Data'!F123</f>
        <v>37056034.478453927</v>
      </c>
      <c r="E123" s="10">
        <f t="shared" ref="E123:F123" ca="1" si="127">E111</f>
        <v>655.75083333333328</v>
      </c>
      <c r="F123" s="10">
        <f t="shared" ca="1" si="127"/>
        <v>0</v>
      </c>
      <c r="G123">
        <f t="shared" ref="G123:G145" si="128">G75</f>
        <v>29</v>
      </c>
      <c r="H123">
        <f>'Monthly Data'!BS123</f>
        <v>0.25</v>
      </c>
      <c r="I123">
        <f t="shared" ref="I123:I145" si="129">I111</f>
        <v>0</v>
      </c>
      <c r="K123" s="17">
        <f t="shared" si="99"/>
        <v>-1956373.74241439</v>
      </c>
      <c r="L123" s="17">
        <f t="shared" ca="1" si="62"/>
        <v>16373603.002711328</v>
      </c>
      <c r="M123" s="17">
        <f t="shared" ca="1" si="63"/>
        <v>0</v>
      </c>
      <c r="N123" s="17">
        <f t="shared" si="64"/>
        <v>25655973.048578944</v>
      </c>
      <c r="O123" s="17">
        <f t="shared" si="65"/>
        <v>525963.17465951247</v>
      </c>
      <c r="P123" s="17">
        <f t="shared" si="66"/>
        <v>0</v>
      </c>
      <c r="Q123" s="17">
        <f t="shared" ca="1" si="67"/>
        <v>40599165.483535394</v>
      </c>
    </row>
    <row r="124" spans="1:20" x14ac:dyDescent="0.2">
      <c r="A124" s="28">
        <f t="shared" si="124"/>
        <v>45352</v>
      </c>
      <c r="B124">
        <f t="shared" si="125"/>
        <v>3</v>
      </c>
      <c r="C124">
        <f t="shared" si="126"/>
        <v>2024</v>
      </c>
      <c r="D124" s="18">
        <f>'Monthly Data'!F124</f>
        <v>36272899.446499392</v>
      </c>
      <c r="E124" s="10">
        <f t="shared" ref="E124:F124" ca="1" si="130">E112</f>
        <v>531.1185376765136</v>
      </c>
      <c r="F124" s="10">
        <f t="shared" ca="1" si="130"/>
        <v>0</v>
      </c>
      <c r="G124">
        <f t="shared" si="128"/>
        <v>31</v>
      </c>
      <c r="H124">
        <f>'Monthly Data'!BS124</f>
        <v>0.25</v>
      </c>
      <c r="I124">
        <f t="shared" si="129"/>
        <v>1</v>
      </c>
      <c r="K124" s="17">
        <f t="shared" si="99"/>
        <v>-1956373.74241439</v>
      </c>
      <c r="L124" s="17">
        <f t="shared" ca="1" si="62"/>
        <v>13261628.718167821</v>
      </c>
      <c r="M124" s="17">
        <f t="shared" ca="1" si="63"/>
        <v>0</v>
      </c>
      <c r="N124" s="17">
        <f t="shared" si="64"/>
        <v>27425350.500205077</v>
      </c>
      <c r="O124" s="17">
        <f t="shared" si="65"/>
        <v>525963.17465951247</v>
      </c>
      <c r="P124" s="17">
        <f t="shared" si="66"/>
        <v>-1149094.2112539201</v>
      </c>
      <c r="Q124" s="17">
        <f t="shared" ca="1" si="67"/>
        <v>38107474.439364105</v>
      </c>
      <c r="S124" s="17"/>
      <c r="T124" s="30"/>
    </row>
    <row r="125" spans="1:20" x14ac:dyDescent="0.2">
      <c r="A125" s="28">
        <f t="shared" si="124"/>
        <v>45383</v>
      </c>
      <c r="B125">
        <f t="shared" si="125"/>
        <v>4</v>
      </c>
      <c r="C125">
        <f t="shared" si="126"/>
        <v>2024</v>
      </c>
      <c r="D125" s="18">
        <f>'Monthly Data'!F125</f>
        <v>30671220.704544861</v>
      </c>
      <c r="E125" s="10">
        <f t="shared" ref="E125:F125" ca="1" si="131">E113</f>
        <v>291.21791666666667</v>
      </c>
      <c r="F125" s="10">
        <f t="shared" ca="1" si="131"/>
        <v>0</v>
      </c>
      <c r="G125">
        <f t="shared" si="128"/>
        <v>30</v>
      </c>
      <c r="H125">
        <f>'Monthly Data'!BS125</f>
        <v>0.25</v>
      </c>
      <c r="I125">
        <f t="shared" si="129"/>
        <v>1</v>
      </c>
      <c r="K125" s="17">
        <f t="shared" si="99"/>
        <v>-1956373.74241439</v>
      </c>
      <c r="L125" s="17">
        <f t="shared" ca="1" si="62"/>
        <v>7271491.4147167243</v>
      </c>
      <c r="M125" s="17">
        <f t="shared" ca="1" si="63"/>
        <v>0</v>
      </c>
      <c r="N125" s="17">
        <f t="shared" si="64"/>
        <v>26540661.774392013</v>
      </c>
      <c r="O125" s="17">
        <f t="shared" si="65"/>
        <v>525963.17465951247</v>
      </c>
      <c r="P125" s="17">
        <f t="shared" si="66"/>
        <v>-1149094.2112539201</v>
      </c>
      <c r="Q125" s="17">
        <f t="shared" ca="1" si="67"/>
        <v>31232648.410099942</v>
      </c>
      <c r="S125" s="17"/>
      <c r="T125" s="30"/>
    </row>
    <row r="126" spans="1:20" x14ac:dyDescent="0.2">
      <c r="A126" s="28">
        <f t="shared" si="124"/>
        <v>45413</v>
      </c>
      <c r="B126">
        <f t="shared" si="125"/>
        <v>5</v>
      </c>
      <c r="C126">
        <f t="shared" si="126"/>
        <v>2024</v>
      </c>
      <c r="D126" s="18">
        <f>'Monthly Data'!F126</f>
        <v>27229430.51259033</v>
      </c>
      <c r="E126" s="10">
        <f t="shared" ref="E126:F126" ca="1" si="132">E114</f>
        <v>76.006595892171191</v>
      </c>
      <c r="F126" s="10">
        <f t="shared" ca="1" si="132"/>
        <v>9.6293749999999996</v>
      </c>
      <c r="G126">
        <f t="shared" si="128"/>
        <v>31</v>
      </c>
      <c r="H126">
        <f>'Monthly Data'!BS126</f>
        <v>0.25</v>
      </c>
      <c r="I126">
        <f t="shared" si="129"/>
        <v>1</v>
      </c>
      <c r="K126" s="17">
        <f t="shared" si="99"/>
        <v>-1956373.74241439</v>
      </c>
      <c r="L126" s="17">
        <f t="shared" ca="1" si="62"/>
        <v>1897827.2896731673</v>
      </c>
      <c r="M126" s="17">
        <f t="shared" ca="1" si="63"/>
        <v>507100.96506269928</v>
      </c>
      <c r="N126" s="17">
        <f t="shared" si="64"/>
        <v>27425350.500205077</v>
      </c>
      <c r="O126" s="17">
        <f t="shared" si="65"/>
        <v>525963.17465951247</v>
      </c>
      <c r="P126" s="17">
        <f t="shared" si="66"/>
        <v>-1149094.2112539201</v>
      </c>
      <c r="Q126" s="17">
        <f t="shared" ca="1" si="67"/>
        <v>27250773.975932147</v>
      </c>
      <c r="S126" s="17"/>
      <c r="T126" s="30"/>
    </row>
    <row r="127" spans="1:20" x14ac:dyDescent="0.2">
      <c r="A127" s="28">
        <f t="shared" si="124"/>
        <v>45444</v>
      </c>
      <c r="B127">
        <f t="shared" si="125"/>
        <v>6</v>
      </c>
      <c r="C127">
        <f t="shared" si="126"/>
        <v>2024</v>
      </c>
      <c r="D127" s="18">
        <f>'Monthly Data'!F127</f>
        <v>27919240.450635798</v>
      </c>
      <c r="E127" s="10">
        <f t="shared" ref="E127:F127" ca="1" si="133">E115</f>
        <v>4.2034708921711843</v>
      </c>
      <c r="F127" s="10">
        <f t="shared" ca="1" si="133"/>
        <v>25.077154107828811</v>
      </c>
      <c r="G127">
        <f t="shared" si="128"/>
        <v>30</v>
      </c>
      <c r="H127">
        <f>'Monthly Data'!BS127</f>
        <v>0.25</v>
      </c>
      <c r="I127">
        <f t="shared" si="129"/>
        <v>0</v>
      </c>
      <c r="K127" s="17">
        <f t="shared" si="99"/>
        <v>-1956373.74241439</v>
      </c>
      <c r="L127" s="17">
        <f t="shared" ca="1" si="62"/>
        <v>104957.49318686409</v>
      </c>
      <c r="M127" s="17">
        <f t="shared" ca="1" si="63"/>
        <v>1320610.0135373296</v>
      </c>
      <c r="N127" s="17">
        <f t="shared" si="64"/>
        <v>26540661.774392013</v>
      </c>
      <c r="O127" s="17">
        <f t="shared" si="65"/>
        <v>525963.17465951247</v>
      </c>
      <c r="P127" s="17">
        <f t="shared" si="66"/>
        <v>0</v>
      </c>
      <c r="Q127" s="17">
        <f t="shared" ca="1" si="67"/>
        <v>26535818.71336133</v>
      </c>
      <c r="S127" s="17"/>
      <c r="T127" s="30"/>
    </row>
    <row r="128" spans="1:20" x14ac:dyDescent="0.2">
      <c r="A128" s="28">
        <f t="shared" si="124"/>
        <v>45474</v>
      </c>
      <c r="B128">
        <f t="shared" si="125"/>
        <v>7</v>
      </c>
      <c r="C128">
        <f t="shared" si="126"/>
        <v>2024</v>
      </c>
      <c r="D128" s="18">
        <f>'Monthly Data'!F128</f>
        <v>32147068.698681269</v>
      </c>
      <c r="E128" s="10">
        <f t="shared" ref="E128:F128" ca="1" si="134">E116</f>
        <v>0</v>
      </c>
      <c r="F128" s="10">
        <f t="shared" ca="1" si="134"/>
        <v>56.475141548990976</v>
      </c>
      <c r="G128">
        <f t="shared" si="128"/>
        <v>31</v>
      </c>
      <c r="H128">
        <f>'Monthly Data'!BS128</f>
        <v>0.25</v>
      </c>
      <c r="I128">
        <f t="shared" si="129"/>
        <v>0</v>
      </c>
      <c r="K128" s="17">
        <f t="shared" si="99"/>
        <v>-1956373.74241439</v>
      </c>
      <c r="L128" s="17">
        <f t="shared" ca="1" si="62"/>
        <v>0</v>
      </c>
      <c r="M128" s="17">
        <f t="shared" ca="1" si="63"/>
        <v>2974086.9767296286</v>
      </c>
      <c r="N128" s="17">
        <f t="shared" si="64"/>
        <v>27425350.500205077</v>
      </c>
      <c r="O128" s="17">
        <f t="shared" si="65"/>
        <v>525963.17465951247</v>
      </c>
      <c r="P128" s="17">
        <f t="shared" si="66"/>
        <v>0</v>
      </c>
      <c r="Q128" s="17">
        <f t="shared" ca="1" si="67"/>
        <v>28969026.909179829</v>
      </c>
      <c r="S128" s="17"/>
      <c r="T128" s="30"/>
    </row>
    <row r="129" spans="1:20" x14ac:dyDescent="0.2">
      <c r="A129" s="28">
        <f t="shared" si="124"/>
        <v>45505</v>
      </c>
      <c r="B129">
        <f t="shared" si="125"/>
        <v>8</v>
      </c>
      <c r="C129">
        <f t="shared" si="126"/>
        <v>2024</v>
      </c>
      <c r="D129" s="18">
        <f>'Monthly Data'!F129</f>
        <v>30396598.476726737</v>
      </c>
      <c r="E129" s="10">
        <f t="shared" ref="E129:F129" ca="1" si="135">E117</f>
        <v>0.73208333333333309</v>
      </c>
      <c r="F129" s="10">
        <f t="shared" ca="1" si="135"/>
        <v>35.296250000000008</v>
      </c>
      <c r="G129">
        <f t="shared" si="128"/>
        <v>31</v>
      </c>
      <c r="H129">
        <f>'Monthly Data'!BS129</f>
        <v>0.25</v>
      </c>
      <c r="I129">
        <f t="shared" si="129"/>
        <v>0</v>
      </c>
      <c r="K129" s="17">
        <f t="shared" si="99"/>
        <v>-1956373.74241439</v>
      </c>
      <c r="L129" s="17">
        <f t="shared" ca="1" si="62"/>
        <v>18279.567871793144</v>
      </c>
      <c r="M129" s="17">
        <f t="shared" ca="1" si="63"/>
        <v>1858766.7878854342</v>
      </c>
      <c r="N129" s="17">
        <f t="shared" si="64"/>
        <v>27425350.500205077</v>
      </c>
      <c r="O129" s="17">
        <f t="shared" si="65"/>
        <v>525963.17465951247</v>
      </c>
      <c r="P129" s="17">
        <f t="shared" si="66"/>
        <v>0</v>
      </c>
      <c r="Q129" s="17">
        <f t="shared" ca="1" si="67"/>
        <v>27871986.288207427</v>
      </c>
      <c r="S129" s="17"/>
      <c r="T129" s="30"/>
    </row>
    <row r="130" spans="1:20" x14ac:dyDescent="0.2">
      <c r="A130" s="28">
        <f t="shared" si="124"/>
        <v>45536</v>
      </c>
      <c r="B130">
        <f t="shared" si="125"/>
        <v>9</v>
      </c>
      <c r="C130">
        <f t="shared" si="126"/>
        <v>2024</v>
      </c>
      <c r="D130" s="18">
        <f>'Monthly Data'!F130</f>
        <v>26738120.154772207</v>
      </c>
      <c r="E130" s="10">
        <f t="shared" ref="E130:F130" ca="1" si="136">E118</f>
        <v>26.6509001176757</v>
      </c>
      <c r="F130" s="10">
        <f t="shared" ca="1" si="136"/>
        <v>11.128958333333333</v>
      </c>
      <c r="G130">
        <f t="shared" si="128"/>
        <v>30</v>
      </c>
      <c r="H130">
        <f>'Monthly Data'!BS130</f>
        <v>0.25</v>
      </c>
      <c r="I130">
        <f t="shared" si="129"/>
        <v>1</v>
      </c>
      <c r="K130" s="17">
        <f t="shared" ref="K130:K145" si="137">$T$7</f>
        <v>-1956373.74241439</v>
      </c>
      <c r="L130" s="17">
        <f t="shared" ca="1" si="62"/>
        <v>665452.84582187783</v>
      </c>
      <c r="M130" s="17">
        <f t="shared" ca="1" si="63"/>
        <v>586071.83861630713</v>
      </c>
      <c r="N130" s="17">
        <f t="shared" si="64"/>
        <v>26540661.774392013</v>
      </c>
      <c r="O130" s="17">
        <f t="shared" si="65"/>
        <v>525963.17465951247</v>
      </c>
      <c r="P130" s="17">
        <f t="shared" si="66"/>
        <v>-1149094.2112539201</v>
      </c>
      <c r="Q130" s="17">
        <f t="shared" ca="1" si="67"/>
        <v>25212681.679821402</v>
      </c>
      <c r="S130" s="17"/>
      <c r="T130" s="30"/>
    </row>
    <row r="131" spans="1:20" x14ac:dyDescent="0.2">
      <c r="A131" s="28">
        <f t="shared" si="124"/>
        <v>45566</v>
      </c>
      <c r="B131">
        <f t="shared" si="125"/>
        <v>10</v>
      </c>
      <c r="C131">
        <f t="shared" si="126"/>
        <v>2024</v>
      </c>
      <c r="D131" s="18">
        <f>'Monthly Data'!F131</f>
        <v>27670076.812817674</v>
      </c>
      <c r="E131" s="10">
        <f t="shared" ref="E131:F131" ca="1" si="138">E119</f>
        <v>177.51367324027484</v>
      </c>
      <c r="F131" s="10">
        <f t="shared" ca="1" si="138"/>
        <v>0.44687499999999963</v>
      </c>
      <c r="G131">
        <f t="shared" si="128"/>
        <v>31</v>
      </c>
      <c r="H131">
        <f>'Monthly Data'!BS131</f>
        <v>0.25</v>
      </c>
      <c r="I131">
        <f t="shared" si="129"/>
        <v>1</v>
      </c>
      <c r="K131" s="17">
        <f t="shared" si="137"/>
        <v>-1956373.74241439</v>
      </c>
      <c r="L131" s="17">
        <f t="shared" ref="L131:L145" ca="1" si="139">E131*$T$8</f>
        <v>4432382.3401255533</v>
      </c>
      <c r="M131" s="17">
        <f t="shared" ref="M131:M145" ca="1" si="140">F131*$T$9</f>
        <v>23533.276434077346</v>
      </c>
      <c r="N131" s="17">
        <f t="shared" ref="N131:N145" si="141">G131*$T$10</f>
        <v>27425350.500205077</v>
      </c>
      <c r="O131" s="17">
        <f t="shared" ref="O131:O145" si="142">H131*$T$11</f>
        <v>525963.17465951247</v>
      </c>
      <c r="P131" s="17">
        <f t="shared" ref="P131:P145" si="143">I131*$T$12</f>
        <v>-1149094.2112539201</v>
      </c>
      <c r="Q131" s="17">
        <f t="shared" ref="Q131:Q145" ca="1" si="144">SUM(K131:P131)</f>
        <v>29301761.337755911</v>
      </c>
      <c r="S131" s="17"/>
      <c r="T131" s="30"/>
    </row>
    <row r="132" spans="1:20" x14ac:dyDescent="0.2">
      <c r="A132" s="28">
        <f t="shared" si="124"/>
        <v>45597</v>
      </c>
      <c r="B132">
        <f t="shared" si="125"/>
        <v>11</v>
      </c>
      <c r="C132">
        <f t="shared" si="126"/>
        <v>2024</v>
      </c>
      <c r="D132" s="18">
        <f>'Monthly Data'!F132</f>
        <v>33170432.200863145</v>
      </c>
      <c r="E132" s="10">
        <f t="shared" ref="E132:F132" ca="1" si="145">E120</f>
        <v>390.8187460098469</v>
      </c>
      <c r="F132" s="10">
        <f t="shared" ca="1" si="145"/>
        <v>0</v>
      </c>
      <c r="G132">
        <f t="shared" si="128"/>
        <v>30</v>
      </c>
      <c r="H132">
        <f>'Monthly Data'!BS132</f>
        <v>0.25</v>
      </c>
      <c r="I132">
        <f t="shared" si="129"/>
        <v>1</v>
      </c>
      <c r="K132" s="17">
        <f t="shared" si="137"/>
        <v>-1956373.74241439</v>
      </c>
      <c r="L132" s="17">
        <f t="shared" ca="1" si="139"/>
        <v>9758448.8923247606</v>
      </c>
      <c r="M132" s="17">
        <f t="shared" ca="1" si="140"/>
        <v>0</v>
      </c>
      <c r="N132" s="17">
        <f t="shared" si="141"/>
        <v>26540661.774392013</v>
      </c>
      <c r="O132" s="17">
        <f t="shared" si="142"/>
        <v>525963.17465951247</v>
      </c>
      <c r="P132" s="17">
        <f t="shared" si="143"/>
        <v>-1149094.2112539201</v>
      </c>
      <c r="Q132" s="17">
        <f t="shared" ca="1" si="144"/>
        <v>33719605.887707978</v>
      </c>
      <c r="S132" s="17"/>
      <c r="T132" s="30"/>
    </row>
    <row r="133" spans="1:20" x14ac:dyDescent="0.2">
      <c r="A133" s="28">
        <f t="shared" si="124"/>
        <v>45627</v>
      </c>
      <c r="B133">
        <f t="shared" si="125"/>
        <v>12</v>
      </c>
      <c r="C133">
        <f t="shared" si="126"/>
        <v>2024</v>
      </c>
      <c r="E133" s="10">
        <f t="shared" ref="E133:F133" ca="1" si="146">E121</f>
        <v>570.62936502461719</v>
      </c>
      <c r="F133" s="10">
        <f t="shared" ca="1" si="146"/>
        <v>0</v>
      </c>
      <c r="G133">
        <f t="shared" si="128"/>
        <v>31</v>
      </c>
      <c r="H133">
        <f>'Monthly Data'!BS133</f>
        <v>0.25</v>
      </c>
      <c r="I133">
        <f t="shared" si="129"/>
        <v>0</v>
      </c>
      <c r="K133" s="17">
        <f t="shared" si="137"/>
        <v>-1956373.74241439</v>
      </c>
      <c r="L133" s="17">
        <f t="shared" ca="1" si="139"/>
        <v>14248184.233496714</v>
      </c>
      <c r="M133" s="17">
        <f t="shared" ca="1" si="140"/>
        <v>0</v>
      </c>
      <c r="N133" s="17">
        <f t="shared" si="141"/>
        <v>27425350.500205077</v>
      </c>
      <c r="O133" s="17">
        <f t="shared" si="142"/>
        <v>525963.17465951247</v>
      </c>
      <c r="P133" s="17">
        <f t="shared" si="143"/>
        <v>0</v>
      </c>
      <c r="Q133" s="17">
        <f t="shared" ca="1" si="144"/>
        <v>40243124.165946916</v>
      </c>
      <c r="S133" s="17"/>
      <c r="T133" s="30"/>
    </row>
    <row r="134" spans="1:20" x14ac:dyDescent="0.2">
      <c r="A134" s="28">
        <f t="shared" si="124"/>
        <v>45658</v>
      </c>
      <c r="B134">
        <f t="shared" si="125"/>
        <v>1</v>
      </c>
      <c r="C134">
        <f t="shared" si="126"/>
        <v>2025</v>
      </c>
      <c r="D134" s="33"/>
      <c r="E134" s="10">
        <f t="shared" ref="E134:F134" ca="1" si="147">E122</f>
        <v>728.68367523535153</v>
      </c>
      <c r="F134" s="10">
        <f t="shared" ca="1" si="147"/>
        <v>0</v>
      </c>
      <c r="G134">
        <f t="shared" si="128"/>
        <v>31</v>
      </c>
      <c r="H134">
        <f>'Monthly Data'!BS134</f>
        <v>0</v>
      </c>
      <c r="I134">
        <f t="shared" si="129"/>
        <v>0</v>
      </c>
      <c r="J134" s="11"/>
      <c r="K134" s="17">
        <f t="shared" si="137"/>
        <v>-1956373.74241439</v>
      </c>
      <c r="L134" s="17">
        <f t="shared" ca="1" si="139"/>
        <v>18194680.976936534</v>
      </c>
      <c r="M134" s="17">
        <f t="shared" ca="1" si="140"/>
        <v>0</v>
      </c>
      <c r="N134" s="17">
        <f t="shared" si="141"/>
        <v>27425350.500205077</v>
      </c>
      <c r="O134" s="17">
        <f t="shared" si="142"/>
        <v>0</v>
      </c>
      <c r="P134" s="17">
        <f t="shared" si="143"/>
        <v>0</v>
      </c>
      <c r="Q134" s="17">
        <f t="shared" ca="1" si="144"/>
        <v>43663657.734727219</v>
      </c>
      <c r="S134" s="17"/>
      <c r="T134" s="30"/>
    </row>
    <row r="135" spans="1:20" x14ac:dyDescent="0.2">
      <c r="A135" s="28">
        <f t="shared" si="124"/>
        <v>45689</v>
      </c>
      <c r="B135">
        <f t="shared" si="125"/>
        <v>2</v>
      </c>
      <c r="C135">
        <f t="shared" si="126"/>
        <v>2025</v>
      </c>
      <c r="D135" s="33"/>
      <c r="E135" s="10">
        <f t="shared" ref="E135:F135" ca="1" si="148">E123</f>
        <v>655.75083333333328</v>
      </c>
      <c r="F135" s="10">
        <f t="shared" ca="1" si="148"/>
        <v>0</v>
      </c>
      <c r="G135">
        <f t="shared" si="128"/>
        <v>28</v>
      </c>
      <c r="H135">
        <f>'Monthly Data'!BS135</f>
        <v>0</v>
      </c>
      <c r="I135">
        <f t="shared" si="129"/>
        <v>0</v>
      </c>
      <c r="J135" s="11"/>
      <c r="K135" s="17">
        <f t="shared" si="137"/>
        <v>-1956373.74241439</v>
      </c>
      <c r="L135" s="17">
        <f t="shared" ca="1" si="139"/>
        <v>16373603.002711328</v>
      </c>
      <c r="M135" s="17">
        <f t="shared" ca="1" si="140"/>
        <v>0</v>
      </c>
      <c r="N135" s="17">
        <f t="shared" si="141"/>
        <v>24771284.322765879</v>
      </c>
      <c r="O135" s="17">
        <f t="shared" si="142"/>
        <v>0</v>
      </c>
      <c r="P135" s="17">
        <f t="shared" si="143"/>
        <v>0</v>
      </c>
      <c r="Q135" s="17">
        <f t="shared" ca="1" si="144"/>
        <v>39188513.583062813</v>
      </c>
      <c r="S135" s="17"/>
      <c r="T135" s="30"/>
    </row>
    <row r="136" spans="1:20" x14ac:dyDescent="0.2">
      <c r="A136" s="28">
        <f t="shared" si="124"/>
        <v>45717</v>
      </c>
      <c r="B136">
        <f t="shared" si="125"/>
        <v>3</v>
      </c>
      <c r="C136">
        <f t="shared" si="126"/>
        <v>2025</v>
      </c>
      <c r="D136" s="33"/>
      <c r="E136" s="10">
        <f t="shared" ref="E136:F136" ca="1" si="149">E124</f>
        <v>531.1185376765136</v>
      </c>
      <c r="F136" s="10">
        <f t="shared" ca="1" si="149"/>
        <v>0</v>
      </c>
      <c r="G136">
        <f t="shared" si="128"/>
        <v>31</v>
      </c>
      <c r="H136">
        <f>'Monthly Data'!BS136</f>
        <v>0</v>
      </c>
      <c r="I136">
        <f t="shared" si="129"/>
        <v>1</v>
      </c>
      <c r="J136" s="11"/>
      <c r="K136" s="17">
        <f t="shared" si="137"/>
        <v>-1956373.74241439</v>
      </c>
      <c r="L136" s="17">
        <f t="shared" ca="1" si="139"/>
        <v>13261628.718167821</v>
      </c>
      <c r="M136" s="17">
        <f t="shared" ca="1" si="140"/>
        <v>0</v>
      </c>
      <c r="N136" s="17">
        <f t="shared" si="141"/>
        <v>27425350.500205077</v>
      </c>
      <c r="O136" s="17">
        <f t="shared" si="142"/>
        <v>0</v>
      </c>
      <c r="P136" s="17">
        <f t="shared" si="143"/>
        <v>-1149094.2112539201</v>
      </c>
      <c r="Q136" s="17">
        <f t="shared" ca="1" si="144"/>
        <v>37581511.264704593</v>
      </c>
      <c r="S136" s="17"/>
      <c r="T136" s="30"/>
    </row>
    <row r="137" spans="1:20" x14ac:dyDescent="0.2">
      <c r="A137" s="28">
        <f t="shared" si="124"/>
        <v>45748</v>
      </c>
      <c r="B137">
        <f t="shared" si="125"/>
        <v>4</v>
      </c>
      <c r="C137">
        <f t="shared" si="126"/>
        <v>2025</v>
      </c>
      <c r="D137" s="33"/>
      <c r="E137" s="10">
        <f t="shared" ref="E137:F137" ca="1" si="150">E125</f>
        <v>291.21791666666667</v>
      </c>
      <c r="F137" s="10">
        <f t="shared" ca="1" si="150"/>
        <v>0</v>
      </c>
      <c r="G137">
        <f t="shared" si="128"/>
        <v>30</v>
      </c>
      <c r="H137">
        <f>'Monthly Data'!BS137</f>
        <v>0</v>
      </c>
      <c r="I137">
        <f t="shared" si="129"/>
        <v>1</v>
      </c>
      <c r="J137" s="11"/>
      <c r="K137" s="17">
        <f t="shared" si="137"/>
        <v>-1956373.74241439</v>
      </c>
      <c r="L137" s="17">
        <f t="shared" ca="1" si="139"/>
        <v>7271491.4147167243</v>
      </c>
      <c r="M137" s="17">
        <f t="shared" ca="1" si="140"/>
        <v>0</v>
      </c>
      <c r="N137" s="17">
        <f t="shared" si="141"/>
        <v>26540661.774392013</v>
      </c>
      <c r="O137" s="17">
        <f t="shared" si="142"/>
        <v>0</v>
      </c>
      <c r="P137" s="17">
        <f t="shared" si="143"/>
        <v>-1149094.2112539201</v>
      </c>
      <c r="Q137" s="17">
        <f t="shared" ca="1" si="144"/>
        <v>30706685.235440429</v>
      </c>
      <c r="S137" s="17"/>
      <c r="T137" s="31"/>
    </row>
    <row r="138" spans="1:20" x14ac:dyDescent="0.2">
      <c r="A138" s="28">
        <f t="shared" si="124"/>
        <v>45778</v>
      </c>
      <c r="B138">
        <f t="shared" si="125"/>
        <v>5</v>
      </c>
      <c r="C138">
        <f t="shared" si="126"/>
        <v>2025</v>
      </c>
      <c r="D138" s="33"/>
      <c r="E138" s="10">
        <f t="shared" ref="E138:F138" ca="1" si="151">E126</f>
        <v>76.006595892171191</v>
      </c>
      <c r="F138" s="10">
        <f t="shared" ca="1" si="151"/>
        <v>9.6293749999999996</v>
      </c>
      <c r="G138">
        <f t="shared" si="128"/>
        <v>31</v>
      </c>
      <c r="H138">
        <f>'Monthly Data'!BS138</f>
        <v>0</v>
      </c>
      <c r="I138">
        <f t="shared" si="129"/>
        <v>1</v>
      </c>
      <c r="J138" s="11"/>
      <c r="K138" s="17">
        <f t="shared" si="137"/>
        <v>-1956373.74241439</v>
      </c>
      <c r="L138" s="17">
        <f t="shared" ca="1" si="139"/>
        <v>1897827.2896731673</v>
      </c>
      <c r="M138" s="17">
        <f t="shared" ca="1" si="140"/>
        <v>507100.96506269928</v>
      </c>
      <c r="N138" s="17">
        <f t="shared" si="141"/>
        <v>27425350.500205077</v>
      </c>
      <c r="O138" s="17">
        <f t="shared" si="142"/>
        <v>0</v>
      </c>
      <c r="P138" s="17">
        <f t="shared" si="143"/>
        <v>-1149094.2112539201</v>
      </c>
      <c r="Q138" s="17">
        <f t="shared" ca="1" si="144"/>
        <v>26724810.801272634</v>
      </c>
      <c r="S138" s="17"/>
      <c r="T138" s="31"/>
    </row>
    <row r="139" spans="1:20" x14ac:dyDescent="0.2">
      <c r="A139" s="28">
        <f t="shared" si="124"/>
        <v>45809</v>
      </c>
      <c r="B139">
        <f t="shared" si="125"/>
        <v>6</v>
      </c>
      <c r="C139">
        <f t="shared" si="126"/>
        <v>2025</v>
      </c>
      <c r="D139" s="33"/>
      <c r="E139" s="10">
        <f t="shared" ref="E139:F139" ca="1" si="152">E127</f>
        <v>4.2034708921711843</v>
      </c>
      <c r="F139" s="10">
        <f t="shared" ca="1" si="152"/>
        <v>25.077154107828811</v>
      </c>
      <c r="G139">
        <f t="shared" si="128"/>
        <v>30</v>
      </c>
      <c r="H139">
        <f>'Monthly Data'!BS139</f>
        <v>0</v>
      </c>
      <c r="I139">
        <f t="shared" si="129"/>
        <v>0</v>
      </c>
      <c r="J139" s="11"/>
      <c r="K139" s="17">
        <f t="shared" si="137"/>
        <v>-1956373.74241439</v>
      </c>
      <c r="L139" s="17">
        <f t="shared" ca="1" si="139"/>
        <v>104957.49318686409</v>
      </c>
      <c r="M139" s="17">
        <f t="shared" ca="1" si="140"/>
        <v>1320610.0135373296</v>
      </c>
      <c r="N139" s="17">
        <f t="shared" si="141"/>
        <v>26540661.774392013</v>
      </c>
      <c r="O139" s="17">
        <f t="shared" si="142"/>
        <v>0</v>
      </c>
      <c r="P139" s="17">
        <f t="shared" si="143"/>
        <v>0</v>
      </c>
      <c r="Q139" s="17">
        <f t="shared" ca="1" si="144"/>
        <v>26009855.538701817</v>
      </c>
      <c r="S139" s="17"/>
      <c r="T139" s="31"/>
    </row>
    <row r="140" spans="1:20" x14ac:dyDescent="0.2">
      <c r="A140" s="28">
        <f t="shared" si="124"/>
        <v>45839</v>
      </c>
      <c r="B140">
        <f t="shared" si="125"/>
        <v>7</v>
      </c>
      <c r="C140">
        <f t="shared" si="126"/>
        <v>2025</v>
      </c>
      <c r="D140" s="33"/>
      <c r="E140" s="10">
        <f t="shared" ref="E140:F140" ca="1" si="153">E128</f>
        <v>0</v>
      </c>
      <c r="F140" s="10">
        <f t="shared" ca="1" si="153"/>
        <v>56.475141548990976</v>
      </c>
      <c r="G140">
        <f t="shared" si="128"/>
        <v>31</v>
      </c>
      <c r="H140">
        <f>'Monthly Data'!BS140</f>
        <v>0</v>
      </c>
      <c r="I140">
        <f t="shared" si="129"/>
        <v>0</v>
      </c>
      <c r="J140" s="11"/>
      <c r="K140" s="17">
        <f t="shared" si="137"/>
        <v>-1956373.74241439</v>
      </c>
      <c r="L140" s="17">
        <f t="shared" ca="1" si="139"/>
        <v>0</v>
      </c>
      <c r="M140" s="17">
        <f t="shared" ca="1" si="140"/>
        <v>2974086.9767296286</v>
      </c>
      <c r="N140" s="17">
        <f t="shared" si="141"/>
        <v>27425350.500205077</v>
      </c>
      <c r="O140" s="17">
        <f t="shared" si="142"/>
        <v>0</v>
      </c>
      <c r="P140" s="17">
        <f t="shared" si="143"/>
        <v>0</v>
      </c>
      <c r="Q140" s="17">
        <f t="shared" ca="1" si="144"/>
        <v>28443063.734520316</v>
      </c>
      <c r="S140" s="17"/>
      <c r="T140" s="31"/>
    </row>
    <row r="141" spans="1:20" x14ac:dyDescent="0.2">
      <c r="A141" s="28">
        <f t="shared" si="124"/>
        <v>45870</v>
      </c>
      <c r="B141">
        <f t="shared" si="125"/>
        <v>8</v>
      </c>
      <c r="C141">
        <f t="shared" si="126"/>
        <v>2025</v>
      </c>
      <c r="D141" s="33"/>
      <c r="E141" s="10">
        <f t="shared" ref="E141:F141" ca="1" si="154">E129</f>
        <v>0.73208333333333309</v>
      </c>
      <c r="F141" s="10">
        <f t="shared" ca="1" si="154"/>
        <v>35.296250000000008</v>
      </c>
      <c r="G141">
        <f t="shared" si="128"/>
        <v>31</v>
      </c>
      <c r="H141">
        <f>'Monthly Data'!BS141</f>
        <v>0</v>
      </c>
      <c r="I141">
        <f t="shared" si="129"/>
        <v>0</v>
      </c>
      <c r="J141" s="11"/>
      <c r="K141" s="17">
        <f t="shared" si="137"/>
        <v>-1956373.74241439</v>
      </c>
      <c r="L141" s="17">
        <f t="shared" ca="1" si="139"/>
        <v>18279.567871793144</v>
      </c>
      <c r="M141" s="17">
        <f t="shared" ca="1" si="140"/>
        <v>1858766.7878854342</v>
      </c>
      <c r="N141" s="17">
        <f t="shared" si="141"/>
        <v>27425350.500205077</v>
      </c>
      <c r="O141" s="17">
        <f t="shared" si="142"/>
        <v>0</v>
      </c>
      <c r="P141" s="17">
        <f t="shared" si="143"/>
        <v>0</v>
      </c>
      <c r="Q141" s="17">
        <f t="shared" ca="1" si="144"/>
        <v>27346023.113547914</v>
      </c>
      <c r="S141" s="17"/>
      <c r="T141" s="31"/>
    </row>
    <row r="142" spans="1:20" x14ac:dyDescent="0.2">
      <c r="A142" s="28">
        <f t="shared" si="124"/>
        <v>45901</v>
      </c>
      <c r="B142">
        <f t="shared" si="125"/>
        <v>9</v>
      </c>
      <c r="C142">
        <f t="shared" si="126"/>
        <v>2025</v>
      </c>
      <c r="D142" s="33"/>
      <c r="E142" s="10">
        <f t="shared" ref="E142:F142" ca="1" si="155">E130</f>
        <v>26.6509001176757</v>
      </c>
      <c r="F142" s="10">
        <f t="shared" ca="1" si="155"/>
        <v>11.128958333333333</v>
      </c>
      <c r="G142">
        <f t="shared" si="128"/>
        <v>30</v>
      </c>
      <c r="H142">
        <f>'Monthly Data'!BS142</f>
        <v>0</v>
      </c>
      <c r="I142">
        <f t="shared" si="129"/>
        <v>1</v>
      </c>
      <c r="J142" s="11"/>
      <c r="K142" s="17">
        <f t="shared" si="137"/>
        <v>-1956373.74241439</v>
      </c>
      <c r="L142" s="17">
        <f t="shared" ca="1" si="139"/>
        <v>665452.84582187783</v>
      </c>
      <c r="M142" s="17">
        <f t="shared" ca="1" si="140"/>
        <v>586071.83861630713</v>
      </c>
      <c r="N142" s="17">
        <f t="shared" si="141"/>
        <v>26540661.774392013</v>
      </c>
      <c r="O142" s="17">
        <f t="shared" si="142"/>
        <v>0</v>
      </c>
      <c r="P142" s="17">
        <f t="shared" si="143"/>
        <v>-1149094.2112539201</v>
      </c>
      <c r="Q142" s="17">
        <f t="shared" ca="1" si="144"/>
        <v>24686718.505161889</v>
      </c>
      <c r="S142" s="17"/>
      <c r="T142" s="31"/>
    </row>
    <row r="143" spans="1:20" x14ac:dyDescent="0.2">
      <c r="A143" s="28">
        <f t="shared" si="124"/>
        <v>45931</v>
      </c>
      <c r="B143">
        <f t="shared" si="125"/>
        <v>10</v>
      </c>
      <c r="C143">
        <f t="shared" si="126"/>
        <v>2025</v>
      </c>
      <c r="D143" s="33"/>
      <c r="E143" s="10">
        <f t="shared" ref="E143:F143" ca="1" si="156">E131</f>
        <v>177.51367324027484</v>
      </c>
      <c r="F143" s="10">
        <f t="shared" ca="1" si="156"/>
        <v>0.44687499999999963</v>
      </c>
      <c r="G143">
        <f t="shared" si="128"/>
        <v>31</v>
      </c>
      <c r="H143">
        <f>'Monthly Data'!BS143</f>
        <v>0</v>
      </c>
      <c r="I143">
        <f t="shared" si="129"/>
        <v>1</v>
      </c>
      <c r="J143" s="11"/>
      <c r="K143" s="17">
        <f t="shared" si="137"/>
        <v>-1956373.74241439</v>
      </c>
      <c r="L143" s="17">
        <f t="shared" ca="1" si="139"/>
        <v>4432382.3401255533</v>
      </c>
      <c r="M143" s="17">
        <f t="shared" ca="1" si="140"/>
        <v>23533.276434077346</v>
      </c>
      <c r="N143" s="17">
        <f t="shared" si="141"/>
        <v>27425350.500205077</v>
      </c>
      <c r="O143" s="17">
        <f t="shared" si="142"/>
        <v>0</v>
      </c>
      <c r="P143" s="17">
        <f t="shared" si="143"/>
        <v>-1149094.2112539201</v>
      </c>
      <c r="Q143" s="17">
        <f t="shared" ca="1" si="144"/>
        <v>28775798.163096398</v>
      </c>
      <c r="S143" s="17"/>
      <c r="T143" s="31"/>
    </row>
    <row r="144" spans="1:20" x14ac:dyDescent="0.2">
      <c r="A144" s="28">
        <f t="shared" si="124"/>
        <v>45962</v>
      </c>
      <c r="B144">
        <f t="shared" si="125"/>
        <v>11</v>
      </c>
      <c r="C144">
        <f t="shared" si="126"/>
        <v>2025</v>
      </c>
      <c r="D144" s="33"/>
      <c r="E144" s="10">
        <f t="shared" ref="E144:F144" ca="1" si="157">E132</f>
        <v>390.8187460098469</v>
      </c>
      <c r="F144" s="10">
        <f t="shared" ca="1" si="157"/>
        <v>0</v>
      </c>
      <c r="G144">
        <f t="shared" si="128"/>
        <v>30</v>
      </c>
      <c r="H144">
        <f>'Monthly Data'!BS144</f>
        <v>0</v>
      </c>
      <c r="I144">
        <f t="shared" si="129"/>
        <v>1</v>
      </c>
      <c r="J144" s="11"/>
      <c r="K144" s="17">
        <f t="shared" si="137"/>
        <v>-1956373.74241439</v>
      </c>
      <c r="L144" s="17">
        <f t="shared" ca="1" si="139"/>
        <v>9758448.8923247606</v>
      </c>
      <c r="M144" s="17">
        <f t="shared" ca="1" si="140"/>
        <v>0</v>
      </c>
      <c r="N144" s="17">
        <f t="shared" si="141"/>
        <v>26540661.774392013</v>
      </c>
      <c r="O144" s="17">
        <f t="shared" si="142"/>
        <v>0</v>
      </c>
      <c r="P144" s="17">
        <f t="shared" si="143"/>
        <v>-1149094.2112539201</v>
      </c>
      <c r="Q144" s="17">
        <f t="shared" ca="1" si="144"/>
        <v>33193642.713048466</v>
      </c>
      <c r="S144" s="17"/>
      <c r="T144" s="31"/>
    </row>
    <row r="145" spans="1:20" x14ac:dyDescent="0.2">
      <c r="A145" s="28">
        <f t="shared" si="124"/>
        <v>45992</v>
      </c>
      <c r="B145">
        <f t="shared" si="125"/>
        <v>12</v>
      </c>
      <c r="C145">
        <f t="shared" si="126"/>
        <v>2025</v>
      </c>
      <c r="D145" s="33"/>
      <c r="E145" s="10">
        <f t="shared" ref="E145:F145" ca="1" si="158">E133</f>
        <v>570.62936502461719</v>
      </c>
      <c r="F145" s="10">
        <f t="shared" ca="1" si="158"/>
        <v>0</v>
      </c>
      <c r="G145">
        <f t="shared" si="128"/>
        <v>31</v>
      </c>
      <c r="H145">
        <f>'Monthly Data'!BS145</f>
        <v>0</v>
      </c>
      <c r="I145">
        <f t="shared" si="129"/>
        <v>0</v>
      </c>
      <c r="J145" s="11"/>
      <c r="K145" s="17">
        <f t="shared" si="137"/>
        <v>-1956373.74241439</v>
      </c>
      <c r="L145" s="17">
        <f t="shared" ca="1" si="139"/>
        <v>14248184.233496714</v>
      </c>
      <c r="M145" s="17">
        <f t="shared" ca="1" si="140"/>
        <v>0</v>
      </c>
      <c r="N145" s="17">
        <f t="shared" si="141"/>
        <v>27425350.500205077</v>
      </c>
      <c r="O145" s="17">
        <f t="shared" si="142"/>
        <v>0</v>
      </c>
      <c r="P145" s="17">
        <f t="shared" si="143"/>
        <v>0</v>
      </c>
      <c r="Q145" s="17">
        <f t="shared" ca="1" si="144"/>
        <v>39717160.991287403</v>
      </c>
      <c r="S145" s="17"/>
      <c r="T145" s="31"/>
    </row>
    <row r="146" spans="1:20" x14ac:dyDescent="0.2">
      <c r="S146" s="17"/>
      <c r="T146" s="3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E97A-FDD9-478B-BD2E-5F332591C409}">
  <sheetPr codeName="Sheet16"/>
  <dimension ref="A1:Y146"/>
  <sheetViews>
    <sheetView topLeftCell="K7" workbookViewId="0">
      <selection activeCell="D133" sqref="D133"/>
    </sheetView>
  </sheetViews>
  <sheetFormatPr defaultRowHeight="12.75" x14ac:dyDescent="0.2"/>
  <cols>
    <col min="1" max="1" width="12.83203125" style="28" customWidth="1"/>
    <col min="4" max="4" width="19.5" style="18" bestFit="1" customWidth="1"/>
    <col min="6" max="6" width="10.33203125" customWidth="1"/>
    <col min="9" max="9" width="9.33203125" bestFit="1" customWidth="1"/>
    <col min="12" max="12" width="12" bestFit="1" customWidth="1"/>
    <col min="13" max="13" width="12.83203125" bestFit="1" customWidth="1"/>
    <col min="14" max="14" width="12" customWidth="1"/>
    <col min="15" max="15" width="12.83203125" bestFit="1" customWidth="1"/>
    <col min="16" max="16" width="13.6640625" bestFit="1" customWidth="1"/>
    <col min="17" max="17" width="13.1640625" bestFit="1" customWidth="1"/>
    <col min="18" max="18" width="13" customWidth="1"/>
    <col min="19" max="19" width="14.83203125" bestFit="1" customWidth="1"/>
    <col min="21" max="21" width="14.83203125" bestFit="1" customWidth="1"/>
  </cols>
  <sheetData>
    <row r="1" spans="1:25"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t="str">
        <f>'Monthly Data'!AO1</f>
        <v>OntFTEs</v>
      </c>
      <c r="J1" t="str">
        <f>'Monthly Data'!BM1</f>
        <v>FallA</v>
      </c>
      <c r="L1" t="s">
        <v>134</v>
      </c>
      <c r="M1" t="str">
        <f t="shared" ref="M1:R1" si="0">E1</f>
        <v>HDD10</v>
      </c>
      <c r="N1" t="str">
        <f t="shared" si="0"/>
        <v>CDD18</v>
      </c>
      <c r="O1" t="str">
        <f t="shared" si="0"/>
        <v>MonthDays</v>
      </c>
      <c r="P1" t="str">
        <f t="shared" si="0"/>
        <v>COVID_AM</v>
      </c>
      <c r="Q1" t="str">
        <f t="shared" si="0"/>
        <v>OntFTEs</v>
      </c>
      <c r="R1" t="str">
        <f t="shared" si="0"/>
        <v>FallA</v>
      </c>
      <c r="S1" t="s">
        <v>164</v>
      </c>
    </row>
    <row r="2" spans="1:25" x14ac:dyDescent="0.2">
      <c r="A2" s="28">
        <f>'Monthly Data'!A2</f>
        <v>41640</v>
      </c>
      <c r="B2">
        <f>'Monthly Data'!C2</f>
        <v>1</v>
      </c>
      <c r="C2">
        <f>'Monthly Data'!B2</f>
        <v>2014</v>
      </c>
      <c r="D2" s="18">
        <f>'Monthly Data'!J2</f>
        <v>15157471.269168407</v>
      </c>
      <c r="E2" s="215">
        <f ca="1">Weather!CT36</f>
        <v>666.68367523535153</v>
      </c>
      <c r="F2" s="217">
        <f ca="1">Weather!AM36</f>
        <v>0</v>
      </c>
      <c r="G2">
        <f>'Monthly Data'!BO2</f>
        <v>31</v>
      </c>
      <c r="H2">
        <f>'Monthly Data'!BR2</f>
        <v>0</v>
      </c>
      <c r="I2" s="17">
        <f>'Monthly Data'!AO2</f>
        <v>6770.4</v>
      </c>
      <c r="J2">
        <f>'Monthly Data'!BM2</f>
        <v>0</v>
      </c>
      <c r="L2" s="17">
        <f t="shared" ref="L2:L33" si="1">$V$7</f>
        <v>-2608738.8393219002</v>
      </c>
      <c r="M2" s="17">
        <f ca="1">E2*$V$8</f>
        <v>3433643.086303988</v>
      </c>
      <c r="N2" s="17">
        <f ca="1">F2*$V$9</f>
        <v>0</v>
      </c>
      <c r="O2" s="17">
        <f>G2*$V$10</f>
        <v>9267266.0882465839</v>
      </c>
      <c r="P2" s="17">
        <f>H2*$V$11</f>
        <v>0</v>
      </c>
      <c r="Q2" s="17">
        <f>I2*$V$12</f>
        <v>3723709.6036237977</v>
      </c>
      <c r="R2" s="17">
        <f>J2*$V$13</f>
        <v>0</v>
      </c>
      <c r="S2" s="17">
        <f ca="1">SUM(L2:R2)</f>
        <v>13815879.93885247</v>
      </c>
      <c r="U2" t="s">
        <v>486</v>
      </c>
    </row>
    <row r="3" spans="1:25" x14ac:dyDescent="0.2">
      <c r="A3" s="28">
        <f>'Monthly Data'!A3</f>
        <v>41671</v>
      </c>
      <c r="B3">
        <f>'Monthly Data'!C3</f>
        <v>2</v>
      </c>
      <c r="C3">
        <f>'Monthly Data'!B3</f>
        <v>2014</v>
      </c>
      <c r="D3" s="18">
        <f>'Monthly Data'!J3</f>
        <v>13487868.740983315</v>
      </c>
      <c r="E3" s="215">
        <f ca="1">Weather!CT37</f>
        <v>599.3508333333333</v>
      </c>
      <c r="F3" s="217">
        <f ca="1">Weather!AM37</f>
        <v>0</v>
      </c>
      <c r="G3">
        <f>'Monthly Data'!BO3</f>
        <v>28</v>
      </c>
      <c r="H3">
        <f>'Monthly Data'!BR3</f>
        <v>0</v>
      </c>
      <c r="I3" s="17">
        <f>'Monthly Data'!AO3</f>
        <v>6732.3</v>
      </c>
      <c r="J3">
        <f>'Monthly Data'!BM3</f>
        <v>0</v>
      </c>
      <c r="L3" s="17">
        <f t="shared" si="1"/>
        <v>-2608738.8393219002</v>
      </c>
      <c r="M3" s="17">
        <f t="shared" ref="M3:M66" ca="1" si="2">E3*$V$8</f>
        <v>3086856.5132017629</v>
      </c>
      <c r="N3" s="17">
        <f t="shared" ref="N3:N66" ca="1" si="3">F3*$V$9</f>
        <v>0</v>
      </c>
      <c r="O3" s="17">
        <f t="shared" ref="O3:O66" si="4">G3*$V$10</f>
        <v>8370433.8861582046</v>
      </c>
      <c r="P3" s="17">
        <f t="shared" ref="P3:P66" si="5">H3*$V$11</f>
        <v>0</v>
      </c>
      <c r="Q3" s="17">
        <f t="shared" ref="Q3:Q66" si="6">I3*$V$12</f>
        <v>3702754.6621287512</v>
      </c>
      <c r="R3" s="17">
        <f t="shared" ref="R3:R66" si="7">J3*$V$13</f>
        <v>0</v>
      </c>
      <c r="S3" s="17">
        <f t="shared" ref="S3:S66" ca="1" si="8">SUM(L3:R3)</f>
        <v>12551306.222166818</v>
      </c>
      <c r="U3" t="s">
        <v>154</v>
      </c>
    </row>
    <row r="4" spans="1:25" x14ac:dyDescent="0.2">
      <c r="A4" s="28">
        <f>'Monthly Data'!A4</f>
        <v>41699</v>
      </c>
      <c r="B4">
        <f>'Monthly Data'!C4</f>
        <v>3</v>
      </c>
      <c r="C4">
        <f>'Monthly Data'!B4</f>
        <v>2014</v>
      </c>
      <c r="D4" s="18">
        <f>'Monthly Data'!J4</f>
        <v>13775543.68756731</v>
      </c>
      <c r="E4" s="215">
        <f ca="1">Weather!CT38</f>
        <v>469.11853767651354</v>
      </c>
      <c r="F4" s="217">
        <f ca="1">Weather!AM38</f>
        <v>0</v>
      </c>
      <c r="G4">
        <f>'Monthly Data'!BO4</f>
        <v>31</v>
      </c>
      <c r="H4">
        <f>'Monthly Data'!BR4</f>
        <v>0</v>
      </c>
      <c r="I4" s="17">
        <f>'Monthly Data'!AO4</f>
        <v>6704.5</v>
      </c>
      <c r="J4">
        <f>'Monthly Data'!BM4</f>
        <v>0</v>
      </c>
      <c r="L4" s="17">
        <f t="shared" si="1"/>
        <v>-2608738.8393219002</v>
      </c>
      <c r="M4" s="17">
        <f t="shared" ca="1" si="2"/>
        <v>2416116.7932923525</v>
      </c>
      <c r="N4" s="17">
        <f t="shared" ca="1" si="3"/>
        <v>0</v>
      </c>
      <c r="O4" s="17">
        <f t="shared" si="4"/>
        <v>9267266.0882465839</v>
      </c>
      <c r="P4" s="17">
        <f t="shared" si="5"/>
        <v>0</v>
      </c>
      <c r="Q4" s="17">
        <f t="shared" si="6"/>
        <v>3687464.704817404</v>
      </c>
      <c r="R4" s="17">
        <f t="shared" si="7"/>
        <v>0</v>
      </c>
      <c r="S4" s="17">
        <f t="shared" ca="1" si="8"/>
        <v>12762108.747034442</v>
      </c>
      <c r="U4" t="s">
        <v>491</v>
      </c>
    </row>
    <row r="5" spans="1:25" x14ac:dyDescent="0.2">
      <c r="A5" s="28">
        <f>'Monthly Data'!A5</f>
        <v>41730</v>
      </c>
      <c r="B5">
        <f>'Monthly Data'!C5</f>
        <v>4</v>
      </c>
      <c r="C5">
        <f>'Monthly Data'!B5</f>
        <v>2014</v>
      </c>
      <c r="D5" s="18">
        <f>'Monthly Data'!J5</f>
        <v>11881176.66165504</v>
      </c>
      <c r="E5" s="215">
        <f ca="1">Weather!CT39</f>
        <v>233.92395833333336</v>
      </c>
      <c r="F5" s="217">
        <f ca="1">Weather!AM39</f>
        <v>0</v>
      </c>
      <c r="G5">
        <f>'Monthly Data'!BO5</f>
        <v>30</v>
      </c>
      <c r="H5">
        <f>'Monthly Data'!BR5</f>
        <v>0</v>
      </c>
      <c r="I5" s="17">
        <f>'Monthly Data'!AO5</f>
        <v>6732.1</v>
      </c>
      <c r="J5">
        <f>'Monthly Data'!BM5</f>
        <v>0</v>
      </c>
      <c r="L5" s="17">
        <f t="shared" si="1"/>
        <v>-2608738.8393219002</v>
      </c>
      <c r="M5" s="17">
        <f t="shared" ca="1" si="2"/>
        <v>1204786.3358414527</v>
      </c>
      <c r="N5" s="17">
        <f t="shared" ca="1" si="3"/>
        <v>0</v>
      </c>
      <c r="O5" s="17">
        <f t="shared" si="4"/>
        <v>8968322.0208837911</v>
      </c>
      <c r="P5" s="17">
        <f t="shared" si="5"/>
        <v>0</v>
      </c>
      <c r="Q5" s="17">
        <f t="shared" si="6"/>
        <v>3702644.6624358636</v>
      </c>
      <c r="R5" s="17">
        <f t="shared" si="7"/>
        <v>0</v>
      </c>
      <c r="S5" s="17">
        <f t="shared" ca="1" si="8"/>
        <v>11267014.179839207</v>
      </c>
    </row>
    <row r="6" spans="1:25" x14ac:dyDescent="0.2">
      <c r="A6" s="28">
        <f>'Monthly Data'!A6</f>
        <v>41760</v>
      </c>
      <c r="B6">
        <f>'Monthly Data'!C6</f>
        <v>5</v>
      </c>
      <c r="C6">
        <f>'Monthly Data'!B6</f>
        <v>2014</v>
      </c>
      <c r="D6" s="18">
        <f>'Monthly Data'!J6</f>
        <v>11035623.923947429</v>
      </c>
      <c r="E6" s="215">
        <f ca="1">Weather!CT40</f>
        <v>46.324929225504526</v>
      </c>
      <c r="F6" s="217">
        <f ca="1">Weather!AM40</f>
        <v>9.6293749999999996</v>
      </c>
      <c r="G6">
        <f>'Monthly Data'!BO6</f>
        <v>31</v>
      </c>
      <c r="H6">
        <f>'Monthly Data'!BR6</f>
        <v>0</v>
      </c>
      <c r="I6" s="17">
        <f>'Monthly Data'!AO6</f>
        <v>6790.3</v>
      </c>
      <c r="J6">
        <f>'Monthly Data'!BM6</f>
        <v>0</v>
      </c>
      <c r="L6" s="17">
        <f t="shared" si="1"/>
        <v>-2608738.8393219002</v>
      </c>
      <c r="M6" s="17">
        <f t="shared" ca="1" si="2"/>
        <v>238588.82235645404</v>
      </c>
      <c r="N6" s="17">
        <f t="shared" ca="1" si="3"/>
        <v>119775.01846893948</v>
      </c>
      <c r="O6" s="17">
        <f t="shared" si="4"/>
        <v>9267266.0882465839</v>
      </c>
      <c r="P6" s="17">
        <f t="shared" si="5"/>
        <v>0</v>
      </c>
      <c r="Q6" s="17">
        <f t="shared" si="6"/>
        <v>3734654.573066093</v>
      </c>
      <c r="R6" s="17">
        <f t="shared" si="7"/>
        <v>0</v>
      </c>
      <c r="S6" s="17">
        <f t="shared" ca="1" si="8"/>
        <v>10751545.662816171</v>
      </c>
      <c r="V6" t="s">
        <v>139</v>
      </c>
      <c r="W6" t="s">
        <v>140</v>
      </c>
      <c r="X6" t="s">
        <v>141</v>
      </c>
      <c r="Y6" t="s">
        <v>142</v>
      </c>
    </row>
    <row r="7" spans="1:25" x14ac:dyDescent="0.2">
      <c r="A7" s="28">
        <f>'Monthly Data'!A7</f>
        <v>41791</v>
      </c>
      <c r="B7">
        <f>'Monthly Data'!C7</f>
        <v>6</v>
      </c>
      <c r="C7">
        <f>'Monthly Data'!B7</f>
        <v>2014</v>
      </c>
      <c r="D7" s="18">
        <f>'Monthly Data'!J7</f>
        <v>10546392.712288998</v>
      </c>
      <c r="E7" s="215">
        <f ca="1">Weather!CT41</f>
        <v>1.25875</v>
      </c>
      <c r="F7" s="217">
        <f ca="1">Weather!AM41</f>
        <v>25.077154107828811</v>
      </c>
      <c r="G7">
        <f>'Monthly Data'!BO7</f>
        <v>30</v>
      </c>
      <c r="H7">
        <f>'Monthly Data'!BR7</f>
        <v>0</v>
      </c>
      <c r="I7" s="17">
        <f>'Monthly Data'!AO7</f>
        <v>6875.4</v>
      </c>
      <c r="J7">
        <f>'Monthly Data'!BM7</f>
        <v>0</v>
      </c>
      <c r="L7" s="17">
        <f t="shared" si="1"/>
        <v>-2608738.8393219002</v>
      </c>
      <c r="M7" s="17">
        <f t="shared" ca="1" si="2"/>
        <v>6482.9819529619735</v>
      </c>
      <c r="N7" s="17">
        <f t="shared" ca="1" si="3"/>
        <v>311922.27911091194</v>
      </c>
      <c r="O7" s="17">
        <f t="shared" si="4"/>
        <v>8968322.0208837911</v>
      </c>
      <c r="P7" s="17">
        <f t="shared" si="5"/>
        <v>0</v>
      </c>
      <c r="Q7" s="17">
        <f t="shared" si="6"/>
        <v>3781459.4423896754</v>
      </c>
      <c r="R7" s="17">
        <f t="shared" si="7"/>
        <v>0</v>
      </c>
      <c r="S7" s="17">
        <f t="shared" ca="1" si="8"/>
        <v>10459447.885015439</v>
      </c>
      <c r="U7" t="s">
        <v>134</v>
      </c>
      <c r="V7" s="105">
        <v>-2608738.8393219002</v>
      </c>
      <c r="W7" s="105">
        <v>1051118.6724243001</v>
      </c>
      <c r="X7" s="76">
        <v>-2.48186899135289</v>
      </c>
      <c r="Y7" s="251">
        <v>1.4407810211055199E-2</v>
      </c>
    </row>
    <row r="8" spans="1:25" x14ac:dyDescent="0.2">
      <c r="A8" s="28">
        <f>'Monthly Data'!A8</f>
        <v>41821</v>
      </c>
      <c r="B8">
        <f>'Monthly Data'!C8</f>
        <v>7</v>
      </c>
      <c r="C8">
        <f>'Monthly Data'!B8</f>
        <v>2014</v>
      </c>
      <c r="D8" s="18">
        <f>'Monthly Data'!J8</f>
        <v>10827642.939978894</v>
      </c>
      <c r="E8" s="215">
        <f ca="1">Weather!CT42</f>
        <v>0</v>
      </c>
      <c r="F8" s="217">
        <f ca="1">Weather!AM42</f>
        <v>56.475141548990976</v>
      </c>
      <c r="G8">
        <f>'Monthly Data'!BO8</f>
        <v>31</v>
      </c>
      <c r="H8">
        <f>'Monthly Data'!BR8</f>
        <v>0</v>
      </c>
      <c r="I8" s="17">
        <f>'Monthly Data'!AO8</f>
        <v>6932</v>
      </c>
      <c r="J8">
        <f>'Monthly Data'!BM8</f>
        <v>0</v>
      </c>
      <c r="L8" s="17">
        <f t="shared" si="1"/>
        <v>-2608738.8393219002</v>
      </c>
      <c r="M8" s="17">
        <f t="shared" ca="1" si="2"/>
        <v>0</v>
      </c>
      <c r="N8" s="17">
        <f t="shared" ca="1" si="3"/>
        <v>702466.26827456255</v>
      </c>
      <c r="O8" s="17">
        <f t="shared" si="4"/>
        <v>9267266.0882465839</v>
      </c>
      <c r="P8" s="17">
        <f t="shared" si="5"/>
        <v>0</v>
      </c>
      <c r="Q8" s="17">
        <f t="shared" si="6"/>
        <v>3812589.3554768059</v>
      </c>
      <c r="R8" s="17">
        <f t="shared" si="7"/>
        <v>0</v>
      </c>
      <c r="S8" s="17">
        <f t="shared" ca="1" si="8"/>
        <v>11173582.872676052</v>
      </c>
      <c r="U8" t="s">
        <v>34</v>
      </c>
      <c r="V8" s="105">
        <v>5150.3332297612496</v>
      </c>
      <c r="W8" s="105">
        <v>162.75791618437401</v>
      </c>
      <c r="X8" s="76">
        <v>31.6441335113119</v>
      </c>
      <c r="Y8" s="251">
        <v>3.1014345905792298E-61</v>
      </c>
    </row>
    <row r="9" spans="1:25" x14ac:dyDescent="0.2">
      <c r="A9" s="28">
        <f>'Monthly Data'!A9</f>
        <v>41852</v>
      </c>
      <c r="B9">
        <f>'Monthly Data'!C9</f>
        <v>8</v>
      </c>
      <c r="C9">
        <f>'Monthly Data'!B9</f>
        <v>2014</v>
      </c>
      <c r="D9" s="18">
        <f>'Monthly Data'!J9</f>
        <v>10734152.677535055</v>
      </c>
      <c r="E9" s="215">
        <f ca="1">Weather!CT43</f>
        <v>0.1158333333333335</v>
      </c>
      <c r="F9" s="217">
        <f ca="1">Weather!AM43</f>
        <v>35.296250000000008</v>
      </c>
      <c r="G9">
        <f>'Monthly Data'!BO9</f>
        <v>31</v>
      </c>
      <c r="H9">
        <f>'Monthly Data'!BR9</f>
        <v>0</v>
      </c>
      <c r="I9" s="17">
        <f>'Monthly Data'!AO9</f>
        <v>6947.8</v>
      </c>
      <c r="J9">
        <f>'Monthly Data'!BM9</f>
        <v>0</v>
      </c>
      <c r="L9" s="17">
        <f t="shared" si="1"/>
        <v>-2608738.8393219002</v>
      </c>
      <c r="M9" s="17">
        <f t="shared" ca="1" si="2"/>
        <v>596.58026578067893</v>
      </c>
      <c r="N9" s="17">
        <f t="shared" ca="1" si="3"/>
        <v>439032.54319561826</v>
      </c>
      <c r="O9" s="17">
        <f t="shared" si="4"/>
        <v>9267266.0882465839</v>
      </c>
      <c r="P9" s="17">
        <f t="shared" si="5"/>
        <v>0</v>
      </c>
      <c r="Q9" s="17">
        <f t="shared" si="6"/>
        <v>3821279.3312149094</v>
      </c>
      <c r="R9" s="17">
        <f t="shared" si="7"/>
        <v>0</v>
      </c>
      <c r="S9" s="17">
        <f t="shared" ca="1" si="8"/>
        <v>10919435.703600992</v>
      </c>
      <c r="U9" t="s">
        <v>27</v>
      </c>
      <c r="V9" s="105">
        <v>12438.503897598701</v>
      </c>
      <c r="W9" s="105">
        <v>1499.5838294610701</v>
      </c>
      <c r="X9" s="76">
        <v>8.2946372541700093</v>
      </c>
      <c r="Y9" s="251">
        <v>1.5398242365267599E-13</v>
      </c>
    </row>
    <row r="10" spans="1:25" x14ac:dyDescent="0.2">
      <c r="A10" s="28">
        <f>'Monthly Data'!A10</f>
        <v>41883</v>
      </c>
      <c r="B10">
        <f>'Monthly Data'!C10</f>
        <v>9</v>
      </c>
      <c r="C10">
        <f>'Monthly Data'!B10</f>
        <v>2014</v>
      </c>
      <c r="D10" s="18">
        <f>'Monthly Data'!J10</f>
        <v>10275750.483334154</v>
      </c>
      <c r="E10" s="215">
        <f ca="1">Weather!CT44</f>
        <v>11.597845892171184</v>
      </c>
      <c r="F10" s="217">
        <f ca="1">Weather!AM44</f>
        <v>11.128958333333333</v>
      </c>
      <c r="G10">
        <f>'Monthly Data'!BO10</f>
        <v>30</v>
      </c>
      <c r="H10">
        <f>'Monthly Data'!BR10</f>
        <v>0</v>
      </c>
      <c r="I10" s="17">
        <f>'Monthly Data'!AO10</f>
        <v>6917.2</v>
      </c>
      <c r="J10">
        <f>'Monthly Data'!BM10</f>
        <v>1</v>
      </c>
      <c r="L10" s="17">
        <f t="shared" si="1"/>
        <v>-2608738.8393219002</v>
      </c>
      <c r="M10" s="17">
        <f t="shared" ca="1" si="2"/>
        <v>59732.771092099261</v>
      </c>
      <c r="N10" s="17">
        <f t="shared" ca="1" si="3"/>
        <v>138427.59160538021</v>
      </c>
      <c r="O10" s="17">
        <f t="shared" si="4"/>
        <v>8968322.0208837911</v>
      </c>
      <c r="P10" s="17">
        <f t="shared" si="5"/>
        <v>0</v>
      </c>
      <c r="Q10" s="17">
        <f t="shared" si="6"/>
        <v>3804449.3782031392</v>
      </c>
      <c r="R10" s="17">
        <f t="shared" si="7"/>
        <v>-307328.60270320397</v>
      </c>
      <c r="S10" s="17">
        <f t="shared" ca="1" si="8"/>
        <v>10054864.319759306</v>
      </c>
      <c r="U10" t="s">
        <v>66</v>
      </c>
      <c r="V10" s="105">
        <v>298944.06736279302</v>
      </c>
      <c r="W10" s="105">
        <v>21488.626850028701</v>
      </c>
      <c r="X10" s="76">
        <v>13.9117343071362</v>
      </c>
      <c r="Y10" s="251">
        <v>4.3715773922929804E-27</v>
      </c>
    </row>
    <row r="11" spans="1:25" x14ac:dyDescent="0.2">
      <c r="A11" s="28">
        <f>'Monthly Data'!A11</f>
        <v>41913</v>
      </c>
      <c r="B11">
        <f>'Monthly Data'!C11</f>
        <v>10</v>
      </c>
      <c r="C11">
        <f>'Monthly Data'!B11</f>
        <v>2014</v>
      </c>
      <c r="D11" s="18">
        <f>'Monthly Data'!J11</f>
        <v>11285129.733190259</v>
      </c>
      <c r="E11" s="215">
        <f ca="1">Weather!CT45</f>
        <v>128.51888157360821</v>
      </c>
      <c r="F11" s="217">
        <f ca="1">Weather!AM45</f>
        <v>0.44687499999999963</v>
      </c>
      <c r="G11">
        <f>'Monthly Data'!BO11</f>
        <v>31</v>
      </c>
      <c r="H11">
        <f>'Monthly Data'!BR11</f>
        <v>0</v>
      </c>
      <c r="I11" s="17">
        <f>'Monthly Data'!AO11</f>
        <v>6898.9</v>
      </c>
      <c r="J11">
        <f>'Monthly Data'!BM11</f>
        <v>1</v>
      </c>
      <c r="L11" s="17">
        <f t="shared" si="1"/>
        <v>-2608738.8393219002</v>
      </c>
      <c r="M11" s="17">
        <f t="shared" ca="1" si="2"/>
        <v>661915.06642030517</v>
      </c>
      <c r="N11" s="17">
        <f t="shared" ca="1" si="3"/>
        <v>5558.4564292394152</v>
      </c>
      <c r="O11" s="17">
        <f t="shared" si="4"/>
        <v>9267266.0882465839</v>
      </c>
      <c r="P11" s="17">
        <f t="shared" si="5"/>
        <v>0</v>
      </c>
      <c r="Q11" s="17">
        <f t="shared" si="6"/>
        <v>3794384.4063039436</v>
      </c>
      <c r="R11" s="17">
        <f t="shared" si="7"/>
        <v>-307328.60270320397</v>
      </c>
      <c r="S11" s="17">
        <f t="shared" ca="1" si="8"/>
        <v>10813056.575374968</v>
      </c>
      <c r="U11" t="s">
        <v>69</v>
      </c>
      <c r="V11" s="105">
        <v>-1187124.61941395</v>
      </c>
      <c r="W11" s="105">
        <v>198020.08923501501</v>
      </c>
      <c r="X11" s="76">
        <v>-5.9949706315152804</v>
      </c>
      <c r="Y11" s="251">
        <v>2.06168722112425E-8</v>
      </c>
    </row>
    <row r="12" spans="1:25" x14ac:dyDescent="0.2">
      <c r="A12" s="28">
        <f>'Monthly Data'!A12</f>
        <v>41944</v>
      </c>
      <c r="B12">
        <f>'Monthly Data'!C12</f>
        <v>11</v>
      </c>
      <c r="C12">
        <f>'Monthly Data'!B12</f>
        <v>2014</v>
      </c>
      <c r="D12" s="18">
        <f>'Monthly Data'!J12</f>
        <v>12156627.365140678</v>
      </c>
      <c r="E12" s="215">
        <f ca="1">Weather!CT46</f>
        <v>332.1049960098469</v>
      </c>
      <c r="F12" s="217">
        <f ca="1">Weather!AM46</f>
        <v>0</v>
      </c>
      <c r="G12">
        <f>'Monthly Data'!BO12</f>
        <v>30</v>
      </c>
      <c r="H12">
        <f>'Monthly Data'!BR12</f>
        <v>0</v>
      </c>
      <c r="I12" s="17">
        <f>'Monthly Data'!AO12</f>
        <v>6871.1</v>
      </c>
      <c r="J12">
        <f>'Monthly Data'!BM12</f>
        <v>0</v>
      </c>
      <c r="L12" s="17">
        <f t="shared" si="1"/>
        <v>-2608738.8393219002</v>
      </c>
      <c r="M12" s="17">
        <f t="shared" ca="1" si="2"/>
        <v>1710451.3967192417</v>
      </c>
      <c r="N12" s="17">
        <f t="shared" ca="1" si="3"/>
        <v>0</v>
      </c>
      <c r="O12" s="17">
        <f t="shared" si="4"/>
        <v>8968322.0208837911</v>
      </c>
      <c r="P12" s="17">
        <f t="shared" si="5"/>
        <v>0</v>
      </c>
      <c r="Q12" s="17">
        <f t="shared" si="6"/>
        <v>3779094.4489925969</v>
      </c>
      <c r="R12" s="17">
        <f t="shared" si="7"/>
        <v>0</v>
      </c>
      <c r="S12" s="17">
        <f t="shared" ca="1" si="8"/>
        <v>11849129.027273729</v>
      </c>
      <c r="U12" t="s">
        <v>40</v>
      </c>
      <c r="V12" s="105">
        <v>549.99846443693104</v>
      </c>
      <c r="W12" s="105">
        <v>112.929474893248</v>
      </c>
      <c r="X12" s="76">
        <v>4.8702826693991303</v>
      </c>
      <c r="Y12" s="251">
        <v>3.3267379268060099E-6</v>
      </c>
    </row>
    <row r="13" spans="1:25" x14ac:dyDescent="0.2">
      <c r="A13" s="28">
        <f>'Monthly Data'!A13</f>
        <v>41974</v>
      </c>
      <c r="B13">
        <f>'Monthly Data'!C13</f>
        <v>12</v>
      </c>
      <c r="C13">
        <f>'Monthly Data'!B13</f>
        <v>2014</v>
      </c>
      <c r="D13" s="18">
        <f>'Monthly Data'!J13</f>
        <v>13612135.709697366</v>
      </c>
      <c r="E13" s="215">
        <f ca="1">Weather!CT47</f>
        <v>508.62936502461724</v>
      </c>
      <c r="F13" s="217">
        <f ca="1">Weather!AM47</f>
        <v>0</v>
      </c>
      <c r="G13">
        <f>'Monthly Data'!BO13</f>
        <v>31</v>
      </c>
      <c r="H13">
        <f>'Monthly Data'!BR13</f>
        <v>0</v>
      </c>
      <c r="I13" s="17">
        <f>'Monthly Data'!AO13</f>
        <v>6863.1</v>
      </c>
      <c r="J13">
        <f>'Monthly Data'!BM13</f>
        <v>0</v>
      </c>
      <c r="L13" s="17">
        <f t="shared" si="1"/>
        <v>-2608738.8393219002</v>
      </c>
      <c r="M13" s="17">
        <f t="shared" ca="1" si="2"/>
        <v>2619610.7203186504</v>
      </c>
      <c r="N13" s="17">
        <f t="shared" ca="1" si="3"/>
        <v>0</v>
      </c>
      <c r="O13" s="17">
        <f t="shared" si="4"/>
        <v>9267266.0882465839</v>
      </c>
      <c r="P13" s="17">
        <f t="shared" si="5"/>
        <v>0</v>
      </c>
      <c r="Q13" s="17">
        <f t="shared" si="6"/>
        <v>3774694.4612771017</v>
      </c>
      <c r="R13" s="17">
        <f t="shared" si="7"/>
        <v>0</v>
      </c>
      <c r="S13" s="17">
        <f t="shared" ca="1" si="8"/>
        <v>13052832.430520436</v>
      </c>
      <c r="U13" t="s">
        <v>64</v>
      </c>
      <c r="V13" s="105">
        <v>-307328.60270320397</v>
      </c>
      <c r="W13" s="105">
        <v>73222.724810860105</v>
      </c>
      <c r="X13" s="76">
        <v>-4.1971751733776204</v>
      </c>
      <c r="Y13" s="251">
        <v>5.1108120246938802E-5</v>
      </c>
    </row>
    <row r="14" spans="1:25" x14ac:dyDescent="0.2">
      <c r="A14" s="28">
        <f>'Monthly Data'!A14</f>
        <v>42005</v>
      </c>
      <c r="B14">
        <f>'Monthly Data'!C14</f>
        <v>1</v>
      </c>
      <c r="C14">
        <f>'Monthly Data'!B14</f>
        <v>2015</v>
      </c>
      <c r="D14" s="18">
        <f>'Monthly Data'!J14</f>
        <v>14774362.688897101</v>
      </c>
      <c r="E14" s="10">
        <f ca="1">E2</f>
        <v>666.68367523535153</v>
      </c>
      <c r="F14" s="10">
        <f ca="1">F2</f>
        <v>0</v>
      </c>
      <c r="G14">
        <f>'Monthly Data'!BO14</f>
        <v>31</v>
      </c>
      <c r="H14">
        <f>'Monthly Data'!BR14</f>
        <v>0</v>
      </c>
      <c r="I14" s="17">
        <f>'Monthly Data'!AO14</f>
        <v>6809.7</v>
      </c>
      <c r="J14">
        <f>'Monthly Data'!BM14</f>
        <v>0</v>
      </c>
      <c r="L14" s="17">
        <f t="shared" si="1"/>
        <v>-2608738.8393219002</v>
      </c>
      <c r="M14" s="17">
        <f t="shared" ca="1" si="2"/>
        <v>3433643.086303988</v>
      </c>
      <c r="N14" s="17">
        <f t="shared" ca="1" si="3"/>
        <v>0</v>
      </c>
      <c r="O14" s="17">
        <f t="shared" si="4"/>
        <v>9267266.0882465839</v>
      </c>
      <c r="P14" s="17">
        <f t="shared" si="5"/>
        <v>0</v>
      </c>
      <c r="Q14" s="17">
        <f t="shared" si="6"/>
        <v>3745324.5432761693</v>
      </c>
      <c r="R14" s="17">
        <f t="shared" si="7"/>
        <v>0</v>
      </c>
      <c r="S14" s="17">
        <f t="shared" ca="1" si="8"/>
        <v>13837494.878504843</v>
      </c>
    </row>
    <row r="15" spans="1:25" x14ac:dyDescent="0.2">
      <c r="A15" s="28">
        <f>'Monthly Data'!A15</f>
        <v>42036</v>
      </c>
      <c r="B15">
        <f>'Monthly Data'!C15</f>
        <v>2</v>
      </c>
      <c r="C15">
        <f>'Monthly Data'!B15</f>
        <v>2015</v>
      </c>
      <c r="D15" s="18">
        <f>'Monthly Data'!J15</f>
        <v>13398276.584565323</v>
      </c>
      <c r="E15" s="10">
        <f t="shared" ref="E15:F15" ca="1" si="9">E3</f>
        <v>599.3508333333333</v>
      </c>
      <c r="F15" s="10">
        <f t="shared" ca="1" si="9"/>
        <v>0</v>
      </c>
      <c r="G15">
        <f>'Monthly Data'!BO15</f>
        <v>28</v>
      </c>
      <c r="H15">
        <f>'Monthly Data'!BR15</f>
        <v>0</v>
      </c>
      <c r="I15" s="17">
        <f>'Monthly Data'!AO15</f>
        <v>6782.7</v>
      </c>
      <c r="J15">
        <f>'Monthly Data'!BM15</f>
        <v>0</v>
      </c>
      <c r="L15" s="17">
        <f t="shared" si="1"/>
        <v>-2608738.8393219002</v>
      </c>
      <c r="M15" s="17">
        <f t="shared" ca="1" si="2"/>
        <v>3086856.5132017629</v>
      </c>
      <c r="N15" s="17">
        <f t="shared" ca="1" si="3"/>
        <v>0</v>
      </c>
      <c r="O15" s="17">
        <f t="shared" si="4"/>
        <v>8370433.8861582046</v>
      </c>
      <c r="P15" s="17">
        <f t="shared" si="5"/>
        <v>0</v>
      </c>
      <c r="Q15" s="17">
        <f t="shared" si="6"/>
        <v>3730474.5847363719</v>
      </c>
      <c r="R15" s="17">
        <f t="shared" si="7"/>
        <v>0</v>
      </c>
      <c r="S15" s="17">
        <f t="shared" ca="1" si="8"/>
        <v>12579026.144774439</v>
      </c>
      <c r="U15" t="s">
        <v>143</v>
      </c>
    </row>
    <row r="16" spans="1:25" x14ac:dyDescent="0.2">
      <c r="A16" s="28">
        <f>'Monthly Data'!A16</f>
        <v>42064</v>
      </c>
      <c r="B16">
        <f>'Monthly Data'!C16</f>
        <v>3</v>
      </c>
      <c r="C16">
        <f>'Monthly Data'!B16</f>
        <v>2015</v>
      </c>
      <c r="D16" s="18">
        <f>'Monthly Data'!J16</f>
        <v>13367811.181566991</v>
      </c>
      <c r="E16" s="10">
        <f t="shared" ref="E16:F16" ca="1" si="10">E4</f>
        <v>469.11853767651354</v>
      </c>
      <c r="F16" s="10">
        <f t="shared" ca="1" si="10"/>
        <v>0</v>
      </c>
      <c r="G16">
        <f>'Monthly Data'!BO16</f>
        <v>31</v>
      </c>
      <c r="H16">
        <f>'Monthly Data'!BR16</f>
        <v>0</v>
      </c>
      <c r="I16" s="17">
        <f>'Monthly Data'!AO16</f>
        <v>6761.8</v>
      </c>
      <c r="J16">
        <f>'Monthly Data'!BM16</f>
        <v>0</v>
      </c>
      <c r="L16" s="17">
        <f t="shared" si="1"/>
        <v>-2608738.8393219002</v>
      </c>
      <c r="M16" s="17">
        <f t="shared" ca="1" si="2"/>
        <v>2416116.7932923525</v>
      </c>
      <c r="N16" s="17">
        <f t="shared" ca="1" si="3"/>
        <v>0</v>
      </c>
      <c r="O16" s="17">
        <f t="shared" si="4"/>
        <v>9267266.0882465839</v>
      </c>
      <c r="P16" s="17">
        <f t="shared" si="5"/>
        <v>0</v>
      </c>
      <c r="Q16" s="17">
        <f t="shared" si="6"/>
        <v>3718979.6168296402</v>
      </c>
      <c r="R16" s="17">
        <f t="shared" si="7"/>
        <v>0</v>
      </c>
      <c r="S16" s="17">
        <f t="shared" ca="1" si="8"/>
        <v>12793623.659046676</v>
      </c>
      <c r="U16" t="s">
        <v>144</v>
      </c>
      <c r="V16">
        <v>8621438025103.5</v>
      </c>
      <c r="W16" t="s">
        <v>145</v>
      </c>
      <c r="X16" s="105">
        <v>263681.10665897001</v>
      </c>
    </row>
    <row r="17" spans="1:24" x14ac:dyDescent="0.2">
      <c r="A17" s="28">
        <f>'Monthly Data'!A17</f>
        <v>42095</v>
      </c>
      <c r="B17">
        <f>'Monthly Data'!C17</f>
        <v>4</v>
      </c>
      <c r="C17">
        <f>'Monthly Data'!B17</f>
        <v>2015</v>
      </c>
      <c r="D17" s="18">
        <f>'Monthly Data'!J17</f>
        <v>11459682.663342522</v>
      </c>
      <c r="E17" s="10">
        <f t="shared" ref="E17:F17" ca="1" si="11">E5</f>
        <v>233.92395833333336</v>
      </c>
      <c r="F17" s="10">
        <f t="shared" ca="1" si="11"/>
        <v>0</v>
      </c>
      <c r="G17">
        <f>'Monthly Data'!BO17</f>
        <v>30</v>
      </c>
      <c r="H17">
        <f>'Monthly Data'!BR17</f>
        <v>0</v>
      </c>
      <c r="I17" s="17">
        <f>'Monthly Data'!AO17</f>
        <v>6786.4</v>
      </c>
      <c r="J17">
        <f>'Monthly Data'!BM17</f>
        <v>0</v>
      </c>
      <c r="L17" s="17">
        <f t="shared" si="1"/>
        <v>-2608738.8393219002</v>
      </c>
      <c r="M17" s="17">
        <f t="shared" ca="1" si="2"/>
        <v>1204786.3358414527</v>
      </c>
      <c r="N17" s="17">
        <f t="shared" ca="1" si="3"/>
        <v>0</v>
      </c>
      <c r="O17" s="17">
        <f t="shared" si="4"/>
        <v>8968322.0208837911</v>
      </c>
      <c r="P17" s="17">
        <f t="shared" si="5"/>
        <v>0</v>
      </c>
      <c r="Q17" s="17">
        <f t="shared" si="6"/>
        <v>3732509.5790547887</v>
      </c>
      <c r="R17" s="17">
        <f t="shared" si="7"/>
        <v>0</v>
      </c>
      <c r="S17" s="17">
        <f t="shared" ca="1" si="8"/>
        <v>11296879.096458133</v>
      </c>
      <c r="U17" t="s">
        <v>146</v>
      </c>
      <c r="V17" s="252">
        <v>0.96046580848456398</v>
      </c>
      <c r="W17" t="s">
        <v>147</v>
      </c>
      <c r="X17" s="252">
        <v>0.95855286373381698</v>
      </c>
    </row>
    <row r="18" spans="1:24" x14ac:dyDescent="0.2">
      <c r="A18" s="28">
        <f>'Monthly Data'!A18</f>
        <v>42125</v>
      </c>
      <c r="B18">
        <f>'Monthly Data'!C18</f>
        <v>5</v>
      </c>
      <c r="C18">
        <f>'Monthly Data'!B18</f>
        <v>2015</v>
      </c>
      <c r="D18" s="18">
        <f>'Monthly Data'!J18</f>
        <v>10674881.061633488</v>
      </c>
      <c r="E18" s="10">
        <f t="shared" ref="E18:F18" ca="1" si="12">E6</f>
        <v>46.324929225504526</v>
      </c>
      <c r="F18" s="10">
        <f t="shared" ca="1" si="12"/>
        <v>9.6293749999999996</v>
      </c>
      <c r="G18">
        <f>'Monthly Data'!BO18</f>
        <v>31</v>
      </c>
      <c r="H18">
        <f>'Monthly Data'!BR18</f>
        <v>0</v>
      </c>
      <c r="I18" s="17">
        <f>'Monthly Data'!AO18</f>
        <v>6848.1</v>
      </c>
      <c r="J18">
        <f>'Monthly Data'!BM18</f>
        <v>0</v>
      </c>
      <c r="L18" s="17">
        <f t="shared" si="1"/>
        <v>-2608738.8393219002</v>
      </c>
      <c r="M18" s="17">
        <f t="shared" ca="1" si="2"/>
        <v>238588.82235645404</v>
      </c>
      <c r="N18" s="17">
        <f t="shared" ca="1" si="3"/>
        <v>119775.01846893948</v>
      </c>
      <c r="O18" s="17">
        <f t="shared" si="4"/>
        <v>9267266.0882465839</v>
      </c>
      <c r="P18" s="17">
        <f t="shared" si="5"/>
        <v>0</v>
      </c>
      <c r="Q18" s="17">
        <f t="shared" si="6"/>
        <v>3766444.4843105478</v>
      </c>
      <c r="R18" s="17">
        <f t="shared" si="7"/>
        <v>0</v>
      </c>
      <c r="S18" s="17">
        <f t="shared" ca="1" si="8"/>
        <v>10783335.574060626</v>
      </c>
      <c r="U18" t="s">
        <v>487</v>
      </c>
      <c r="V18" s="76">
        <v>367.616847658094</v>
      </c>
      <c r="W18" t="s">
        <v>148</v>
      </c>
      <c r="X18" s="252">
        <v>1.8936096537482201E-76</v>
      </c>
    </row>
    <row r="19" spans="1:24" x14ac:dyDescent="0.2">
      <c r="A19" s="28">
        <f>'Monthly Data'!A19</f>
        <v>42156</v>
      </c>
      <c r="B19">
        <f>'Monthly Data'!C19</f>
        <v>6</v>
      </c>
      <c r="C19">
        <f>'Monthly Data'!B19</f>
        <v>2015</v>
      </c>
      <c r="D19" s="18">
        <f>'Monthly Data'!J19</f>
        <v>10334828.398293173</v>
      </c>
      <c r="E19" s="10">
        <f t="shared" ref="E19:F19" ca="1" si="13">E7</f>
        <v>1.25875</v>
      </c>
      <c r="F19" s="10">
        <f t="shared" ca="1" si="13"/>
        <v>25.077154107828811</v>
      </c>
      <c r="G19">
        <f>'Monthly Data'!BO19</f>
        <v>30</v>
      </c>
      <c r="H19">
        <f>'Monthly Data'!BR19</f>
        <v>0</v>
      </c>
      <c r="I19" s="17">
        <f>'Monthly Data'!AO19</f>
        <v>6930.1</v>
      </c>
      <c r="J19">
        <f>'Monthly Data'!BM19</f>
        <v>0</v>
      </c>
      <c r="L19" s="17">
        <f t="shared" si="1"/>
        <v>-2608738.8393219002</v>
      </c>
      <c r="M19" s="17">
        <f t="shared" ca="1" si="2"/>
        <v>6482.9819529619735</v>
      </c>
      <c r="N19" s="17">
        <f t="shared" ca="1" si="3"/>
        <v>311922.27911091194</v>
      </c>
      <c r="O19" s="17">
        <f t="shared" si="4"/>
        <v>8968322.0208837911</v>
      </c>
      <c r="P19" s="17">
        <f t="shared" si="5"/>
        <v>0</v>
      </c>
      <c r="Q19" s="17">
        <f t="shared" si="6"/>
        <v>3811544.358394376</v>
      </c>
      <c r="R19" s="17">
        <f t="shared" si="7"/>
        <v>0</v>
      </c>
      <c r="S19" s="17">
        <f t="shared" ca="1" si="8"/>
        <v>10489532.801020142</v>
      </c>
      <c r="U19" t="s">
        <v>149</v>
      </c>
      <c r="V19" s="252">
        <v>-8.1167203975215596E-2</v>
      </c>
      <c r="W19" t="s">
        <v>150</v>
      </c>
      <c r="X19" s="252">
        <v>2.10756922853502</v>
      </c>
    </row>
    <row r="20" spans="1:24" x14ac:dyDescent="0.2">
      <c r="A20" s="28">
        <f>'Monthly Data'!A20</f>
        <v>42186</v>
      </c>
      <c r="B20">
        <f>'Monthly Data'!C20</f>
        <v>7</v>
      </c>
      <c r="C20">
        <f>'Monthly Data'!B20</f>
        <v>2015</v>
      </c>
      <c r="D20" s="18">
        <f>'Monthly Data'!J20</f>
        <v>10941225.565238366</v>
      </c>
      <c r="E20" s="10">
        <f t="shared" ref="E20:F20" ca="1" si="14">E8</f>
        <v>0</v>
      </c>
      <c r="F20" s="10">
        <f t="shared" ca="1" si="14"/>
        <v>56.475141548990976</v>
      </c>
      <c r="G20">
        <f>'Monthly Data'!BO20</f>
        <v>31</v>
      </c>
      <c r="H20">
        <f>'Monthly Data'!BR20</f>
        <v>0</v>
      </c>
      <c r="I20" s="17">
        <f>'Monthly Data'!AO20</f>
        <v>6986.1</v>
      </c>
      <c r="J20">
        <f>'Monthly Data'!BM20</f>
        <v>0</v>
      </c>
      <c r="L20" s="17">
        <f t="shared" si="1"/>
        <v>-2608738.8393219002</v>
      </c>
      <c r="M20" s="17">
        <f t="shared" ca="1" si="2"/>
        <v>0</v>
      </c>
      <c r="N20" s="17">
        <f t="shared" ca="1" si="3"/>
        <v>702466.26827456255</v>
      </c>
      <c r="O20" s="17">
        <f t="shared" si="4"/>
        <v>9267266.0882465839</v>
      </c>
      <c r="P20" s="17">
        <f t="shared" si="5"/>
        <v>0</v>
      </c>
      <c r="Q20" s="17">
        <f t="shared" si="6"/>
        <v>3842344.2724028444</v>
      </c>
      <c r="R20" s="17">
        <f t="shared" si="7"/>
        <v>0</v>
      </c>
      <c r="S20" s="17">
        <f t="shared" ca="1" si="8"/>
        <v>11203337.78960209</v>
      </c>
    </row>
    <row r="21" spans="1:24" x14ac:dyDescent="0.2">
      <c r="A21" s="28">
        <f>'Monthly Data'!A21</f>
        <v>42217</v>
      </c>
      <c r="B21">
        <f>'Monthly Data'!C21</f>
        <v>8</v>
      </c>
      <c r="C21">
        <f>'Monthly Data'!B21</f>
        <v>2015</v>
      </c>
      <c r="D21" s="18">
        <f>'Monthly Data'!J21</f>
        <v>10861005.481768513</v>
      </c>
      <c r="E21" s="10">
        <f t="shared" ref="E21:F21" ca="1" si="15">E9</f>
        <v>0.1158333333333335</v>
      </c>
      <c r="F21" s="10">
        <f t="shared" ca="1" si="15"/>
        <v>35.296250000000008</v>
      </c>
      <c r="G21">
        <f>'Monthly Data'!BO21</f>
        <v>31</v>
      </c>
      <c r="H21">
        <f>'Monthly Data'!BR21</f>
        <v>0</v>
      </c>
      <c r="I21" s="17">
        <f>'Monthly Data'!AO21</f>
        <v>7000.2</v>
      </c>
      <c r="J21">
        <f>'Monthly Data'!BM21</f>
        <v>0</v>
      </c>
      <c r="L21" s="17">
        <f t="shared" si="1"/>
        <v>-2608738.8393219002</v>
      </c>
      <c r="M21" s="17">
        <f t="shared" ca="1" si="2"/>
        <v>596.58026578067893</v>
      </c>
      <c r="N21" s="17">
        <f t="shared" ca="1" si="3"/>
        <v>439032.54319561826</v>
      </c>
      <c r="O21" s="17">
        <f t="shared" si="4"/>
        <v>9267266.0882465839</v>
      </c>
      <c r="P21" s="17">
        <f t="shared" si="5"/>
        <v>0</v>
      </c>
      <c r="Q21" s="17">
        <f t="shared" si="6"/>
        <v>3850099.2507514046</v>
      </c>
      <c r="R21" s="17">
        <f t="shared" si="7"/>
        <v>0</v>
      </c>
      <c r="S21" s="17">
        <f t="shared" ca="1" si="8"/>
        <v>10948255.623137487</v>
      </c>
      <c r="U21" t="s">
        <v>151</v>
      </c>
    </row>
    <row r="22" spans="1:24" x14ac:dyDescent="0.2">
      <c r="A22" s="28">
        <f>'Monthly Data'!A22</f>
        <v>42248</v>
      </c>
      <c r="B22">
        <f>'Monthly Data'!C22</f>
        <v>9</v>
      </c>
      <c r="C22">
        <f>'Monthly Data'!B22</f>
        <v>2015</v>
      </c>
      <c r="D22" s="18">
        <f>'Monthly Data'!J22</f>
        <v>10256857.476304401</v>
      </c>
      <c r="E22" s="10">
        <f t="shared" ref="E22:F22" ca="1" si="16">E10</f>
        <v>11.597845892171184</v>
      </c>
      <c r="F22" s="10">
        <f t="shared" ca="1" si="16"/>
        <v>11.128958333333333</v>
      </c>
      <c r="G22">
        <f>'Monthly Data'!BO22</f>
        <v>30</v>
      </c>
      <c r="H22">
        <f>'Monthly Data'!BR22</f>
        <v>0</v>
      </c>
      <c r="I22" s="17">
        <f>'Monthly Data'!AO22</f>
        <v>6953.7</v>
      </c>
      <c r="J22">
        <f>'Monthly Data'!BM22</f>
        <v>1</v>
      </c>
      <c r="L22" s="17">
        <f t="shared" si="1"/>
        <v>-2608738.8393219002</v>
      </c>
      <c r="M22" s="17">
        <f t="shared" ca="1" si="2"/>
        <v>59732.771092099261</v>
      </c>
      <c r="N22" s="17">
        <f t="shared" ca="1" si="3"/>
        <v>138427.59160538021</v>
      </c>
      <c r="O22" s="17">
        <f t="shared" si="4"/>
        <v>8968322.0208837911</v>
      </c>
      <c r="P22" s="17">
        <f t="shared" si="5"/>
        <v>0</v>
      </c>
      <c r="Q22" s="17">
        <f t="shared" si="6"/>
        <v>3824524.3221550873</v>
      </c>
      <c r="R22" s="17">
        <f t="shared" si="7"/>
        <v>-307328.60270320397</v>
      </c>
      <c r="S22" s="17">
        <f t="shared" ca="1" si="8"/>
        <v>10074939.263711253</v>
      </c>
      <c r="U22" t="s">
        <v>152</v>
      </c>
      <c r="V22">
        <v>11715552.110043401</v>
      </c>
      <c r="W22" t="s">
        <v>153</v>
      </c>
      <c r="X22">
        <v>1289848.4384339601</v>
      </c>
    </row>
    <row r="23" spans="1:24" x14ac:dyDescent="0.2">
      <c r="A23" s="28">
        <f>'Monthly Data'!A23</f>
        <v>42278</v>
      </c>
      <c r="B23">
        <f>'Monthly Data'!C23</f>
        <v>10</v>
      </c>
      <c r="C23">
        <f>'Monthly Data'!B23</f>
        <v>2015</v>
      </c>
      <c r="D23" s="18">
        <f>'Monthly Data'!J23</f>
        <v>10748501.67210874</v>
      </c>
      <c r="E23" s="10">
        <f t="shared" ref="E23:F23" ca="1" si="17">E11</f>
        <v>128.51888157360821</v>
      </c>
      <c r="F23" s="10">
        <f t="shared" ca="1" si="17"/>
        <v>0.44687499999999963</v>
      </c>
      <c r="G23">
        <f>'Monthly Data'!BO23</f>
        <v>31</v>
      </c>
      <c r="H23">
        <f>'Monthly Data'!BR23</f>
        <v>0</v>
      </c>
      <c r="I23" s="17">
        <f>'Monthly Data'!AO23</f>
        <v>6932.8</v>
      </c>
      <c r="J23">
        <f>'Monthly Data'!BM23</f>
        <v>1</v>
      </c>
      <c r="L23" s="17">
        <f t="shared" si="1"/>
        <v>-2608738.8393219002</v>
      </c>
      <c r="M23" s="17">
        <f t="shared" ca="1" si="2"/>
        <v>661915.06642030517</v>
      </c>
      <c r="N23" s="17">
        <f t="shared" ca="1" si="3"/>
        <v>5558.4564292394152</v>
      </c>
      <c r="O23" s="17">
        <f t="shared" si="4"/>
        <v>9267266.0882465839</v>
      </c>
      <c r="P23" s="17">
        <f t="shared" si="5"/>
        <v>0</v>
      </c>
      <c r="Q23" s="17">
        <f t="shared" si="6"/>
        <v>3813029.3542483556</v>
      </c>
      <c r="R23" s="17">
        <f t="shared" si="7"/>
        <v>-307328.60270320397</v>
      </c>
      <c r="S23" s="17">
        <f t="shared" ca="1" si="8"/>
        <v>10831701.52331938</v>
      </c>
    </row>
    <row r="24" spans="1:24" x14ac:dyDescent="0.2">
      <c r="A24" s="28">
        <f>'Monthly Data'!A24</f>
        <v>42309</v>
      </c>
      <c r="B24">
        <f>'Monthly Data'!C24</f>
        <v>11</v>
      </c>
      <c r="C24">
        <f>'Monthly Data'!B24</f>
        <v>2015</v>
      </c>
      <c r="D24" s="18">
        <f>'Monthly Data'!J24</f>
        <v>11062002.298106223</v>
      </c>
      <c r="E24" s="10">
        <f t="shared" ref="E24:F24" ca="1" si="18">E12</f>
        <v>332.1049960098469</v>
      </c>
      <c r="F24" s="10">
        <f t="shared" ca="1" si="18"/>
        <v>0</v>
      </c>
      <c r="G24">
        <f>'Monthly Data'!BO24</f>
        <v>30</v>
      </c>
      <c r="H24">
        <f>'Monthly Data'!BR24</f>
        <v>0</v>
      </c>
      <c r="I24" s="17">
        <f>'Monthly Data'!AO24</f>
        <v>6898.2</v>
      </c>
      <c r="J24">
        <f>'Monthly Data'!BM24</f>
        <v>0</v>
      </c>
      <c r="L24" s="17">
        <f t="shared" si="1"/>
        <v>-2608738.8393219002</v>
      </c>
      <c r="M24" s="17">
        <f t="shared" ca="1" si="2"/>
        <v>1710451.3967192417</v>
      </c>
      <c r="N24" s="17">
        <f t="shared" ca="1" si="3"/>
        <v>0</v>
      </c>
      <c r="O24" s="17">
        <f t="shared" si="4"/>
        <v>8968322.0208837911</v>
      </c>
      <c r="P24" s="17">
        <f t="shared" si="5"/>
        <v>0</v>
      </c>
      <c r="Q24" s="17">
        <f t="shared" si="6"/>
        <v>3793999.4073788375</v>
      </c>
      <c r="R24" s="17">
        <f t="shared" si="7"/>
        <v>0</v>
      </c>
      <c r="S24" s="17">
        <f t="shared" ca="1" si="8"/>
        <v>11864033.98565997</v>
      </c>
    </row>
    <row r="25" spans="1:24" x14ac:dyDescent="0.2">
      <c r="A25" s="28">
        <f>'Monthly Data'!A25</f>
        <v>42339</v>
      </c>
      <c r="B25">
        <f>'Monthly Data'!C25</f>
        <v>12</v>
      </c>
      <c r="C25">
        <f>'Monthly Data'!B25</f>
        <v>2015</v>
      </c>
      <c r="D25" s="18">
        <f>'Monthly Data'!J25</f>
        <v>12342831.61718449</v>
      </c>
      <c r="E25" s="10">
        <f t="shared" ref="E25:F25" ca="1" si="19">E13</f>
        <v>508.62936502461724</v>
      </c>
      <c r="F25" s="10">
        <f t="shared" ca="1" si="19"/>
        <v>0</v>
      </c>
      <c r="G25">
        <f>'Monthly Data'!BO25</f>
        <v>31</v>
      </c>
      <c r="H25">
        <f>'Monthly Data'!BR25</f>
        <v>0</v>
      </c>
      <c r="I25" s="17">
        <f>'Monthly Data'!AO25</f>
        <v>6902.3</v>
      </c>
      <c r="J25">
        <f>'Monthly Data'!BM25</f>
        <v>0</v>
      </c>
      <c r="L25" s="17">
        <f t="shared" si="1"/>
        <v>-2608738.8393219002</v>
      </c>
      <c r="M25" s="17">
        <f t="shared" ca="1" si="2"/>
        <v>2619610.7203186504</v>
      </c>
      <c r="N25" s="17">
        <f t="shared" ca="1" si="3"/>
        <v>0</v>
      </c>
      <c r="O25" s="17">
        <f t="shared" si="4"/>
        <v>9267266.0882465839</v>
      </c>
      <c r="P25" s="17">
        <f t="shared" si="5"/>
        <v>0</v>
      </c>
      <c r="Q25" s="17">
        <f t="shared" si="6"/>
        <v>3796254.4010830293</v>
      </c>
      <c r="R25" s="17">
        <f t="shared" si="7"/>
        <v>0</v>
      </c>
      <c r="S25" s="17">
        <f t="shared" ca="1" si="8"/>
        <v>13074392.370326364</v>
      </c>
    </row>
    <row r="26" spans="1:24" x14ac:dyDescent="0.2">
      <c r="A26" s="28">
        <f>'Monthly Data'!A26</f>
        <v>42370</v>
      </c>
      <c r="B26">
        <f>'Monthly Data'!C26</f>
        <v>1</v>
      </c>
      <c r="C26">
        <f>'Monthly Data'!B26</f>
        <v>2016</v>
      </c>
      <c r="D26" s="18">
        <f>'Monthly Data'!J26</f>
        <v>13471487.177465362</v>
      </c>
      <c r="E26" s="10">
        <f t="shared" ref="E26:F26" ca="1" si="20">E14</f>
        <v>666.68367523535153</v>
      </c>
      <c r="F26" s="10">
        <f t="shared" ca="1" si="20"/>
        <v>0</v>
      </c>
      <c r="G26">
        <f>'Monthly Data'!BO26</f>
        <v>31</v>
      </c>
      <c r="H26">
        <f>'Monthly Data'!BR26</f>
        <v>0</v>
      </c>
      <c r="I26" s="17">
        <f>'Monthly Data'!AO26</f>
        <v>6871.2</v>
      </c>
      <c r="J26">
        <f>'Monthly Data'!BM26</f>
        <v>0</v>
      </c>
      <c r="L26" s="17">
        <f t="shared" si="1"/>
        <v>-2608738.8393219002</v>
      </c>
      <c r="M26" s="17">
        <f t="shared" ca="1" si="2"/>
        <v>3433643.086303988</v>
      </c>
      <c r="N26" s="17">
        <f t="shared" ca="1" si="3"/>
        <v>0</v>
      </c>
      <c r="O26" s="17">
        <f t="shared" si="4"/>
        <v>9267266.0882465839</v>
      </c>
      <c r="P26" s="17">
        <f t="shared" si="5"/>
        <v>0</v>
      </c>
      <c r="Q26" s="17">
        <f t="shared" si="6"/>
        <v>3779149.4488390405</v>
      </c>
      <c r="R26" s="17">
        <f t="shared" si="7"/>
        <v>0</v>
      </c>
      <c r="S26" s="17">
        <f t="shared" ca="1" si="8"/>
        <v>13871319.784067713</v>
      </c>
    </row>
    <row r="27" spans="1:24" x14ac:dyDescent="0.2">
      <c r="A27" s="28">
        <f>'Monthly Data'!A27</f>
        <v>42401</v>
      </c>
      <c r="B27">
        <f>'Monthly Data'!C27</f>
        <v>2</v>
      </c>
      <c r="C27">
        <f>'Monthly Data'!B27</f>
        <v>2016</v>
      </c>
      <c r="D27" s="18">
        <f>'Monthly Data'!J27</f>
        <v>12695119.535019068</v>
      </c>
      <c r="E27" s="10">
        <f t="shared" ref="E27:F27" ca="1" si="21">E15</f>
        <v>599.3508333333333</v>
      </c>
      <c r="F27" s="10">
        <f t="shared" ca="1" si="21"/>
        <v>0</v>
      </c>
      <c r="G27">
        <f>'Monthly Data'!BO27</f>
        <v>29</v>
      </c>
      <c r="H27">
        <f>'Monthly Data'!BR27</f>
        <v>0</v>
      </c>
      <c r="I27" s="17">
        <f>'Monthly Data'!AO27</f>
        <v>6850.4</v>
      </c>
      <c r="J27">
        <f>'Monthly Data'!BM27</f>
        <v>0</v>
      </c>
      <c r="L27" s="17">
        <f t="shared" si="1"/>
        <v>-2608738.8393219002</v>
      </c>
      <c r="M27" s="17">
        <f t="shared" ca="1" si="2"/>
        <v>3086856.5132017629</v>
      </c>
      <c r="N27" s="17">
        <f t="shared" ca="1" si="3"/>
        <v>0</v>
      </c>
      <c r="O27" s="17">
        <f t="shared" si="4"/>
        <v>8669377.9535209984</v>
      </c>
      <c r="P27" s="17">
        <f t="shared" si="5"/>
        <v>0</v>
      </c>
      <c r="Q27" s="17">
        <f t="shared" si="6"/>
        <v>3767709.4807787524</v>
      </c>
      <c r="R27" s="17">
        <f t="shared" si="7"/>
        <v>0</v>
      </c>
      <c r="S27" s="17">
        <f t="shared" ca="1" si="8"/>
        <v>12915205.108179612</v>
      </c>
    </row>
    <row r="28" spans="1:24" x14ac:dyDescent="0.2">
      <c r="A28" s="28">
        <f>'Monthly Data'!A28</f>
        <v>42430</v>
      </c>
      <c r="B28">
        <f>'Monthly Data'!C28</f>
        <v>3</v>
      </c>
      <c r="C28">
        <f>'Monthly Data'!B28</f>
        <v>2016</v>
      </c>
      <c r="D28" s="18">
        <f>'Monthly Data'!J28</f>
        <v>12739482.624929575</v>
      </c>
      <c r="E28" s="10">
        <f t="shared" ref="E28:F28" ca="1" si="22">E16</f>
        <v>469.11853767651354</v>
      </c>
      <c r="F28" s="10">
        <f t="shared" ca="1" si="22"/>
        <v>0</v>
      </c>
      <c r="G28">
        <f>'Monthly Data'!BO28</f>
        <v>31</v>
      </c>
      <c r="H28">
        <f>'Monthly Data'!BR28</f>
        <v>0</v>
      </c>
      <c r="I28" s="17">
        <f>'Monthly Data'!AO28</f>
        <v>6827.3</v>
      </c>
      <c r="J28">
        <f>'Monthly Data'!BM28</f>
        <v>0</v>
      </c>
      <c r="L28" s="17">
        <f t="shared" si="1"/>
        <v>-2608738.8393219002</v>
      </c>
      <c r="M28" s="17">
        <f t="shared" ca="1" si="2"/>
        <v>2416116.7932923525</v>
      </c>
      <c r="N28" s="17">
        <f t="shared" ca="1" si="3"/>
        <v>0</v>
      </c>
      <c r="O28" s="17">
        <f t="shared" si="4"/>
        <v>9267266.0882465839</v>
      </c>
      <c r="P28" s="17">
        <f t="shared" si="5"/>
        <v>0</v>
      </c>
      <c r="Q28" s="17">
        <f t="shared" si="6"/>
        <v>3755004.5162502592</v>
      </c>
      <c r="R28" s="17">
        <f t="shared" si="7"/>
        <v>0</v>
      </c>
      <c r="S28" s="17">
        <f t="shared" ca="1" si="8"/>
        <v>12829648.558467295</v>
      </c>
    </row>
    <row r="29" spans="1:24" x14ac:dyDescent="0.2">
      <c r="A29" s="28">
        <f>'Monthly Data'!A29</f>
        <v>42461</v>
      </c>
      <c r="B29">
        <f>'Monthly Data'!C29</f>
        <v>4</v>
      </c>
      <c r="C29">
        <f>'Monthly Data'!B29</f>
        <v>2016</v>
      </c>
      <c r="D29" s="18">
        <f>'Monthly Data'!J29</f>
        <v>11306329.364432665</v>
      </c>
      <c r="E29" s="10">
        <f t="shared" ref="E29:F29" ca="1" si="23">E17</f>
        <v>233.92395833333336</v>
      </c>
      <c r="F29" s="10">
        <f t="shared" ca="1" si="23"/>
        <v>0</v>
      </c>
      <c r="G29">
        <f>'Monthly Data'!BO29</f>
        <v>30</v>
      </c>
      <c r="H29">
        <f>'Monthly Data'!BR29</f>
        <v>0</v>
      </c>
      <c r="I29" s="17">
        <f>'Monthly Data'!AO29</f>
        <v>6843.7</v>
      </c>
      <c r="J29">
        <f>'Monthly Data'!BM29</f>
        <v>0</v>
      </c>
      <c r="L29" s="17">
        <f t="shared" si="1"/>
        <v>-2608738.8393219002</v>
      </c>
      <c r="M29" s="17">
        <f t="shared" ca="1" si="2"/>
        <v>1204786.3358414527</v>
      </c>
      <c r="N29" s="17">
        <f t="shared" ca="1" si="3"/>
        <v>0</v>
      </c>
      <c r="O29" s="17">
        <f t="shared" si="4"/>
        <v>8968322.0208837911</v>
      </c>
      <c r="P29" s="17">
        <f t="shared" si="5"/>
        <v>0</v>
      </c>
      <c r="Q29" s="17">
        <f t="shared" si="6"/>
        <v>3764024.4910670249</v>
      </c>
      <c r="R29" s="17">
        <f t="shared" si="7"/>
        <v>0</v>
      </c>
      <c r="S29" s="17">
        <f t="shared" ca="1" si="8"/>
        <v>11328394.008470368</v>
      </c>
    </row>
    <row r="30" spans="1:24" x14ac:dyDescent="0.2">
      <c r="A30" s="28">
        <f>'Monthly Data'!A30</f>
        <v>42491</v>
      </c>
      <c r="B30">
        <f>'Monthly Data'!C30</f>
        <v>5</v>
      </c>
      <c r="C30">
        <f>'Monthly Data'!B30</f>
        <v>2016</v>
      </c>
      <c r="D30" s="18">
        <f>'Monthly Data'!J30</f>
        <v>10692228.025868321</v>
      </c>
      <c r="E30" s="10">
        <f t="shared" ref="E30:F30" ca="1" si="24">E18</f>
        <v>46.324929225504526</v>
      </c>
      <c r="F30" s="10">
        <f t="shared" ca="1" si="24"/>
        <v>9.6293749999999996</v>
      </c>
      <c r="G30">
        <f>'Monthly Data'!BO30</f>
        <v>31</v>
      </c>
      <c r="H30">
        <f>'Monthly Data'!BR30</f>
        <v>0</v>
      </c>
      <c r="I30" s="17">
        <f>'Monthly Data'!AO30</f>
        <v>6913.7</v>
      </c>
      <c r="J30">
        <f>'Monthly Data'!BM30</f>
        <v>0</v>
      </c>
      <c r="L30" s="17">
        <f t="shared" si="1"/>
        <v>-2608738.8393219002</v>
      </c>
      <c r="M30" s="17">
        <f t="shared" ca="1" si="2"/>
        <v>238588.82235645404</v>
      </c>
      <c r="N30" s="17">
        <f t="shared" ca="1" si="3"/>
        <v>119775.01846893948</v>
      </c>
      <c r="O30" s="17">
        <f t="shared" si="4"/>
        <v>9267266.0882465839</v>
      </c>
      <c r="P30" s="17">
        <f t="shared" si="5"/>
        <v>0</v>
      </c>
      <c r="Q30" s="17">
        <f t="shared" si="6"/>
        <v>3802524.3835776099</v>
      </c>
      <c r="R30" s="17">
        <f t="shared" si="7"/>
        <v>0</v>
      </c>
      <c r="S30" s="17">
        <f t="shared" ca="1" si="8"/>
        <v>10819415.473327687</v>
      </c>
    </row>
    <row r="31" spans="1:24" x14ac:dyDescent="0.2">
      <c r="A31" s="28">
        <f>'Monthly Data'!A31</f>
        <v>42522</v>
      </c>
      <c r="B31">
        <f>'Monthly Data'!C31</f>
        <v>6</v>
      </c>
      <c r="C31">
        <f>'Monthly Data'!B31</f>
        <v>2016</v>
      </c>
      <c r="D31" s="18">
        <f>'Monthly Data'!J31</f>
        <v>10467768.008548845</v>
      </c>
      <c r="E31" s="10">
        <f t="shared" ref="E31:F31" ca="1" si="25">E19</f>
        <v>1.25875</v>
      </c>
      <c r="F31" s="10">
        <f t="shared" ca="1" si="25"/>
        <v>25.077154107828811</v>
      </c>
      <c r="G31">
        <f>'Monthly Data'!BO31</f>
        <v>30</v>
      </c>
      <c r="H31">
        <f>'Monthly Data'!BR31</f>
        <v>0</v>
      </c>
      <c r="I31" s="17">
        <f>'Monthly Data'!AO31</f>
        <v>7000.2</v>
      </c>
      <c r="J31">
        <f>'Monthly Data'!BM31</f>
        <v>0</v>
      </c>
      <c r="L31" s="17">
        <f t="shared" si="1"/>
        <v>-2608738.8393219002</v>
      </c>
      <c r="M31" s="17">
        <f t="shared" ca="1" si="2"/>
        <v>6482.9819529619735</v>
      </c>
      <c r="N31" s="17">
        <f t="shared" ca="1" si="3"/>
        <v>311922.27911091194</v>
      </c>
      <c r="O31" s="17">
        <f t="shared" si="4"/>
        <v>8968322.0208837911</v>
      </c>
      <c r="P31" s="17">
        <f t="shared" si="5"/>
        <v>0</v>
      </c>
      <c r="Q31" s="17">
        <f t="shared" si="6"/>
        <v>3850099.2507514046</v>
      </c>
      <c r="R31" s="17">
        <f t="shared" si="7"/>
        <v>0</v>
      </c>
      <c r="S31" s="17">
        <f t="shared" ca="1" si="8"/>
        <v>10528087.693377169</v>
      </c>
    </row>
    <row r="32" spans="1:24" x14ac:dyDescent="0.2">
      <c r="A32" s="28">
        <f>'Monthly Data'!A32</f>
        <v>42552</v>
      </c>
      <c r="B32">
        <f>'Monthly Data'!C32</f>
        <v>7</v>
      </c>
      <c r="C32">
        <f>'Monthly Data'!B32</f>
        <v>2016</v>
      </c>
      <c r="D32" s="18">
        <f>'Monthly Data'!J32</f>
        <v>11133217.218561364</v>
      </c>
      <c r="E32" s="10">
        <f t="shared" ref="E32:F32" ca="1" si="26">E20</f>
        <v>0</v>
      </c>
      <c r="F32" s="10">
        <f t="shared" ca="1" si="26"/>
        <v>56.475141548990976</v>
      </c>
      <c r="G32">
        <f>'Monthly Data'!BO32</f>
        <v>31</v>
      </c>
      <c r="H32">
        <f>'Monthly Data'!BR32</f>
        <v>0</v>
      </c>
      <c r="I32" s="17">
        <f>'Monthly Data'!AO32</f>
        <v>7049.5</v>
      </c>
      <c r="J32">
        <f>'Monthly Data'!BM32</f>
        <v>0</v>
      </c>
      <c r="L32" s="17">
        <f t="shared" si="1"/>
        <v>-2608738.8393219002</v>
      </c>
      <c r="M32" s="17">
        <f t="shared" ca="1" si="2"/>
        <v>0</v>
      </c>
      <c r="N32" s="17">
        <f t="shared" ca="1" si="3"/>
        <v>702466.26827456255</v>
      </c>
      <c r="O32" s="17">
        <f t="shared" si="4"/>
        <v>9267266.0882465839</v>
      </c>
      <c r="P32" s="17">
        <f t="shared" si="5"/>
        <v>0</v>
      </c>
      <c r="Q32" s="17">
        <f t="shared" si="6"/>
        <v>3877214.1750481455</v>
      </c>
      <c r="R32" s="17">
        <f t="shared" si="7"/>
        <v>0</v>
      </c>
      <c r="S32" s="17">
        <f t="shared" ca="1" si="8"/>
        <v>11238207.692247391</v>
      </c>
    </row>
    <row r="33" spans="1:19" x14ac:dyDescent="0.2">
      <c r="A33" s="28">
        <f>'Monthly Data'!A33</f>
        <v>42583</v>
      </c>
      <c r="B33">
        <f>'Monthly Data'!C33</f>
        <v>8</v>
      </c>
      <c r="C33">
        <f>'Monthly Data'!B33</f>
        <v>2016</v>
      </c>
      <c r="D33" s="18">
        <f>'Monthly Data'!J33</f>
        <v>11008415.885954833</v>
      </c>
      <c r="E33" s="10">
        <f t="shared" ref="E33:F33" ca="1" si="27">E21</f>
        <v>0.1158333333333335</v>
      </c>
      <c r="F33" s="10">
        <f t="shared" ca="1" si="27"/>
        <v>35.296250000000008</v>
      </c>
      <c r="G33">
        <f>'Monthly Data'!BO33</f>
        <v>31</v>
      </c>
      <c r="H33">
        <f>'Monthly Data'!BR33</f>
        <v>0</v>
      </c>
      <c r="I33" s="17">
        <f>'Monthly Data'!AO33</f>
        <v>7045.6</v>
      </c>
      <c r="J33">
        <f>'Monthly Data'!BM33</f>
        <v>0</v>
      </c>
      <c r="L33" s="17">
        <f t="shared" si="1"/>
        <v>-2608738.8393219002</v>
      </c>
      <c r="M33" s="17">
        <f t="shared" ca="1" si="2"/>
        <v>596.58026578067893</v>
      </c>
      <c r="N33" s="17">
        <f t="shared" ca="1" si="3"/>
        <v>439032.54319561826</v>
      </c>
      <c r="O33" s="17">
        <f t="shared" si="4"/>
        <v>9267266.0882465839</v>
      </c>
      <c r="P33" s="17">
        <f t="shared" si="5"/>
        <v>0</v>
      </c>
      <c r="Q33" s="17">
        <f t="shared" si="6"/>
        <v>3875069.1810368416</v>
      </c>
      <c r="R33" s="17">
        <f t="shared" si="7"/>
        <v>0</v>
      </c>
      <c r="S33" s="17">
        <f t="shared" ca="1" si="8"/>
        <v>10973225.553422924</v>
      </c>
    </row>
    <row r="34" spans="1:19" x14ac:dyDescent="0.2">
      <c r="A34" s="28">
        <f>'Monthly Data'!A34</f>
        <v>42614</v>
      </c>
      <c r="B34">
        <f>'Monthly Data'!C34</f>
        <v>9</v>
      </c>
      <c r="C34">
        <f>'Monthly Data'!B34</f>
        <v>2016</v>
      </c>
      <c r="D34" s="18">
        <f>'Monthly Data'!J34</f>
        <v>10163034.278752638</v>
      </c>
      <c r="E34" s="10">
        <f t="shared" ref="E34:F34" ca="1" si="28">E22</f>
        <v>11.597845892171184</v>
      </c>
      <c r="F34" s="10">
        <f t="shared" ca="1" si="28"/>
        <v>11.128958333333333</v>
      </c>
      <c r="G34">
        <f>'Monthly Data'!BO34</f>
        <v>30</v>
      </c>
      <c r="H34">
        <f>'Monthly Data'!BR34</f>
        <v>0</v>
      </c>
      <c r="I34" s="17">
        <f>'Monthly Data'!AO34</f>
        <v>6998.1</v>
      </c>
      <c r="J34">
        <f>'Monthly Data'!BM34</f>
        <v>1</v>
      </c>
      <c r="L34" s="17">
        <f t="shared" ref="L34:L65" si="29">$V$7</f>
        <v>-2608738.8393219002</v>
      </c>
      <c r="M34" s="17">
        <f t="shared" ca="1" si="2"/>
        <v>59732.771092099261</v>
      </c>
      <c r="N34" s="17">
        <f t="shared" ca="1" si="3"/>
        <v>138427.59160538021</v>
      </c>
      <c r="O34" s="17">
        <f t="shared" si="4"/>
        <v>8968322.0208837911</v>
      </c>
      <c r="P34" s="17">
        <f t="shared" si="5"/>
        <v>0</v>
      </c>
      <c r="Q34" s="17">
        <f t="shared" si="6"/>
        <v>3848944.2539760876</v>
      </c>
      <c r="R34" s="17">
        <f t="shared" si="7"/>
        <v>-307328.60270320397</v>
      </c>
      <c r="S34" s="17">
        <f t="shared" ca="1" si="8"/>
        <v>10099359.195532253</v>
      </c>
    </row>
    <row r="35" spans="1:19" x14ac:dyDescent="0.2">
      <c r="A35" s="28">
        <f>'Monthly Data'!A35</f>
        <v>42644</v>
      </c>
      <c r="B35">
        <f>'Monthly Data'!C35</f>
        <v>10</v>
      </c>
      <c r="C35">
        <f>'Monthly Data'!B35</f>
        <v>2016</v>
      </c>
      <c r="D35" s="18">
        <f>'Monthly Data'!J35</f>
        <v>10408644.305427104</v>
      </c>
      <c r="E35" s="10">
        <f t="shared" ref="E35:F35" ca="1" si="30">E23</f>
        <v>128.51888157360821</v>
      </c>
      <c r="F35" s="10">
        <f t="shared" ca="1" si="30"/>
        <v>0.44687499999999963</v>
      </c>
      <c r="G35">
        <f>'Monthly Data'!BO35</f>
        <v>31</v>
      </c>
      <c r="H35">
        <f>'Monthly Data'!BR35</f>
        <v>0</v>
      </c>
      <c r="I35" s="17">
        <f>'Monthly Data'!AO35</f>
        <v>6990.5</v>
      </c>
      <c r="J35">
        <f>'Monthly Data'!BM35</f>
        <v>1</v>
      </c>
      <c r="L35" s="17">
        <f t="shared" si="29"/>
        <v>-2608738.8393219002</v>
      </c>
      <c r="M35" s="17">
        <f t="shared" ca="1" si="2"/>
        <v>661915.06642030517</v>
      </c>
      <c r="N35" s="17">
        <f t="shared" ca="1" si="3"/>
        <v>5558.4564292394152</v>
      </c>
      <c r="O35" s="17">
        <f t="shared" si="4"/>
        <v>9267266.0882465839</v>
      </c>
      <c r="P35" s="17">
        <f t="shared" si="5"/>
        <v>0</v>
      </c>
      <c r="Q35" s="17">
        <f t="shared" si="6"/>
        <v>3844764.2656463664</v>
      </c>
      <c r="R35" s="17">
        <f t="shared" si="7"/>
        <v>-307328.60270320397</v>
      </c>
      <c r="S35" s="17">
        <f t="shared" ca="1" si="8"/>
        <v>10863436.434717391</v>
      </c>
    </row>
    <row r="36" spans="1:19" x14ac:dyDescent="0.2">
      <c r="A36" s="28">
        <f>'Monthly Data'!A36</f>
        <v>42675</v>
      </c>
      <c r="B36">
        <f>'Monthly Data'!C36</f>
        <v>11</v>
      </c>
      <c r="C36">
        <f>'Monthly Data'!B36</f>
        <v>2016</v>
      </c>
      <c r="D36" s="18">
        <f>'Monthly Data'!J36</f>
        <v>11035358.439422198</v>
      </c>
      <c r="E36" s="10">
        <f t="shared" ref="E36:F36" ca="1" si="31">E24</f>
        <v>332.1049960098469</v>
      </c>
      <c r="F36" s="10">
        <f t="shared" ca="1" si="31"/>
        <v>0</v>
      </c>
      <c r="G36">
        <f>'Monthly Data'!BO36</f>
        <v>30</v>
      </c>
      <c r="H36">
        <f>'Monthly Data'!BR36</f>
        <v>0</v>
      </c>
      <c r="I36" s="17">
        <f>'Monthly Data'!AO36</f>
        <v>6983.4</v>
      </c>
      <c r="J36">
        <f>'Monthly Data'!BM36</f>
        <v>0</v>
      </c>
      <c r="L36" s="17">
        <f t="shared" si="29"/>
        <v>-2608738.8393219002</v>
      </c>
      <c r="M36" s="17">
        <f t="shared" ca="1" si="2"/>
        <v>1710451.3967192417</v>
      </c>
      <c r="N36" s="17">
        <f t="shared" ca="1" si="3"/>
        <v>0</v>
      </c>
      <c r="O36" s="17">
        <f t="shared" si="4"/>
        <v>8968322.0208837911</v>
      </c>
      <c r="P36" s="17">
        <f t="shared" si="5"/>
        <v>0</v>
      </c>
      <c r="Q36" s="17">
        <f t="shared" si="6"/>
        <v>3840859.2765488639</v>
      </c>
      <c r="R36" s="17">
        <f t="shared" si="7"/>
        <v>0</v>
      </c>
      <c r="S36" s="17">
        <f t="shared" ca="1" si="8"/>
        <v>11910893.854829997</v>
      </c>
    </row>
    <row r="37" spans="1:19" x14ac:dyDescent="0.2">
      <c r="A37" s="28">
        <f>'Monthly Data'!A37</f>
        <v>42705</v>
      </c>
      <c r="B37">
        <f>'Monthly Data'!C37</f>
        <v>12</v>
      </c>
      <c r="C37">
        <f>'Monthly Data'!B37</f>
        <v>2016</v>
      </c>
      <c r="D37" s="18">
        <f>'Monthly Data'!J37</f>
        <v>12855220.796200017</v>
      </c>
      <c r="E37" s="10">
        <f t="shared" ref="E37:F37" ca="1" si="32">E25</f>
        <v>508.62936502461724</v>
      </c>
      <c r="F37" s="10">
        <f t="shared" ca="1" si="32"/>
        <v>0</v>
      </c>
      <c r="G37">
        <f>'Monthly Data'!BO37</f>
        <v>31</v>
      </c>
      <c r="H37">
        <f>'Monthly Data'!BR37</f>
        <v>0</v>
      </c>
      <c r="I37" s="17">
        <f>'Monthly Data'!AO37</f>
        <v>6999.9</v>
      </c>
      <c r="J37">
        <f>'Monthly Data'!BM37</f>
        <v>0</v>
      </c>
      <c r="L37" s="17">
        <f t="shared" si="29"/>
        <v>-2608738.8393219002</v>
      </c>
      <c r="M37" s="17">
        <f t="shared" ca="1" si="2"/>
        <v>2619610.7203186504</v>
      </c>
      <c r="N37" s="17">
        <f t="shared" ca="1" si="3"/>
        <v>0</v>
      </c>
      <c r="O37" s="17">
        <f t="shared" si="4"/>
        <v>9267266.0882465839</v>
      </c>
      <c r="P37" s="17">
        <f t="shared" si="5"/>
        <v>0</v>
      </c>
      <c r="Q37" s="17">
        <f t="shared" si="6"/>
        <v>3849934.2512120735</v>
      </c>
      <c r="R37" s="17">
        <f t="shared" si="7"/>
        <v>0</v>
      </c>
      <c r="S37" s="17">
        <f t="shared" ca="1" si="8"/>
        <v>13128072.220455408</v>
      </c>
    </row>
    <row r="38" spans="1:19" x14ac:dyDescent="0.2">
      <c r="A38" s="28">
        <f>'Monthly Data'!A38</f>
        <v>42736</v>
      </c>
      <c r="B38">
        <f>'Monthly Data'!C38</f>
        <v>1</v>
      </c>
      <c r="C38">
        <f>'Monthly Data'!B38</f>
        <v>2017</v>
      </c>
      <c r="D38" s="18">
        <f>'Monthly Data'!J38</f>
        <v>13238747.565795455</v>
      </c>
      <c r="E38" s="10">
        <f t="shared" ref="E38:F38" ca="1" si="33">E26</f>
        <v>666.68367523535153</v>
      </c>
      <c r="F38" s="10">
        <f t="shared" ca="1" si="33"/>
        <v>0</v>
      </c>
      <c r="G38">
        <f>'Monthly Data'!BO38</f>
        <v>31</v>
      </c>
      <c r="H38">
        <f>'Monthly Data'!BR38</f>
        <v>0</v>
      </c>
      <c r="I38" s="17">
        <f>'Monthly Data'!AO38</f>
        <v>6982.5</v>
      </c>
      <c r="J38">
        <f>'Monthly Data'!BM38</f>
        <v>0</v>
      </c>
      <c r="L38" s="17">
        <f t="shared" si="29"/>
        <v>-2608738.8393219002</v>
      </c>
      <c r="M38" s="17">
        <f t="shared" ca="1" si="2"/>
        <v>3433643.086303988</v>
      </c>
      <c r="N38" s="17">
        <f t="shared" ca="1" si="3"/>
        <v>0</v>
      </c>
      <c r="O38" s="17">
        <f t="shared" si="4"/>
        <v>9267266.0882465839</v>
      </c>
      <c r="P38" s="17">
        <f t="shared" si="5"/>
        <v>0</v>
      </c>
      <c r="Q38" s="17">
        <f t="shared" si="6"/>
        <v>3840364.2779308711</v>
      </c>
      <c r="R38" s="17">
        <f t="shared" si="7"/>
        <v>0</v>
      </c>
      <c r="S38" s="17">
        <f t="shared" ca="1" si="8"/>
        <v>13932534.613159543</v>
      </c>
    </row>
    <row r="39" spans="1:19" x14ac:dyDescent="0.2">
      <c r="A39" s="28">
        <f>'Monthly Data'!A39</f>
        <v>42767</v>
      </c>
      <c r="B39">
        <f>'Monthly Data'!C39</f>
        <v>2</v>
      </c>
      <c r="C39">
        <f>'Monthly Data'!B39</f>
        <v>2017</v>
      </c>
      <c r="D39" s="18">
        <f>'Monthly Data'!J39</f>
        <v>11972000.088172954</v>
      </c>
      <c r="E39" s="10">
        <f t="shared" ref="E39:F39" ca="1" si="34">E27</f>
        <v>599.3508333333333</v>
      </c>
      <c r="F39" s="10">
        <f t="shared" ca="1" si="34"/>
        <v>0</v>
      </c>
      <c r="G39">
        <f>'Monthly Data'!BO39</f>
        <v>28</v>
      </c>
      <c r="H39">
        <f>'Monthly Data'!BR39</f>
        <v>0</v>
      </c>
      <c r="I39" s="17">
        <f>'Monthly Data'!AO39</f>
        <v>6962.5</v>
      </c>
      <c r="J39">
        <f>'Monthly Data'!BM39</f>
        <v>0</v>
      </c>
      <c r="L39" s="17">
        <f t="shared" si="29"/>
        <v>-2608738.8393219002</v>
      </c>
      <c r="M39" s="17">
        <f t="shared" ca="1" si="2"/>
        <v>3086856.5132017629</v>
      </c>
      <c r="N39" s="17">
        <f t="shared" ca="1" si="3"/>
        <v>0</v>
      </c>
      <c r="O39" s="17">
        <f t="shared" si="4"/>
        <v>8370433.8861582046</v>
      </c>
      <c r="P39" s="17">
        <f t="shared" si="5"/>
        <v>0</v>
      </c>
      <c r="Q39" s="17">
        <f t="shared" si="6"/>
        <v>3829364.3086421322</v>
      </c>
      <c r="R39" s="17">
        <f t="shared" si="7"/>
        <v>0</v>
      </c>
      <c r="S39" s="17">
        <f t="shared" ca="1" si="8"/>
        <v>12677915.8686802</v>
      </c>
    </row>
    <row r="40" spans="1:19" x14ac:dyDescent="0.2">
      <c r="A40" s="28">
        <f>'Monthly Data'!A40</f>
        <v>42795</v>
      </c>
      <c r="B40">
        <f>'Monthly Data'!C40</f>
        <v>3</v>
      </c>
      <c r="C40">
        <f>'Monthly Data'!B40</f>
        <v>2017</v>
      </c>
      <c r="D40" s="18">
        <f>'Monthly Data'!J40</f>
        <v>12634058.046692308</v>
      </c>
      <c r="E40" s="10">
        <f t="shared" ref="E40:F40" ca="1" si="35">E28</f>
        <v>469.11853767651354</v>
      </c>
      <c r="F40" s="10">
        <f t="shared" ca="1" si="35"/>
        <v>0</v>
      </c>
      <c r="G40">
        <f>'Monthly Data'!BO40</f>
        <v>31</v>
      </c>
      <c r="H40">
        <f>'Monthly Data'!BR40</f>
        <v>0</v>
      </c>
      <c r="I40" s="17">
        <f>'Monthly Data'!AO40</f>
        <v>6946</v>
      </c>
      <c r="J40">
        <f>'Monthly Data'!BM40</f>
        <v>0</v>
      </c>
      <c r="L40" s="17">
        <f t="shared" si="29"/>
        <v>-2608738.8393219002</v>
      </c>
      <c r="M40" s="17">
        <f t="shared" ca="1" si="2"/>
        <v>2416116.7932923525</v>
      </c>
      <c r="N40" s="17">
        <f t="shared" ca="1" si="3"/>
        <v>0</v>
      </c>
      <c r="O40" s="17">
        <f t="shared" si="4"/>
        <v>9267266.0882465839</v>
      </c>
      <c r="P40" s="17">
        <f t="shared" si="5"/>
        <v>0</v>
      </c>
      <c r="Q40" s="17">
        <f t="shared" si="6"/>
        <v>3820289.333978923</v>
      </c>
      <c r="R40" s="17">
        <f t="shared" si="7"/>
        <v>0</v>
      </c>
      <c r="S40" s="17">
        <f t="shared" ca="1" si="8"/>
        <v>12894933.37619596</v>
      </c>
    </row>
    <row r="41" spans="1:19" x14ac:dyDescent="0.2">
      <c r="A41" s="28">
        <f>'Monthly Data'!A41</f>
        <v>42826</v>
      </c>
      <c r="B41">
        <f>'Monthly Data'!C41</f>
        <v>4</v>
      </c>
      <c r="C41">
        <f>'Monthly Data'!B41</f>
        <v>2017</v>
      </c>
      <c r="D41" s="18">
        <f>'Monthly Data'!J41</f>
        <v>10680362.785959138</v>
      </c>
      <c r="E41" s="10">
        <f t="shared" ref="E41:F41" ca="1" si="36">E29</f>
        <v>233.92395833333336</v>
      </c>
      <c r="F41" s="10">
        <f t="shared" ca="1" si="36"/>
        <v>0</v>
      </c>
      <c r="G41">
        <f>'Monthly Data'!BO41</f>
        <v>30</v>
      </c>
      <c r="H41">
        <f>'Monthly Data'!BR41</f>
        <v>0</v>
      </c>
      <c r="I41" s="17">
        <f>'Monthly Data'!AO41</f>
        <v>6963.6</v>
      </c>
      <c r="J41">
        <f>'Monthly Data'!BM41</f>
        <v>0</v>
      </c>
      <c r="L41" s="17">
        <f t="shared" si="29"/>
        <v>-2608738.8393219002</v>
      </c>
      <c r="M41" s="17">
        <f t="shared" ca="1" si="2"/>
        <v>1204786.3358414527</v>
      </c>
      <c r="N41" s="17">
        <f t="shared" ca="1" si="3"/>
        <v>0</v>
      </c>
      <c r="O41" s="17">
        <f t="shared" si="4"/>
        <v>8968322.0208837911</v>
      </c>
      <c r="P41" s="17">
        <f t="shared" si="5"/>
        <v>0</v>
      </c>
      <c r="Q41" s="17">
        <f t="shared" si="6"/>
        <v>3829969.3069530134</v>
      </c>
      <c r="R41" s="17">
        <f t="shared" si="7"/>
        <v>0</v>
      </c>
      <c r="S41" s="17">
        <f t="shared" ca="1" si="8"/>
        <v>11394338.824356357</v>
      </c>
    </row>
    <row r="42" spans="1:19" x14ac:dyDescent="0.2">
      <c r="A42" s="28">
        <f>'Monthly Data'!A42</f>
        <v>42856</v>
      </c>
      <c r="B42">
        <f>'Monthly Data'!C42</f>
        <v>5</v>
      </c>
      <c r="C42">
        <f>'Monthly Data'!B42</f>
        <v>2017</v>
      </c>
      <c r="D42" s="18">
        <f>'Monthly Data'!J42</f>
        <v>10162413.65849488</v>
      </c>
      <c r="E42" s="10">
        <f t="shared" ref="E42:F42" ca="1" si="37">E30</f>
        <v>46.324929225504526</v>
      </c>
      <c r="F42" s="10">
        <f t="shared" ca="1" si="37"/>
        <v>9.6293749999999996</v>
      </c>
      <c r="G42">
        <f>'Monthly Data'!BO42</f>
        <v>31</v>
      </c>
      <c r="H42">
        <f>'Monthly Data'!BR42</f>
        <v>0</v>
      </c>
      <c r="I42" s="17">
        <f>'Monthly Data'!AO42</f>
        <v>7033.4</v>
      </c>
      <c r="J42">
        <f>'Monthly Data'!BM42</f>
        <v>0</v>
      </c>
      <c r="L42" s="17">
        <f t="shared" si="29"/>
        <v>-2608738.8393219002</v>
      </c>
      <c r="M42" s="17">
        <f t="shared" ca="1" si="2"/>
        <v>238588.82235645404</v>
      </c>
      <c r="N42" s="17">
        <f t="shared" ca="1" si="3"/>
        <v>119775.01846893948</v>
      </c>
      <c r="O42" s="17">
        <f t="shared" si="4"/>
        <v>9267266.0882465839</v>
      </c>
      <c r="P42" s="17">
        <f t="shared" si="5"/>
        <v>0</v>
      </c>
      <c r="Q42" s="17">
        <f t="shared" si="6"/>
        <v>3868359.1997707104</v>
      </c>
      <c r="R42" s="17">
        <f t="shared" si="7"/>
        <v>0</v>
      </c>
      <c r="S42" s="17">
        <f t="shared" ca="1" si="8"/>
        <v>10885250.289520789</v>
      </c>
    </row>
    <row r="43" spans="1:19" x14ac:dyDescent="0.2">
      <c r="A43" s="28">
        <f>'Monthly Data'!A43</f>
        <v>42887</v>
      </c>
      <c r="B43">
        <f>'Monthly Data'!C43</f>
        <v>6</v>
      </c>
      <c r="C43">
        <f>'Monthly Data'!B43</f>
        <v>2017</v>
      </c>
      <c r="D43" s="18">
        <f>'Monthly Data'!J43</f>
        <v>9870806.2378251255</v>
      </c>
      <c r="E43" s="10">
        <f t="shared" ref="E43:F43" ca="1" si="38">E31</f>
        <v>1.25875</v>
      </c>
      <c r="F43" s="10">
        <f t="shared" ca="1" si="38"/>
        <v>25.077154107828811</v>
      </c>
      <c r="G43">
        <f>'Monthly Data'!BO43</f>
        <v>30</v>
      </c>
      <c r="H43">
        <f>'Monthly Data'!BR43</f>
        <v>0</v>
      </c>
      <c r="I43" s="17">
        <f>'Monthly Data'!AO43</f>
        <v>7123</v>
      </c>
      <c r="J43">
        <f>'Monthly Data'!BM43</f>
        <v>0</v>
      </c>
      <c r="L43" s="17">
        <f t="shared" si="29"/>
        <v>-2608738.8393219002</v>
      </c>
      <c r="M43" s="17">
        <f t="shared" ca="1" si="2"/>
        <v>6482.9819529619735</v>
      </c>
      <c r="N43" s="17">
        <f t="shared" ca="1" si="3"/>
        <v>311922.27911091194</v>
      </c>
      <c r="O43" s="17">
        <f t="shared" si="4"/>
        <v>8968322.0208837911</v>
      </c>
      <c r="P43" s="17">
        <f t="shared" si="5"/>
        <v>0</v>
      </c>
      <c r="Q43" s="17">
        <f t="shared" si="6"/>
        <v>3917639.0621842598</v>
      </c>
      <c r="R43" s="17">
        <f t="shared" si="7"/>
        <v>0</v>
      </c>
      <c r="S43" s="17">
        <f t="shared" ca="1" si="8"/>
        <v>10595627.504810024</v>
      </c>
    </row>
    <row r="44" spans="1:19" x14ac:dyDescent="0.2">
      <c r="A44" s="28">
        <f>'Monthly Data'!A44</f>
        <v>42917</v>
      </c>
      <c r="B44">
        <f>'Monthly Data'!C44</f>
        <v>7</v>
      </c>
      <c r="C44">
        <f>'Monthly Data'!B44</f>
        <v>2017</v>
      </c>
      <c r="D44" s="18">
        <f>'Monthly Data'!J44</f>
        <v>10728417.303016009</v>
      </c>
      <c r="E44" s="10">
        <f t="shared" ref="E44:F44" ca="1" si="39">E32</f>
        <v>0</v>
      </c>
      <c r="F44" s="10">
        <f t="shared" ca="1" si="39"/>
        <v>56.475141548990976</v>
      </c>
      <c r="G44">
        <f>'Monthly Data'!BO44</f>
        <v>31</v>
      </c>
      <c r="H44">
        <f>'Monthly Data'!BR44</f>
        <v>0</v>
      </c>
      <c r="I44" s="17">
        <f>'Monthly Data'!AO44</f>
        <v>7196</v>
      </c>
      <c r="J44">
        <f>'Monthly Data'!BM44</f>
        <v>0</v>
      </c>
      <c r="L44" s="17">
        <f t="shared" si="29"/>
        <v>-2608738.8393219002</v>
      </c>
      <c r="M44" s="17">
        <f t="shared" ca="1" si="2"/>
        <v>0</v>
      </c>
      <c r="N44" s="17">
        <f t="shared" ca="1" si="3"/>
        <v>702466.26827456255</v>
      </c>
      <c r="O44" s="17">
        <f t="shared" si="4"/>
        <v>9267266.0882465839</v>
      </c>
      <c r="P44" s="17">
        <f t="shared" si="5"/>
        <v>0</v>
      </c>
      <c r="Q44" s="17">
        <f t="shared" si="6"/>
        <v>3957788.9500881559</v>
      </c>
      <c r="R44" s="17">
        <f t="shared" si="7"/>
        <v>0</v>
      </c>
      <c r="S44" s="17">
        <f t="shared" ca="1" si="8"/>
        <v>11318782.467287403</v>
      </c>
    </row>
    <row r="45" spans="1:19" x14ac:dyDescent="0.2">
      <c r="A45" s="28">
        <f>'Monthly Data'!A45</f>
        <v>42948</v>
      </c>
      <c r="B45">
        <f>'Monthly Data'!C45</f>
        <v>8</v>
      </c>
      <c r="C45">
        <f>'Monthly Data'!B45</f>
        <v>2017</v>
      </c>
      <c r="D45" s="18">
        <f>'Monthly Data'!J45</f>
        <v>10430002.785010062</v>
      </c>
      <c r="E45" s="10">
        <f t="shared" ref="E45:F45" ca="1" si="40">E33</f>
        <v>0.1158333333333335</v>
      </c>
      <c r="F45" s="10">
        <f t="shared" ca="1" si="40"/>
        <v>35.296250000000008</v>
      </c>
      <c r="G45">
        <f>'Monthly Data'!BO45</f>
        <v>31</v>
      </c>
      <c r="H45">
        <f>'Monthly Data'!BR45</f>
        <v>0</v>
      </c>
      <c r="I45" s="17">
        <f>'Monthly Data'!AO45</f>
        <v>7216.7</v>
      </c>
      <c r="J45">
        <f>'Monthly Data'!BM45</f>
        <v>0</v>
      </c>
      <c r="L45" s="17">
        <f t="shared" si="29"/>
        <v>-2608738.8393219002</v>
      </c>
      <c r="M45" s="17">
        <f t="shared" ca="1" si="2"/>
        <v>596.58026578067893</v>
      </c>
      <c r="N45" s="17">
        <f t="shared" ca="1" si="3"/>
        <v>439032.54319561826</v>
      </c>
      <c r="O45" s="17">
        <f t="shared" si="4"/>
        <v>9267266.0882465839</v>
      </c>
      <c r="P45" s="17">
        <f t="shared" si="5"/>
        <v>0</v>
      </c>
      <c r="Q45" s="17">
        <f t="shared" si="6"/>
        <v>3969173.918302</v>
      </c>
      <c r="R45" s="17">
        <f t="shared" si="7"/>
        <v>0</v>
      </c>
      <c r="S45" s="17">
        <f t="shared" ca="1" si="8"/>
        <v>11067330.290688083</v>
      </c>
    </row>
    <row r="46" spans="1:19" x14ac:dyDescent="0.2">
      <c r="A46" s="28">
        <f>'Monthly Data'!A46</f>
        <v>42979</v>
      </c>
      <c r="B46">
        <f>'Monthly Data'!C46</f>
        <v>9</v>
      </c>
      <c r="C46">
        <f>'Monthly Data'!B46</f>
        <v>2017</v>
      </c>
      <c r="D46" s="18">
        <f>'Monthly Data'!J46</f>
        <v>10138877.280987848</v>
      </c>
      <c r="E46" s="10">
        <f t="shared" ref="E46:F46" ca="1" si="41">E34</f>
        <v>11.597845892171184</v>
      </c>
      <c r="F46" s="10">
        <f t="shared" ca="1" si="41"/>
        <v>11.128958333333333</v>
      </c>
      <c r="G46">
        <f>'Monthly Data'!BO46</f>
        <v>30</v>
      </c>
      <c r="H46">
        <f>'Monthly Data'!BR46</f>
        <v>0</v>
      </c>
      <c r="I46" s="17">
        <f>'Monthly Data'!AO46</f>
        <v>7193.4</v>
      </c>
      <c r="J46">
        <f>'Monthly Data'!BM46</f>
        <v>1</v>
      </c>
      <c r="L46" s="17">
        <f t="shared" si="29"/>
        <v>-2608738.8393219002</v>
      </c>
      <c r="M46" s="17">
        <f t="shared" ca="1" si="2"/>
        <v>59732.771092099261</v>
      </c>
      <c r="N46" s="17">
        <f t="shared" ca="1" si="3"/>
        <v>138427.59160538021</v>
      </c>
      <c r="O46" s="17">
        <f t="shared" si="4"/>
        <v>8968322.0208837911</v>
      </c>
      <c r="P46" s="17">
        <f t="shared" si="5"/>
        <v>0</v>
      </c>
      <c r="Q46" s="17">
        <f t="shared" si="6"/>
        <v>3956358.9540806194</v>
      </c>
      <c r="R46" s="17">
        <f t="shared" si="7"/>
        <v>-307328.60270320397</v>
      </c>
      <c r="S46" s="17">
        <f t="shared" ca="1" si="8"/>
        <v>10206773.895636786</v>
      </c>
    </row>
    <row r="47" spans="1:19" x14ac:dyDescent="0.2">
      <c r="A47" s="28">
        <f>'Monthly Data'!A47</f>
        <v>43009</v>
      </c>
      <c r="B47">
        <f>'Monthly Data'!C47</f>
        <v>10</v>
      </c>
      <c r="C47">
        <f>'Monthly Data'!B47</f>
        <v>2017</v>
      </c>
      <c r="D47" s="18">
        <f>'Monthly Data'!J47</f>
        <v>10563594.710277392</v>
      </c>
      <c r="E47" s="10">
        <f t="shared" ref="E47:F47" ca="1" si="42">E35</f>
        <v>128.51888157360821</v>
      </c>
      <c r="F47" s="10">
        <f t="shared" ca="1" si="42"/>
        <v>0.44687499999999963</v>
      </c>
      <c r="G47">
        <f>'Monthly Data'!BO47</f>
        <v>31</v>
      </c>
      <c r="H47">
        <f>'Monthly Data'!BR47</f>
        <v>0</v>
      </c>
      <c r="I47" s="17">
        <f>'Monthly Data'!AO47</f>
        <v>7185.2</v>
      </c>
      <c r="J47">
        <f>'Monthly Data'!BM47</f>
        <v>1</v>
      </c>
      <c r="L47" s="17">
        <f t="shared" si="29"/>
        <v>-2608738.8393219002</v>
      </c>
      <c r="M47" s="17">
        <f t="shared" ca="1" si="2"/>
        <v>661915.06642030517</v>
      </c>
      <c r="N47" s="17">
        <f t="shared" ca="1" si="3"/>
        <v>5558.4564292394152</v>
      </c>
      <c r="O47" s="17">
        <f t="shared" si="4"/>
        <v>9267266.0882465839</v>
      </c>
      <c r="P47" s="17">
        <f t="shared" si="5"/>
        <v>0</v>
      </c>
      <c r="Q47" s="17">
        <f t="shared" si="6"/>
        <v>3951848.966672237</v>
      </c>
      <c r="R47" s="17">
        <f t="shared" si="7"/>
        <v>-307328.60270320397</v>
      </c>
      <c r="S47" s="17">
        <f t="shared" ca="1" si="8"/>
        <v>10970521.135743262</v>
      </c>
    </row>
    <row r="48" spans="1:19" x14ac:dyDescent="0.2">
      <c r="A48" s="28">
        <f>'Monthly Data'!A48</f>
        <v>43040</v>
      </c>
      <c r="B48">
        <f>'Monthly Data'!C48</f>
        <v>11</v>
      </c>
      <c r="C48">
        <f>'Monthly Data'!B48</f>
        <v>2017</v>
      </c>
      <c r="D48" s="18">
        <f>'Monthly Data'!J48</f>
        <v>11794734.034078825</v>
      </c>
      <c r="E48" s="10">
        <f t="shared" ref="E48:F48" ca="1" si="43">E36</f>
        <v>332.1049960098469</v>
      </c>
      <c r="F48" s="10">
        <f t="shared" ca="1" si="43"/>
        <v>0</v>
      </c>
      <c r="G48">
        <f>'Monthly Data'!BO48</f>
        <v>30</v>
      </c>
      <c r="H48">
        <f>'Monthly Data'!BR48</f>
        <v>0</v>
      </c>
      <c r="I48" s="17">
        <f>'Monthly Data'!AO48</f>
        <v>7186</v>
      </c>
      <c r="J48">
        <f>'Monthly Data'!BM48</f>
        <v>0</v>
      </c>
      <c r="L48" s="17">
        <f t="shared" si="29"/>
        <v>-2608738.8393219002</v>
      </c>
      <c r="M48" s="17">
        <f t="shared" ca="1" si="2"/>
        <v>1710451.3967192417</v>
      </c>
      <c r="N48" s="17">
        <f t="shared" ca="1" si="3"/>
        <v>0</v>
      </c>
      <c r="O48" s="17">
        <f t="shared" si="4"/>
        <v>8968322.0208837911</v>
      </c>
      <c r="P48" s="17">
        <f t="shared" si="5"/>
        <v>0</v>
      </c>
      <c r="Q48" s="17">
        <f t="shared" si="6"/>
        <v>3952288.9654437867</v>
      </c>
      <c r="R48" s="17">
        <f t="shared" si="7"/>
        <v>0</v>
      </c>
      <c r="S48" s="17">
        <f t="shared" ca="1" si="8"/>
        <v>12022323.543724919</v>
      </c>
    </row>
    <row r="49" spans="1:19" x14ac:dyDescent="0.2">
      <c r="A49" s="28">
        <f>'Monthly Data'!A49</f>
        <v>43070</v>
      </c>
      <c r="B49">
        <f>'Monthly Data'!C49</f>
        <v>12</v>
      </c>
      <c r="C49">
        <f>'Monthly Data'!B49</f>
        <v>2017</v>
      </c>
      <c r="D49" s="18">
        <f>'Monthly Data'!J49</f>
        <v>13979384.236354139</v>
      </c>
      <c r="E49" s="10">
        <f t="shared" ref="E49:F49" ca="1" si="44">E37</f>
        <v>508.62936502461724</v>
      </c>
      <c r="F49" s="10">
        <f t="shared" ca="1" si="44"/>
        <v>0</v>
      </c>
      <c r="G49">
        <f>'Monthly Data'!BO49</f>
        <v>31</v>
      </c>
      <c r="H49">
        <f>'Monthly Data'!BR49</f>
        <v>0</v>
      </c>
      <c r="I49" s="17">
        <f>'Monthly Data'!AO49</f>
        <v>7206.8</v>
      </c>
      <c r="J49">
        <f>'Monthly Data'!BM49</f>
        <v>0</v>
      </c>
      <c r="L49" s="17">
        <f t="shared" si="29"/>
        <v>-2608738.8393219002</v>
      </c>
      <c r="M49" s="17">
        <f t="shared" ca="1" si="2"/>
        <v>2619610.7203186504</v>
      </c>
      <c r="N49" s="17">
        <f t="shared" ca="1" si="3"/>
        <v>0</v>
      </c>
      <c r="O49" s="17">
        <f t="shared" si="4"/>
        <v>9267266.0882465839</v>
      </c>
      <c r="P49" s="17">
        <f t="shared" si="5"/>
        <v>0</v>
      </c>
      <c r="Q49" s="17">
        <f t="shared" si="6"/>
        <v>3963728.9335040748</v>
      </c>
      <c r="R49" s="17">
        <f t="shared" si="7"/>
        <v>0</v>
      </c>
      <c r="S49" s="17">
        <f t="shared" ca="1" si="8"/>
        <v>13241866.902747409</v>
      </c>
    </row>
    <row r="50" spans="1:19" x14ac:dyDescent="0.2">
      <c r="A50" s="28">
        <f>'Monthly Data'!A50</f>
        <v>43101</v>
      </c>
      <c r="B50">
        <f>'Monthly Data'!C50</f>
        <v>1</v>
      </c>
      <c r="C50">
        <f>'Monthly Data'!B50</f>
        <v>2018</v>
      </c>
      <c r="D50" s="18">
        <f>'Monthly Data'!J50</f>
        <v>14589181.282457083</v>
      </c>
      <c r="E50" s="10">
        <f t="shared" ref="E50:F50" ca="1" si="45">E38</f>
        <v>666.68367523535153</v>
      </c>
      <c r="F50" s="10">
        <f t="shared" ca="1" si="45"/>
        <v>0</v>
      </c>
      <c r="G50">
        <f>'Monthly Data'!BO50</f>
        <v>31</v>
      </c>
      <c r="H50">
        <f>'Monthly Data'!BR50</f>
        <v>0</v>
      </c>
      <c r="I50" s="17">
        <f>'Monthly Data'!AO50</f>
        <v>7167.3</v>
      </c>
      <c r="J50">
        <f>'Monthly Data'!BM50</f>
        <v>0</v>
      </c>
      <c r="L50" s="17">
        <f t="shared" si="29"/>
        <v>-2608738.8393219002</v>
      </c>
      <c r="M50" s="17">
        <f t="shared" ca="1" si="2"/>
        <v>3433643.086303988</v>
      </c>
      <c r="N50" s="17">
        <f t="shared" ca="1" si="3"/>
        <v>0</v>
      </c>
      <c r="O50" s="17">
        <f t="shared" si="4"/>
        <v>9267266.0882465839</v>
      </c>
      <c r="P50" s="17">
        <f t="shared" si="5"/>
        <v>0</v>
      </c>
      <c r="Q50" s="17">
        <f t="shared" si="6"/>
        <v>3942003.9941588161</v>
      </c>
      <c r="R50" s="17">
        <f t="shared" si="7"/>
        <v>0</v>
      </c>
      <c r="S50" s="17">
        <f t="shared" ca="1" si="8"/>
        <v>14034174.329387488</v>
      </c>
    </row>
    <row r="51" spans="1:19" x14ac:dyDescent="0.2">
      <c r="A51" s="28">
        <f>'Monthly Data'!A51</f>
        <v>43132</v>
      </c>
      <c r="B51">
        <f>'Monthly Data'!C51</f>
        <v>2</v>
      </c>
      <c r="C51">
        <f>'Monthly Data'!B51</f>
        <v>2018</v>
      </c>
      <c r="D51" s="18">
        <f>'Monthly Data'!J51</f>
        <v>12602065.043304538</v>
      </c>
      <c r="E51" s="10">
        <f t="shared" ref="E51:F51" ca="1" si="46">E39</f>
        <v>599.3508333333333</v>
      </c>
      <c r="F51" s="10">
        <f t="shared" ca="1" si="46"/>
        <v>0</v>
      </c>
      <c r="G51">
        <f>'Monthly Data'!BO51</f>
        <v>28</v>
      </c>
      <c r="H51">
        <f>'Monthly Data'!BR51</f>
        <v>0</v>
      </c>
      <c r="I51" s="17">
        <f>'Monthly Data'!AO51</f>
        <v>7120.1</v>
      </c>
      <c r="J51">
        <f>'Monthly Data'!BM51</f>
        <v>0</v>
      </c>
      <c r="L51" s="17">
        <f t="shared" si="29"/>
        <v>-2608738.8393219002</v>
      </c>
      <c r="M51" s="17">
        <f t="shared" ca="1" si="2"/>
        <v>3086856.5132017629</v>
      </c>
      <c r="N51" s="17">
        <f t="shared" ca="1" si="3"/>
        <v>0</v>
      </c>
      <c r="O51" s="17">
        <f t="shared" si="4"/>
        <v>8370433.8861582046</v>
      </c>
      <c r="P51" s="17">
        <f t="shared" si="5"/>
        <v>0</v>
      </c>
      <c r="Q51" s="17">
        <f t="shared" si="6"/>
        <v>3916044.0666373931</v>
      </c>
      <c r="R51" s="17">
        <f t="shared" si="7"/>
        <v>0</v>
      </c>
      <c r="S51" s="17">
        <f t="shared" ca="1" si="8"/>
        <v>12764595.62667546</v>
      </c>
    </row>
    <row r="52" spans="1:19" x14ac:dyDescent="0.2">
      <c r="A52" s="28">
        <f>'Monthly Data'!A52</f>
        <v>43160</v>
      </c>
      <c r="B52">
        <f>'Monthly Data'!C52</f>
        <v>3</v>
      </c>
      <c r="C52">
        <f>'Monthly Data'!B52</f>
        <v>2018</v>
      </c>
      <c r="D52" s="18">
        <f>'Monthly Data'!J52</f>
        <v>12838873.521702431</v>
      </c>
      <c r="E52" s="10">
        <f t="shared" ref="E52:F52" ca="1" si="47">E40</f>
        <v>469.11853767651354</v>
      </c>
      <c r="F52" s="10">
        <f t="shared" ca="1" si="47"/>
        <v>0</v>
      </c>
      <c r="G52">
        <f>'Monthly Data'!BO52</f>
        <v>31</v>
      </c>
      <c r="H52">
        <f>'Monthly Data'!BR52</f>
        <v>0</v>
      </c>
      <c r="I52" s="17">
        <f>'Monthly Data'!AO52</f>
        <v>7084.1</v>
      </c>
      <c r="J52">
        <f>'Monthly Data'!BM52</f>
        <v>0</v>
      </c>
      <c r="L52" s="17">
        <f t="shared" si="29"/>
        <v>-2608738.8393219002</v>
      </c>
      <c r="M52" s="17">
        <f t="shared" ca="1" si="2"/>
        <v>2416116.7932923525</v>
      </c>
      <c r="N52" s="17">
        <f t="shared" ca="1" si="3"/>
        <v>0</v>
      </c>
      <c r="O52" s="17">
        <f t="shared" si="4"/>
        <v>9267266.0882465839</v>
      </c>
      <c r="P52" s="17">
        <f t="shared" si="5"/>
        <v>0</v>
      </c>
      <c r="Q52" s="17">
        <f t="shared" si="6"/>
        <v>3896244.1219176636</v>
      </c>
      <c r="R52" s="17">
        <f t="shared" si="7"/>
        <v>0</v>
      </c>
      <c r="S52" s="17">
        <f t="shared" ca="1" si="8"/>
        <v>12970888.1641347</v>
      </c>
    </row>
    <row r="53" spans="1:19" x14ac:dyDescent="0.2">
      <c r="A53" s="28">
        <f>'Monthly Data'!A53</f>
        <v>43191</v>
      </c>
      <c r="B53">
        <f>'Monthly Data'!C53</f>
        <v>4</v>
      </c>
      <c r="C53">
        <f>'Monthly Data'!B53</f>
        <v>2018</v>
      </c>
      <c r="D53" s="18">
        <f>'Monthly Data'!J53</f>
        <v>11595715.426247839</v>
      </c>
      <c r="E53" s="10">
        <f t="shared" ref="E53:F53" ca="1" si="48">E41</f>
        <v>233.92395833333336</v>
      </c>
      <c r="F53" s="10">
        <f t="shared" ca="1" si="48"/>
        <v>0</v>
      </c>
      <c r="G53">
        <f>'Monthly Data'!BO53</f>
        <v>30</v>
      </c>
      <c r="H53">
        <f>'Monthly Data'!BR53</f>
        <v>0</v>
      </c>
      <c r="I53" s="17">
        <f>'Monthly Data'!AO53</f>
        <v>7111.6</v>
      </c>
      <c r="J53">
        <f>'Monthly Data'!BM53</f>
        <v>0</v>
      </c>
      <c r="L53" s="17">
        <f t="shared" si="29"/>
        <v>-2608738.8393219002</v>
      </c>
      <c r="M53" s="17">
        <f t="shared" ca="1" si="2"/>
        <v>1204786.3358414527</v>
      </c>
      <c r="N53" s="17">
        <f t="shared" ca="1" si="3"/>
        <v>0</v>
      </c>
      <c r="O53" s="17">
        <f t="shared" si="4"/>
        <v>8968322.0208837911</v>
      </c>
      <c r="P53" s="17">
        <f t="shared" si="5"/>
        <v>0</v>
      </c>
      <c r="Q53" s="17">
        <f t="shared" si="6"/>
        <v>3911369.0796896792</v>
      </c>
      <c r="R53" s="17">
        <f t="shared" si="7"/>
        <v>0</v>
      </c>
      <c r="S53" s="17">
        <f t="shared" ca="1" si="8"/>
        <v>11475738.597093023</v>
      </c>
    </row>
    <row r="54" spans="1:19" x14ac:dyDescent="0.2">
      <c r="A54" s="28">
        <f>'Monthly Data'!A54</f>
        <v>43221</v>
      </c>
      <c r="B54">
        <f>'Monthly Data'!C54</f>
        <v>5</v>
      </c>
      <c r="C54">
        <f>'Monthly Data'!B54</f>
        <v>2018</v>
      </c>
      <c r="D54" s="18">
        <f>'Monthly Data'!J54</f>
        <v>10804557.02921702</v>
      </c>
      <c r="E54" s="10">
        <f t="shared" ref="E54:F54" ca="1" si="49">E42</f>
        <v>46.324929225504526</v>
      </c>
      <c r="F54" s="10">
        <f t="shared" ca="1" si="49"/>
        <v>9.6293749999999996</v>
      </c>
      <c r="G54">
        <f>'Monthly Data'!BO54</f>
        <v>31</v>
      </c>
      <c r="H54">
        <f>'Monthly Data'!BR54</f>
        <v>0</v>
      </c>
      <c r="I54" s="17">
        <f>'Monthly Data'!AO54</f>
        <v>7176</v>
      </c>
      <c r="J54">
        <f>'Monthly Data'!BM54</f>
        <v>0</v>
      </c>
      <c r="L54" s="17">
        <f t="shared" si="29"/>
        <v>-2608738.8393219002</v>
      </c>
      <c r="M54" s="17">
        <f t="shared" ca="1" si="2"/>
        <v>238588.82235645404</v>
      </c>
      <c r="N54" s="17">
        <f t="shared" ca="1" si="3"/>
        <v>119775.01846893948</v>
      </c>
      <c r="O54" s="17">
        <f t="shared" si="4"/>
        <v>9267266.0882465839</v>
      </c>
      <c r="P54" s="17">
        <f t="shared" si="5"/>
        <v>0</v>
      </c>
      <c r="Q54" s="17">
        <f t="shared" si="6"/>
        <v>3946788.980799417</v>
      </c>
      <c r="R54" s="17">
        <f t="shared" si="7"/>
        <v>0</v>
      </c>
      <c r="S54" s="17">
        <f t="shared" ca="1" si="8"/>
        <v>10963680.070549496</v>
      </c>
    </row>
    <row r="55" spans="1:19" x14ac:dyDescent="0.2">
      <c r="A55" s="28">
        <f>'Monthly Data'!A55</f>
        <v>43252</v>
      </c>
      <c r="B55">
        <f>'Monthly Data'!C55</f>
        <v>6</v>
      </c>
      <c r="C55">
        <f>'Monthly Data'!B55</f>
        <v>2018</v>
      </c>
      <c r="D55" s="18">
        <f>'Monthly Data'!J55</f>
        <v>10810056.585985513</v>
      </c>
      <c r="E55" s="10">
        <f t="shared" ref="E55:F55" ca="1" si="50">E43</f>
        <v>1.25875</v>
      </c>
      <c r="F55" s="10">
        <f t="shared" ca="1" si="50"/>
        <v>25.077154107828811</v>
      </c>
      <c r="G55">
        <f>'Monthly Data'!BO55</f>
        <v>30</v>
      </c>
      <c r="H55">
        <f>'Monthly Data'!BR55</f>
        <v>0</v>
      </c>
      <c r="I55" s="17">
        <f>'Monthly Data'!AO55</f>
        <v>7264.3</v>
      </c>
      <c r="J55">
        <f>'Monthly Data'!BM55</f>
        <v>0</v>
      </c>
      <c r="L55" s="17">
        <f t="shared" si="29"/>
        <v>-2608738.8393219002</v>
      </c>
      <c r="M55" s="17">
        <f t="shared" ca="1" si="2"/>
        <v>6482.9819529619735</v>
      </c>
      <c r="N55" s="17">
        <f t="shared" ca="1" si="3"/>
        <v>311922.27911091194</v>
      </c>
      <c r="O55" s="17">
        <f t="shared" si="4"/>
        <v>8968322.0208837911</v>
      </c>
      <c r="P55" s="17">
        <f t="shared" si="5"/>
        <v>0</v>
      </c>
      <c r="Q55" s="17">
        <f t="shared" si="6"/>
        <v>3995353.8452091981</v>
      </c>
      <c r="R55" s="17">
        <f t="shared" si="7"/>
        <v>0</v>
      </c>
      <c r="S55" s="17">
        <f t="shared" ca="1" si="8"/>
        <v>10673342.287834963</v>
      </c>
    </row>
    <row r="56" spans="1:19" x14ac:dyDescent="0.2">
      <c r="A56" s="28">
        <f>'Monthly Data'!A56</f>
        <v>43282</v>
      </c>
      <c r="B56">
        <f>'Monthly Data'!C56</f>
        <v>7</v>
      </c>
      <c r="C56">
        <f>'Monthly Data'!B56</f>
        <v>2018</v>
      </c>
      <c r="D56" s="18">
        <f>'Monthly Data'!J56</f>
        <v>11738903.733938437</v>
      </c>
      <c r="E56" s="10">
        <f t="shared" ref="E56:F56" ca="1" si="51">E44</f>
        <v>0</v>
      </c>
      <c r="F56" s="10">
        <f t="shared" ca="1" si="51"/>
        <v>56.475141548990976</v>
      </c>
      <c r="G56">
        <f>'Monthly Data'!BO56</f>
        <v>31</v>
      </c>
      <c r="H56">
        <f>'Monthly Data'!BR56</f>
        <v>0</v>
      </c>
      <c r="I56" s="17">
        <f>'Monthly Data'!AO56</f>
        <v>7345.7</v>
      </c>
      <c r="J56">
        <f>'Monthly Data'!BM56</f>
        <v>0</v>
      </c>
      <c r="L56" s="17">
        <f t="shared" si="29"/>
        <v>-2608738.8393219002</v>
      </c>
      <c r="M56" s="17">
        <f t="shared" ca="1" si="2"/>
        <v>0</v>
      </c>
      <c r="N56" s="17">
        <f t="shared" ca="1" si="3"/>
        <v>702466.26827456255</v>
      </c>
      <c r="O56" s="17">
        <f t="shared" si="4"/>
        <v>9267266.0882465839</v>
      </c>
      <c r="P56" s="17">
        <f t="shared" si="5"/>
        <v>0</v>
      </c>
      <c r="Q56" s="17">
        <f t="shared" si="6"/>
        <v>4040123.7202143641</v>
      </c>
      <c r="R56" s="17">
        <f t="shared" si="7"/>
        <v>0</v>
      </c>
      <c r="S56" s="17">
        <f t="shared" ca="1" si="8"/>
        <v>11401117.237413611</v>
      </c>
    </row>
    <row r="57" spans="1:19" x14ac:dyDescent="0.2">
      <c r="A57" s="28">
        <f>'Monthly Data'!A57</f>
        <v>43313</v>
      </c>
      <c r="B57">
        <f>'Monthly Data'!C57</f>
        <v>8</v>
      </c>
      <c r="C57">
        <f>'Monthly Data'!B57</f>
        <v>2018</v>
      </c>
      <c r="D57" s="18">
        <f>'Monthly Data'!J57</f>
        <v>11370146.661835445</v>
      </c>
      <c r="E57" s="10">
        <f t="shared" ref="E57:F57" ca="1" si="52">E45</f>
        <v>0.1158333333333335</v>
      </c>
      <c r="F57" s="10">
        <f t="shared" ca="1" si="52"/>
        <v>35.296250000000008</v>
      </c>
      <c r="G57">
        <f>'Monthly Data'!BO57</f>
        <v>31</v>
      </c>
      <c r="H57">
        <f>'Monthly Data'!BR57</f>
        <v>0</v>
      </c>
      <c r="I57" s="17">
        <f>'Monthly Data'!AO57</f>
        <v>7359.5</v>
      </c>
      <c r="J57">
        <f>'Monthly Data'!BM57</f>
        <v>0</v>
      </c>
      <c r="L57" s="17">
        <f t="shared" si="29"/>
        <v>-2608738.8393219002</v>
      </c>
      <c r="M57" s="17">
        <f t="shared" ca="1" si="2"/>
        <v>596.58026578067893</v>
      </c>
      <c r="N57" s="17">
        <f t="shared" ca="1" si="3"/>
        <v>439032.54319561826</v>
      </c>
      <c r="O57" s="17">
        <f t="shared" si="4"/>
        <v>9267266.0882465839</v>
      </c>
      <c r="P57" s="17">
        <f t="shared" si="5"/>
        <v>0</v>
      </c>
      <c r="Q57" s="17">
        <f t="shared" si="6"/>
        <v>4047713.6990235941</v>
      </c>
      <c r="R57" s="17">
        <f t="shared" si="7"/>
        <v>0</v>
      </c>
      <c r="S57" s="17">
        <f t="shared" ca="1" si="8"/>
        <v>11145870.071409676</v>
      </c>
    </row>
    <row r="58" spans="1:19" x14ac:dyDescent="0.2">
      <c r="A58" s="28">
        <f>'Monthly Data'!A58</f>
        <v>43344</v>
      </c>
      <c r="B58">
        <f>'Monthly Data'!C58</f>
        <v>9</v>
      </c>
      <c r="C58">
        <f>'Monthly Data'!B58</f>
        <v>2018</v>
      </c>
      <c r="D58" s="18">
        <f>'Monthly Data'!J58</f>
        <v>10317381.425097212</v>
      </c>
      <c r="E58" s="10">
        <f t="shared" ref="E58:F58" ca="1" si="53">E46</f>
        <v>11.597845892171184</v>
      </c>
      <c r="F58" s="10">
        <f t="shared" ca="1" si="53"/>
        <v>11.128958333333333</v>
      </c>
      <c r="G58">
        <f>'Monthly Data'!BO58</f>
        <v>30</v>
      </c>
      <c r="H58">
        <f>'Monthly Data'!BR58</f>
        <v>0</v>
      </c>
      <c r="I58" s="17">
        <f>'Monthly Data'!AO58</f>
        <v>7324.4</v>
      </c>
      <c r="J58">
        <f>'Monthly Data'!BM58</f>
        <v>1</v>
      </c>
      <c r="L58" s="17">
        <f t="shared" si="29"/>
        <v>-2608738.8393219002</v>
      </c>
      <c r="M58" s="17">
        <f t="shared" ca="1" si="2"/>
        <v>59732.771092099261</v>
      </c>
      <c r="N58" s="17">
        <f t="shared" ca="1" si="3"/>
        <v>138427.59160538021</v>
      </c>
      <c r="O58" s="17">
        <f t="shared" si="4"/>
        <v>8968322.0208837911</v>
      </c>
      <c r="P58" s="17">
        <f t="shared" si="5"/>
        <v>0</v>
      </c>
      <c r="Q58" s="17">
        <f t="shared" si="6"/>
        <v>4028408.7529218574</v>
      </c>
      <c r="R58" s="17">
        <f t="shared" si="7"/>
        <v>-307328.60270320397</v>
      </c>
      <c r="S58" s="17">
        <f t="shared" ca="1" si="8"/>
        <v>10278823.694478024</v>
      </c>
    </row>
    <row r="59" spans="1:19" x14ac:dyDescent="0.2">
      <c r="A59" s="28">
        <f>'Monthly Data'!A59</f>
        <v>43374</v>
      </c>
      <c r="B59">
        <f>'Monthly Data'!C59</f>
        <v>10</v>
      </c>
      <c r="C59">
        <f>'Monthly Data'!B59</f>
        <v>2018</v>
      </c>
      <c r="D59" s="18">
        <f>'Monthly Data'!J59</f>
        <v>11056318.15399784</v>
      </c>
      <c r="E59" s="10">
        <f t="shared" ref="E59:F59" ca="1" si="54">E47</f>
        <v>128.51888157360821</v>
      </c>
      <c r="F59" s="10">
        <f t="shared" ca="1" si="54"/>
        <v>0.44687499999999963</v>
      </c>
      <c r="G59">
        <f>'Monthly Data'!BO59</f>
        <v>31</v>
      </c>
      <c r="H59">
        <f>'Monthly Data'!BR59</f>
        <v>0</v>
      </c>
      <c r="I59" s="17">
        <f>'Monthly Data'!AO59</f>
        <v>7290.6</v>
      </c>
      <c r="J59">
        <f>'Monthly Data'!BM59</f>
        <v>1</v>
      </c>
      <c r="L59" s="17">
        <f t="shared" si="29"/>
        <v>-2608738.8393219002</v>
      </c>
      <c r="M59" s="17">
        <f t="shared" ca="1" si="2"/>
        <v>661915.06642030517</v>
      </c>
      <c r="N59" s="17">
        <f t="shared" ca="1" si="3"/>
        <v>5558.4564292394152</v>
      </c>
      <c r="O59" s="17">
        <f t="shared" si="4"/>
        <v>9267266.0882465839</v>
      </c>
      <c r="P59" s="17">
        <f t="shared" si="5"/>
        <v>0</v>
      </c>
      <c r="Q59" s="17">
        <f t="shared" si="6"/>
        <v>4009818.8048238899</v>
      </c>
      <c r="R59" s="17">
        <f t="shared" si="7"/>
        <v>-307328.60270320397</v>
      </c>
      <c r="S59" s="17">
        <f t="shared" ca="1" si="8"/>
        <v>11028490.973894915</v>
      </c>
    </row>
    <row r="60" spans="1:19" x14ac:dyDescent="0.2">
      <c r="A60" s="28">
        <f>'Monthly Data'!A60</f>
        <v>43405</v>
      </c>
      <c r="B60">
        <f>'Monthly Data'!C60</f>
        <v>11</v>
      </c>
      <c r="C60">
        <f>'Monthly Data'!B60</f>
        <v>2018</v>
      </c>
      <c r="D60" s="18">
        <f>'Monthly Data'!J60</f>
        <v>12321410.335647583</v>
      </c>
      <c r="E60" s="10">
        <f t="shared" ref="E60:F60" ca="1" si="55">E48</f>
        <v>332.1049960098469</v>
      </c>
      <c r="F60" s="10">
        <f t="shared" ca="1" si="55"/>
        <v>0</v>
      </c>
      <c r="G60">
        <f>'Monthly Data'!BO60</f>
        <v>30</v>
      </c>
      <c r="H60">
        <f>'Monthly Data'!BR60</f>
        <v>0</v>
      </c>
      <c r="I60" s="17">
        <f>'Monthly Data'!AO60</f>
        <v>7288.9</v>
      </c>
      <c r="J60">
        <f>'Monthly Data'!BM60</f>
        <v>0</v>
      </c>
      <c r="L60" s="17">
        <f t="shared" si="29"/>
        <v>-2608738.8393219002</v>
      </c>
      <c r="M60" s="17">
        <f t="shared" ca="1" si="2"/>
        <v>1710451.3967192417</v>
      </c>
      <c r="N60" s="17">
        <f t="shared" ca="1" si="3"/>
        <v>0</v>
      </c>
      <c r="O60" s="17">
        <f t="shared" si="4"/>
        <v>8968322.0208837911</v>
      </c>
      <c r="P60" s="17">
        <f t="shared" si="5"/>
        <v>0</v>
      </c>
      <c r="Q60" s="17">
        <f t="shared" si="6"/>
        <v>4008883.8074343465</v>
      </c>
      <c r="R60" s="17">
        <f t="shared" si="7"/>
        <v>0</v>
      </c>
      <c r="S60" s="17">
        <f t="shared" ca="1" si="8"/>
        <v>12078918.385715479</v>
      </c>
    </row>
    <row r="61" spans="1:19" x14ac:dyDescent="0.2">
      <c r="A61" s="28">
        <f>'Monthly Data'!A61</f>
        <v>43435</v>
      </c>
      <c r="B61">
        <f>'Monthly Data'!C61</f>
        <v>12</v>
      </c>
      <c r="C61">
        <f>'Monthly Data'!B61</f>
        <v>2018</v>
      </c>
      <c r="D61" s="18">
        <f>'Monthly Data'!J61</f>
        <v>13389120.972104926</v>
      </c>
      <c r="E61" s="10">
        <f t="shared" ref="E61:F61" ca="1" si="56">E49</f>
        <v>508.62936502461724</v>
      </c>
      <c r="F61" s="10">
        <f t="shared" ca="1" si="56"/>
        <v>0</v>
      </c>
      <c r="G61">
        <f>'Monthly Data'!BO61</f>
        <v>31</v>
      </c>
      <c r="H61">
        <f>'Monthly Data'!BR61</f>
        <v>0</v>
      </c>
      <c r="I61" s="17">
        <f>'Monthly Data'!AO61</f>
        <v>7310.7</v>
      </c>
      <c r="J61">
        <f>'Monthly Data'!BM61</f>
        <v>0</v>
      </c>
      <c r="L61" s="17">
        <f t="shared" si="29"/>
        <v>-2608738.8393219002</v>
      </c>
      <c r="M61" s="17">
        <f t="shared" ca="1" si="2"/>
        <v>2619610.7203186504</v>
      </c>
      <c r="N61" s="17">
        <f t="shared" ca="1" si="3"/>
        <v>0</v>
      </c>
      <c r="O61" s="17">
        <f t="shared" si="4"/>
        <v>9267266.0882465839</v>
      </c>
      <c r="P61" s="17">
        <f t="shared" si="5"/>
        <v>0</v>
      </c>
      <c r="Q61" s="17">
        <f t="shared" si="6"/>
        <v>4020873.7739590718</v>
      </c>
      <c r="R61" s="17">
        <f t="shared" si="7"/>
        <v>0</v>
      </c>
      <c r="S61" s="17">
        <f t="shared" ca="1" si="8"/>
        <v>13299011.743202407</v>
      </c>
    </row>
    <row r="62" spans="1:19" x14ac:dyDescent="0.2">
      <c r="A62" s="28">
        <f>'Monthly Data'!A62</f>
        <v>43466</v>
      </c>
      <c r="B62">
        <f>'Monthly Data'!C62</f>
        <v>1</v>
      </c>
      <c r="C62">
        <f>'Monthly Data'!B62</f>
        <v>2019</v>
      </c>
      <c r="D62" s="18">
        <f>'Monthly Data'!J62</f>
        <v>14598104.020437693</v>
      </c>
      <c r="E62" s="10">
        <f t="shared" ref="E62:F62" ca="1" si="57">E50</f>
        <v>666.68367523535153</v>
      </c>
      <c r="F62" s="10">
        <f t="shared" ca="1" si="57"/>
        <v>0</v>
      </c>
      <c r="G62">
        <f>'Monthly Data'!BO62</f>
        <v>31</v>
      </c>
      <c r="H62">
        <f>'Monthly Data'!BR62</f>
        <v>0</v>
      </c>
      <c r="I62" s="17">
        <f>'Monthly Data'!AO62</f>
        <v>7289.4</v>
      </c>
      <c r="J62">
        <f>'Monthly Data'!BM62</f>
        <v>0</v>
      </c>
      <c r="L62" s="17">
        <f t="shared" si="29"/>
        <v>-2608738.8393219002</v>
      </c>
      <c r="M62" s="17">
        <f t="shared" ca="1" si="2"/>
        <v>3433643.086303988</v>
      </c>
      <c r="N62" s="17">
        <f t="shared" ca="1" si="3"/>
        <v>0</v>
      </c>
      <c r="O62" s="17">
        <f t="shared" si="4"/>
        <v>9267266.0882465839</v>
      </c>
      <c r="P62" s="17">
        <f t="shared" si="5"/>
        <v>0</v>
      </c>
      <c r="Q62" s="17">
        <f t="shared" si="6"/>
        <v>4009158.8066665651</v>
      </c>
      <c r="R62" s="17">
        <f t="shared" si="7"/>
        <v>0</v>
      </c>
      <c r="S62" s="17">
        <f t="shared" ca="1" si="8"/>
        <v>14101329.141895238</v>
      </c>
    </row>
    <row r="63" spans="1:19" x14ac:dyDescent="0.2">
      <c r="A63" s="28">
        <f>'Monthly Data'!A63</f>
        <v>43497</v>
      </c>
      <c r="B63">
        <f>'Monthly Data'!C63</f>
        <v>2</v>
      </c>
      <c r="C63">
        <f>'Monthly Data'!B63</f>
        <v>2019</v>
      </c>
      <c r="D63" s="18">
        <f>'Monthly Data'!J63</f>
        <v>13158513.120282056</v>
      </c>
      <c r="E63" s="10">
        <f t="shared" ref="E63:F63" ca="1" si="58">E51</f>
        <v>599.3508333333333</v>
      </c>
      <c r="F63" s="10">
        <f t="shared" ca="1" si="58"/>
        <v>0</v>
      </c>
      <c r="G63">
        <f>'Monthly Data'!BO63</f>
        <v>28</v>
      </c>
      <c r="H63">
        <f>'Monthly Data'!BR63</f>
        <v>0</v>
      </c>
      <c r="I63" s="17">
        <f>'Monthly Data'!AO63</f>
        <v>7278.4</v>
      </c>
      <c r="J63">
        <f>'Monthly Data'!BM63</f>
        <v>0</v>
      </c>
      <c r="L63" s="17">
        <f t="shared" si="29"/>
        <v>-2608738.8393219002</v>
      </c>
      <c r="M63" s="17">
        <f t="shared" ca="1" si="2"/>
        <v>3086856.5132017629</v>
      </c>
      <c r="N63" s="17">
        <f t="shared" ca="1" si="3"/>
        <v>0</v>
      </c>
      <c r="O63" s="17">
        <f t="shared" si="4"/>
        <v>8370433.8861582046</v>
      </c>
      <c r="P63" s="17">
        <f t="shared" si="5"/>
        <v>0</v>
      </c>
      <c r="Q63" s="17">
        <f t="shared" si="6"/>
        <v>4003108.8235577587</v>
      </c>
      <c r="R63" s="17">
        <f t="shared" si="7"/>
        <v>0</v>
      </c>
      <c r="S63" s="17">
        <f t="shared" ca="1" si="8"/>
        <v>12851660.383595826</v>
      </c>
    </row>
    <row r="64" spans="1:19" x14ac:dyDescent="0.2">
      <c r="A64" s="28">
        <f>'Monthly Data'!A64</f>
        <v>43525</v>
      </c>
      <c r="B64">
        <f>'Monthly Data'!C64</f>
        <v>3</v>
      </c>
      <c r="C64">
        <f>'Monthly Data'!B64</f>
        <v>2019</v>
      </c>
      <c r="D64" s="18">
        <f>'Monthly Data'!J64</f>
        <v>13238045.840126414</v>
      </c>
      <c r="E64" s="10">
        <f t="shared" ref="E64:F64" ca="1" si="59">E52</f>
        <v>469.11853767651354</v>
      </c>
      <c r="F64" s="10">
        <f t="shared" ca="1" si="59"/>
        <v>0</v>
      </c>
      <c r="G64">
        <f>'Monthly Data'!BO64</f>
        <v>31</v>
      </c>
      <c r="H64">
        <f>'Monthly Data'!BR64</f>
        <v>0</v>
      </c>
      <c r="I64" s="17">
        <f>'Monthly Data'!AO64</f>
        <v>7256.9</v>
      </c>
      <c r="J64">
        <f>'Monthly Data'!BM64</f>
        <v>0</v>
      </c>
      <c r="L64" s="17">
        <f t="shared" si="29"/>
        <v>-2608738.8393219002</v>
      </c>
      <c r="M64" s="17">
        <f t="shared" ca="1" si="2"/>
        <v>2416116.7932923525</v>
      </c>
      <c r="N64" s="17">
        <f t="shared" ca="1" si="3"/>
        <v>0</v>
      </c>
      <c r="O64" s="17">
        <f t="shared" si="4"/>
        <v>9267266.0882465839</v>
      </c>
      <c r="P64" s="17">
        <f t="shared" si="5"/>
        <v>0</v>
      </c>
      <c r="Q64" s="17">
        <f t="shared" si="6"/>
        <v>3991283.8565723649</v>
      </c>
      <c r="R64" s="17">
        <f t="shared" si="7"/>
        <v>0</v>
      </c>
      <c r="S64" s="17">
        <f t="shared" ca="1" si="8"/>
        <v>13065927.898789402</v>
      </c>
    </row>
    <row r="65" spans="1:19" x14ac:dyDescent="0.2">
      <c r="A65" s="28">
        <f>'Monthly Data'!A65</f>
        <v>43556</v>
      </c>
      <c r="B65">
        <f>'Monthly Data'!C65</f>
        <v>4</v>
      </c>
      <c r="C65">
        <f>'Monthly Data'!B65</f>
        <v>2019</v>
      </c>
      <c r="D65" s="18">
        <f>'Monthly Data'!J65</f>
        <v>11407805.629970776</v>
      </c>
      <c r="E65" s="10">
        <f t="shared" ref="E65:F65" ca="1" si="60">E53</f>
        <v>233.92395833333336</v>
      </c>
      <c r="F65" s="10">
        <f t="shared" ca="1" si="60"/>
        <v>0</v>
      </c>
      <c r="G65">
        <f>'Monthly Data'!BO65</f>
        <v>30</v>
      </c>
      <c r="H65">
        <f>'Monthly Data'!BR65</f>
        <v>0</v>
      </c>
      <c r="I65" s="17">
        <f>'Monthly Data'!AO65</f>
        <v>7294</v>
      </c>
      <c r="J65">
        <f>'Monthly Data'!BM65</f>
        <v>0</v>
      </c>
      <c r="L65" s="17">
        <f t="shared" si="29"/>
        <v>-2608738.8393219002</v>
      </c>
      <c r="M65" s="17">
        <f t="shared" ca="1" si="2"/>
        <v>1204786.3358414527</v>
      </c>
      <c r="N65" s="17">
        <f t="shared" ca="1" si="3"/>
        <v>0</v>
      </c>
      <c r="O65" s="17">
        <f t="shared" si="4"/>
        <v>8968322.0208837911</v>
      </c>
      <c r="P65" s="17">
        <f t="shared" si="5"/>
        <v>0</v>
      </c>
      <c r="Q65" s="17">
        <f t="shared" si="6"/>
        <v>4011688.7996029751</v>
      </c>
      <c r="R65" s="17">
        <f t="shared" si="7"/>
        <v>0</v>
      </c>
      <c r="S65" s="17">
        <f t="shared" ca="1" si="8"/>
        <v>11576058.31700632</v>
      </c>
    </row>
    <row r="66" spans="1:19" x14ac:dyDescent="0.2">
      <c r="A66" s="28">
        <f>'Monthly Data'!A66</f>
        <v>43586</v>
      </c>
      <c r="B66">
        <f>'Monthly Data'!C66</f>
        <v>5</v>
      </c>
      <c r="C66">
        <f>'Monthly Data'!B66</f>
        <v>2019</v>
      </c>
      <c r="D66" s="18">
        <f>'Monthly Data'!J66</f>
        <v>10585959.389815135</v>
      </c>
      <c r="E66" s="10">
        <f t="shared" ref="E66:F66" ca="1" si="61">E54</f>
        <v>46.324929225504526</v>
      </c>
      <c r="F66" s="10">
        <f t="shared" ca="1" si="61"/>
        <v>9.6293749999999996</v>
      </c>
      <c r="G66">
        <f>'Monthly Data'!BO66</f>
        <v>31</v>
      </c>
      <c r="H66">
        <f>'Monthly Data'!BR66</f>
        <v>0</v>
      </c>
      <c r="I66" s="17">
        <f>'Monthly Data'!AO66</f>
        <v>7366.8</v>
      </c>
      <c r="J66">
        <f>'Monthly Data'!BM66</f>
        <v>0</v>
      </c>
      <c r="L66" s="17">
        <f t="shared" ref="L66:L97" si="62">$V$7</f>
        <v>-2608738.8393219002</v>
      </c>
      <c r="M66" s="17">
        <f t="shared" ca="1" si="2"/>
        <v>238588.82235645404</v>
      </c>
      <c r="N66" s="17">
        <f t="shared" ca="1" si="3"/>
        <v>119775.01846893948</v>
      </c>
      <c r="O66" s="17">
        <f t="shared" si="4"/>
        <v>9267266.0882465839</v>
      </c>
      <c r="P66" s="17">
        <f t="shared" si="5"/>
        <v>0</v>
      </c>
      <c r="Q66" s="17">
        <f t="shared" si="6"/>
        <v>4051728.6878139838</v>
      </c>
      <c r="R66" s="17">
        <f t="shared" si="7"/>
        <v>0</v>
      </c>
      <c r="S66" s="17">
        <f t="shared" ca="1" si="8"/>
        <v>11068619.777564062</v>
      </c>
    </row>
    <row r="67" spans="1:19" x14ac:dyDescent="0.2">
      <c r="A67" s="28">
        <f>'Monthly Data'!A67</f>
        <v>43617</v>
      </c>
      <c r="B67">
        <f>'Monthly Data'!C67</f>
        <v>6</v>
      </c>
      <c r="C67">
        <f>'Monthly Data'!B67</f>
        <v>2019</v>
      </c>
      <c r="D67" s="18">
        <f>'Monthly Data'!J67</f>
        <v>10472059.739659496</v>
      </c>
      <c r="E67" s="10">
        <f t="shared" ref="E67:F67" ca="1" si="63">E55</f>
        <v>1.25875</v>
      </c>
      <c r="F67" s="10">
        <f t="shared" ca="1" si="63"/>
        <v>25.077154107828811</v>
      </c>
      <c r="G67">
        <f>'Monthly Data'!BO67</f>
        <v>30</v>
      </c>
      <c r="H67">
        <f>'Monthly Data'!BR67</f>
        <v>0</v>
      </c>
      <c r="I67" s="17">
        <f>'Monthly Data'!AO67</f>
        <v>7460.9</v>
      </c>
      <c r="J67">
        <f>'Monthly Data'!BM67</f>
        <v>0</v>
      </c>
      <c r="L67" s="17">
        <f t="shared" si="62"/>
        <v>-2608738.8393219002</v>
      </c>
      <c r="M67" s="17">
        <f t="shared" ref="M67:M130" ca="1" si="64">E67*$V$8</f>
        <v>6482.9819529619735</v>
      </c>
      <c r="N67" s="17">
        <f t="shared" ref="N67:N130" ca="1" si="65">F67*$V$9</f>
        <v>311922.27911091194</v>
      </c>
      <c r="O67" s="17">
        <f t="shared" ref="O67:O130" si="66">G67*$V$10</f>
        <v>8968322.0208837911</v>
      </c>
      <c r="P67" s="17">
        <f t="shared" ref="P67:P130" si="67">H67*$V$11</f>
        <v>0</v>
      </c>
      <c r="Q67" s="17">
        <f t="shared" ref="Q67:Q130" si="68">I67*$V$12</f>
        <v>4103483.5433174986</v>
      </c>
      <c r="R67" s="17">
        <f t="shared" ref="R67:R130" si="69">J67*$V$13</f>
        <v>0</v>
      </c>
      <c r="S67" s="17">
        <f t="shared" ref="S67:S130" ca="1" si="70">SUM(L67:R67)</f>
        <v>10781471.985943263</v>
      </c>
    </row>
    <row r="68" spans="1:19" x14ac:dyDescent="0.2">
      <c r="A68" s="28">
        <f>'Monthly Data'!A68</f>
        <v>43647</v>
      </c>
      <c r="B68">
        <f>'Monthly Data'!C68</f>
        <v>7</v>
      </c>
      <c r="C68">
        <f>'Monthly Data'!B68</f>
        <v>2019</v>
      </c>
      <c r="D68" s="18">
        <f>'Monthly Data'!J68</f>
        <v>11553369.669503855</v>
      </c>
      <c r="E68" s="10">
        <f t="shared" ref="E68:F68" ca="1" si="71">E56</f>
        <v>0</v>
      </c>
      <c r="F68" s="10">
        <f t="shared" ca="1" si="71"/>
        <v>56.475141548990976</v>
      </c>
      <c r="G68">
        <f>'Monthly Data'!BO68</f>
        <v>31</v>
      </c>
      <c r="H68">
        <f>'Monthly Data'!BR68</f>
        <v>0</v>
      </c>
      <c r="I68" s="17">
        <f>'Monthly Data'!AO68</f>
        <v>7509.9</v>
      </c>
      <c r="J68">
        <f>'Monthly Data'!BM68</f>
        <v>0</v>
      </c>
      <c r="L68" s="17">
        <f t="shared" si="62"/>
        <v>-2608738.8393219002</v>
      </c>
      <c r="M68" s="17">
        <f t="shared" ca="1" si="64"/>
        <v>0</v>
      </c>
      <c r="N68" s="17">
        <f t="shared" ca="1" si="65"/>
        <v>702466.26827456255</v>
      </c>
      <c r="O68" s="17">
        <f t="shared" si="66"/>
        <v>9267266.0882465839</v>
      </c>
      <c r="P68" s="17">
        <f t="shared" si="67"/>
        <v>0</v>
      </c>
      <c r="Q68" s="17">
        <f t="shared" si="68"/>
        <v>4130433.4680749085</v>
      </c>
      <c r="R68" s="17">
        <f t="shared" si="69"/>
        <v>0</v>
      </c>
      <c r="S68" s="17">
        <f t="shared" ca="1" si="70"/>
        <v>11491426.985274155</v>
      </c>
    </row>
    <row r="69" spans="1:19" x14ac:dyDescent="0.2">
      <c r="A69" s="28">
        <f>'Monthly Data'!A69</f>
        <v>43678</v>
      </c>
      <c r="B69">
        <f>'Monthly Data'!C69</f>
        <v>8</v>
      </c>
      <c r="C69">
        <f>'Monthly Data'!B69</f>
        <v>2019</v>
      </c>
      <c r="D69" s="18">
        <f>'Monthly Data'!J69</f>
        <v>10886899.519348213</v>
      </c>
      <c r="E69" s="10">
        <f t="shared" ref="E69:F69" ca="1" si="72">E57</f>
        <v>0.1158333333333335</v>
      </c>
      <c r="F69" s="10">
        <f t="shared" ca="1" si="72"/>
        <v>35.296250000000008</v>
      </c>
      <c r="G69">
        <f>'Monthly Data'!BO69</f>
        <v>31</v>
      </c>
      <c r="H69">
        <f>'Monthly Data'!BR69</f>
        <v>0</v>
      </c>
      <c r="I69" s="17">
        <f>'Monthly Data'!AO69</f>
        <v>7523.3</v>
      </c>
      <c r="J69">
        <f>'Monthly Data'!BM69</f>
        <v>0</v>
      </c>
      <c r="L69" s="17">
        <f t="shared" si="62"/>
        <v>-2608738.8393219002</v>
      </c>
      <c r="M69" s="17">
        <f t="shared" ca="1" si="64"/>
        <v>596.58026578067893</v>
      </c>
      <c r="N69" s="17">
        <f t="shared" ca="1" si="65"/>
        <v>439032.54319561826</v>
      </c>
      <c r="O69" s="17">
        <f t="shared" si="66"/>
        <v>9267266.0882465839</v>
      </c>
      <c r="P69" s="17">
        <f t="shared" si="67"/>
        <v>0</v>
      </c>
      <c r="Q69" s="17">
        <f t="shared" si="68"/>
        <v>4137803.4474983634</v>
      </c>
      <c r="R69" s="17">
        <f t="shared" si="69"/>
        <v>0</v>
      </c>
      <c r="S69" s="17">
        <f t="shared" ca="1" si="70"/>
        <v>11235959.819884446</v>
      </c>
    </row>
    <row r="70" spans="1:19" x14ac:dyDescent="0.2">
      <c r="A70" s="28">
        <f>'Monthly Data'!A70</f>
        <v>43709</v>
      </c>
      <c r="B70">
        <f>'Monthly Data'!C70</f>
        <v>9</v>
      </c>
      <c r="C70">
        <f>'Monthly Data'!B70</f>
        <v>2019</v>
      </c>
      <c r="D70" s="18">
        <f>'Monthly Data'!J70</f>
        <v>9932795.2991925739</v>
      </c>
      <c r="E70" s="10">
        <f t="shared" ref="E70:F70" ca="1" si="73">E58</f>
        <v>11.597845892171184</v>
      </c>
      <c r="F70" s="10">
        <f t="shared" ca="1" si="73"/>
        <v>11.128958333333333</v>
      </c>
      <c r="G70">
        <f>'Monthly Data'!BO70</f>
        <v>30</v>
      </c>
      <c r="H70">
        <f>'Monthly Data'!BR70</f>
        <v>0</v>
      </c>
      <c r="I70" s="17">
        <f>'Monthly Data'!AO70</f>
        <v>7505.1</v>
      </c>
      <c r="J70">
        <f>'Monthly Data'!BM70</f>
        <v>1</v>
      </c>
      <c r="L70" s="17">
        <f t="shared" si="62"/>
        <v>-2608738.8393219002</v>
      </c>
      <c r="M70" s="17">
        <f t="shared" ca="1" si="64"/>
        <v>59732.771092099261</v>
      </c>
      <c r="N70" s="17">
        <f t="shared" ca="1" si="65"/>
        <v>138427.59160538021</v>
      </c>
      <c r="O70" s="17">
        <f t="shared" si="66"/>
        <v>8968322.0208837911</v>
      </c>
      <c r="P70" s="17">
        <f t="shared" si="67"/>
        <v>0</v>
      </c>
      <c r="Q70" s="17">
        <f t="shared" si="68"/>
        <v>4127793.4754456114</v>
      </c>
      <c r="R70" s="17">
        <f t="shared" si="69"/>
        <v>-307328.60270320397</v>
      </c>
      <c r="S70" s="17">
        <f t="shared" ca="1" si="70"/>
        <v>10378208.417001778</v>
      </c>
    </row>
    <row r="71" spans="1:19" x14ac:dyDescent="0.2">
      <c r="A71" s="28">
        <f>'Monthly Data'!A71</f>
        <v>43739</v>
      </c>
      <c r="B71">
        <f>'Monthly Data'!C71</f>
        <v>10</v>
      </c>
      <c r="C71">
        <f>'Monthly Data'!B71</f>
        <v>2019</v>
      </c>
      <c r="D71" s="18">
        <f>'Monthly Data'!J71</f>
        <v>10612642.599036934</v>
      </c>
      <c r="E71" s="10">
        <f t="shared" ref="E71:F71" ca="1" si="74">E59</f>
        <v>128.51888157360821</v>
      </c>
      <c r="F71" s="10">
        <f t="shared" ca="1" si="74"/>
        <v>0.44687499999999963</v>
      </c>
      <c r="G71">
        <f>'Monthly Data'!BO71</f>
        <v>31</v>
      </c>
      <c r="H71">
        <f>'Monthly Data'!BR71</f>
        <v>0</v>
      </c>
      <c r="I71" s="17">
        <f>'Monthly Data'!AO71</f>
        <v>7501.2</v>
      </c>
      <c r="J71">
        <f>'Monthly Data'!BM71</f>
        <v>1</v>
      </c>
      <c r="L71" s="17">
        <f t="shared" si="62"/>
        <v>-2608738.8393219002</v>
      </c>
      <c r="M71" s="17">
        <f t="shared" ca="1" si="64"/>
        <v>661915.06642030517</v>
      </c>
      <c r="N71" s="17">
        <f t="shared" ca="1" si="65"/>
        <v>5558.4564292394152</v>
      </c>
      <c r="O71" s="17">
        <f t="shared" si="66"/>
        <v>9267266.0882465839</v>
      </c>
      <c r="P71" s="17">
        <f t="shared" si="67"/>
        <v>0</v>
      </c>
      <c r="Q71" s="17">
        <f t="shared" si="68"/>
        <v>4125648.4814343071</v>
      </c>
      <c r="R71" s="17">
        <f t="shared" si="69"/>
        <v>-307328.60270320397</v>
      </c>
      <c r="S71" s="17">
        <f t="shared" ca="1" si="70"/>
        <v>11144320.650505332</v>
      </c>
    </row>
    <row r="72" spans="1:19" x14ac:dyDescent="0.2">
      <c r="A72" s="28">
        <f>'Monthly Data'!A72</f>
        <v>43770</v>
      </c>
      <c r="B72">
        <f>'Monthly Data'!C72</f>
        <v>11</v>
      </c>
      <c r="C72">
        <f>'Monthly Data'!B72</f>
        <v>2019</v>
      </c>
      <c r="D72" s="18">
        <f>'Monthly Data'!J72</f>
        <v>12470141.758881295</v>
      </c>
      <c r="E72" s="10">
        <f t="shared" ref="E72:F72" ca="1" si="75">E60</f>
        <v>332.1049960098469</v>
      </c>
      <c r="F72" s="10">
        <f t="shared" ca="1" si="75"/>
        <v>0</v>
      </c>
      <c r="G72">
        <f>'Monthly Data'!BO72</f>
        <v>30</v>
      </c>
      <c r="H72">
        <f>'Monthly Data'!BR72</f>
        <v>0</v>
      </c>
      <c r="I72" s="17">
        <f>'Monthly Data'!AO72</f>
        <v>7488.3</v>
      </c>
      <c r="J72">
        <f>'Monthly Data'!BM72</f>
        <v>0</v>
      </c>
      <c r="L72" s="17">
        <f t="shared" si="62"/>
        <v>-2608738.8393219002</v>
      </c>
      <c r="M72" s="17">
        <f t="shared" ca="1" si="64"/>
        <v>1710451.3967192417</v>
      </c>
      <c r="N72" s="17">
        <f t="shared" ca="1" si="65"/>
        <v>0</v>
      </c>
      <c r="O72" s="17">
        <f t="shared" si="66"/>
        <v>8968322.0208837911</v>
      </c>
      <c r="P72" s="17">
        <f t="shared" si="67"/>
        <v>0</v>
      </c>
      <c r="Q72" s="17">
        <f t="shared" si="68"/>
        <v>4118553.5012430707</v>
      </c>
      <c r="R72" s="17">
        <f t="shared" si="69"/>
        <v>0</v>
      </c>
      <c r="S72" s="17">
        <f t="shared" ca="1" si="70"/>
        <v>12188588.079524204</v>
      </c>
    </row>
    <row r="73" spans="1:19" x14ac:dyDescent="0.2">
      <c r="A73" s="28">
        <f>'Monthly Data'!A73</f>
        <v>43800</v>
      </c>
      <c r="B73">
        <f>'Monthly Data'!C73</f>
        <v>12</v>
      </c>
      <c r="C73">
        <f>'Monthly Data'!B73</f>
        <v>2019</v>
      </c>
      <c r="D73" s="18">
        <f>'Monthly Data'!J73</f>
        <v>13238227.838725653</v>
      </c>
      <c r="E73" s="10">
        <f t="shared" ref="E73:F73" ca="1" si="76">E61</f>
        <v>508.62936502461724</v>
      </c>
      <c r="F73" s="10">
        <f t="shared" ca="1" si="76"/>
        <v>0</v>
      </c>
      <c r="G73">
        <f>'Monthly Data'!BO73</f>
        <v>31</v>
      </c>
      <c r="H73">
        <f>'Monthly Data'!BR73</f>
        <v>0</v>
      </c>
      <c r="I73" s="17">
        <f>'Monthly Data'!AO73</f>
        <v>7493.8</v>
      </c>
      <c r="J73">
        <f>'Monthly Data'!BM73</f>
        <v>0</v>
      </c>
      <c r="L73" s="17">
        <f t="shared" si="62"/>
        <v>-2608738.8393219002</v>
      </c>
      <c r="M73" s="17">
        <f t="shared" ca="1" si="64"/>
        <v>2619610.7203186504</v>
      </c>
      <c r="N73" s="17">
        <f t="shared" ca="1" si="65"/>
        <v>0</v>
      </c>
      <c r="O73" s="17">
        <f t="shared" si="66"/>
        <v>9267266.0882465839</v>
      </c>
      <c r="P73" s="17">
        <f t="shared" si="67"/>
        <v>0</v>
      </c>
      <c r="Q73" s="17">
        <f t="shared" si="68"/>
        <v>4121578.4927974739</v>
      </c>
      <c r="R73" s="17">
        <f t="shared" si="69"/>
        <v>0</v>
      </c>
      <c r="S73" s="17">
        <f t="shared" ca="1" si="70"/>
        <v>13399716.462040808</v>
      </c>
    </row>
    <row r="74" spans="1:19" x14ac:dyDescent="0.2">
      <c r="A74" s="28">
        <f>'Monthly Data'!A74</f>
        <v>43831</v>
      </c>
      <c r="B74">
        <f>'Monthly Data'!C74</f>
        <v>1</v>
      </c>
      <c r="C74">
        <f>'Monthly Data'!B74</f>
        <v>2020</v>
      </c>
      <c r="D74" s="18">
        <f>'Monthly Data'!J74</f>
        <v>13652816.710556209</v>
      </c>
      <c r="E74" s="10">
        <f t="shared" ref="E74:F74" ca="1" si="77">E62</f>
        <v>666.68367523535153</v>
      </c>
      <c r="F74" s="10">
        <f t="shared" ca="1" si="77"/>
        <v>0</v>
      </c>
      <c r="G74">
        <f>'Monthly Data'!BO74</f>
        <v>31</v>
      </c>
      <c r="H74">
        <f>'Monthly Data'!BR74</f>
        <v>0</v>
      </c>
      <c r="I74" s="17">
        <f>'Monthly Data'!AO74</f>
        <v>7471.6</v>
      </c>
      <c r="J74">
        <f>'Monthly Data'!BM74</f>
        <v>0</v>
      </c>
      <c r="L74" s="17">
        <f t="shared" si="62"/>
        <v>-2608738.8393219002</v>
      </c>
      <c r="M74" s="17">
        <f t="shared" ca="1" si="64"/>
        <v>3433643.086303988</v>
      </c>
      <c r="N74" s="17">
        <f t="shared" ca="1" si="65"/>
        <v>0</v>
      </c>
      <c r="O74" s="17">
        <f t="shared" si="66"/>
        <v>9267266.0882465839</v>
      </c>
      <c r="P74" s="17">
        <f t="shared" si="67"/>
        <v>0</v>
      </c>
      <c r="Q74" s="17">
        <f t="shared" si="68"/>
        <v>4109368.526886974</v>
      </c>
      <c r="R74" s="17">
        <f t="shared" si="69"/>
        <v>0</v>
      </c>
      <c r="S74" s="17">
        <f t="shared" ca="1" si="70"/>
        <v>14201538.862115646</v>
      </c>
    </row>
    <row r="75" spans="1:19" x14ac:dyDescent="0.2">
      <c r="A75" s="28">
        <f>'Monthly Data'!A75</f>
        <v>43862</v>
      </c>
      <c r="B75">
        <f>'Monthly Data'!C75</f>
        <v>2</v>
      </c>
      <c r="C75">
        <f>'Monthly Data'!B75</f>
        <v>2020</v>
      </c>
      <c r="D75" s="18">
        <f>'Monthly Data'!J75</f>
        <v>12733582.995352812</v>
      </c>
      <c r="E75" s="10">
        <f t="shared" ref="E75:F75" ca="1" si="78">E63</f>
        <v>599.3508333333333</v>
      </c>
      <c r="F75" s="10">
        <f t="shared" ca="1" si="78"/>
        <v>0</v>
      </c>
      <c r="G75">
        <f>'Monthly Data'!BO75</f>
        <v>29</v>
      </c>
      <c r="H75">
        <f>'Monthly Data'!BR75</f>
        <v>0</v>
      </c>
      <c r="I75" s="17">
        <f>'Monthly Data'!AO75</f>
        <v>7442.1</v>
      </c>
      <c r="J75">
        <f>'Monthly Data'!BM75</f>
        <v>0</v>
      </c>
      <c r="L75" s="17">
        <f t="shared" si="62"/>
        <v>-2608738.8393219002</v>
      </c>
      <c r="M75" s="17">
        <f t="shared" ca="1" si="64"/>
        <v>3086856.5132017629</v>
      </c>
      <c r="N75" s="17">
        <f t="shared" ca="1" si="65"/>
        <v>0</v>
      </c>
      <c r="O75" s="17">
        <f t="shared" si="66"/>
        <v>8669377.9535209984</v>
      </c>
      <c r="P75" s="17">
        <f t="shared" si="67"/>
        <v>0</v>
      </c>
      <c r="Q75" s="17">
        <f t="shared" si="68"/>
        <v>4093143.5721860849</v>
      </c>
      <c r="R75" s="17">
        <f t="shared" si="69"/>
        <v>0</v>
      </c>
      <c r="S75" s="17">
        <f t="shared" ca="1" si="70"/>
        <v>13240639.199586945</v>
      </c>
    </row>
    <row r="76" spans="1:19" x14ac:dyDescent="0.2">
      <c r="A76" s="28">
        <f>'Monthly Data'!A76</f>
        <v>43891</v>
      </c>
      <c r="B76">
        <f>'Monthly Data'!C76</f>
        <v>3</v>
      </c>
      <c r="C76">
        <f>'Monthly Data'!B76</f>
        <v>2020</v>
      </c>
      <c r="D76" s="18">
        <f>'Monthly Data'!J76</f>
        <v>12050222.340149418</v>
      </c>
      <c r="E76" s="10">
        <f t="shared" ref="E76:F76" ca="1" si="79">E64</f>
        <v>469.11853767651354</v>
      </c>
      <c r="F76" s="10">
        <f t="shared" ca="1" si="79"/>
        <v>0</v>
      </c>
      <c r="G76">
        <f>'Monthly Data'!BO76</f>
        <v>31</v>
      </c>
      <c r="H76">
        <f>'Monthly Data'!BR76</f>
        <v>0.5</v>
      </c>
      <c r="I76" s="17">
        <f>'Monthly Data'!AO76</f>
        <v>7256.2</v>
      </c>
      <c r="J76">
        <f>'Monthly Data'!BM76</f>
        <v>0</v>
      </c>
      <c r="L76" s="17">
        <f t="shared" si="62"/>
        <v>-2608738.8393219002</v>
      </c>
      <c r="M76" s="17">
        <f t="shared" ca="1" si="64"/>
        <v>2416116.7932923525</v>
      </c>
      <c r="N76" s="17">
        <f t="shared" ca="1" si="65"/>
        <v>0</v>
      </c>
      <c r="O76" s="17">
        <f t="shared" si="66"/>
        <v>9267266.0882465839</v>
      </c>
      <c r="P76" s="17">
        <f t="shared" si="67"/>
        <v>-593562.30970697501</v>
      </c>
      <c r="Q76" s="17">
        <f t="shared" si="68"/>
        <v>3990898.8576472588</v>
      </c>
      <c r="R76" s="17">
        <f t="shared" si="69"/>
        <v>0</v>
      </c>
      <c r="S76" s="17">
        <f t="shared" ca="1" si="70"/>
        <v>12471980.590157321</v>
      </c>
    </row>
    <row r="77" spans="1:19" x14ac:dyDescent="0.2">
      <c r="A77" s="28">
        <f>'Monthly Data'!A77</f>
        <v>43922</v>
      </c>
      <c r="B77">
        <f>'Monthly Data'!C77</f>
        <v>4</v>
      </c>
      <c r="C77">
        <f>'Monthly Data'!B77</f>
        <v>2020</v>
      </c>
      <c r="D77" s="18">
        <f>'Monthly Data'!J77</f>
        <v>9716740.3149460237</v>
      </c>
      <c r="E77" s="10">
        <f t="shared" ref="E77:F77" ca="1" si="80">E65</f>
        <v>233.92395833333336</v>
      </c>
      <c r="F77" s="10">
        <f t="shared" ca="1" si="80"/>
        <v>0</v>
      </c>
      <c r="G77">
        <f>'Monthly Data'!BO77</f>
        <v>30</v>
      </c>
      <c r="H77">
        <f>'Monthly Data'!BR77</f>
        <v>1</v>
      </c>
      <c r="I77" s="17">
        <f>'Monthly Data'!AO77</f>
        <v>6885.2</v>
      </c>
      <c r="J77">
        <f>'Monthly Data'!BM77</f>
        <v>0</v>
      </c>
      <c r="L77" s="17">
        <f t="shared" si="62"/>
        <v>-2608738.8393219002</v>
      </c>
      <c r="M77" s="17">
        <f t="shared" ca="1" si="64"/>
        <v>1204786.3358414527</v>
      </c>
      <c r="N77" s="17">
        <f t="shared" ca="1" si="65"/>
        <v>0</v>
      </c>
      <c r="O77" s="17">
        <f t="shared" si="66"/>
        <v>8968322.0208837911</v>
      </c>
      <c r="P77" s="17">
        <f t="shared" si="67"/>
        <v>-1187124.61941395</v>
      </c>
      <c r="Q77" s="17">
        <f t="shared" si="68"/>
        <v>3786849.4273411576</v>
      </c>
      <c r="R77" s="17">
        <f t="shared" si="69"/>
        <v>0</v>
      </c>
      <c r="S77" s="17">
        <f t="shared" ca="1" si="70"/>
        <v>10164094.325330552</v>
      </c>
    </row>
    <row r="78" spans="1:19" x14ac:dyDescent="0.2">
      <c r="A78" s="28">
        <f>'Monthly Data'!A78</f>
        <v>43952</v>
      </c>
      <c r="B78">
        <f>'Monthly Data'!C78</f>
        <v>5</v>
      </c>
      <c r="C78">
        <f>'Monthly Data'!B78</f>
        <v>2020</v>
      </c>
      <c r="D78" s="18">
        <f>'Monthly Data'!J78</f>
        <v>9694699.8497426268</v>
      </c>
      <c r="E78" s="10">
        <f t="shared" ref="E78:F78" ca="1" si="81">E66</f>
        <v>46.324929225504526</v>
      </c>
      <c r="F78" s="10">
        <f t="shared" ca="1" si="81"/>
        <v>9.6293749999999996</v>
      </c>
      <c r="G78">
        <f>'Monthly Data'!BO78</f>
        <v>31</v>
      </c>
      <c r="H78">
        <f>'Monthly Data'!BR78</f>
        <v>1</v>
      </c>
      <c r="I78" s="17">
        <f>'Monthly Data'!AO78</f>
        <v>6536.7</v>
      </c>
      <c r="J78">
        <f>'Monthly Data'!BM78</f>
        <v>0</v>
      </c>
      <c r="L78" s="17">
        <f t="shared" si="62"/>
        <v>-2608738.8393219002</v>
      </c>
      <c r="M78" s="17">
        <f t="shared" ca="1" si="64"/>
        <v>238588.82235645404</v>
      </c>
      <c r="N78" s="17">
        <f t="shared" ca="1" si="65"/>
        <v>119775.01846893948</v>
      </c>
      <c r="O78" s="17">
        <f t="shared" si="66"/>
        <v>9267266.0882465839</v>
      </c>
      <c r="P78" s="17">
        <f t="shared" si="67"/>
        <v>-1187124.61941395</v>
      </c>
      <c r="Q78" s="17">
        <f t="shared" si="68"/>
        <v>3595174.9624848869</v>
      </c>
      <c r="R78" s="17">
        <f t="shared" si="69"/>
        <v>0</v>
      </c>
      <c r="S78" s="17">
        <f t="shared" ca="1" si="70"/>
        <v>9424941.4328210149</v>
      </c>
    </row>
    <row r="79" spans="1:19" x14ac:dyDescent="0.2">
      <c r="A79" s="28">
        <f>'Monthly Data'!A79</f>
        <v>43983</v>
      </c>
      <c r="B79">
        <f>'Monthly Data'!C79</f>
        <v>6</v>
      </c>
      <c r="C79">
        <f>'Monthly Data'!B79</f>
        <v>2020</v>
      </c>
      <c r="D79" s="18">
        <f>'Monthly Data'!J79</f>
        <v>10225668.464539232</v>
      </c>
      <c r="E79" s="10">
        <f t="shared" ref="E79:F79" ca="1" si="82">E67</f>
        <v>1.25875</v>
      </c>
      <c r="F79" s="10">
        <f t="shared" ca="1" si="82"/>
        <v>25.077154107828811</v>
      </c>
      <c r="G79">
        <f>'Monthly Data'!BO79</f>
        <v>30</v>
      </c>
      <c r="H79">
        <f>'Monthly Data'!BR79</f>
        <v>0.5</v>
      </c>
      <c r="I79" s="17">
        <f>'Monthly Data'!AO79</f>
        <v>6498.5</v>
      </c>
      <c r="J79">
        <f>'Monthly Data'!BM79</f>
        <v>0</v>
      </c>
      <c r="L79" s="17">
        <f t="shared" si="62"/>
        <v>-2608738.8393219002</v>
      </c>
      <c r="M79" s="17">
        <f t="shared" ca="1" si="64"/>
        <v>6482.9819529619735</v>
      </c>
      <c r="N79" s="17">
        <f t="shared" ca="1" si="65"/>
        <v>311922.27911091194</v>
      </c>
      <c r="O79" s="17">
        <f t="shared" si="66"/>
        <v>8968322.0208837911</v>
      </c>
      <c r="P79" s="17">
        <f t="shared" si="67"/>
        <v>-593562.30970697501</v>
      </c>
      <c r="Q79" s="17">
        <f t="shared" si="68"/>
        <v>3574165.0211433964</v>
      </c>
      <c r="R79" s="17">
        <f t="shared" si="69"/>
        <v>0</v>
      </c>
      <c r="S79" s="17">
        <f t="shared" ca="1" si="70"/>
        <v>9658591.1540621854</v>
      </c>
    </row>
    <row r="80" spans="1:19" x14ac:dyDescent="0.2">
      <c r="A80" s="28">
        <f>'Monthly Data'!A80</f>
        <v>44013</v>
      </c>
      <c r="B80">
        <f>'Monthly Data'!C80</f>
        <v>7</v>
      </c>
      <c r="C80">
        <f>'Monthly Data'!B80</f>
        <v>2020</v>
      </c>
      <c r="D80" s="18">
        <f>'Monthly Data'!J80</f>
        <v>11343101.809335835</v>
      </c>
      <c r="E80" s="10">
        <f t="shared" ref="E80:F80" ca="1" si="83">E68</f>
        <v>0</v>
      </c>
      <c r="F80" s="10">
        <f t="shared" ca="1" si="83"/>
        <v>56.475141548990976</v>
      </c>
      <c r="G80">
        <f>'Monthly Data'!BO80</f>
        <v>31</v>
      </c>
      <c r="H80">
        <f>'Monthly Data'!BR80</f>
        <v>0.5</v>
      </c>
      <c r="I80" s="17">
        <f>'Monthly Data'!AO80</f>
        <v>6711.9</v>
      </c>
      <c r="J80">
        <f>'Monthly Data'!BM80</f>
        <v>0</v>
      </c>
      <c r="L80" s="17">
        <f t="shared" si="62"/>
        <v>-2608738.8393219002</v>
      </c>
      <c r="M80" s="17">
        <f t="shared" ca="1" si="64"/>
        <v>0</v>
      </c>
      <c r="N80" s="17">
        <f t="shared" ca="1" si="65"/>
        <v>702466.26827456255</v>
      </c>
      <c r="O80" s="17">
        <f t="shared" si="66"/>
        <v>9267266.0882465839</v>
      </c>
      <c r="P80" s="17">
        <f t="shared" si="67"/>
        <v>-593562.30970697501</v>
      </c>
      <c r="Q80" s="17">
        <f t="shared" si="68"/>
        <v>3691534.6934542372</v>
      </c>
      <c r="R80" s="17">
        <f t="shared" si="69"/>
        <v>0</v>
      </c>
      <c r="S80" s="17">
        <f t="shared" ca="1" si="70"/>
        <v>10458965.900946509</v>
      </c>
    </row>
    <row r="81" spans="1:19" x14ac:dyDescent="0.2">
      <c r="A81" s="28">
        <f>'Monthly Data'!A81</f>
        <v>44044</v>
      </c>
      <c r="B81">
        <f>'Monthly Data'!C81</f>
        <v>8</v>
      </c>
      <c r="C81">
        <f>'Monthly Data'!B81</f>
        <v>2020</v>
      </c>
      <c r="D81" s="18">
        <f>'Monthly Data'!J81</f>
        <v>10780735.944132442</v>
      </c>
      <c r="E81" s="10">
        <f t="shared" ref="E81:F81" ca="1" si="84">E69</f>
        <v>0.1158333333333335</v>
      </c>
      <c r="F81" s="10">
        <f t="shared" ca="1" si="84"/>
        <v>35.296250000000008</v>
      </c>
      <c r="G81">
        <f>'Monthly Data'!BO81</f>
        <v>31</v>
      </c>
      <c r="H81">
        <f>'Monthly Data'!BR81</f>
        <v>0.5</v>
      </c>
      <c r="I81" s="17">
        <f>'Monthly Data'!AO81</f>
        <v>6950.9</v>
      </c>
      <c r="J81">
        <f>'Monthly Data'!BM81</f>
        <v>0</v>
      </c>
      <c r="L81" s="17">
        <f t="shared" si="62"/>
        <v>-2608738.8393219002</v>
      </c>
      <c r="M81" s="17">
        <f t="shared" ca="1" si="64"/>
        <v>596.58026578067893</v>
      </c>
      <c r="N81" s="17">
        <f t="shared" ca="1" si="65"/>
        <v>439032.54319561826</v>
      </c>
      <c r="O81" s="17">
        <f t="shared" si="66"/>
        <v>9267266.0882465839</v>
      </c>
      <c r="P81" s="17">
        <f t="shared" si="67"/>
        <v>-593562.30970697501</v>
      </c>
      <c r="Q81" s="17">
        <f t="shared" si="68"/>
        <v>3822984.3264546636</v>
      </c>
      <c r="R81" s="17">
        <f t="shared" si="69"/>
        <v>0</v>
      </c>
      <c r="S81" s="17">
        <f t="shared" ca="1" si="70"/>
        <v>10327578.389133772</v>
      </c>
    </row>
    <row r="82" spans="1:19" x14ac:dyDescent="0.2">
      <c r="A82" s="28">
        <f>'Monthly Data'!A82</f>
        <v>44075</v>
      </c>
      <c r="B82">
        <f>'Monthly Data'!C82</f>
        <v>9</v>
      </c>
      <c r="C82">
        <f>'Monthly Data'!B82</f>
        <v>2020</v>
      </c>
      <c r="D82" s="18">
        <f>'Monthly Data'!J82</f>
        <v>9813085.9189290442</v>
      </c>
      <c r="E82" s="10">
        <f t="shared" ref="E82:F82" ca="1" si="85">E70</f>
        <v>11.597845892171184</v>
      </c>
      <c r="F82" s="10">
        <f t="shared" ca="1" si="85"/>
        <v>11.128958333333333</v>
      </c>
      <c r="G82">
        <f>'Monthly Data'!BO82</f>
        <v>30</v>
      </c>
      <c r="H82">
        <f>'Monthly Data'!BR82</f>
        <v>0.5</v>
      </c>
      <c r="I82" s="17">
        <f>'Monthly Data'!AO82</f>
        <v>7075.5</v>
      </c>
      <c r="J82">
        <f>'Monthly Data'!BM82</f>
        <v>1</v>
      </c>
      <c r="L82" s="17">
        <f t="shared" si="62"/>
        <v>-2608738.8393219002</v>
      </c>
      <c r="M82" s="17">
        <f t="shared" ca="1" si="64"/>
        <v>59732.771092099261</v>
      </c>
      <c r="N82" s="17">
        <f t="shared" ca="1" si="65"/>
        <v>138427.59160538021</v>
      </c>
      <c r="O82" s="17">
        <f t="shared" si="66"/>
        <v>8968322.0208837911</v>
      </c>
      <c r="P82" s="17">
        <f t="shared" si="67"/>
        <v>-593562.30970697501</v>
      </c>
      <c r="Q82" s="17">
        <f t="shared" si="68"/>
        <v>3891514.1351235057</v>
      </c>
      <c r="R82" s="17">
        <f t="shared" si="69"/>
        <v>-307328.60270320397</v>
      </c>
      <c r="S82" s="17">
        <f t="shared" ca="1" si="70"/>
        <v>9548366.7669726964</v>
      </c>
    </row>
    <row r="83" spans="1:19" x14ac:dyDescent="0.2">
      <c r="A83" s="28">
        <f>'Monthly Data'!A83</f>
        <v>44105</v>
      </c>
      <c r="B83">
        <f>'Monthly Data'!C83</f>
        <v>10</v>
      </c>
      <c r="C83">
        <f>'Monthly Data'!B83</f>
        <v>2020</v>
      </c>
      <c r="D83" s="18">
        <f>'Monthly Data'!J83</f>
        <v>10753151.84372565</v>
      </c>
      <c r="E83" s="10">
        <f t="shared" ref="E83:F83" ca="1" si="86">E71</f>
        <v>128.51888157360821</v>
      </c>
      <c r="F83" s="10">
        <f t="shared" ca="1" si="86"/>
        <v>0.44687499999999963</v>
      </c>
      <c r="G83">
        <f>'Monthly Data'!BO83</f>
        <v>31</v>
      </c>
      <c r="H83">
        <f>'Monthly Data'!BR83</f>
        <v>0.5</v>
      </c>
      <c r="I83" s="17">
        <f>'Monthly Data'!AO83</f>
        <v>7184.1</v>
      </c>
      <c r="J83">
        <f>'Monthly Data'!BM83</f>
        <v>1</v>
      </c>
      <c r="L83" s="17">
        <f t="shared" si="62"/>
        <v>-2608738.8393219002</v>
      </c>
      <c r="M83" s="17">
        <f t="shared" ca="1" si="64"/>
        <v>661915.06642030517</v>
      </c>
      <c r="N83" s="17">
        <f t="shared" ca="1" si="65"/>
        <v>5558.4564292394152</v>
      </c>
      <c r="O83" s="17">
        <f t="shared" si="66"/>
        <v>9267266.0882465839</v>
      </c>
      <c r="P83" s="17">
        <f t="shared" si="67"/>
        <v>-593562.30970697501</v>
      </c>
      <c r="Q83" s="17">
        <f t="shared" si="68"/>
        <v>3951243.9683613563</v>
      </c>
      <c r="R83" s="17">
        <f t="shared" si="69"/>
        <v>-307328.60270320397</v>
      </c>
      <c r="S83" s="17">
        <f t="shared" ca="1" si="70"/>
        <v>10376353.827725405</v>
      </c>
    </row>
    <row r="84" spans="1:19" x14ac:dyDescent="0.2">
      <c r="A84" s="28">
        <f>'Monthly Data'!A84</f>
        <v>44136</v>
      </c>
      <c r="B84">
        <f>'Monthly Data'!C84</f>
        <v>11</v>
      </c>
      <c r="C84">
        <f>'Monthly Data'!B84</f>
        <v>2020</v>
      </c>
      <c r="D84" s="18">
        <f>'Monthly Data'!J84</f>
        <v>11644677.878522255</v>
      </c>
      <c r="E84" s="10">
        <f t="shared" ref="E84:F84" ca="1" si="87">E72</f>
        <v>332.1049960098469</v>
      </c>
      <c r="F84" s="10">
        <f t="shared" ca="1" si="87"/>
        <v>0</v>
      </c>
      <c r="G84">
        <f>'Monthly Data'!BO84</f>
        <v>30</v>
      </c>
      <c r="H84">
        <f>'Monthly Data'!BR84</f>
        <v>0.5</v>
      </c>
      <c r="I84" s="17">
        <f>'Monthly Data'!AO84</f>
        <v>7255.2</v>
      </c>
      <c r="J84">
        <f>'Monthly Data'!BM84</f>
        <v>0</v>
      </c>
      <c r="L84" s="17">
        <f t="shared" si="62"/>
        <v>-2608738.8393219002</v>
      </c>
      <c r="M84" s="17">
        <f t="shared" ca="1" si="64"/>
        <v>1710451.3967192417</v>
      </c>
      <c r="N84" s="17">
        <f t="shared" ca="1" si="65"/>
        <v>0</v>
      </c>
      <c r="O84" s="17">
        <f t="shared" si="66"/>
        <v>8968322.0208837911</v>
      </c>
      <c r="P84" s="17">
        <f t="shared" si="67"/>
        <v>-593562.30970697501</v>
      </c>
      <c r="Q84" s="17">
        <f t="shared" si="68"/>
        <v>3990348.8591828221</v>
      </c>
      <c r="R84" s="17">
        <f t="shared" si="69"/>
        <v>0</v>
      </c>
      <c r="S84" s="17">
        <f t="shared" ca="1" si="70"/>
        <v>11466821.127756979</v>
      </c>
    </row>
    <row r="85" spans="1:19" x14ac:dyDescent="0.2">
      <c r="A85" s="28">
        <f>'Monthly Data'!A85</f>
        <v>44166</v>
      </c>
      <c r="B85">
        <f>'Monthly Data'!C85</f>
        <v>12</v>
      </c>
      <c r="C85">
        <f>'Monthly Data'!B85</f>
        <v>2020</v>
      </c>
      <c r="D85" s="18">
        <f>'Monthly Data'!J85</f>
        <v>12844408.32331886</v>
      </c>
      <c r="E85" s="10">
        <f t="shared" ref="E85:F85" ca="1" si="88">E73</f>
        <v>508.62936502461724</v>
      </c>
      <c r="F85" s="10">
        <f t="shared" ca="1" si="88"/>
        <v>0</v>
      </c>
      <c r="G85">
        <f>'Monthly Data'!BO85</f>
        <v>31</v>
      </c>
      <c r="H85">
        <f>'Monthly Data'!BR85</f>
        <v>0.5</v>
      </c>
      <c r="I85" s="17">
        <f>'Monthly Data'!AO85</f>
        <v>7273.3</v>
      </c>
      <c r="J85">
        <f>'Monthly Data'!BM85</f>
        <v>0</v>
      </c>
      <c r="L85" s="17">
        <f t="shared" si="62"/>
        <v>-2608738.8393219002</v>
      </c>
      <c r="M85" s="17">
        <f t="shared" ca="1" si="64"/>
        <v>2619610.7203186504</v>
      </c>
      <c r="N85" s="17">
        <f t="shared" ca="1" si="65"/>
        <v>0</v>
      </c>
      <c r="O85" s="17">
        <f t="shared" si="66"/>
        <v>9267266.0882465839</v>
      </c>
      <c r="P85" s="17">
        <f t="shared" si="67"/>
        <v>-593562.30970697501</v>
      </c>
      <c r="Q85" s="17">
        <f t="shared" si="68"/>
        <v>4000303.8313891306</v>
      </c>
      <c r="R85" s="17">
        <f t="shared" si="69"/>
        <v>0</v>
      </c>
      <c r="S85" s="17">
        <f t="shared" ca="1" si="70"/>
        <v>12684879.490925491</v>
      </c>
    </row>
    <row r="86" spans="1:19" x14ac:dyDescent="0.2">
      <c r="A86" s="28">
        <f>'Monthly Data'!A86</f>
        <v>44197</v>
      </c>
      <c r="B86">
        <f>'Monthly Data'!C86</f>
        <v>1</v>
      </c>
      <c r="C86">
        <f>'Monthly Data'!B86</f>
        <v>2021</v>
      </c>
      <c r="D86" s="18">
        <f>'Monthly Data'!J86</f>
        <v>13020901.047661725</v>
      </c>
      <c r="E86" s="10">
        <f t="shared" ref="E86:F86" ca="1" si="89">E74</f>
        <v>666.68367523535153</v>
      </c>
      <c r="F86" s="10">
        <f t="shared" ca="1" si="89"/>
        <v>0</v>
      </c>
      <c r="G86">
        <f>'Monthly Data'!BO86</f>
        <v>31</v>
      </c>
      <c r="H86">
        <f>'Monthly Data'!BR86</f>
        <v>0.5</v>
      </c>
      <c r="I86" s="17">
        <f>'Monthly Data'!AO86</f>
        <v>7180.4</v>
      </c>
      <c r="J86">
        <f>'Monthly Data'!BM86</f>
        <v>0</v>
      </c>
      <c r="L86" s="17">
        <f t="shared" si="62"/>
        <v>-2608738.8393219002</v>
      </c>
      <c r="M86" s="17">
        <f t="shared" ca="1" si="64"/>
        <v>3433643.086303988</v>
      </c>
      <c r="N86" s="17">
        <f t="shared" ca="1" si="65"/>
        <v>0</v>
      </c>
      <c r="O86" s="17">
        <f t="shared" si="66"/>
        <v>9267266.0882465839</v>
      </c>
      <c r="P86" s="17">
        <f t="shared" si="67"/>
        <v>-593562.30970697501</v>
      </c>
      <c r="Q86" s="17">
        <f t="shared" si="68"/>
        <v>3949208.9740429395</v>
      </c>
      <c r="R86" s="17">
        <f t="shared" si="69"/>
        <v>0</v>
      </c>
      <c r="S86" s="17">
        <f t="shared" ca="1" si="70"/>
        <v>13447816.999564636</v>
      </c>
    </row>
    <row r="87" spans="1:19" x14ac:dyDescent="0.2">
      <c r="A87" s="28">
        <f>'Monthly Data'!A87</f>
        <v>44228</v>
      </c>
      <c r="B87">
        <f>'Monthly Data'!C87</f>
        <v>2</v>
      </c>
      <c r="C87">
        <f>'Monthly Data'!B87</f>
        <v>2021</v>
      </c>
      <c r="D87" s="18">
        <f>'Monthly Data'!J87</f>
        <v>12441382.271758284</v>
      </c>
      <c r="E87" s="10">
        <f t="shared" ref="E87:F87" ca="1" si="90">E75</f>
        <v>599.3508333333333</v>
      </c>
      <c r="F87" s="10">
        <f t="shared" ca="1" si="90"/>
        <v>0</v>
      </c>
      <c r="G87">
        <f>'Monthly Data'!BO87</f>
        <v>28</v>
      </c>
      <c r="H87">
        <f>'Monthly Data'!BR87</f>
        <v>0.5</v>
      </c>
      <c r="I87" s="17">
        <f>'Monthly Data'!AO87</f>
        <v>7124.8</v>
      </c>
      <c r="J87">
        <f>'Monthly Data'!BM87</f>
        <v>0</v>
      </c>
      <c r="L87" s="17">
        <f t="shared" si="62"/>
        <v>-2608738.8393219002</v>
      </c>
      <c r="M87" s="17">
        <f t="shared" ca="1" si="64"/>
        <v>3086856.5132017629</v>
      </c>
      <c r="N87" s="17">
        <f t="shared" ca="1" si="65"/>
        <v>0</v>
      </c>
      <c r="O87" s="17">
        <f t="shared" si="66"/>
        <v>8370433.8861582046</v>
      </c>
      <c r="P87" s="17">
        <f t="shared" si="67"/>
        <v>-593562.30970697501</v>
      </c>
      <c r="Q87" s="17">
        <f t="shared" si="68"/>
        <v>3918629.0594202466</v>
      </c>
      <c r="R87" s="17">
        <f t="shared" si="69"/>
        <v>0</v>
      </c>
      <c r="S87" s="17">
        <f t="shared" ca="1" si="70"/>
        <v>12173618.309751339</v>
      </c>
    </row>
    <row r="88" spans="1:19" x14ac:dyDescent="0.2">
      <c r="A88" s="28">
        <f>'Monthly Data'!A88</f>
        <v>44256</v>
      </c>
      <c r="B88">
        <f>'Monthly Data'!C88</f>
        <v>3</v>
      </c>
      <c r="C88">
        <f>'Monthly Data'!B88</f>
        <v>2021</v>
      </c>
      <c r="D88" s="18">
        <f>'Monthly Data'!J88</f>
        <v>12206975.695854843</v>
      </c>
      <c r="E88" s="10">
        <f t="shared" ref="E88:F88" ca="1" si="91">E76</f>
        <v>469.11853767651354</v>
      </c>
      <c r="F88" s="10">
        <f t="shared" ca="1" si="91"/>
        <v>0</v>
      </c>
      <c r="G88">
        <f>'Monthly Data'!BO88</f>
        <v>31</v>
      </c>
      <c r="H88">
        <f>'Monthly Data'!BR88</f>
        <v>0.5</v>
      </c>
      <c r="I88" s="17">
        <f>'Monthly Data'!AO88</f>
        <v>7129.5</v>
      </c>
      <c r="J88">
        <f>'Monthly Data'!BM88</f>
        <v>0</v>
      </c>
      <c r="L88" s="17">
        <f t="shared" si="62"/>
        <v>-2608738.8393219002</v>
      </c>
      <c r="M88" s="17">
        <f t="shared" ca="1" si="64"/>
        <v>2416116.7932923525</v>
      </c>
      <c r="N88" s="17">
        <f t="shared" ca="1" si="65"/>
        <v>0</v>
      </c>
      <c r="O88" s="17">
        <f t="shared" si="66"/>
        <v>9267266.0882465839</v>
      </c>
      <c r="P88" s="17">
        <f t="shared" si="67"/>
        <v>-593562.30970697501</v>
      </c>
      <c r="Q88" s="17">
        <f t="shared" si="68"/>
        <v>3921214.0522030997</v>
      </c>
      <c r="R88" s="17">
        <f t="shared" si="69"/>
        <v>0</v>
      </c>
      <c r="S88" s="17">
        <f t="shared" ca="1" si="70"/>
        <v>12402295.784713162</v>
      </c>
    </row>
    <row r="89" spans="1:19" x14ac:dyDescent="0.2">
      <c r="A89" s="28">
        <f>'Monthly Data'!A89</f>
        <v>44287</v>
      </c>
      <c r="B89">
        <f>'Monthly Data'!C89</f>
        <v>4</v>
      </c>
      <c r="C89">
        <f>'Monthly Data'!B89</f>
        <v>2021</v>
      </c>
      <c r="D89" s="18">
        <f>'Monthly Data'!J89</f>
        <v>10295742.099951401</v>
      </c>
      <c r="E89" s="10">
        <f t="shared" ref="E89:F89" ca="1" si="92">E77</f>
        <v>233.92395833333336</v>
      </c>
      <c r="F89" s="10">
        <f t="shared" ca="1" si="92"/>
        <v>0</v>
      </c>
      <c r="G89">
        <f>'Monthly Data'!BO89</f>
        <v>30</v>
      </c>
      <c r="H89">
        <f>'Monthly Data'!BR89</f>
        <v>0.5</v>
      </c>
      <c r="I89" s="17">
        <f>'Monthly Data'!AO89</f>
        <v>7197</v>
      </c>
      <c r="J89">
        <f>'Monthly Data'!BM89</f>
        <v>0</v>
      </c>
      <c r="L89" s="17">
        <f t="shared" si="62"/>
        <v>-2608738.8393219002</v>
      </c>
      <c r="M89" s="17">
        <f t="shared" ca="1" si="64"/>
        <v>1204786.3358414527</v>
      </c>
      <c r="N89" s="17">
        <f t="shared" ca="1" si="65"/>
        <v>0</v>
      </c>
      <c r="O89" s="17">
        <f t="shared" si="66"/>
        <v>8968322.0208837911</v>
      </c>
      <c r="P89" s="17">
        <f t="shared" si="67"/>
        <v>-593562.30970697501</v>
      </c>
      <c r="Q89" s="17">
        <f t="shared" si="68"/>
        <v>3958338.9485525927</v>
      </c>
      <c r="R89" s="17">
        <f t="shared" si="69"/>
        <v>0</v>
      </c>
      <c r="S89" s="17">
        <f t="shared" ca="1" si="70"/>
        <v>10929146.156248961</v>
      </c>
    </row>
    <row r="90" spans="1:19" x14ac:dyDescent="0.2">
      <c r="A90" s="28">
        <f>'Monthly Data'!A90</f>
        <v>44317</v>
      </c>
      <c r="B90">
        <f>'Monthly Data'!C90</f>
        <v>5</v>
      </c>
      <c r="C90">
        <f>'Monthly Data'!B90</f>
        <v>2021</v>
      </c>
      <c r="D90" s="18">
        <f>'Monthly Data'!J90</f>
        <v>9972226.6940479614</v>
      </c>
      <c r="E90" s="10">
        <f t="shared" ref="E90:F90" ca="1" si="93">E78</f>
        <v>46.324929225504526</v>
      </c>
      <c r="F90" s="10">
        <f t="shared" ca="1" si="93"/>
        <v>9.6293749999999996</v>
      </c>
      <c r="G90">
        <f>'Monthly Data'!BO90</f>
        <v>31</v>
      </c>
      <c r="H90">
        <f>'Monthly Data'!BR90</f>
        <v>0.5</v>
      </c>
      <c r="I90" s="17">
        <f>'Monthly Data'!AO90</f>
        <v>7237.7</v>
      </c>
      <c r="J90">
        <f>'Monthly Data'!BM90</f>
        <v>0</v>
      </c>
      <c r="L90" s="17">
        <f t="shared" si="62"/>
        <v>-2608738.8393219002</v>
      </c>
      <c r="M90" s="17">
        <f t="shared" ca="1" si="64"/>
        <v>238588.82235645404</v>
      </c>
      <c r="N90" s="17">
        <f t="shared" ca="1" si="65"/>
        <v>119775.01846893948</v>
      </c>
      <c r="O90" s="17">
        <f t="shared" si="66"/>
        <v>9267266.0882465839</v>
      </c>
      <c r="P90" s="17">
        <f t="shared" si="67"/>
        <v>-593562.30970697501</v>
      </c>
      <c r="Q90" s="17">
        <f t="shared" si="68"/>
        <v>3980723.8860551757</v>
      </c>
      <c r="R90" s="17">
        <f t="shared" si="69"/>
        <v>0</v>
      </c>
      <c r="S90" s="17">
        <f t="shared" ca="1" si="70"/>
        <v>10404052.666098278</v>
      </c>
    </row>
    <row r="91" spans="1:19" x14ac:dyDescent="0.2">
      <c r="A91" s="28">
        <f>'Monthly Data'!A91</f>
        <v>44348</v>
      </c>
      <c r="B91">
        <f>'Monthly Data'!C91</f>
        <v>6</v>
      </c>
      <c r="C91">
        <f>'Monthly Data'!B91</f>
        <v>2021</v>
      </c>
      <c r="D91" s="18">
        <f>'Monthly Data'!J91</f>
        <v>9973847.388144521</v>
      </c>
      <c r="E91" s="10">
        <f t="shared" ref="E91:F91" ca="1" si="94">E79</f>
        <v>1.25875</v>
      </c>
      <c r="F91" s="10">
        <f t="shared" ca="1" si="94"/>
        <v>25.077154107828811</v>
      </c>
      <c r="G91">
        <f>'Monthly Data'!BO91</f>
        <v>30</v>
      </c>
      <c r="H91">
        <f>'Monthly Data'!BR91</f>
        <v>0.5</v>
      </c>
      <c r="I91" s="17">
        <f>'Monthly Data'!AO91</f>
        <v>7293</v>
      </c>
      <c r="J91">
        <f>'Monthly Data'!BM91</f>
        <v>0</v>
      </c>
      <c r="L91" s="17">
        <f t="shared" si="62"/>
        <v>-2608738.8393219002</v>
      </c>
      <c r="M91" s="17">
        <f t="shared" ca="1" si="64"/>
        <v>6482.9819529619735</v>
      </c>
      <c r="N91" s="17">
        <f t="shared" ca="1" si="65"/>
        <v>311922.27911091194</v>
      </c>
      <c r="O91" s="17">
        <f t="shared" si="66"/>
        <v>8968322.0208837911</v>
      </c>
      <c r="P91" s="17">
        <f t="shared" si="67"/>
        <v>-593562.30970697501</v>
      </c>
      <c r="Q91" s="17">
        <f t="shared" si="68"/>
        <v>4011138.8011385379</v>
      </c>
      <c r="R91" s="17">
        <f t="shared" si="69"/>
        <v>0</v>
      </c>
      <c r="S91" s="17">
        <f t="shared" ca="1" si="70"/>
        <v>10095564.934057329</v>
      </c>
    </row>
    <row r="92" spans="1:19" x14ac:dyDescent="0.2">
      <c r="A92" s="28">
        <f>'Monthly Data'!A92</f>
        <v>44378</v>
      </c>
      <c r="B92">
        <f>'Monthly Data'!C92</f>
        <v>7</v>
      </c>
      <c r="C92">
        <f>'Monthly Data'!B92</f>
        <v>2021</v>
      </c>
      <c r="D92" s="18">
        <f>'Monthly Data'!J92</f>
        <v>10877601.992241079</v>
      </c>
      <c r="E92" s="10">
        <f t="shared" ref="E92:F92" ca="1" si="95">E80</f>
        <v>0</v>
      </c>
      <c r="F92" s="10">
        <f t="shared" ca="1" si="95"/>
        <v>56.475141548990976</v>
      </c>
      <c r="G92">
        <f>'Monthly Data'!BO92</f>
        <v>31</v>
      </c>
      <c r="H92">
        <f>'Monthly Data'!BR92</f>
        <v>0.5</v>
      </c>
      <c r="I92" s="17">
        <f>'Monthly Data'!AO92</f>
        <v>7391.8</v>
      </c>
      <c r="J92">
        <f>'Monthly Data'!BM92</f>
        <v>0</v>
      </c>
      <c r="L92" s="17">
        <f t="shared" si="62"/>
        <v>-2608738.8393219002</v>
      </c>
      <c r="M92" s="17">
        <f t="shared" ca="1" si="64"/>
        <v>0</v>
      </c>
      <c r="N92" s="17">
        <f t="shared" ca="1" si="65"/>
        <v>702466.26827456255</v>
      </c>
      <c r="O92" s="17">
        <f t="shared" si="66"/>
        <v>9267266.0882465839</v>
      </c>
      <c r="P92" s="17">
        <f t="shared" si="67"/>
        <v>-593562.30970697501</v>
      </c>
      <c r="Q92" s="17">
        <f t="shared" si="68"/>
        <v>4065478.6494249068</v>
      </c>
      <c r="R92" s="17">
        <f t="shared" si="69"/>
        <v>0</v>
      </c>
      <c r="S92" s="17">
        <f t="shared" ca="1" si="70"/>
        <v>10832909.856917178</v>
      </c>
    </row>
    <row r="93" spans="1:19" x14ac:dyDescent="0.2">
      <c r="A93" s="28">
        <f>'Monthly Data'!A93</f>
        <v>44409</v>
      </c>
      <c r="B93">
        <f>'Monthly Data'!C93</f>
        <v>8</v>
      </c>
      <c r="C93">
        <f>'Monthly Data'!B93</f>
        <v>2021</v>
      </c>
      <c r="D93" s="18">
        <f>'Monthly Data'!J93</f>
        <v>11280808.316337638</v>
      </c>
      <c r="E93" s="10">
        <f t="shared" ref="E93:F93" ca="1" si="96">E81</f>
        <v>0.1158333333333335</v>
      </c>
      <c r="F93" s="10">
        <f t="shared" ca="1" si="96"/>
        <v>35.296250000000008</v>
      </c>
      <c r="G93">
        <f>'Monthly Data'!BO93</f>
        <v>31</v>
      </c>
      <c r="H93">
        <f>'Monthly Data'!BR93</f>
        <v>0.5</v>
      </c>
      <c r="I93" s="17">
        <f>'Monthly Data'!AO93</f>
        <v>7475.2</v>
      </c>
      <c r="J93">
        <f>'Monthly Data'!BM93</f>
        <v>0</v>
      </c>
      <c r="L93" s="17">
        <f t="shared" si="62"/>
        <v>-2608738.8393219002</v>
      </c>
      <c r="M93" s="17">
        <f t="shared" ca="1" si="64"/>
        <v>596.58026578067893</v>
      </c>
      <c r="N93" s="17">
        <f t="shared" ca="1" si="65"/>
        <v>439032.54319561826</v>
      </c>
      <c r="O93" s="17">
        <f t="shared" si="66"/>
        <v>9267266.0882465839</v>
      </c>
      <c r="P93" s="17">
        <f t="shared" si="67"/>
        <v>-593562.30970697501</v>
      </c>
      <c r="Q93" s="17">
        <f t="shared" si="68"/>
        <v>4111348.5213589468</v>
      </c>
      <c r="R93" s="17">
        <f t="shared" si="69"/>
        <v>0</v>
      </c>
      <c r="S93" s="17">
        <f t="shared" ca="1" si="70"/>
        <v>10615942.584038055</v>
      </c>
    </row>
    <row r="94" spans="1:19" x14ac:dyDescent="0.2">
      <c r="A94" s="28">
        <f>'Monthly Data'!A94</f>
        <v>44440</v>
      </c>
      <c r="B94">
        <f>'Monthly Data'!C94</f>
        <v>9</v>
      </c>
      <c r="C94">
        <f>'Monthly Data'!B94</f>
        <v>2021</v>
      </c>
      <c r="D94" s="18">
        <f>'Monthly Data'!J94</f>
        <v>10087037.710434197</v>
      </c>
      <c r="E94" s="10">
        <f t="shared" ref="E94:F94" ca="1" si="97">E82</f>
        <v>11.597845892171184</v>
      </c>
      <c r="F94" s="10">
        <f t="shared" ca="1" si="97"/>
        <v>11.128958333333333</v>
      </c>
      <c r="G94">
        <f>'Monthly Data'!BO94</f>
        <v>30</v>
      </c>
      <c r="H94">
        <f>'Monthly Data'!BR94</f>
        <v>0.5</v>
      </c>
      <c r="I94" s="17">
        <f>'Monthly Data'!AO94</f>
        <v>7503.2</v>
      </c>
      <c r="J94">
        <f>'Monthly Data'!BM94</f>
        <v>1</v>
      </c>
      <c r="L94" s="17">
        <f t="shared" si="62"/>
        <v>-2608738.8393219002</v>
      </c>
      <c r="M94" s="17">
        <f t="shared" ca="1" si="64"/>
        <v>59732.771092099261</v>
      </c>
      <c r="N94" s="17">
        <f t="shared" ca="1" si="65"/>
        <v>138427.59160538021</v>
      </c>
      <c r="O94" s="17">
        <f t="shared" si="66"/>
        <v>8968322.0208837911</v>
      </c>
      <c r="P94" s="17">
        <f t="shared" si="67"/>
        <v>-593562.30970697501</v>
      </c>
      <c r="Q94" s="17">
        <f t="shared" si="68"/>
        <v>4126748.478363181</v>
      </c>
      <c r="R94" s="17">
        <f t="shared" si="69"/>
        <v>-307328.60270320397</v>
      </c>
      <c r="S94" s="17">
        <f t="shared" ca="1" si="70"/>
        <v>9783601.1102123726</v>
      </c>
    </row>
    <row r="95" spans="1:19" x14ac:dyDescent="0.2">
      <c r="A95" s="28">
        <f>'Monthly Data'!A95</f>
        <v>44470</v>
      </c>
      <c r="B95">
        <f>'Monthly Data'!C95</f>
        <v>10</v>
      </c>
      <c r="C95">
        <f>'Monthly Data'!B95</f>
        <v>2021</v>
      </c>
      <c r="D95" s="18">
        <f>'Monthly Data'!J95</f>
        <v>10403500.194530755</v>
      </c>
      <c r="E95" s="10">
        <f t="shared" ref="E95:F95" ca="1" si="98">E83</f>
        <v>128.51888157360821</v>
      </c>
      <c r="F95" s="10">
        <f t="shared" ca="1" si="98"/>
        <v>0.44687499999999963</v>
      </c>
      <c r="G95">
        <f>'Monthly Data'!BO95</f>
        <v>31</v>
      </c>
      <c r="H95">
        <f>'Monthly Data'!BR95</f>
        <v>0.5</v>
      </c>
      <c r="I95" s="17">
        <f>'Monthly Data'!AO95</f>
        <v>7538.5</v>
      </c>
      <c r="J95">
        <f>'Monthly Data'!BM95</f>
        <v>1</v>
      </c>
      <c r="L95" s="17">
        <f t="shared" si="62"/>
        <v>-2608738.8393219002</v>
      </c>
      <c r="M95" s="17">
        <f t="shared" ca="1" si="64"/>
        <v>661915.06642030517</v>
      </c>
      <c r="N95" s="17">
        <f t="shared" ca="1" si="65"/>
        <v>5558.4564292394152</v>
      </c>
      <c r="O95" s="17">
        <f t="shared" si="66"/>
        <v>9267266.0882465839</v>
      </c>
      <c r="P95" s="17">
        <f t="shared" si="67"/>
        <v>-593562.30970697501</v>
      </c>
      <c r="Q95" s="17">
        <f t="shared" si="68"/>
        <v>4146163.4241578048</v>
      </c>
      <c r="R95" s="17">
        <f t="shared" si="69"/>
        <v>-307328.60270320397</v>
      </c>
      <c r="S95" s="17">
        <f t="shared" ca="1" si="70"/>
        <v>10571273.283521855</v>
      </c>
    </row>
    <row r="96" spans="1:19" x14ac:dyDescent="0.2">
      <c r="A96" s="28">
        <f>'Monthly Data'!A96</f>
        <v>44501</v>
      </c>
      <c r="B96">
        <f>'Monthly Data'!C96</f>
        <v>11</v>
      </c>
      <c r="C96">
        <f>'Monthly Data'!B96</f>
        <v>2021</v>
      </c>
      <c r="D96" s="18">
        <f>'Monthly Data'!J96</f>
        <v>11423218.038627313</v>
      </c>
      <c r="E96" s="10">
        <f t="shared" ref="E96:F96" ca="1" si="99">E84</f>
        <v>332.1049960098469</v>
      </c>
      <c r="F96" s="10">
        <f t="shared" ca="1" si="99"/>
        <v>0</v>
      </c>
      <c r="G96">
        <f>'Monthly Data'!BO96</f>
        <v>30</v>
      </c>
      <c r="H96">
        <f>'Monthly Data'!BR96</f>
        <v>0.5</v>
      </c>
      <c r="I96" s="17">
        <f>'Monthly Data'!AO96</f>
        <v>7590.1</v>
      </c>
      <c r="J96">
        <f>'Monthly Data'!BM96</f>
        <v>0</v>
      </c>
      <c r="L96" s="17">
        <f t="shared" si="62"/>
        <v>-2608738.8393219002</v>
      </c>
      <c r="M96" s="17">
        <f t="shared" ca="1" si="64"/>
        <v>1710451.3967192417</v>
      </c>
      <c r="N96" s="17">
        <f t="shared" ca="1" si="65"/>
        <v>0</v>
      </c>
      <c r="O96" s="17">
        <f t="shared" si="66"/>
        <v>8968322.0208837911</v>
      </c>
      <c r="P96" s="17">
        <f t="shared" si="67"/>
        <v>-593562.30970697501</v>
      </c>
      <c r="Q96" s="17">
        <f t="shared" si="68"/>
        <v>4174543.3449227507</v>
      </c>
      <c r="R96" s="17">
        <f t="shared" si="69"/>
        <v>0</v>
      </c>
      <c r="S96" s="17">
        <f t="shared" ca="1" si="70"/>
        <v>11651015.613496909</v>
      </c>
    </row>
    <row r="97" spans="1:19" x14ac:dyDescent="0.2">
      <c r="A97" s="28">
        <f>'Monthly Data'!A97</f>
        <v>44531</v>
      </c>
      <c r="B97">
        <f>'Monthly Data'!C97</f>
        <v>12</v>
      </c>
      <c r="C97">
        <f>'Monthly Data'!B97</f>
        <v>2021</v>
      </c>
      <c r="D97" s="18">
        <f>'Monthly Data'!J97</f>
        <v>13132583.892723873</v>
      </c>
      <c r="E97" s="10">
        <f t="shared" ref="E97:F97" ca="1" si="100">E85</f>
        <v>508.62936502461724</v>
      </c>
      <c r="F97" s="10">
        <f t="shared" ca="1" si="100"/>
        <v>0</v>
      </c>
      <c r="G97">
        <f>'Monthly Data'!BO97</f>
        <v>31</v>
      </c>
      <c r="H97">
        <f>'Monthly Data'!BR97</f>
        <v>0.5</v>
      </c>
      <c r="I97" s="17">
        <f>'Monthly Data'!AO97</f>
        <v>7647.5</v>
      </c>
      <c r="J97">
        <f>'Monthly Data'!BM97</f>
        <v>0</v>
      </c>
      <c r="L97" s="17">
        <f t="shared" si="62"/>
        <v>-2608738.8393219002</v>
      </c>
      <c r="M97" s="17">
        <f t="shared" ca="1" si="64"/>
        <v>2619610.7203186504</v>
      </c>
      <c r="N97" s="17">
        <f t="shared" ca="1" si="65"/>
        <v>0</v>
      </c>
      <c r="O97" s="17">
        <f t="shared" si="66"/>
        <v>9267266.0882465839</v>
      </c>
      <c r="P97" s="17">
        <f t="shared" si="67"/>
        <v>-593562.30970697501</v>
      </c>
      <c r="Q97" s="17">
        <f t="shared" si="68"/>
        <v>4206113.25678143</v>
      </c>
      <c r="R97" s="17">
        <f t="shared" si="69"/>
        <v>0</v>
      </c>
      <c r="S97" s="17">
        <f t="shared" ca="1" si="70"/>
        <v>12890688.916317791</v>
      </c>
    </row>
    <row r="98" spans="1:19" x14ac:dyDescent="0.2">
      <c r="A98" s="28">
        <f>'Monthly Data'!A98</f>
        <v>44562</v>
      </c>
      <c r="B98">
        <f>'Monthly Data'!C98</f>
        <v>1</v>
      </c>
      <c r="C98">
        <f>'Monthly Data'!B98</f>
        <v>2022</v>
      </c>
      <c r="D98" s="18">
        <f>'Monthly Data'!J98</f>
        <v>14636954.815922895</v>
      </c>
      <c r="E98" s="10">
        <f t="shared" ref="E98:F98" ca="1" si="101">E86</f>
        <v>666.68367523535153</v>
      </c>
      <c r="F98" s="10">
        <f t="shared" ca="1" si="101"/>
        <v>0</v>
      </c>
      <c r="G98">
        <f>'Monthly Data'!BO98</f>
        <v>31</v>
      </c>
      <c r="H98">
        <f>'Monthly Data'!BR98</f>
        <v>0.25</v>
      </c>
      <c r="I98" s="17">
        <f>'Monthly Data'!AO98</f>
        <v>7595.1</v>
      </c>
      <c r="J98">
        <f>'Monthly Data'!BM98</f>
        <v>0</v>
      </c>
      <c r="L98" s="17">
        <f t="shared" ref="L98:L129" si="102">$V$7</f>
        <v>-2608738.8393219002</v>
      </c>
      <c r="M98" s="17">
        <f t="shared" ca="1" si="64"/>
        <v>3433643.086303988</v>
      </c>
      <c r="N98" s="17">
        <f t="shared" ca="1" si="65"/>
        <v>0</v>
      </c>
      <c r="O98" s="17">
        <f t="shared" si="66"/>
        <v>9267266.0882465839</v>
      </c>
      <c r="P98" s="17">
        <f t="shared" si="67"/>
        <v>-296781.1548534875</v>
      </c>
      <c r="Q98" s="17">
        <f t="shared" si="68"/>
        <v>4177293.3372449353</v>
      </c>
      <c r="R98" s="17">
        <f t="shared" si="69"/>
        <v>0</v>
      </c>
      <c r="S98" s="17">
        <f t="shared" ca="1" si="70"/>
        <v>13972682.51762012</v>
      </c>
    </row>
    <row r="99" spans="1:19" x14ac:dyDescent="0.2">
      <c r="A99" s="28">
        <f>'Monthly Data'!A99</f>
        <v>44593</v>
      </c>
      <c r="B99">
        <f>'Monthly Data'!C99</f>
        <v>2</v>
      </c>
      <c r="C99">
        <f>'Monthly Data'!B99</f>
        <v>2022</v>
      </c>
      <c r="D99" s="18">
        <f>'Monthly Data'!J99</f>
        <v>13076799.903353576</v>
      </c>
      <c r="E99" s="10">
        <f t="shared" ref="E99:F99" ca="1" si="103">E87</f>
        <v>599.3508333333333</v>
      </c>
      <c r="F99" s="10">
        <f t="shared" ca="1" si="103"/>
        <v>0</v>
      </c>
      <c r="G99">
        <f>'Monthly Data'!BO99</f>
        <v>28</v>
      </c>
      <c r="H99">
        <f>'Monthly Data'!BR99</f>
        <v>0.25</v>
      </c>
      <c r="I99" s="17">
        <f>'Monthly Data'!AO99</f>
        <v>7588.8</v>
      </c>
      <c r="J99">
        <f>'Monthly Data'!BM99</f>
        <v>0</v>
      </c>
      <c r="L99" s="17">
        <f t="shared" si="102"/>
        <v>-2608738.8393219002</v>
      </c>
      <c r="M99" s="17">
        <f t="shared" ca="1" si="64"/>
        <v>3086856.5132017629</v>
      </c>
      <c r="N99" s="17">
        <f t="shared" ca="1" si="65"/>
        <v>0</v>
      </c>
      <c r="O99" s="17">
        <f t="shared" si="66"/>
        <v>8370433.8861582046</v>
      </c>
      <c r="P99" s="17">
        <f t="shared" si="67"/>
        <v>-296781.1548534875</v>
      </c>
      <c r="Q99" s="17">
        <f t="shared" si="68"/>
        <v>4173828.3469189825</v>
      </c>
      <c r="R99" s="17">
        <f t="shared" si="69"/>
        <v>0</v>
      </c>
      <c r="S99" s="17">
        <f t="shared" ca="1" si="70"/>
        <v>12725598.752103563</v>
      </c>
    </row>
    <row r="100" spans="1:19" x14ac:dyDescent="0.2">
      <c r="A100" s="28">
        <f>'Monthly Data'!A100</f>
        <v>44621</v>
      </c>
      <c r="B100">
        <f>'Monthly Data'!C100</f>
        <v>3</v>
      </c>
      <c r="C100">
        <f>'Monthly Data'!B100</f>
        <v>2022</v>
      </c>
      <c r="D100" s="18">
        <f>'Monthly Data'!J100</f>
        <v>13153699.890784256</v>
      </c>
      <c r="E100" s="10">
        <f t="shared" ref="E100:F100" ca="1" si="104">E88</f>
        <v>469.11853767651354</v>
      </c>
      <c r="F100" s="10">
        <f t="shared" ca="1" si="104"/>
        <v>0</v>
      </c>
      <c r="G100">
        <f>'Monthly Data'!BO100</f>
        <v>31</v>
      </c>
      <c r="H100">
        <f>'Monthly Data'!BR100</f>
        <v>0.25</v>
      </c>
      <c r="I100" s="17">
        <f>'Monthly Data'!AO100</f>
        <v>7573.4</v>
      </c>
      <c r="J100">
        <f>'Monthly Data'!BM100</f>
        <v>0</v>
      </c>
      <c r="L100" s="17">
        <f t="shared" si="102"/>
        <v>-2608738.8393219002</v>
      </c>
      <c r="M100" s="17">
        <f t="shared" ca="1" si="64"/>
        <v>2416116.7932923525</v>
      </c>
      <c r="N100" s="17">
        <f t="shared" ca="1" si="65"/>
        <v>0</v>
      </c>
      <c r="O100" s="17">
        <f t="shared" si="66"/>
        <v>9267266.0882465839</v>
      </c>
      <c r="P100" s="17">
        <f t="shared" si="67"/>
        <v>-296781.1548534875</v>
      </c>
      <c r="Q100" s="17">
        <f t="shared" si="68"/>
        <v>4165358.3705666536</v>
      </c>
      <c r="R100" s="17">
        <f t="shared" si="69"/>
        <v>0</v>
      </c>
      <c r="S100" s="17">
        <f t="shared" ca="1" si="70"/>
        <v>12943221.257930202</v>
      </c>
    </row>
    <row r="101" spans="1:19" x14ac:dyDescent="0.2">
      <c r="A101" s="28">
        <f>'Monthly Data'!A101</f>
        <v>44652</v>
      </c>
      <c r="B101">
        <f>'Monthly Data'!C101</f>
        <v>4</v>
      </c>
      <c r="C101">
        <f>'Monthly Data'!B101</f>
        <v>2022</v>
      </c>
      <c r="D101" s="18">
        <f>'Monthly Data'!J101</f>
        <v>11319018.888214933</v>
      </c>
      <c r="E101" s="10">
        <f t="shared" ref="E101:F101" ca="1" si="105">E89</f>
        <v>233.92395833333336</v>
      </c>
      <c r="F101" s="10">
        <f t="shared" ca="1" si="105"/>
        <v>0</v>
      </c>
      <c r="G101">
        <f>'Monthly Data'!BO101</f>
        <v>30</v>
      </c>
      <c r="H101">
        <f>'Monthly Data'!BR101</f>
        <v>0.25</v>
      </c>
      <c r="I101" s="17">
        <f>'Monthly Data'!AO101</f>
        <v>7670</v>
      </c>
      <c r="J101">
        <f>'Monthly Data'!BM101</f>
        <v>0</v>
      </c>
      <c r="L101" s="17">
        <f t="shared" si="102"/>
        <v>-2608738.8393219002</v>
      </c>
      <c r="M101" s="17">
        <f t="shared" ca="1" si="64"/>
        <v>1204786.3358414527</v>
      </c>
      <c r="N101" s="17">
        <f t="shared" ca="1" si="65"/>
        <v>0</v>
      </c>
      <c r="O101" s="17">
        <f t="shared" si="66"/>
        <v>8968322.0208837911</v>
      </c>
      <c r="P101" s="17">
        <f t="shared" si="67"/>
        <v>-296781.1548534875</v>
      </c>
      <c r="Q101" s="17">
        <f t="shared" si="68"/>
        <v>4218488.2222312614</v>
      </c>
      <c r="R101" s="17">
        <f t="shared" si="69"/>
        <v>0</v>
      </c>
      <c r="S101" s="17">
        <f t="shared" ca="1" si="70"/>
        <v>11486076.584781118</v>
      </c>
    </row>
    <row r="102" spans="1:19" x14ac:dyDescent="0.2">
      <c r="A102" s="28">
        <f>'Monthly Data'!A102</f>
        <v>44682</v>
      </c>
      <c r="B102">
        <f>'Monthly Data'!C102</f>
        <v>5</v>
      </c>
      <c r="C102">
        <f>'Monthly Data'!B102</f>
        <v>2022</v>
      </c>
      <c r="D102" s="18">
        <f>'Monthly Data'!J102</f>
        <v>10617832.325645614</v>
      </c>
      <c r="E102" s="10">
        <f t="shared" ref="E102:F102" ca="1" si="106">E90</f>
        <v>46.324929225504526</v>
      </c>
      <c r="F102" s="10">
        <f t="shared" ca="1" si="106"/>
        <v>9.6293749999999996</v>
      </c>
      <c r="G102">
        <f>'Monthly Data'!BO102</f>
        <v>31</v>
      </c>
      <c r="H102">
        <f>'Monthly Data'!BR102</f>
        <v>0.25</v>
      </c>
      <c r="I102" s="17">
        <f>'Monthly Data'!AO102</f>
        <v>7738.6</v>
      </c>
      <c r="J102">
        <f>'Monthly Data'!BM102</f>
        <v>0</v>
      </c>
      <c r="L102" s="17">
        <f t="shared" si="102"/>
        <v>-2608738.8393219002</v>
      </c>
      <c r="M102" s="17">
        <f t="shared" ca="1" si="64"/>
        <v>238588.82235645404</v>
      </c>
      <c r="N102" s="17">
        <f t="shared" ca="1" si="65"/>
        <v>119775.01846893948</v>
      </c>
      <c r="O102" s="17">
        <f t="shared" si="66"/>
        <v>9267266.0882465839</v>
      </c>
      <c r="P102" s="17">
        <f t="shared" si="67"/>
        <v>-296781.1548534875</v>
      </c>
      <c r="Q102" s="17">
        <f t="shared" si="68"/>
        <v>4256218.1168916347</v>
      </c>
      <c r="R102" s="17">
        <f t="shared" si="69"/>
        <v>0</v>
      </c>
      <c r="S102" s="17">
        <f t="shared" ca="1" si="70"/>
        <v>10976328.051788226</v>
      </c>
    </row>
    <row r="103" spans="1:19" x14ac:dyDescent="0.2">
      <c r="A103" s="28">
        <f>'Monthly Data'!A103</f>
        <v>44713</v>
      </c>
      <c r="B103">
        <f>'Monthly Data'!C103</f>
        <v>6</v>
      </c>
      <c r="C103">
        <f>'Monthly Data'!B103</f>
        <v>2022</v>
      </c>
      <c r="D103" s="18">
        <f>'Monthly Data'!J103</f>
        <v>10329832.053076293</v>
      </c>
      <c r="E103" s="10">
        <f t="shared" ref="E103:F103" ca="1" si="107">E91</f>
        <v>1.25875</v>
      </c>
      <c r="F103" s="10">
        <f t="shared" ca="1" si="107"/>
        <v>25.077154107828811</v>
      </c>
      <c r="G103">
        <f>'Monthly Data'!BO103</f>
        <v>30</v>
      </c>
      <c r="H103">
        <f>'Monthly Data'!BR103</f>
        <v>0.25</v>
      </c>
      <c r="I103" s="17">
        <f>'Monthly Data'!AO103</f>
        <v>7809.2</v>
      </c>
      <c r="J103">
        <f>'Monthly Data'!BM103</f>
        <v>0</v>
      </c>
      <c r="L103" s="17">
        <f t="shared" si="102"/>
        <v>-2608738.8393219002</v>
      </c>
      <c r="M103" s="17">
        <f t="shared" ca="1" si="64"/>
        <v>6482.9819529619735</v>
      </c>
      <c r="N103" s="17">
        <f t="shared" ca="1" si="65"/>
        <v>311922.27911091194</v>
      </c>
      <c r="O103" s="17">
        <f t="shared" si="66"/>
        <v>8968322.0208837911</v>
      </c>
      <c r="P103" s="17">
        <f t="shared" si="67"/>
        <v>-296781.1548534875</v>
      </c>
      <c r="Q103" s="17">
        <f t="shared" si="68"/>
        <v>4295048.0084808823</v>
      </c>
      <c r="R103" s="17">
        <f t="shared" si="69"/>
        <v>0</v>
      </c>
      <c r="S103" s="17">
        <f t="shared" ca="1" si="70"/>
        <v>10676255.29625316</v>
      </c>
    </row>
    <row r="104" spans="1:19" x14ac:dyDescent="0.2">
      <c r="A104" s="28">
        <f>'Monthly Data'!A104</f>
        <v>44743</v>
      </c>
      <c r="B104">
        <f>'Monthly Data'!C104</f>
        <v>7</v>
      </c>
      <c r="C104">
        <f>'Monthly Data'!B104</f>
        <v>2022</v>
      </c>
      <c r="D104" s="18">
        <f>'Monthly Data'!J104</f>
        <v>11056407.640506973</v>
      </c>
      <c r="E104" s="10">
        <f t="shared" ref="E104:F104" ca="1" si="108">E92</f>
        <v>0</v>
      </c>
      <c r="F104" s="10">
        <f t="shared" ca="1" si="108"/>
        <v>56.475141548990976</v>
      </c>
      <c r="G104">
        <f>'Monthly Data'!BO104</f>
        <v>31</v>
      </c>
      <c r="H104">
        <f>'Monthly Data'!BR104</f>
        <v>0.25</v>
      </c>
      <c r="I104" s="17">
        <f>'Monthly Data'!AO104</f>
        <v>7843.6</v>
      </c>
      <c r="J104">
        <f>'Monthly Data'!BM104</f>
        <v>0</v>
      </c>
      <c r="L104" s="17">
        <f t="shared" si="102"/>
        <v>-2608738.8393219002</v>
      </c>
      <c r="M104" s="17">
        <f t="shared" ca="1" si="64"/>
        <v>0</v>
      </c>
      <c r="N104" s="17">
        <f t="shared" ca="1" si="65"/>
        <v>702466.26827456255</v>
      </c>
      <c r="O104" s="17">
        <f t="shared" si="66"/>
        <v>9267266.0882465839</v>
      </c>
      <c r="P104" s="17">
        <f t="shared" si="67"/>
        <v>-296781.1548534875</v>
      </c>
      <c r="Q104" s="17">
        <f t="shared" si="68"/>
        <v>4313967.9556575129</v>
      </c>
      <c r="R104" s="17">
        <f t="shared" si="69"/>
        <v>0</v>
      </c>
      <c r="S104" s="17">
        <f t="shared" ca="1" si="70"/>
        <v>11378180.318003271</v>
      </c>
    </row>
    <row r="105" spans="1:19" x14ac:dyDescent="0.2">
      <c r="A105" s="28">
        <f>'Monthly Data'!A105</f>
        <v>44774</v>
      </c>
      <c r="B105">
        <f>'Monthly Data'!C105</f>
        <v>8</v>
      </c>
      <c r="C105">
        <f>'Monthly Data'!B105</f>
        <v>2022</v>
      </c>
      <c r="D105" s="18">
        <f>'Monthly Data'!J105</f>
        <v>10980512.797937652</v>
      </c>
      <c r="E105" s="10">
        <f t="shared" ref="E105:F105" ca="1" si="109">E93</f>
        <v>0.1158333333333335</v>
      </c>
      <c r="F105" s="10">
        <f t="shared" ca="1" si="109"/>
        <v>35.296250000000008</v>
      </c>
      <c r="G105">
        <f>'Monthly Data'!BO105</f>
        <v>31</v>
      </c>
      <c r="H105">
        <f>'Monthly Data'!BR105</f>
        <v>0.25</v>
      </c>
      <c r="I105" s="17">
        <f>'Monthly Data'!AO105</f>
        <v>7825.4</v>
      </c>
      <c r="J105">
        <f>'Monthly Data'!BM105</f>
        <v>0</v>
      </c>
      <c r="L105" s="17">
        <f t="shared" si="102"/>
        <v>-2608738.8393219002</v>
      </c>
      <c r="M105" s="17">
        <f t="shared" ca="1" si="64"/>
        <v>596.58026578067893</v>
      </c>
      <c r="N105" s="17">
        <f t="shared" ca="1" si="65"/>
        <v>439032.54319561826</v>
      </c>
      <c r="O105" s="17">
        <f t="shared" si="66"/>
        <v>9267266.0882465839</v>
      </c>
      <c r="P105" s="17">
        <f t="shared" si="67"/>
        <v>-296781.1548534875</v>
      </c>
      <c r="Q105" s="17">
        <f t="shared" si="68"/>
        <v>4303957.9836047599</v>
      </c>
      <c r="R105" s="17">
        <f t="shared" si="69"/>
        <v>0</v>
      </c>
      <c r="S105" s="17">
        <f t="shared" ca="1" si="70"/>
        <v>11105333.201137356</v>
      </c>
    </row>
    <row r="106" spans="1:19" x14ac:dyDescent="0.2">
      <c r="A106" s="28">
        <f>'Monthly Data'!A106</f>
        <v>44805</v>
      </c>
      <c r="B106">
        <f>'Monthly Data'!C106</f>
        <v>9</v>
      </c>
      <c r="C106">
        <f>'Monthly Data'!B106</f>
        <v>2022</v>
      </c>
      <c r="D106" s="18">
        <f>'Monthly Data'!J106</f>
        <v>10141321.345368331</v>
      </c>
      <c r="E106" s="10">
        <f t="shared" ref="E106:F106" ca="1" si="110">E94</f>
        <v>11.597845892171184</v>
      </c>
      <c r="F106" s="10">
        <f t="shared" ca="1" si="110"/>
        <v>11.128958333333333</v>
      </c>
      <c r="G106">
        <f>'Monthly Data'!BO106</f>
        <v>30</v>
      </c>
      <c r="H106">
        <f>'Monthly Data'!BR106</f>
        <v>0.25</v>
      </c>
      <c r="I106" s="17">
        <f>'Monthly Data'!AO106</f>
        <v>7766.7</v>
      </c>
      <c r="J106">
        <f>'Monthly Data'!BM106</f>
        <v>1</v>
      </c>
      <c r="L106" s="17">
        <f t="shared" si="102"/>
        <v>-2608738.8393219002</v>
      </c>
      <c r="M106" s="17">
        <f t="shared" ca="1" si="64"/>
        <v>59732.771092099261</v>
      </c>
      <c r="N106" s="17">
        <f t="shared" ca="1" si="65"/>
        <v>138427.59160538021</v>
      </c>
      <c r="O106" s="17">
        <f t="shared" si="66"/>
        <v>8968322.0208837911</v>
      </c>
      <c r="P106" s="17">
        <f t="shared" si="67"/>
        <v>-296781.1548534875</v>
      </c>
      <c r="Q106" s="17">
        <f t="shared" si="68"/>
        <v>4271673.0737423124</v>
      </c>
      <c r="R106" s="17">
        <f t="shared" si="69"/>
        <v>-307328.60270320397</v>
      </c>
      <c r="S106" s="17">
        <f t="shared" ca="1" si="70"/>
        <v>10225306.860444991</v>
      </c>
    </row>
    <row r="107" spans="1:19" x14ac:dyDescent="0.2">
      <c r="A107" s="28">
        <f>'Monthly Data'!A107</f>
        <v>44835</v>
      </c>
      <c r="B107">
        <f>'Monthly Data'!C107</f>
        <v>10</v>
      </c>
      <c r="C107">
        <f>'Monthly Data'!B107</f>
        <v>2022</v>
      </c>
      <c r="D107" s="18">
        <f>'Monthly Data'!J107</f>
        <v>10351131.972799011</v>
      </c>
      <c r="E107" s="10">
        <f t="shared" ref="E107:F107" ca="1" si="111">E95</f>
        <v>128.51888157360821</v>
      </c>
      <c r="F107" s="10">
        <f t="shared" ca="1" si="111"/>
        <v>0.44687499999999963</v>
      </c>
      <c r="G107">
        <f>'Monthly Data'!BO107</f>
        <v>31</v>
      </c>
      <c r="H107">
        <f>'Monthly Data'!BR107</f>
        <v>0.25</v>
      </c>
      <c r="I107" s="17">
        <f>'Monthly Data'!AO107</f>
        <v>7743.5</v>
      </c>
      <c r="J107">
        <f>'Monthly Data'!BM107</f>
        <v>1</v>
      </c>
      <c r="L107" s="17">
        <f t="shared" si="102"/>
        <v>-2608738.8393219002</v>
      </c>
      <c r="M107" s="17">
        <f t="shared" ca="1" si="64"/>
        <v>661915.06642030517</v>
      </c>
      <c r="N107" s="17">
        <f t="shared" ca="1" si="65"/>
        <v>5558.4564292394152</v>
      </c>
      <c r="O107" s="17">
        <f t="shared" si="66"/>
        <v>9267266.0882465839</v>
      </c>
      <c r="P107" s="17">
        <f t="shared" si="67"/>
        <v>-296781.1548534875</v>
      </c>
      <c r="Q107" s="17">
        <f t="shared" si="68"/>
        <v>4258913.1093673753</v>
      </c>
      <c r="R107" s="17">
        <f t="shared" si="69"/>
        <v>-307328.60270320397</v>
      </c>
      <c r="S107" s="17">
        <f t="shared" ca="1" si="70"/>
        <v>10980804.123584913</v>
      </c>
    </row>
    <row r="108" spans="1:19" x14ac:dyDescent="0.2">
      <c r="A108" s="28">
        <f>'Monthly Data'!A108</f>
        <v>44866</v>
      </c>
      <c r="B108">
        <f>'Monthly Data'!C108</f>
        <v>11</v>
      </c>
      <c r="C108">
        <f>'Monthly Data'!B108</f>
        <v>2022</v>
      </c>
      <c r="D108" s="18">
        <f>'Monthly Data'!J108</f>
        <v>11539971.930229692</v>
      </c>
      <c r="E108" s="10">
        <f t="shared" ref="E108:F108" ca="1" si="112">E96</f>
        <v>332.1049960098469</v>
      </c>
      <c r="F108" s="10">
        <f t="shared" ca="1" si="112"/>
        <v>0</v>
      </c>
      <c r="G108">
        <f>'Monthly Data'!BO108</f>
        <v>30</v>
      </c>
      <c r="H108">
        <f>'Monthly Data'!BR108</f>
        <v>0.25</v>
      </c>
      <c r="I108" s="17">
        <f>'Monthly Data'!AO108</f>
        <v>7738.9</v>
      </c>
      <c r="J108">
        <f>'Monthly Data'!BM108</f>
        <v>0</v>
      </c>
      <c r="L108" s="17">
        <f t="shared" si="102"/>
        <v>-2608738.8393219002</v>
      </c>
      <c r="M108" s="17">
        <f t="shared" ca="1" si="64"/>
        <v>1710451.3967192417</v>
      </c>
      <c r="N108" s="17">
        <f t="shared" ca="1" si="65"/>
        <v>0</v>
      </c>
      <c r="O108" s="17">
        <f t="shared" si="66"/>
        <v>8968322.0208837911</v>
      </c>
      <c r="P108" s="17">
        <f t="shared" si="67"/>
        <v>-296781.1548534875</v>
      </c>
      <c r="Q108" s="17">
        <f t="shared" si="68"/>
        <v>4256383.1164309653</v>
      </c>
      <c r="R108" s="17">
        <f t="shared" si="69"/>
        <v>0</v>
      </c>
      <c r="S108" s="17">
        <f t="shared" ca="1" si="70"/>
        <v>12029636.539858609</v>
      </c>
    </row>
    <row r="109" spans="1:19" x14ac:dyDescent="0.2">
      <c r="A109" s="28">
        <f>'Monthly Data'!A109</f>
        <v>44896</v>
      </c>
      <c r="B109">
        <f>'Monthly Data'!C109</f>
        <v>12</v>
      </c>
      <c r="C109">
        <f>'Monthly Data'!B109</f>
        <v>2022</v>
      </c>
      <c r="D109" s="18">
        <f>'Monthly Data'!J109</f>
        <v>12864921.17766037</v>
      </c>
      <c r="E109" s="10">
        <f t="shared" ref="E109:F109" ca="1" si="113">E97</f>
        <v>508.62936502461724</v>
      </c>
      <c r="F109" s="10">
        <f t="shared" ca="1" si="113"/>
        <v>0</v>
      </c>
      <c r="G109">
        <f>'Monthly Data'!BO109</f>
        <v>31</v>
      </c>
      <c r="H109">
        <f>'Monthly Data'!BR109</f>
        <v>0.25</v>
      </c>
      <c r="I109" s="17">
        <f>'Monthly Data'!AO109</f>
        <v>7777.2</v>
      </c>
      <c r="J109">
        <f>'Monthly Data'!BM109</f>
        <v>0</v>
      </c>
      <c r="L109" s="17">
        <f t="shared" si="102"/>
        <v>-2608738.8393219002</v>
      </c>
      <c r="M109" s="17">
        <f t="shared" ca="1" si="64"/>
        <v>2619610.7203186504</v>
      </c>
      <c r="N109" s="17">
        <f t="shared" ca="1" si="65"/>
        <v>0</v>
      </c>
      <c r="O109" s="17">
        <f t="shared" si="66"/>
        <v>9267266.0882465839</v>
      </c>
      <c r="P109" s="17">
        <f t="shared" si="67"/>
        <v>-296781.1548534875</v>
      </c>
      <c r="Q109" s="17">
        <f t="shared" si="68"/>
        <v>4277448.0576189002</v>
      </c>
      <c r="R109" s="17">
        <f t="shared" si="69"/>
        <v>0</v>
      </c>
      <c r="S109" s="17">
        <f t="shared" ca="1" si="70"/>
        <v>13258804.872008748</v>
      </c>
    </row>
    <row r="110" spans="1:19" x14ac:dyDescent="0.2">
      <c r="A110" s="28">
        <f>'Monthly Data'!A110</f>
        <v>44927</v>
      </c>
      <c r="B110">
        <f>'Monthly Data'!C110</f>
        <v>1</v>
      </c>
      <c r="C110">
        <f>'Monthly Data'!B110</f>
        <v>2023</v>
      </c>
      <c r="D110" s="18">
        <f>'Monthly Data'!J110</f>
        <v>13563555.004914708</v>
      </c>
      <c r="E110" s="10">
        <f t="shared" ref="E110:F110" ca="1" si="114">E98</f>
        <v>666.68367523535153</v>
      </c>
      <c r="F110" s="10">
        <f t="shared" ca="1" si="114"/>
        <v>0</v>
      </c>
      <c r="G110">
        <f>'Monthly Data'!BO110</f>
        <v>31</v>
      </c>
      <c r="H110">
        <f>'Monthly Data'!BR110</f>
        <v>0</v>
      </c>
      <c r="I110" s="17">
        <f>'Monthly Data'!AO110</f>
        <v>7776.6</v>
      </c>
      <c r="J110">
        <f>'Monthly Data'!BM110</f>
        <v>0</v>
      </c>
      <c r="L110" s="17">
        <f t="shared" si="102"/>
        <v>-2608738.8393219002</v>
      </c>
      <c r="M110" s="17">
        <f t="shared" ca="1" si="64"/>
        <v>3433643.086303988</v>
      </c>
      <c r="N110" s="17">
        <f t="shared" ca="1" si="65"/>
        <v>0</v>
      </c>
      <c r="O110" s="17">
        <f t="shared" si="66"/>
        <v>9267266.0882465839</v>
      </c>
      <c r="P110" s="17">
        <f t="shared" si="67"/>
        <v>0</v>
      </c>
      <c r="Q110" s="17">
        <f t="shared" si="68"/>
        <v>4277118.0585402381</v>
      </c>
      <c r="R110" s="17">
        <f t="shared" si="69"/>
        <v>0</v>
      </c>
      <c r="S110" s="17">
        <f t="shared" ca="1" si="70"/>
        <v>14369288.39376891</v>
      </c>
    </row>
    <row r="111" spans="1:19" x14ac:dyDescent="0.2">
      <c r="A111" s="28">
        <f>'Monthly Data'!A111</f>
        <v>44958</v>
      </c>
      <c r="B111">
        <f>'Monthly Data'!C111</f>
        <v>2</v>
      </c>
      <c r="C111">
        <f>'Monthly Data'!B111</f>
        <v>2023</v>
      </c>
      <c r="D111" s="18">
        <f>'Monthly Data'!J111</f>
        <v>12492374.263997788</v>
      </c>
      <c r="E111" s="10">
        <f t="shared" ref="E111:F111" ca="1" si="115">E99</f>
        <v>599.3508333333333</v>
      </c>
      <c r="F111" s="10">
        <f t="shared" ca="1" si="115"/>
        <v>0</v>
      </c>
      <c r="G111">
        <f>'Monthly Data'!BO111</f>
        <v>28</v>
      </c>
      <c r="H111">
        <f>'Monthly Data'!BR111</f>
        <v>0</v>
      </c>
      <c r="I111" s="17">
        <f>'Monthly Data'!AO111</f>
        <v>7780.5</v>
      </c>
      <c r="J111">
        <f>'Monthly Data'!BM111</f>
        <v>0</v>
      </c>
      <c r="L111" s="17">
        <f t="shared" si="102"/>
        <v>-2608738.8393219002</v>
      </c>
      <c r="M111" s="17">
        <f t="shared" ca="1" si="64"/>
        <v>3086856.5132017629</v>
      </c>
      <c r="N111" s="17">
        <f t="shared" ca="1" si="65"/>
        <v>0</v>
      </c>
      <c r="O111" s="17">
        <f t="shared" si="66"/>
        <v>8370433.8861582046</v>
      </c>
      <c r="P111" s="17">
        <f t="shared" si="67"/>
        <v>0</v>
      </c>
      <c r="Q111" s="17">
        <f t="shared" si="68"/>
        <v>4279263.0525515424</v>
      </c>
      <c r="R111" s="17">
        <f t="shared" si="69"/>
        <v>0</v>
      </c>
      <c r="S111" s="17">
        <f t="shared" ca="1" si="70"/>
        <v>13127814.612589609</v>
      </c>
    </row>
    <row r="112" spans="1:19" x14ac:dyDescent="0.2">
      <c r="A112" s="28">
        <f>'Monthly Data'!A112</f>
        <v>44986</v>
      </c>
      <c r="B112">
        <f>'Monthly Data'!C112</f>
        <v>3</v>
      </c>
      <c r="C112">
        <f>'Monthly Data'!B112</f>
        <v>2023</v>
      </c>
      <c r="D112" s="18">
        <f>'Monthly Data'!J112</f>
        <v>12918705.583080864</v>
      </c>
      <c r="E112" s="10">
        <f t="shared" ref="E112:F112" ca="1" si="116">E100</f>
        <v>469.11853767651354</v>
      </c>
      <c r="F112" s="10">
        <f t="shared" ca="1" si="116"/>
        <v>0</v>
      </c>
      <c r="G112">
        <f>'Monthly Data'!BO112</f>
        <v>31</v>
      </c>
      <c r="H112">
        <f>'Monthly Data'!BR112</f>
        <v>0</v>
      </c>
      <c r="I112" s="17">
        <f>'Monthly Data'!AO112</f>
        <v>7781.3</v>
      </c>
      <c r="J112">
        <f>'Monthly Data'!BM112</f>
        <v>0</v>
      </c>
      <c r="L112" s="17">
        <f t="shared" si="102"/>
        <v>-2608738.8393219002</v>
      </c>
      <c r="M112" s="17">
        <f t="shared" ca="1" si="64"/>
        <v>2416116.7932923525</v>
      </c>
      <c r="N112" s="17">
        <f t="shared" ca="1" si="65"/>
        <v>0</v>
      </c>
      <c r="O112" s="17">
        <f t="shared" si="66"/>
        <v>9267266.0882465839</v>
      </c>
      <c r="P112" s="17">
        <f t="shared" si="67"/>
        <v>0</v>
      </c>
      <c r="Q112" s="17">
        <f t="shared" si="68"/>
        <v>4279703.0513230916</v>
      </c>
      <c r="R112" s="17">
        <f t="shared" si="69"/>
        <v>0</v>
      </c>
      <c r="S112" s="17">
        <f t="shared" ca="1" si="70"/>
        <v>13354347.093540128</v>
      </c>
    </row>
    <row r="113" spans="1:22" x14ac:dyDescent="0.2">
      <c r="A113" s="28">
        <f>'Monthly Data'!A113</f>
        <v>45017</v>
      </c>
      <c r="B113">
        <f>'Monthly Data'!C113</f>
        <v>4</v>
      </c>
      <c r="C113">
        <f>'Monthly Data'!B113</f>
        <v>2023</v>
      </c>
      <c r="D113" s="18">
        <f>'Monthly Data'!J113</f>
        <v>11912469.672163939</v>
      </c>
      <c r="E113" s="10">
        <f t="shared" ref="E113:F113" ca="1" si="117">E101</f>
        <v>233.92395833333336</v>
      </c>
      <c r="F113" s="10">
        <f t="shared" ca="1" si="117"/>
        <v>0</v>
      </c>
      <c r="G113">
        <f>'Monthly Data'!BO113</f>
        <v>30</v>
      </c>
      <c r="H113">
        <f>'Monthly Data'!BR113</f>
        <v>0</v>
      </c>
      <c r="I113" s="17">
        <f>'Monthly Data'!AO113</f>
        <v>7819.6</v>
      </c>
      <c r="J113">
        <f>'Monthly Data'!BM113</f>
        <v>0</v>
      </c>
      <c r="L113" s="17">
        <f t="shared" si="102"/>
        <v>-2608738.8393219002</v>
      </c>
      <c r="M113" s="17">
        <f t="shared" ca="1" si="64"/>
        <v>1204786.3358414527</v>
      </c>
      <c r="N113" s="17">
        <f t="shared" ca="1" si="65"/>
        <v>0</v>
      </c>
      <c r="O113" s="17">
        <f t="shared" si="66"/>
        <v>8968322.0208837911</v>
      </c>
      <c r="P113" s="17">
        <f t="shared" si="67"/>
        <v>0</v>
      </c>
      <c r="Q113" s="17">
        <f t="shared" si="68"/>
        <v>4300767.9925110266</v>
      </c>
      <c r="R113" s="17">
        <f t="shared" si="69"/>
        <v>0</v>
      </c>
      <c r="S113" s="17">
        <f t="shared" ca="1" si="70"/>
        <v>11865137.50991437</v>
      </c>
    </row>
    <row r="114" spans="1:22" x14ac:dyDescent="0.2">
      <c r="A114" s="28">
        <f>'Monthly Data'!A114</f>
        <v>45047</v>
      </c>
      <c r="B114">
        <f>'Monthly Data'!C114</f>
        <v>5</v>
      </c>
      <c r="C114">
        <f>'Monthly Data'!B114</f>
        <v>2023</v>
      </c>
      <c r="D114" s="18">
        <f>'Monthly Data'!J114</f>
        <v>11505991.091247017</v>
      </c>
      <c r="E114" s="10">
        <f t="shared" ref="E114:F114" ca="1" si="118">E102</f>
        <v>46.324929225504526</v>
      </c>
      <c r="F114" s="10">
        <f t="shared" ca="1" si="118"/>
        <v>9.6293749999999996</v>
      </c>
      <c r="G114">
        <f>'Monthly Data'!BO114</f>
        <v>31</v>
      </c>
      <c r="H114">
        <f>'Monthly Data'!BR114</f>
        <v>0</v>
      </c>
      <c r="I114" s="17">
        <f>'Monthly Data'!AO114</f>
        <v>7882.6</v>
      </c>
      <c r="J114">
        <f>'Monthly Data'!BM114</f>
        <v>0</v>
      </c>
      <c r="L114" s="17">
        <f t="shared" si="102"/>
        <v>-2608738.8393219002</v>
      </c>
      <c r="M114" s="17">
        <f t="shared" ca="1" si="64"/>
        <v>238588.82235645404</v>
      </c>
      <c r="N114" s="17">
        <f t="shared" ca="1" si="65"/>
        <v>119775.01846893948</v>
      </c>
      <c r="O114" s="17">
        <f t="shared" si="66"/>
        <v>9267266.0882465839</v>
      </c>
      <c r="P114" s="17">
        <f t="shared" si="67"/>
        <v>0</v>
      </c>
      <c r="Q114" s="17">
        <f t="shared" si="68"/>
        <v>4335417.8957705526</v>
      </c>
      <c r="R114" s="17">
        <f t="shared" si="69"/>
        <v>0</v>
      </c>
      <c r="S114" s="17">
        <f t="shared" ca="1" si="70"/>
        <v>11352308.985520631</v>
      </c>
    </row>
    <row r="115" spans="1:22" x14ac:dyDescent="0.2">
      <c r="A115" s="28">
        <f>'Monthly Data'!A115</f>
        <v>45078</v>
      </c>
      <c r="B115">
        <f>'Monthly Data'!C115</f>
        <v>6</v>
      </c>
      <c r="C115">
        <f>'Monthly Data'!B115</f>
        <v>2023</v>
      </c>
      <c r="D115" s="18">
        <f>'Monthly Data'!J115</f>
        <v>11524708.840330094</v>
      </c>
      <c r="E115" s="10">
        <f t="shared" ref="E115:F115" ca="1" si="119">E103</f>
        <v>1.25875</v>
      </c>
      <c r="F115" s="10">
        <f t="shared" ca="1" si="119"/>
        <v>25.077154107828811</v>
      </c>
      <c r="G115">
        <f>'Monthly Data'!BO115</f>
        <v>30</v>
      </c>
      <c r="H115">
        <f>'Monthly Data'!BR115</f>
        <v>0</v>
      </c>
      <c r="I115" s="17">
        <f>'Monthly Data'!AO115</f>
        <v>7971.2</v>
      </c>
      <c r="J115">
        <f>'Monthly Data'!BM115</f>
        <v>0</v>
      </c>
      <c r="L115" s="17">
        <f t="shared" si="102"/>
        <v>-2608738.8393219002</v>
      </c>
      <c r="M115" s="17">
        <f t="shared" ca="1" si="64"/>
        <v>6482.9819529619735</v>
      </c>
      <c r="N115" s="17">
        <f t="shared" ca="1" si="65"/>
        <v>311922.27911091194</v>
      </c>
      <c r="O115" s="17">
        <f t="shared" si="66"/>
        <v>8968322.0208837911</v>
      </c>
      <c r="P115" s="17">
        <f t="shared" si="67"/>
        <v>0</v>
      </c>
      <c r="Q115" s="17">
        <f t="shared" si="68"/>
        <v>4384147.7597196642</v>
      </c>
      <c r="R115" s="17">
        <f t="shared" si="69"/>
        <v>0</v>
      </c>
      <c r="S115" s="17">
        <f t="shared" ca="1" si="70"/>
        <v>11062136.202345429</v>
      </c>
    </row>
    <row r="116" spans="1:22" x14ac:dyDescent="0.2">
      <c r="A116" s="28">
        <f>'Monthly Data'!A116</f>
        <v>45108</v>
      </c>
      <c r="B116">
        <f>'Monthly Data'!C116</f>
        <v>7</v>
      </c>
      <c r="C116">
        <f>'Monthly Data'!B116</f>
        <v>2023</v>
      </c>
      <c r="D116" s="18">
        <f>'Monthly Data'!J116</f>
        <v>12011604.23941317</v>
      </c>
      <c r="E116" s="10">
        <f t="shared" ref="E116:F116" ca="1" si="120">E104</f>
        <v>0</v>
      </c>
      <c r="F116" s="10">
        <f t="shared" ca="1" si="120"/>
        <v>56.475141548990976</v>
      </c>
      <c r="G116">
        <f>'Monthly Data'!BO116</f>
        <v>31</v>
      </c>
      <c r="H116">
        <f>'Monthly Data'!BR116</f>
        <v>0</v>
      </c>
      <c r="I116" s="17">
        <f>'Monthly Data'!AO116</f>
        <v>8016.9</v>
      </c>
      <c r="J116">
        <f>'Monthly Data'!BM116</f>
        <v>0</v>
      </c>
      <c r="L116" s="17">
        <f t="shared" si="102"/>
        <v>-2608738.8393219002</v>
      </c>
      <c r="M116" s="17">
        <f t="shared" ca="1" si="64"/>
        <v>0</v>
      </c>
      <c r="N116" s="17">
        <f t="shared" ca="1" si="65"/>
        <v>702466.26827456255</v>
      </c>
      <c r="O116" s="17">
        <f t="shared" si="66"/>
        <v>9267266.0882465839</v>
      </c>
      <c r="P116" s="17">
        <f t="shared" si="67"/>
        <v>0</v>
      </c>
      <c r="Q116" s="17">
        <f t="shared" si="68"/>
        <v>4409282.6895444319</v>
      </c>
      <c r="R116" s="17">
        <f t="shared" si="69"/>
        <v>0</v>
      </c>
      <c r="S116" s="17">
        <f t="shared" ca="1" si="70"/>
        <v>11770276.206743678</v>
      </c>
    </row>
    <row r="117" spans="1:22" x14ac:dyDescent="0.2">
      <c r="A117" s="28">
        <f>'Monthly Data'!A117</f>
        <v>45139</v>
      </c>
      <c r="B117">
        <f>'Monthly Data'!C117</f>
        <v>8</v>
      </c>
      <c r="C117">
        <f>'Monthly Data'!B117</f>
        <v>2023</v>
      </c>
      <c r="D117" s="18">
        <f>'Monthly Data'!J117</f>
        <v>11359569.388496248</v>
      </c>
      <c r="E117" s="10">
        <f t="shared" ref="E117:F117" ca="1" si="121">E105</f>
        <v>0.1158333333333335</v>
      </c>
      <c r="F117" s="10">
        <f t="shared" ca="1" si="121"/>
        <v>35.296250000000008</v>
      </c>
      <c r="G117">
        <f>'Monthly Data'!BO117</f>
        <v>31</v>
      </c>
      <c r="H117">
        <f>'Monthly Data'!BR117</f>
        <v>0</v>
      </c>
      <c r="I117" s="17">
        <f>'Monthly Data'!AO117</f>
        <v>8020.3</v>
      </c>
      <c r="J117">
        <f>'Monthly Data'!BM117</f>
        <v>0</v>
      </c>
      <c r="L117" s="17">
        <f t="shared" si="102"/>
        <v>-2608738.8393219002</v>
      </c>
      <c r="M117" s="17">
        <f t="shared" ca="1" si="64"/>
        <v>596.58026578067893</v>
      </c>
      <c r="N117" s="17">
        <f t="shared" ca="1" si="65"/>
        <v>439032.54319561826</v>
      </c>
      <c r="O117" s="17">
        <f t="shared" si="66"/>
        <v>9267266.0882465839</v>
      </c>
      <c r="P117" s="17">
        <f t="shared" si="67"/>
        <v>0</v>
      </c>
      <c r="Q117" s="17">
        <f t="shared" si="68"/>
        <v>4411152.6843235185</v>
      </c>
      <c r="R117" s="17">
        <f t="shared" si="69"/>
        <v>0</v>
      </c>
      <c r="S117" s="17">
        <f t="shared" ca="1" si="70"/>
        <v>11509309.056709602</v>
      </c>
    </row>
    <row r="118" spans="1:22" x14ac:dyDescent="0.2">
      <c r="A118" s="28">
        <f>'Monthly Data'!A118</f>
        <v>45170</v>
      </c>
      <c r="B118">
        <f>'Monthly Data'!C118</f>
        <v>9</v>
      </c>
      <c r="C118">
        <f>'Monthly Data'!B118</f>
        <v>2023</v>
      </c>
      <c r="D118" s="18">
        <f>'Monthly Data'!J118</f>
        <v>10706905.087579323</v>
      </c>
      <c r="E118" s="10">
        <f t="shared" ref="E118:F118" ca="1" si="122">E106</f>
        <v>11.597845892171184</v>
      </c>
      <c r="F118" s="10">
        <f t="shared" ca="1" si="122"/>
        <v>11.128958333333333</v>
      </c>
      <c r="G118">
        <f>'Monthly Data'!BO118</f>
        <v>30</v>
      </c>
      <c r="H118">
        <f>'Monthly Data'!BR118</f>
        <v>0</v>
      </c>
      <c r="I118" s="17">
        <f>'Monthly Data'!AO118</f>
        <v>7968.4</v>
      </c>
      <c r="J118">
        <f>'Monthly Data'!BM118</f>
        <v>1</v>
      </c>
      <c r="L118" s="17">
        <f t="shared" si="102"/>
        <v>-2608738.8393219002</v>
      </c>
      <c r="M118" s="17">
        <f t="shared" ca="1" si="64"/>
        <v>59732.771092099261</v>
      </c>
      <c r="N118" s="17">
        <f t="shared" ca="1" si="65"/>
        <v>138427.59160538021</v>
      </c>
      <c r="O118" s="17">
        <f t="shared" si="66"/>
        <v>8968322.0208837911</v>
      </c>
      <c r="P118" s="17">
        <f t="shared" si="67"/>
        <v>0</v>
      </c>
      <c r="Q118" s="17">
        <f t="shared" si="68"/>
        <v>4382607.7640192416</v>
      </c>
      <c r="R118" s="17">
        <f t="shared" si="69"/>
        <v>-307328.60270320397</v>
      </c>
      <c r="S118" s="17">
        <f t="shared" ca="1" si="70"/>
        <v>10633022.705575408</v>
      </c>
    </row>
    <row r="119" spans="1:22" x14ac:dyDescent="0.2">
      <c r="A119" s="28">
        <f>'Monthly Data'!A119</f>
        <v>45200</v>
      </c>
      <c r="B119">
        <f>'Monthly Data'!C119</f>
        <v>10</v>
      </c>
      <c r="C119">
        <f>'Monthly Data'!B119</f>
        <v>2023</v>
      </c>
      <c r="D119" s="18">
        <f>'Monthly Data'!J119</f>
        <v>11160124.0266624</v>
      </c>
      <c r="E119" s="10">
        <f t="shared" ref="E119:F119" ca="1" si="123">E107</f>
        <v>128.51888157360821</v>
      </c>
      <c r="F119" s="10">
        <f t="shared" ca="1" si="123"/>
        <v>0.44687499999999963</v>
      </c>
      <c r="G119">
        <f>'Monthly Data'!BO119</f>
        <v>31</v>
      </c>
      <c r="H119">
        <f>'Monthly Data'!BR119</f>
        <v>0</v>
      </c>
      <c r="I119" s="17">
        <f>'Monthly Data'!AO119</f>
        <v>7947.2</v>
      </c>
      <c r="J119">
        <f>'Monthly Data'!BM119</f>
        <v>1</v>
      </c>
      <c r="L119" s="17">
        <f t="shared" si="102"/>
        <v>-2608738.8393219002</v>
      </c>
      <c r="M119" s="17">
        <f t="shared" ca="1" si="64"/>
        <v>661915.06642030517</v>
      </c>
      <c r="N119" s="17">
        <f t="shared" ca="1" si="65"/>
        <v>5558.4564292394152</v>
      </c>
      <c r="O119" s="17">
        <f t="shared" si="66"/>
        <v>9267266.0882465839</v>
      </c>
      <c r="P119" s="17">
        <f t="shared" si="67"/>
        <v>0</v>
      </c>
      <c r="Q119" s="17">
        <f t="shared" si="68"/>
        <v>4370947.7965731779</v>
      </c>
      <c r="R119" s="17">
        <f t="shared" si="69"/>
        <v>-307328.60270320397</v>
      </c>
      <c r="S119" s="17">
        <f t="shared" ca="1" si="70"/>
        <v>11389619.965644201</v>
      </c>
    </row>
    <row r="120" spans="1:22" x14ac:dyDescent="0.2">
      <c r="A120" s="28">
        <f>'Monthly Data'!A120</f>
        <v>45231</v>
      </c>
      <c r="B120">
        <f>'Monthly Data'!C120</f>
        <v>11</v>
      </c>
      <c r="C120">
        <f>'Monthly Data'!B120</f>
        <v>2023</v>
      </c>
      <c r="D120" s="18">
        <f>'Monthly Data'!J120</f>
        <v>12633492.375745479</v>
      </c>
      <c r="E120" s="10">
        <f t="shared" ref="E120:F120" ca="1" si="124">E108</f>
        <v>332.1049960098469</v>
      </c>
      <c r="F120" s="10">
        <f t="shared" ca="1" si="124"/>
        <v>0</v>
      </c>
      <c r="G120">
        <f>'Monthly Data'!BO120</f>
        <v>30</v>
      </c>
      <c r="H120">
        <f>'Monthly Data'!BR120</f>
        <v>0</v>
      </c>
      <c r="I120" s="17">
        <f>'Monthly Data'!AO120</f>
        <v>7939.3</v>
      </c>
      <c r="J120">
        <f>'Monthly Data'!BM120</f>
        <v>0</v>
      </c>
      <c r="L120" s="17">
        <f t="shared" si="102"/>
        <v>-2608738.8393219002</v>
      </c>
      <c r="M120" s="17">
        <f t="shared" ca="1" si="64"/>
        <v>1710451.3967192417</v>
      </c>
      <c r="N120" s="17">
        <f t="shared" ca="1" si="65"/>
        <v>0</v>
      </c>
      <c r="O120" s="17">
        <f t="shared" si="66"/>
        <v>8968322.0208837911</v>
      </c>
      <c r="P120" s="17">
        <f t="shared" si="67"/>
        <v>0</v>
      </c>
      <c r="Q120" s="17">
        <f t="shared" si="68"/>
        <v>4366602.8087041266</v>
      </c>
      <c r="R120" s="17">
        <f t="shared" si="69"/>
        <v>0</v>
      </c>
      <c r="S120" s="17">
        <f t="shared" ca="1" si="70"/>
        <v>12436637.386985259</v>
      </c>
    </row>
    <row r="121" spans="1:22" x14ac:dyDescent="0.2">
      <c r="A121" s="28">
        <f>'Monthly Data'!A121</f>
        <v>45261</v>
      </c>
      <c r="B121">
        <f>'Monthly Data'!C121</f>
        <v>12</v>
      </c>
      <c r="C121">
        <f>'Monthly Data'!B121</f>
        <v>2023</v>
      </c>
      <c r="D121" s="18">
        <f>'Monthly Data'!J121</f>
        <v>13324894.874828555</v>
      </c>
      <c r="E121" s="10">
        <f t="shared" ref="E121:F121" ca="1" si="125">E109</f>
        <v>508.62936502461724</v>
      </c>
      <c r="F121" s="10">
        <f t="shared" ca="1" si="125"/>
        <v>0</v>
      </c>
      <c r="G121">
        <f>'Monthly Data'!BO121</f>
        <v>31</v>
      </c>
      <c r="H121">
        <f>'Monthly Data'!BR121</f>
        <v>0</v>
      </c>
      <c r="I121" s="17">
        <f>'Monthly Data'!AO121</f>
        <v>7938.2</v>
      </c>
      <c r="J121">
        <f>'Monthly Data'!BM121</f>
        <v>0</v>
      </c>
      <c r="L121" s="17">
        <f t="shared" si="102"/>
        <v>-2608738.8393219002</v>
      </c>
      <c r="M121" s="17">
        <f t="shared" ca="1" si="64"/>
        <v>2619610.7203186504</v>
      </c>
      <c r="N121" s="17">
        <f t="shared" ca="1" si="65"/>
        <v>0</v>
      </c>
      <c r="O121" s="17">
        <f t="shared" si="66"/>
        <v>9267266.0882465839</v>
      </c>
      <c r="P121" s="17">
        <f t="shared" si="67"/>
        <v>0</v>
      </c>
      <c r="Q121" s="17">
        <f t="shared" si="68"/>
        <v>4365997.8103932459</v>
      </c>
      <c r="R121" s="17">
        <f t="shared" si="69"/>
        <v>0</v>
      </c>
      <c r="S121" s="17">
        <f t="shared" ca="1" si="70"/>
        <v>13644135.77963658</v>
      </c>
    </row>
    <row r="122" spans="1:22" x14ac:dyDescent="0.2">
      <c r="A122" s="28">
        <f>EOMONTH(A121,0)+1</f>
        <v>45292</v>
      </c>
      <c r="B122">
        <f>MONTH(A122)</f>
        <v>1</v>
      </c>
      <c r="C122">
        <f>YEAR(A122)</f>
        <v>2024</v>
      </c>
      <c r="D122" s="18">
        <f>'Monthly Data'!J122</f>
        <v>14484747.985415813</v>
      </c>
      <c r="E122" s="10">
        <f t="shared" ref="E122:F122" ca="1" si="126">E110</f>
        <v>666.68367523535153</v>
      </c>
      <c r="F122" s="10">
        <f t="shared" ca="1" si="126"/>
        <v>0</v>
      </c>
      <c r="G122">
        <f>G74</f>
        <v>31</v>
      </c>
      <c r="H122">
        <f>'Monthly Data'!BR122</f>
        <v>0</v>
      </c>
      <c r="I122" s="17">
        <f>Economic!D122</f>
        <v>7904.9</v>
      </c>
      <c r="J122">
        <f>J110</f>
        <v>0</v>
      </c>
      <c r="L122" s="17">
        <f t="shared" si="102"/>
        <v>-2608738.8393219002</v>
      </c>
      <c r="M122" s="17">
        <f t="shared" ca="1" si="64"/>
        <v>3433643.086303988</v>
      </c>
      <c r="N122" s="17">
        <f t="shared" ca="1" si="65"/>
        <v>0</v>
      </c>
      <c r="O122" s="17">
        <f t="shared" si="66"/>
        <v>9267266.0882465839</v>
      </c>
      <c r="P122" s="17">
        <f t="shared" si="67"/>
        <v>0</v>
      </c>
      <c r="Q122" s="17">
        <f t="shared" si="68"/>
        <v>4347682.861527496</v>
      </c>
      <c r="R122" s="17">
        <f t="shared" si="69"/>
        <v>0</v>
      </c>
      <c r="S122" s="17">
        <f t="shared" ca="1" si="70"/>
        <v>14439853.196756169</v>
      </c>
    </row>
    <row r="123" spans="1:22" x14ac:dyDescent="0.2">
      <c r="A123" s="28">
        <f t="shared" ref="A123:A145" si="127">EOMONTH(A122,0)+1</f>
        <v>45323</v>
      </c>
      <c r="B123">
        <f t="shared" ref="B123:B145" si="128">MONTH(A123)</f>
        <v>2</v>
      </c>
      <c r="C123">
        <f t="shared" ref="C123:C145" si="129">YEAR(A123)</f>
        <v>2024</v>
      </c>
      <c r="D123" s="18">
        <f>'Monthly Data'!J123</f>
        <v>13071633.130821705</v>
      </c>
      <c r="E123" s="10">
        <f t="shared" ref="E123:F123" ca="1" si="130">E111</f>
        <v>599.3508333333333</v>
      </c>
      <c r="F123" s="10">
        <f t="shared" ca="1" si="130"/>
        <v>0</v>
      </c>
      <c r="G123">
        <f t="shared" ref="G123:G145" si="131">G75</f>
        <v>29</v>
      </c>
      <c r="H123">
        <f>'Monthly Data'!BR123</f>
        <v>0</v>
      </c>
      <c r="I123" s="17">
        <f>Economic!D123</f>
        <v>7874.1</v>
      </c>
      <c r="J123">
        <f t="shared" ref="J123:J145" si="132">J111</f>
        <v>0</v>
      </c>
      <c r="L123" s="17">
        <f t="shared" si="102"/>
        <v>-2608738.8393219002</v>
      </c>
      <c r="M123" s="17">
        <f t="shared" ca="1" si="64"/>
        <v>3086856.5132017629</v>
      </c>
      <c r="N123" s="17">
        <f t="shared" ca="1" si="65"/>
        <v>0</v>
      </c>
      <c r="O123" s="17">
        <f t="shared" si="66"/>
        <v>8669377.9535209984</v>
      </c>
      <c r="P123" s="17">
        <f t="shared" si="67"/>
        <v>0</v>
      </c>
      <c r="Q123" s="17">
        <f t="shared" si="68"/>
        <v>4330742.9088228391</v>
      </c>
      <c r="R123" s="17">
        <f t="shared" si="69"/>
        <v>0</v>
      </c>
      <c r="S123" s="17">
        <f t="shared" ca="1" si="70"/>
        <v>13478238.536223698</v>
      </c>
    </row>
    <row r="124" spans="1:22" x14ac:dyDescent="0.2">
      <c r="A124" s="28">
        <f t="shared" si="127"/>
        <v>45352</v>
      </c>
      <c r="B124">
        <f t="shared" si="128"/>
        <v>3</v>
      </c>
      <c r="C124">
        <f t="shared" si="129"/>
        <v>2024</v>
      </c>
      <c r="D124" s="18">
        <f>'Monthly Data'!J124</f>
        <v>13279822.796227597</v>
      </c>
      <c r="E124" s="10">
        <f t="shared" ref="E124:F124" ca="1" si="133">E112</f>
        <v>469.11853767651354</v>
      </c>
      <c r="F124" s="10">
        <f t="shared" ca="1" si="133"/>
        <v>0</v>
      </c>
      <c r="G124">
        <f t="shared" si="131"/>
        <v>31</v>
      </c>
      <c r="H124">
        <f>'Monthly Data'!BR124</f>
        <v>0</v>
      </c>
      <c r="I124" s="17">
        <f>Economic!D124</f>
        <v>7870.9</v>
      </c>
      <c r="J124">
        <f t="shared" si="132"/>
        <v>0</v>
      </c>
      <c r="L124" s="17">
        <f t="shared" si="102"/>
        <v>-2608738.8393219002</v>
      </c>
      <c r="M124" s="17">
        <f t="shared" ca="1" si="64"/>
        <v>2416116.7932923525</v>
      </c>
      <c r="N124" s="17">
        <f t="shared" ca="1" si="65"/>
        <v>0</v>
      </c>
      <c r="O124" s="17">
        <f t="shared" si="66"/>
        <v>9267266.0882465839</v>
      </c>
      <c r="P124" s="17">
        <f t="shared" si="67"/>
        <v>0</v>
      </c>
      <c r="Q124" s="17">
        <f t="shared" si="68"/>
        <v>4328982.9137366405</v>
      </c>
      <c r="R124" s="17">
        <f t="shared" si="69"/>
        <v>0</v>
      </c>
      <c r="S124" s="17">
        <f t="shared" ca="1" si="70"/>
        <v>13403626.955953676</v>
      </c>
      <c r="U124" s="17"/>
      <c r="V124" s="30"/>
    </row>
    <row r="125" spans="1:22" x14ac:dyDescent="0.2">
      <c r="A125" s="28">
        <f t="shared" si="127"/>
        <v>45383</v>
      </c>
      <c r="B125">
        <f t="shared" si="128"/>
        <v>4</v>
      </c>
      <c r="C125">
        <f t="shared" si="129"/>
        <v>2024</v>
      </c>
      <c r="D125" s="18">
        <f>'Monthly Data'!J125</f>
        <v>11838242.501633488</v>
      </c>
      <c r="E125" s="10">
        <f t="shared" ref="E125:F125" ca="1" si="134">E113</f>
        <v>233.92395833333336</v>
      </c>
      <c r="F125" s="10">
        <f t="shared" ca="1" si="134"/>
        <v>0</v>
      </c>
      <c r="G125">
        <f t="shared" si="131"/>
        <v>30</v>
      </c>
      <c r="H125">
        <f>'Monthly Data'!BR125</f>
        <v>0</v>
      </c>
      <c r="I125" s="17">
        <f>Economic!D125</f>
        <v>7915</v>
      </c>
      <c r="J125">
        <f t="shared" si="132"/>
        <v>0</v>
      </c>
      <c r="L125" s="17">
        <f t="shared" si="102"/>
        <v>-2608738.8393219002</v>
      </c>
      <c r="M125" s="17">
        <f t="shared" ca="1" si="64"/>
        <v>1204786.3358414527</v>
      </c>
      <c r="N125" s="17">
        <f t="shared" ca="1" si="65"/>
        <v>0</v>
      </c>
      <c r="O125" s="17">
        <f t="shared" si="66"/>
        <v>8968322.0208837911</v>
      </c>
      <c r="P125" s="17">
        <f t="shared" si="67"/>
        <v>0</v>
      </c>
      <c r="Q125" s="17">
        <f t="shared" si="68"/>
        <v>4353237.8460183088</v>
      </c>
      <c r="R125" s="17">
        <f t="shared" si="69"/>
        <v>0</v>
      </c>
      <c r="S125" s="17">
        <f t="shared" ca="1" si="70"/>
        <v>11917607.363421652</v>
      </c>
      <c r="U125" s="17"/>
      <c r="V125" s="30"/>
    </row>
    <row r="126" spans="1:22" x14ac:dyDescent="0.2">
      <c r="A126" s="28">
        <f t="shared" si="127"/>
        <v>45413</v>
      </c>
      <c r="B126">
        <f t="shared" si="128"/>
        <v>5</v>
      </c>
      <c r="C126">
        <f t="shared" si="129"/>
        <v>2024</v>
      </c>
      <c r="D126" s="18">
        <f>'Monthly Data'!J126</f>
        <v>11390251.437039379</v>
      </c>
      <c r="E126" s="10">
        <f t="shared" ref="E126:F126" ca="1" si="135">E114</f>
        <v>46.324929225504526</v>
      </c>
      <c r="F126" s="10">
        <f t="shared" ca="1" si="135"/>
        <v>9.6293749999999996</v>
      </c>
      <c r="G126">
        <f t="shared" si="131"/>
        <v>31</v>
      </c>
      <c r="H126">
        <f>'Monthly Data'!BR126</f>
        <v>0</v>
      </c>
      <c r="I126" s="17">
        <f>Economic!D126</f>
        <v>7999.8</v>
      </c>
      <c r="J126">
        <f t="shared" si="132"/>
        <v>0</v>
      </c>
      <c r="L126" s="17">
        <f t="shared" si="102"/>
        <v>-2608738.8393219002</v>
      </c>
      <c r="M126" s="17">
        <f t="shared" ca="1" si="64"/>
        <v>238588.82235645404</v>
      </c>
      <c r="N126" s="17">
        <f t="shared" ca="1" si="65"/>
        <v>119775.01846893948</v>
      </c>
      <c r="O126" s="17">
        <f t="shared" si="66"/>
        <v>9267266.0882465839</v>
      </c>
      <c r="P126" s="17">
        <f t="shared" si="67"/>
        <v>0</v>
      </c>
      <c r="Q126" s="17">
        <f t="shared" si="68"/>
        <v>4399877.7158025615</v>
      </c>
      <c r="R126" s="17">
        <f t="shared" si="69"/>
        <v>0</v>
      </c>
      <c r="S126" s="17">
        <f t="shared" ca="1" si="70"/>
        <v>11416768.805552639</v>
      </c>
      <c r="U126" s="17"/>
      <c r="V126" s="30"/>
    </row>
    <row r="127" spans="1:22" x14ac:dyDescent="0.2">
      <c r="A127" s="28">
        <f t="shared" si="127"/>
        <v>45444</v>
      </c>
      <c r="B127">
        <f t="shared" si="128"/>
        <v>6</v>
      </c>
      <c r="C127">
        <f t="shared" si="129"/>
        <v>2024</v>
      </c>
      <c r="D127" s="18">
        <f>'Monthly Data'!J127</f>
        <v>11344853.062445268</v>
      </c>
      <c r="E127" s="10">
        <f t="shared" ref="E127:F127" ca="1" si="136">E115</f>
        <v>1.25875</v>
      </c>
      <c r="F127" s="10">
        <f t="shared" ca="1" si="136"/>
        <v>25.077154107828811</v>
      </c>
      <c r="G127">
        <f t="shared" si="131"/>
        <v>30</v>
      </c>
      <c r="H127">
        <f>'Monthly Data'!BR127</f>
        <v>0</v>
      </c>
      <c r="I127" s="17">
        <f>Economic!D127</f>
        <v>8092.5</v>
      </c>
      <c r="J127">
        <f t="shared" si="132"/>
        <v>0</v>
      </c>
      <c r="L127" s="17">
        <f t="shared" si="102"/>
        <v>-2608738.8393219002</v>
      </c>
      <c r="M127" s="17">
        <f t="shared" ca="1" si="64"/>
        <v>6482.9819529619735</v>
      </c>
      <c r="N127" s="17">
        <f t="shared" ca="1" si="65"/>
        <v>311922.27911091194</v>
      </c>
      <c r="O127" s="17">
        <f t="shared" si="66"/>
        <v>8968322.0208837911</v>
      </c>
      <c r="P127" s="17">
        <f t="shared" si="67"/>
        <v>0</v>
      </c>
      <c r="Q127" s="17">
        <f t="shared" si="68"/>
        <v>4450862.5734558646</v>
      </c>
      <c r="R127" s="17">
        <f t="shared" si="69"/>
        <v>0</v>
      </c>
      <c r="S127" s="17">
        <f t="shared" ca="1" si="70"/>
        <v>11128851.016081629</v>
      </c>
      <c r="U127" s="17"/>
      <c r="V127" s="30"/>
    </row>
    <row r="128" spans="1:22" x14ac:dyDescent="0.2">
      <c r="A128" s="28">
        <f t="shared" si="127"/>
        <v>45474</v>
      </c>
      <c r="B128">
        <f t="shared" si="128"/>
        <v>7</v>
      </c>
      <c r="C128">
        <f t="shared" si="129"/>
        <v>2024</v>
      </c>
      <c r="D128" s="18">
        <f>'Monthly Data'!J128</f>
        <v>12387904.277851159</v>
      </c>
      <c r="E128" s="10">
        <f t="shared" ref="E128:F128" ca="1" si="137">E116</f>
        <v>0</v>
      </c>
      <c r="F128" s="10">
        <f t="shared" ca="1" si="137"/>
        <v>56.475141548990976</v>
      </c>
      <c r="G128">
        <f t="shared" si="131"/>
        <v>31</v>
      </c>
      <c r="H128">
        <f>'Monthly Data'!BR128</f>
        <v>0</v>
      </c>
      <c r="I128" s="17">
        <f>Economic!D128</f>
        <v>8149.4</v>
      </c>
      <c r="J128">
        <f t="shared" si="132"/>
        <v>0</v>
      </c>
      <c r="L128" s="17">
        <f t="shared" si="102"/>
        <v>-2608738.8393219002</v>
      </c>
      <c r="M128" s="17">
        <f t="shared" ca="1" si="64"/>
        <v>0</v>
      </c>
      <c r="N128" s="17">
        <f t="shared" ca="1" si="65"/>
        <v>702466.26827456255</v>
      </c>
      <c r="O128" s="17">
        <f t="shared" si="66"/>
        <v>9267266.0882465839</v>
      </c>
      <c r="P128" s="17">
        <f t="shared" si="67"/>
        <v>0</v>
      </c>
      <c r="Q128" s="17">
        <f t="shared" si="68"/>
        <v>4482157.4860823257</v>
      </c>
      <c r="R128" s="17">
        <f t="shared" si="69"/>
        <v>0</v>
      </c>
      <c r="S128" s="17">
        <f t="shared" ca="1" si="70"/>
        <v>11843151.003281571</v>
      </c>
      <c r="U128" s="17"/>
      <c r="V128" s="30"/>
    </row>
    <row r="129" spans="1:22" x14ac:dyDescent="0.2">
      <c r="A129" s="28">
        <f t="shared" si="127"/>
        <v>45505</v>
      </c>
      <c r="B129">
        <f t="shared" si="128"/>
        <v>8</v>
      </c>
      <c r="C129">
        <f t="shared" si="129"/>
        <v>2024</v>
      </c>
      <c r="D129" s="18">
        <f>'Monthly Data'!J129</f>
        <v>12019540.413257049</v>
      </c>
      <c r="E129" s="10">
        <f t="shared" ref="E129:F129" ca="1" si="138">E117</f>
        <v>0.1158333333333335</v>
      </c>
      <c r="F129" s="10">
        <f t="shared" ca="1" si="138"/>
        <v>35.296250000000008</v>
      </c>
      <c r="G129">
        <f t="shared" si="131"/>
        <v>31</v>
      </c>
      <c r="H129">
        <f>'Monthly Data'!BR129</f>
        <v>0</v>
      </c>
      <c r="I129" s="17">
        <f>Economic!D129</f>
        <v>8147.2</v>
      </c>
      <c r="J129">
        <f t="shared" si="132"/>
        <v>0</v>
      </c>
      <c r="L129" s="17">
        <f t="shared" si="102"/>
        <v>-2608738.8393219002</v>
      </c>
      <c r="M129" s="17">
        <f t="shared" ca="1" si="64"/>
        <v>596.58026578067893</v>
      </c>
      <c r="N129" s="17">
        <f t="shared" ca="1" si="65"/>
        <v>439032.54319561826</v>
      </c>
      <c r="O129" s="17">
        <f t="shared" si="66"/>
        <v>9267266.0882465839</v>
      </c>
      <c r="P129" s="17">
        <f t="shared" si="67"/>
        <v>0</v>
      </c>
      <c r="Q129" s="17">
        <f t="shared" si="68"/>
        <v>4480947.4894605642</v>
      </c>
      <c r="R129" s="17">
        <f t="shared" si="69"/>
        <v>0</v>
      </c>
      <c r="S129" s="17">
        <f t="shared" ca="1" si="70"/>
        <v>11579103.861846648</v>
      </c>
      <c r="U129" s="17"/>
      <c r="V129" s="30"/>
    </row>
    <row r="130" spans="1:22" x14ac:dyDescent="0.2">
      <c r="A130" s="28">
        <f t="shared" si="127"/>
        <v>45536</v>
      </c>
      <c r="B130">
        <f t="shared" si="128"/>
        <v>9</v>
      </c>
      <c r="C130">
        <f t="shared" si="129"/>
        <v>2024</v>
      </c>
      <c r="D130" s="18">
        <f>'Monthly Data'!J130</f>
        <v>11055971.86866294</v>
      </c>
      <c r="E130" s="10">
        <f t="shared" ref="E130:F130" ca="1" si="139">E118</f>
        <v>11.597845892171184</v>
      </c>
      <c r="F130" s="10">
        <f t="shared" ca="1" si="139"/>
        <v>11.128958333333333</v>
      </c>
      <c r="G130">
        <f t="shared" si="131"/>
        <v>30</v>
      </c>
      <c r="H130">
        <f>'Monthly Data'!BR130</f>
        <v>0</v>
      </c>
      <c r="I130" s="17">
        <f>Economic!D130</f>
        <v>8123.6</v>
      </c>
      <c r="J130">
        <f t="shared" si="132"/>
        <v>1</v>
      </c>
      <c r="L130" s="17">
        <f t="shared" ref="L130:L145" si="140">$V$7</f>
        <v>-2608738.8393219002</v>
      </c>
      <c r="M130" s="17">
        <f t="shared" ca="1" si="64"/>
        <v>59732.771092099261</v>
      </c>
      <c r="N130" s="17">
        <f t="shared" ca="1" si="65"/>
        <v>138427.59160538021</v>
      </c>
      <c r="O130" s="17">
        <f t="shared" si="66"/>
        <v>8968322.0208837911</v>
      </c>
      <c r="P130" s="17">
        <f t="shared" si="67"/>
        <v>0</v>
      </c>
      <c r="Q130" s="17">
        <f t="shared" si="68"/>
        <v>4467967.525699853</v>
      </c>
      <c r="R130" s="17">
        <f t="shared" si="69"/>
        <v>-307328.60270320397</v>
      </c>
      <c r="S130" s="17">
        <f t="shared" ca="1" si="70"/>
        <v>10718382.467256019</v>
      </c>
      <c r="U130" s="17"/>
      <c r="V130" s="30"/>
    </row>
    <row r="131" spans="1:22" x14ac:dyDescent="0.2">
      <c r="A131" s="28">
        <f t="shared" si="127"/>
        <v>45566</v>
      </c>
      <c r="B131">
        <f t="shared" si="128"/>
        <v>10</v>
      </c>
      <c r="C131">
        <f t="shared" si="129"/>
        <v>2024</v>
      </c>
      <c r="D131" s="18">
        <f>'Monthly Data'!J131</f>
        <v>11254804.474068832</v>
      </c>
      <c r="E131" s="10">
        <f t="shared" ref="E131:F131" ca="1" si="141">E119</f>
        <v>128.51888157360821</v>
      </c>
      <c r="F131" s="10">
        <f t="shared" ca="1" si="141"/>
        <v>0.44687499999999963</v>
      </c>
      <c r="G131">
        <f t="shared" si="131"/>
        <v>31</v>
      </c>
      <c r="H131">
        <f>'Monthly Data'!BR131</f>
        <v>0</v>
      </c>
      <c r="I131" s="17">
        <f>Economic!D131</f>
        <v>8109.5</v>
      </c>
      <c r="J131">
        <f t="shared" si="132"/>
        <v>1</v>
      </c>
      <c r="L131" s="17">
        <f t="shared" si="140"/>
        <v>-2608738.8393219002</v>
      </c>
      <c r="M131" s="17">
        <f t="shared" ref="M131:M145" ca="1" si="142">E131*$V$8</f>
        <v>661915.06642030517</v>
      </c>
      <c r="N131" s="17">
        <f t="shared" ref="N131:N145" ca="1" si="143">F131*$V$9</f>
        <v>5558.4564292394152</v>
      </c>
      <c r="O131" s="17">
        <f t="shared" ref="O131:O145" si="144">G131*$V$10</f>
        <v>9267266.0882465839</v>
      </c>
      <c r="P131" s="17">
        <f t="shared" ref="P131:P145" si="145">H131*$V$11</f>
        <v>0</v>
      </c>
      <c r="Q131" s="17">
        <f t="shared" ref="Q131:Q145" si="146">I131*$V$12</f>
        <v>4460212.5473512923</v>
      </c>
      <c r="R131" s="17">
        <f t="shared" ref="R131:R145" si="147">J131*$V$13</f>
        <v>-307328.60270320397</v>
      </c>
      <c r="S131" s="17">
        <f t="shared" ref="S131:S145" ca="1" si="148">SUM(L131:R131)</f>
        <v>11478884.716422318</v>
      </c>
      <c r="U131" s="17"/>
      <c r="V131" s="30"/>
    </row>
    <row r="132" spans="1:22" x14ac:dyDescent="0.2">
      <c r="A132" s="28">
        <f t="shared" si="127"/>
        <v>45597</v>
      </c>
      <c r="B132">
        <f t="shared" si="128"/>
        <v>11</v>
      </c>
      <c r="C132">
        <f t="shared" si="129"/>
        <v>2024</v>
      </c>
      <c r="D132" s="18">
        <f>'Monthly Data'!J132</f>
        <v>12302255.959474724</v>
      </c>
      <c r="E132" s="10">
        <f t="shared" ref="E132:F132" ca="1" si="149">E120</f>
        <v>332.1049960098469</v>
      </c>
      <c r="F132" s="10">
        <f t="shared" ca="1" si="149"/>
        <v>0</v>
      </c>
      <c r="G132">
        <f t="shared" si="131"/>
        <v>30</v>
      </c>
      <c r="H132">
        <f>'Monthly Data'!BR132</f>
        <v>0</v>
      </c>
      <c r="I132" s="17">
        <f>Economic!D132</f>
        <v>8101.2</v>
      </c>
      <c r="J132">
        <f t="shared" si="132"/>
        <v>0</v>
      </c>
      <c r="L132" s="17">
        <f t="shared" si="140"/>
        <v>-2608738.8393219002</v>
      </c>
      <c r="M132" s="17">
        <f t="shared" ca="1" si="142"/>
        <v>1710451.3967192417</v>
      </c>
      <c r="N132" s="17">
        <f t="shared" ca="1" si="143"/>
        <v>0</v>
      </c>
      <c r="O132" s="17">
        <f t="shared" si="144"/>
        <v>8968322.0208837911</v>
      </c>
      <c r="P132" s="17">
        <f t="shared" si="145"/>
        <v>0</v>
      </c>
      <c r="Q132" s="17">
        <f t="shared" si="146"/>
        <v>4455647.560096466</v>
      </c>
      <c r="R132" s="17">
        <f t="shared" si="147"/>
        <v>0</v>
      </c>
      <c r="S132" s="17">
        <f t="shared" ca="1" si="148"/>
        <v>12525682.138377599</v>
      </c>
      <c r="U132" s="17"/>
      <c r="V132" s="30"/>
    </row>
    <row r="133" spans="1:22" x14ac:dyDescent="0.2">
      <c r="A133" s="28">
        <f t="shared" si="127"/>
        <v>45627</v>
      </c>
      <c r="B133">
        <f t="shared" si="128"/>
        <v>12</v>
      </c>
      <c r="C133">
        <f t="shared" si="129"/>
        <v>2024</v>
      </c>
      <c r="E133" s="10">
        <f t="shared" ref="E133:F133" ca="1" si="150">E121</f>
        <v>508.62936502461724</v>
      </c>
      <c r="F133" s="10">
        <f t="shared" ca="1" si="150"/>
        <v>0</v>
      </c>
      <c r="G133">
        <f t="shared" si="131"/>
        <v>31</v>
      </c>
      <c r="H133">
        <f>'Monthly Data'!BR133</f>
        <v>0</v>
      </c>
      <c r="I133" s="17">
        <f>Economic!D133</f>
        <v>8097.3</v>
      </c>
      <c r="J133">
        <f t="shared" si="132"/>
        <v>0</v>
      </c>
      <c r="L133" s="17">
        <f t="shared" si="140"/>
        <v>-2608738.8393219002</v>
      </c>
      <c r="M133" s="17">
        <f t="shared" ca="1" si="142"/>
        <v>2619610.7203186504</v>
      </c>
      <c r="N133" s="17">
        <f t="shared" ca="1" si="143"/>
        <v>0</v>
      </c>
      <c r="O133" s="17">
        <f t="shared" si="144"/>
        <v>9267266.0882465839</v>
      </c>
      <c r="P133" s="17">
        <f t="shared" si="145"/>
        <v>0</v>
      </c>
      <c r="Q133" s="17">
        <f t="shared" si="146"/>
        <v>4453502.5660851616</v>
      </c>
      <c r="R133" s="17">
        <f t="shared" si="147"/>
        <v>0</v>
      </c>
      <c r="S133" s="17">
        <f t="shared" ca="1" si="148"/>
        <v>13731640.535328496</v>
      </c>
      <c r="U133" s="17"/>
      <c r="V133" s="30"/>
    </row>
    <row r="134" spans="1:22" x14ac:dyDescent="0.2">
      <c r="A134" s="28">
        <f t="shared" si="127"/>
        <v>45658</v>
      </c>
      <c r="B134">
        <f t="shared" si="128"/>
        <v>1</v>
      </c>
      <c r="C134">
        <f t="shared" si="129"/>
        <v>2025</v>
      </c>
      <c r="E134" s="10">
        <f t="shared" ref="E134:F134" ca="1" si="151">E122</f>
        <v>666.68367523535153</v>
      </c>
      <c r="F134" s="10">
        <f t="shared" ca="1" si="151"/>
        <v>0</v>
      </c>
      <c r="G134">
        <f t="shared" si="131"/>
        <v>31</v>
      </c>
      <c r="H134">
        <f>'Monthly Data'!BR134</f>
        <v>0</v>
      </c>
      <c r="I134" s="17">
        <f>Economic!D134</f>
        <v>8009.6399249999995</v>
      </c>
      <c r="J134">
        <f t="shared" si="132"/>
        <v>0</v>
      </c>
      <c r="L134" s="17">
        <f t="shared" si="140"/>
        <v>-2608738.8393219002</v>
      </c>
      <c r="M134" s="17">
        <f t="shared" ca="1" si="142"/>
        <v>3433643.086303988</v>
      </c>
      <c r="N134" s="17">
        <f t="shared" ca="1" si="143"/>
        <v>0</v>
      </c>
      <c r="O134" s="17">
        <f t="shared" si="144"/>
        <v>9267266.0882465839</v>
      </c>
      <c r="P134" s="17">
        <f t="shared" si="145"/>
        <v>0</v>
      </c>
      <c r="Q134" s="17">
        <f t="shared" si="146"/>
        <v>4405289.6594427349</v>
      </c>
      <c r="R134" s="17">
        <f t="shared" si="147"/>
        <v>0</v>
      </c>
      <c r="S134" s="17">
        <f t="shared" ca="1" si="148"/>
        <v>14497459.994671408</v>
      </c>
      <c r="U134" s="17"/>
      <c r="V134" s="30"/>
    </row>
    <row r="135" spans="1:22" x14ac:dyDescent="0.2">
      <c r="A135" s="28">
        <f t="shared" si="127"/>
        <v>45689</v>
      </c>
      <c r="B135">
        <f t="shared" si="128"/>
        <v>2</v>
      </c>
      <c r="C135">
        <f t="shared" si="129"/>
        <v>2025</v>
      </c>
      <c r="E135" s="10">
        <f t="shared" ref="E135:F135" ca="1" si="152">E123</f>
        <v>599.3508333333333</v>
      </c>
      <c r="F135" s="10">
        <f t="shared" ca="1" si="152"/>
        <v>0</v>
      </c>
      <c r="G135">
        <f t="shared" si="131"/>
        <v>28</v>
      </c>
      <c r="H135">
        <f>'Monthly Data'!BR135</f>
        <v>0</v>
      </c>
      <c r="I135" s="17">
        <f>Economic!D135</f>
        <v>7978.4318250000006</v>
      </c>
      <c r="J135">
        <f t="shared" si="132"/>
        <v>0</v>
      </c>
      <c r="L135" s="17">
        <f t="shared" si="140"/>
        <v>-2608738.8393219002</v>
      </c>
      <c r="M135" s="17">
        <f t="shared" ca="1" si="142"/>
        <v>3086856.5132017629</v>
      </c>
      <c r="N135" s="17">
        <f t="shared" ca="1" si="143"/>
        <v>0</v>
      </c>
      <c r="O135" s="17">
        <f t="shared" si="144"/>
        <v>8370433.8861582046</v>
      </c>
      <c r="P135" s="17">
        <f t="shared" si="145"/>
        <v>0</v>
      </c>
      <c r="Q135" s="17">
        <f t="shared" si="146"/>
        <v>4388125.2523647416</v>
      </c>
      <c r="R135" s="17">
        <f t="shared" si="147"/>
        <v>0</v>
      </c>
      <c r="S135" s="17">
        <f t="shared" ca="1" si="148"/>
        <v>13236676.812402809</v>
      </c>
      <c r="U135" s="17"/>
      <c r="V135" s="30"/>
    </row>
    <row r="136" spans="1:22" x14ac:dyDescent="0.2">
      <c r="A136" s="28">
        <f t="shared" si="127"/>
        <v>45717</v>
      </c>
      <c r="B136">
        <f t="shared" si="128"/>
        <v>3</v>
      </c>
      <c r="C136">
        <f t="shared" si="129"/>
        <v>2025</v>
      </c>
      <c r="E136" s="10">
        <f t="shared" ref="E136:F136" ca="1" si="153">E124</f>
        <v>469.11853767651354</v>
      </c>
      <c r="F136" s="10">
        <f t="shared" ca="1" si="153"/>
        <v>0</v>
      </c>
      <c r="G136">
        <f t="shared" si="131"/>
        <v>31</v>
      </c>
      <c r="H136">
        <f>'Monthly Data'!BR136</f>
        <v>0</v>
      </c>
      <c r="I136" s="17">
        <f>Economic!D136</f>
        <v>7975.1894249999996</v>
      </c>
      <c r="J136">
        <f t="shared" si="132"/>
        <v>0</v>
      </c>
      <c r="L136" s="17">
        <f t="shared" si="140"/>
        <v>-2608738.8393219002</v>
      </c>
      <c r="M136" s="17">
        <f t="shared" ca="1" si="142"/>
        <v>2416116.7932923525</v>
      </c>
      <c r="N136" s="17">
        <f t="shared" ca="1" si="143"/>
        <v>0</v>
      </c>
      <c r="O136" s="17">
        <f t="shared" si="144"/>
        <v>9267266.0882465839</v>
      </c>
      <c r="P136" s="17">
        <f t="shared" si="145"/>
        <v>0</v>
      </c>
      <c r="Q136" s="17">
        <f t="shared" si="146"/>
        <v>4386341.9373436505</v>
      </c>
      <c r="R136" s="17">
        <f t="shared" si="147"/>
        <v>0</v>
      </c>
      <c r="S136" s="17">
        <f t="shared" ca="1" si="148"/>
        <v>13460985.979560688</v>
      </c>
      <c r="U136" s="17"/>
      <c r="V136" s="30"/>
    </row>
    <row r="137" spans="1:22" x14ac:dyDescent="0.2">
      <c r="A137" s="28">
        <f t="shared" si="127"/>
        <v>45748</v>
      </c>
      <c r="B137">
        <f t="shared" si="128"/>
        <v>4</v>
      </c>
      <c r="C137">
        <f t="shared" si="129"/>
        <v>2025</v>
      </c>
      <c r="E137" s="10">
        <f t="shared" ref="E137:F137" ca="1" si="154">E125</f>
        <v>233.92395833333336</v>
      </c>
      <c r="F137" s="10">
        <f t="shared" ca="1" si="154"/>
        <v>0</v>
      </c>
      <c r="G137">
        <f t="shared" si="131"/>
        <v>30</v>
      </c>
      <c r="H137">
        <f>'Monthly Data'!BR137</f>
        <v>0</v>
      </c>
      <c r="I137" s="17">
        <f>Economic!D137</f>
        <v>8019.8737499999997</v>
      </c>
      <c r="J137">
        <f t="shared" si="132"/>
        <v>0</v>
      </c>
      <c r="L137" s="17">
        <f t="shared" si="140"/>
        <v>-2608738.8393219002</v>
      </c>
      <c r="M137" s="17">
        <f t="shared" ca="1" si="142"/>
        <v>1204786.3358414527</v>
      </c>
      <c r="N137" s="17">
        <f t="shared" ca="1" si="143"/>
        <v>0</v>
      </c>
      <c r="O137" s="17">
        <f t="shared" si="144"/>
        <v>8968322.0208837911</v>
      </c>
      <c r="P137" s="17">
        <f t="shared" si="145"/>
        <v>0</v>
      </c>
      <c r="Q137" s="17">
        <f t="shared" si="146"/>
        <v>4410918.247478052</v>
      </c>
      <c r="R137" s="17">
        <f t="shared" si="147"/>
        <v>0</v>
      </c>
      <c r="S137" s="17">
        <f t="shared" ca="1" si="148"/>
        <v>11975287.764881395</v>
      </c>
      <c r="U137" s="17"/>
      <c r="V137" s="31"/>
    </row>
    <row r="138" spans="1:22" x14ac:dyDescent="0.2">
      <c r="A138" s="28">
        <f t="shared" si="127"/>
        <v>45778</v>
      </c>
      <c r="B138">
        <f t="shared" si="128"/>
        <v>5</v>
      </c>
      <c r="C138">
        <f t="shared" si="129"/>
        <v>2025</v>
      </c>
      <c r="E138" s="10">
        <f t="shared" ref="E138:F138" ca="1" si="155">E126</f>
        <v>46.324929225504526</v>
      </c>
      <c r="F138" s="10">
        <f t="shared" ca="1" si="155"/>
        <v>9.6293749999999996</v>
      </c>
      <c r="G138">
        <f t="shared" si="131"/>
        <v>31</v>
      </c>
      <c r="H138">
        <f>'Monthly Data'!BR138</f>
        <v>0</v>
      </c>
      <c r="I138" s="17">
        <f>Economic!D138</f>
        <v>8105.7973499999998</v>
      </c>
      <c r="J138">
        <f t="shared" si="132"/>
        <v>0</v>
      </c>
      <c r="L138" s="17">
        <f t="shared" si="140"/>
        <v>-2608738.8393219002</v>
      </c>
      <c r="M138" s="17">
        <f t="shared" ca="1" si="142"/>
        <v>238588.82235645404</v>
      </c>
      <c r="N138" s="17">
        <f t="shared" ca="1" si="143"/>
        <v>119775.01846893948</v>
      </c>
      <c r="O138" s="17">
        <f t="shared" si="144"/>
        <v>9267266.0882465839</v>
      </c>
      <c r="P138" s="17">
        <f t="shared" si="145"/>
        <v>0</v>
      </c>
      <c r="Q138" s="17">
        <f t="shared" si="146"/>
        <v>4458176.0955369445</v>
      </c>
      <c r="R138" s="17">
        <f t="shared" si="147"/>
        <v>0</v>
      </c>
      <c r="S138" s="17">
        <f t="shared" ca="1" si="148"/>
        <v>11475067.185287021</v>
      </c>
      <c r="U138" s="17"/>
      <c r="V138" s="31"/>
    </row>
    <row r="139" spans="1:22" x14ac:dyDescent="0.2">
      <c r="A139" s="28">
        <f t="shared" si="127"/>
        <v>45809</v>
      </c>
      <c r="B139">
        <f t="shared" si="128"/>
        <v>6</v>
      </c>
      <c r="C139">
        <f t="shared" si="129"/>
        <v>2025</v>
      </c>
      <c r="E139" s="10">
        <f t="shared" ref="E139:F139" ca="1" si="156">E127</f>
        <v>1.25875</v>
      </c>
      <c r="F139" s="10">
        <f t="shared" ca="1" si="156"/>
        <v>25.077154107828811</v>
      </c>
      <c r="G139">
        <f t="shared" si="131"/>
        <v>30</v>
      </c>
      <c r="H139">
        <f>'Monthly Data'!BR139</f>
        <v>0</v>
      </c>
      <c r="I139" s="17">
        <f>Economic!D139</f>
        <v>8199.7256249999991</v>
      </c>
      <c r="J139">
        <f t="shared" si="132"/>
        <v>0</v>
      </c>
      <c r="L139" s="17">
        <f t="shared" si="140"/>
        <v>-2608738.8393219002</v>
      </c>
      <c r="M139" s="17">
        <f t="shared" ca="1" si="142"/>
        <v>6482.9819529619735</v>
      </c>
      <c r="N139" s="17">
        <f t="shared" ca="1" si="143"/>
        <v>311922.27911091194</v>
      </c>
      <c r="O139" s="17">
        <f t="shared" si="144"/>
        <v>8968322.0208837911</v>
      </c>
      <c r="P139" s="17">
        <f t="shared" si="145"/>
        <v>0</v>
      </c>
      <c r="Q139" s="17">
        <f t="shared" si="146"/>
        <v>4509836.502554154</v>
      </c>
      <c r="R139" s="17">
        <f t="shared" si="147"/>
        <v>0</v>
      </c>
      <c r="S139" s="17">
        <f t="shared" ca="1" si="148"/>
        <v>11187824.945179919</v>
      </c>
      <c r="U139" s="17"/>
      <c r="V139" s="31"/>
    </row>
    <row r="140" spans="1:22" x14ac:dyDescent="0.2">
      <c r="A140" s="28">
        <f t="shared" si="127"/>
        <v>45839</v>
      </c>
      <c r="B140">
        <f t="shared" si="128"/>
        <v>7</v>
      </c>
      <c r="C140">
        <f t="shared" si="129"/>
        <v>2025</v>
      </c>
      <c r="E140" s="10">
        <f t="shared" ref="E140:F140" ca="1" si="157">E128</f>
        <v>0</v>
      </c>
      <c r="F140" s="10">
        <f t="shared" ca="1" si="157"/>
        <v>56.475141548990976</v>
      </c>
      <c r="G140">
        <f t="shared" si="131"/>
        <v>31</v>
      </c>
      <c r="H140">
        <f>'Monthly Data'!BR140</f>
        <v>0</v>
      </c>
      <c r="I140" s="17">
        <f>Economic!D140</f>
        <v>8257.3795499999997</v>
      </c>
      <c r="J140">
        <f t="shared" si="132"/>
        <v>0</v>
      </c>
      <c r="L140" s="17">
        <f t="shared" si="140"/>
        <v>-2608738.8393219002</v>
      </c>
      <c r="M140" s="17">
        <f t="shared" ca="1" si="142"/>
        <v>0</v>
      </c>
      <c r="N140" s="17">
        <f t="shared" ca="1" si="143"/>
        <v>702466.26827456255</v>
      </c>
      <c r="O140" s="17">
        <f t="shared" si="144"/>
        <v>9267266.0882465839</v>
      </c>
      <c r="P140" s="17">
        <f t="shared" si="145"/>
        <v>0</v>
      </c>
      <c r="Q140" s="17">
        <f t="shared" si="146"/>
        <v>4541546.0727729164</v>
      </c>
      <c r="R140" s="17">
        <f t="shared" si="147"/>
        <v>0</v>
      </c>
      <c r="S140" s="17">
        <f t="shared" ca="1" si="148"/>
        <v>11902539.589972163</v>
      </c>
      <c r="U140" s="17"/>
      <c r="V140" s="31"/>
    </row>
    <row r="141" spans="1:22" x14ac:dyDescent="0.2">
      <c r="A141" s="28">
        <f t="shared" si="127"/>
        <v>45870</v>
      </c>
      <c r="B141">
        <f t="shared" si="128"/>
        <v>8</v>
      </c>
      <c r="C141">
        <f t="shared" si="129"/>
        <v>2025</v>
      </c>
      <c r="E141" s="10">
        <f t="shared" ref="E141:F141" ca="1" si="158">E129</f>
        <v>0.1158333333333335</v>
      </c>
      <c r="F141" s="10">
        <f t="shared" ca="1" si="158"/>
        <v>35.296250000000008</v>
      </c>
      <c r="G141">
        <f t="shared" si="131"/>
        <v>31</v>
      </c>
      <c r="H141">
        <f>'Monthly Data'!BR141</f>
        <v>0</v>
      </c>
      <c r="I141" s="17">
        <f>Economic!D141</f>
        <v>8255.1504000000004</v>
      </c>
      <c r="J141">
        <f t="shared" si="132"/>
        <v>0</v>
      </c>
      <c r="L141" s="17">
        <f t="shared" si="140"/>
        <v>-2608738.8393219002</v>
      </c>
      <c r="M141" s="17">
        <f t="shared" ca="1" si="142"/>
        <v>596.58026578067893</v>
      </c>
      <c r="N141" s="17">
        <f t="shared" ca="1" si="143"/>
        <v>439032.54319561826</v>
      </c>
      <c r="O141" s="17">
        <f t="shared" si="144"/>
        <v>9267266.0882465839</v>
      </c>
      <c r="P141" s="17">
        <f t="shared" si="145"/>
        <v>0</v>
      </c>
      <c r="Q141" s="17">
        <f t="shared" si="146"/>
        <v>4540320.0436959174</v>
      </c>
      <c r="R141" s="17">
        <f t="shared" si="147"/>
        <v>0</v>
      </c>
      <c r="S141" s="17">
        <f t="shared" ca="1" si="148"/>
        <v>11638476.416082</v>
      </c>
      <c r="U141" s="17"/>
      <c r="V141" s="31"/>
    </row>
    <row r="142" spans="1:22" x14ac:dyDescent="0.2">
      <c r="A142" s="28">
        <f t="shared" si="127"/>
        <v>45901</v>
      </c>
      <c r="B142">
        <f t="shared" si="128"/>
        <v>9</v>
      </c>
      <c r="C142">
        <f t="shared" si="129"/>
        <v>2025</v>
      </c>
      <c r="E142" s="10">
        <f t="shared" ref="E142:F142" ca="1" si="159">E130</f>
        <v>11.597845892171184</v>
      </c>
      <c r="F142" s="10">
        <f t="shared" ca="1" si="159"/>
        <v>11.128958333333333</v>
      </c>
      <c r="G142">
        <f t="shared" si="131"/>
        <v>30</v>
      </c>
      <c r="H142">
        <f>'Monthly Data'!BR142</f>
        <v>0</v>
      </c>
      <c r="I142" s="17">
        <f>Economic!D142</f>
        <v>8231.2376999999997</v>
      </c>
      <c r="J142">
        <f t="shared" si="132"/>
        <v>1</v>
      </c>
      <c r="L142" s="17">
        <f t="shared" si="140"/>
        <v>-2608738.8393219002</v>
      </c>
      <c r="M142" s="17">
        <f t="shared" ca="1" si="142"/>
        <v>59732.771092099261</v>
      </c>
      <c r="N142" s="17">
        <f t="shared" ca="1" si="143"/>
        <v>138427.59160538021</v>
      </c>
      <c r="O142" s="17">
        <f t="shared" si="144"/>
        <v>8968322.0208837911</v>
      </c>
      <c r="P142" s="17">
        <f t="shared" si="145"/>
        <v>0</v>
      </c>
      <c r="Q142" s="17">
        <f t="shared" si="146"/>
        <v>4527168.0954153761</v>
      </c>
      <c r="R142" s="17">
        <f t="shared" si="147"/>
        <v>-307328.60270320397</v>
      </c>
      <c r="S142" s="17">
        <f t="shared" ca="1" si="148"/>
        <v>10777583.036971541</v>
      </c>
      <c r="U142" s="17"/>
      <c r="V142" s="31"/>
    </row>
    <row r="143" spans="1:22" x14ac:dyDescent="0.2">
      <c r="A143" s="28">
        <f t="shared" si="127"/>
        <v>45931</v>
      </c>
      <c r="B143">
        <f t="shared" si="128"/>
        <v>10</v>
      </c>
      <c r="C143">
        <f t="shared" si="129"/>
        <v>2025</v>
      </c>
      <c r="E143" s="10">
        <f t="shared" ref="E143:F143" ca="1" si="160">E131</f>
        <v>128.51888157360821</v>
      </c>
      <c r="F143" s="10">
        <f t="shared" ca="1" si="160"/>
        <v>0.44687499999999963</v>
      </c>
      <c r="G143">
        <f t="shared" si="131"/>
        <v>31</v>
      </c>
      <c r="H143">
        <f>'Monthly Data'!BR143</f>
        <v>0</v>
      </c>
      <c r="I143" s="17">
        <f>Economic!D143</f>
        <v>8216.9508750000005</v>
      </c>
      <c r="J143">
        <f t="shared" si="132"/>
        <v>1</v>
      </c>
      <c r="L143" s="17">
        <f t="shared" si="140"/>
        <v>-2608738.8393219002</v>
      </c>
      <c r="M143" s="17">
        <f t="shared" ca="1" si="142"/>
        <v>661915.06642030517</v>
      </c>
      <c r="N143" s="17">
        <f t="shared" ca="1" si="143"/>
        <v>5558.4564292394152</v>
      </c>
      <c r="O143" s="17">
        <f t="shared" si="144"/>
        <v>9267266.0882465839</v>
      </c>
      <c r="P143" s="17">
        <f t="shared" si="145"/>
        <v>0</v>
      </c>
      <c r="Q143" s="17">
        <f t="shared" si="146"/>
        <v>4519310.3636036972</v>
      </c>
      <c r="R143" s="17">
        <f t="shared" si="147"/>
        <v>-307328.60270320397</v>
      </c>
      <c r="S143" s="17">
        <f t="shared" ca="1" si="148"/>
        <v>11537982.532674721</v>
      </c>
      <c r="U143" s="17"/>
      <c r="V143" s="31"/>
    </row>
    <row r="144" spans="1:22" x14ac:dyDescent="0.2">
      <c r="A144" s="28">
        <f t="shared" si="127"/>
        <v>45962</v>
      </c>
      <c r="B144">
        <f t="shared" si="128"/>
        <v>11</v>
      </c>
      <c r="C144">
        <f t="shared" si="129"/>
        <v>2025</v>
      </c>
      <c r="E144" s="10">
        <f t="shared" ref="E144:F144" ca="1" si="161">E132</f>
        <v>332.1049960098469</v>
      </c>
      <c r="F144" s="10">
        <f t="shared" ca="1" si="161"/>
        <v>0</v>
      </c>
      <c r="G144">
        <f t="shared" si="131"/>
        <v>30</v>
      </c>
      <c r="H144">
        <f>'Monthly Data'!BR144</f>
        <v>0</v>
      </c>
      <c r="I144" s="17">
        <f>Economic!D144</f>
        <v>8208.5409</v>
      </c>
      <c r="J144">
        <f t="shared" si="132"/>
        <v>0</v>
      </c>
      <c r="L144" s="17">
        <f t="shared" si="140"/>
        <v>-2608738.8393219002</v>
      </c>
      <c r="M144" s="17">
        <f t="shared" ca="1" si="142"/>
        <v>1710451.3967192417</v>
      </c>
      <c r="N144" s="17">
        <f t="shared" ca="1" si="143"/>
        <v>0</v>
      </c>
      <c r="O144" s="17">
        <f t="shared" si="144"/>
        <v>8968322.0208837911</v>
      </c>
      <c r="P144" s="17">
        <f t="shared" si="145"/>
        <v>0</v>
      </c>
      <c r="Q144" s="17">
        <f t="shared" si="146"/>
        <v>4514684.8902677437</v>
      </c>
      <c r="R144" s="17">
        <f t="shared" si="147"/>
        <v>0</v>
      </c>
      <c r="S144" s="17">
        <f t="shared" ca="1" si="148"/>
        <v>12584719.468548875</v>
      </c>
      <c r="U144" s="17"/>
      <c r="V144" s="31"/>
    </row>
    <row r="145" spans="1:22" x14ac:dyDescent="0.2">
      <c r="A145" s="28">
        <f t="shared" si="127"/>
        <v>45992</v>
      </c>
      <c r="B145">
        <f t="shared" si="128"/>
        <v>12</v>
      </c>
      <c r="C145">
        <f t="shared" si="129"/>
        <v>2025</v>
      </c>
      <c r="E145" s="10">
        <f t="shared" ref="E145:F145" ca="1" si="162">E133</f>
        <v>508.62936502461724</v>
      </c>
      <c r="F145" s="10">
        <f t="shared" ca="1" si="162"/>
        <v>0</v>
      </c>
      <c r="G145">
        <f t="shared" si="131"/>
        <v>31</v>
      </c>
      <c r="H145">
        <f>'Monthly Data'!BR145</f>
        <v>0</v>
      </c>
      <c r="I145" s="17">
        <f>Economic!D145</f>
        <v>8204.5892249999997</v>
      </c>
      <c r="J145">
        <f t="shared" si="132"/>
        <v>0</v>
      </c>
      <c r="L145" s="17">
        <f t="shared" si="140"/>
        <v>-2608738.8393219002</v>
      </c>
      <c r="M145" s="17">
        <f t="shared" ca="1" si="142"/>
        <v>2619610.7203186504</v>
      </c>
      <c r="N145" s="17">
        <f t="shared" ca="1" si="143"/>
        <v>0</v>
      </c>
      <c r="O145" s="17">
        <f t="shared" si="144"/>
        <v>9267266.0882465839</v>
      </c>
      <c r="P145" s="17">
        <f t="shared" si="145"/>
        <v>0</v>
      </c>
      <c r="Q145" s="17">
        <f t="shared" si="146"/>
        <v>4512511.4750857903</v>
      </c>
      <c r="R145" s="17">
        <f t="shared" si="147"/>
        <v>0</v>
      </c>
      <c r="S145" s="17">
        <f t="shared" ca="1" si="148"/>
        <v>13790649.444329124</v>
      </c>
      <c r="U145" s="17"/>
      <c r="V145" s="31"/>
    </row>
    <row r="146" spans="1:22" x14ac:dyDescent="0.2">
      <c r="U146" s="17"/>
      <c r="V146" s="31"/>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1120-EF65-42A5-8B6D-C8C06E179A05}">
  <sheetPr codeName="Sheet17"/>
  <dimension ref="A1:AA146"/>
  <sheetViews>
    <sheetView topLeftCell="A91" workbookViewId="0">
      <selection activeCell="D133" sqref="D133"/>
    </sheetView>
  </sheetViews>
  <sheetFormatPr defaultRowHeight="12.75" x14ac:dyDescent="0.2"/>
  <cols>
    <col min="1" max="1" width="12.1640625" style="28" customWidth="1"/>
    <col min="4" max="4" width="19.5" style="18" bestFit="1" customWidth="1"/>
    <col min="10" max="10" width="11.33203125" bestFit="1" customWidth="1"/>
    <col min="13" max="13" width="14.6640625" bestFit="1" customWidth="1"/>
    <col min="14" max="15" width="12.83203125" bestFit="1" customWidth="1"/>
    <col min="16" max="16" width="13.6640625" bestFit="1" customWidth="1"/>
    <col min="17" max="17" width="13.83203125" bestFit="1" customWidth="1"/>
    <col min="18" max="18" width="13.6640625" bestFit="1" customWidth="1"/>
    <col min="19" max="19" width="11.33203125" bestFit="1" customWidth="1"/>
    <col min="20" max="20" width="8.83203125" bestFit="1" customWidth="1"/>
    <col min="21" max="21" width="16" bestFit="1" customWidth="1"/>
    <col min="23" max="23" width="14.83203125" bestFit="1" customWidth="1"/>
  </cols>
  <sheetData>
    <row r="1" spans="1:27"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134</v>
      </c>
      <c r="N1" t="str">
        <f>E1</f>
        <v>HDD10</v>
      </c>
      <c r="O1" t="str">
        <f>F1</f>
        <v>CDD16</v>
      </c>
      <c r="P1" t="str">
        <f t="shared" ref="P1:T1" si="0">G1</f>
        <v>Trend</v>
      </c>
      <c r="Q1" t="str">
        <f t="shared" si="0"/>
        <v>MonthDays</v>
      </c>
      <c r="R1" t="str">
        <f t="shared" si="0"/>
        <v>COVID_AM</v>
      </c>
      <c r="S1" t="str">
        <f t="shared" si="0"/>
        <v>OEAGDP</v>
      </c>
      <c r="T1" t="str">
        <f t="shared" si="0"/>
        <v>Fall</v>
      </c>
      <c r="U1" t="s">
        <v>164</v>
      </c>
    </row>
    <row r="2" spans="1:27" x14ac:dyDescent="0.2">
      <c r="A2" s="28">
        <f>'Monthly Data'!A2</f>
        <v>41640</v>
      </c>
      <c r="B2">
        <f>'Monthly Data'!C2</f>
        <v>1</v>
      </c>
      <c r="C2">
        <f>'Monthly Data'!B2</f>
        <v>2014</v>
      </c>
      <c r="D2" s="18">
        <f>'Monthly Data'!N2</f>
        <v>37912615.661932133</v>
      </c>
      <c r="E2" s="215">
        <f ca="1">Weather!CT36</f>
        <v>666.68367523535153</v>
      </c>
      <c r="F2" s="216">
        <f ca="1">Weather!BB36</f>
        <v>0</v>
      </c>
      <c r="G2">
        <f>'Monthly Data'!AV2</f>
        <v>1</v>
      </c>
      <c r="H2">
        <f>'Monthly Data'!BO2</f>
        <v>31</v>
      </c>
      <c r="I2">
        <f>'Monthly Data'!BR2</f>
        <v>0</v>
      </c>
      <c r="J2" s="17">
        <f>'Monthly Data'!AT2</f>
        <v>699057</v>
      </c>
      <c r="K2">
        <f>'Monthly Data'!BJ2</f>
        <v>0</v>
      </c>
      <c r="M2" s="17">
        <f t="shared" ref="M2:M33" si="1">$X$7</f>
        <v>-9501475.1395959798</v>
      </c>
      <c r="N2" s="17">
        <f ca="1">E2*$X$8</f>
        <v>7827989.0731372358</v>
      </c>
      <c r="O2" s="17">
        <f ca="1">F2*$X$9</f>
        <v>0</v>
      </c>
      <c r="P2" s="17">
        <f>G2*$X$10</f>
        <v>-35917.466268607197</v>
      </c>
      <c r="Q2" s="17">
        <f>H2*$X$11</f>
        <v>25636435.683383022</v>
      </c>
      <c r="R2" s="17">
        <f>I2*$X$12</f>
        <v>0</v>
      </c>
      <c r="S2" s="17">
        <f>J2*$X$13</f>
        <v>11919386.642166922</v>
      </c>
      <c r="T2" s="17">
        <f>K2*$X$14</f>
        <v>0</v>
      </c>
      <c r="U2" s="17">
        <f ca="1">SUM(M2:T2)</f>
        <v>35846418.792822592</v>
      </c>
      <c r="W2" t="s">
        <v>488</v>
      </c>
    </row>
    <row r="3" spans="1:27" x14ac:dyDescent="0.2">
      <c r="A3" s="28">
        <f>'Monthly Data'!A3</f>
        <v>41671</v>
      </c>
      <c r="B3">
        <f>'Monthly Data'!C3</f>
        <v>2</v>
      </c>
      <c r="C3">
        <f>'Monthly Data'!B3</f>
        <v>2014</v>
      </c>
      <c r="D3" s="18">
        <f>'Monthly Data'!N3</f>
        <v>34082149.833342381</v>
      </c>
      <c r="E3" s="215">
        <f ca="1">Weather!CT37</f>
        <v>599.3508333333333</v>
      </c>
      <c r="F3" s="216">
        <f ca="1">Weather!BB37</f>
        <v>0</v>
      </c>
      <c r="G3">
        <f>'Monthly Data'!AV3</f>
        <v>2</v>
      </c>
      <c r="H3">
        <f>'Monthly Data'!BO3</f>
        <v>28</v>
      </c>
      <c r="I3">
        <f>'Monthly Data'!BR3</f>
        <v>0</v>
      </c>
      <c r="J3" s="17">
        <f>'Monthly Data'!AT3</f>
        <v>699057</v>
      </c>
      <c r="K3">
        <f>'Monthly Data'!BJ3</f>
        <v>0</v>
      </c>
      <c r="M3" s="17">
        <f t="shared" si="1"/>
        <v>-9501475.1395959798</v>
      </c>
      <c r="N3" s="17">
        <f t="shared" ref="N3:N66" ca="1" si="2">E3*$X$8</f>
        <v>7037388.1176148038</v>
      </c>
      <c r="O3" s="17">
        <f t="shared" ref="O3:O66" ca="1" si="3">F3*$X$9</f>
        <v>0</v>
      </c>
      <c r="P3" s="17">
        <f t="shared" ref="P3:P66" si="4">G3*$X$10</f>
        <v>-71834.932537214394</v>
      </c>
      <c r="Q3" s="17">
        <f t="shared" ref="Q3:Q66" si="5">H3*$X$11</f>
        <v>23155490.294668537</v>
      </c>
      <c r="R3" s="17">
        <f t="shared" ref="R3:R66" si="6">I3*$X$12</f>
        <v>0</v>
      </c>
      <c r="S3" s="17">
        <f t="shared" ref="S3:S66" si="7">J3*$X$13</f>
        <v>11919386.642166922</v>
      </c>
      <c r="T3" s="17">
        <f t="shared" ref="T3:T66" si="8">K3*$X$14</f>
        <v>0</v>
      </c>
      <c r="U3" s="17">
        <f t="shared" ref="U3:U66" ca="1" si="9">SUM(M3:T3)</f>
        <v>32538954.982317068</v>
      </c>
      <c r="W3" t="s">
        <v>155</v>
      </c>
    </row>
    <row r="4" spans="1:27" x14ac:dyDescent="0.2">
      <c r="A4" s="28">
        <f>'Monthly Data'!A4</f>
        <v>41699</v>
      </c>
      <c r="B4">
        <f>'Monthly Data'!C4</f>
        <v>3</v>
      </c>
      <c r="C4">
        <f>'Monthly Data'!B4</f>
        <v>2014</v>
      </c>
      <c r="D4" s="18">
        <f>'Monthly Data'!N4</f>
        <v>36202532.155469894</v>
      </c>
      <c r="E4" s="215">
        <f ca="1">Weather!CT38</f>
        <v>469.11853767651354</v>
      </c>
      <c r="F4" s="216">
        <f ca="1">Weather!BB38</f>
        <v>0</v>
      </c>
      <c r="G4">
        <f>'Monthly Data'!AV4</f>
        <v>3</v>
      </c>
      <c r="H4">
        <f>'Monthly Data'!BO4</f>
        <v>31</v>
      </c>
      <c r="I4">
        <f>'Monthly Data'!BR4</f>
        <v>0</v>
      </c>
      <c r="J4" s="17">
        <f>'Monthly Data'!AT4</f>
        <v>699057</v>
      </c>
      <c r="K4">
        <f>'Monthly Data'!BJ4</f>
        <v>0</v>
      </c>
      <c r="M4" s="17">
        <f t="shared" si="1"/>
        <v>-9501475.1395959798</v>
      </c>
      <c r="N4" s="17">
        <f t="shared" ca="1" si="2"/>
        <v>5508241.6494471589</v>
      </c>
      <c r="O4" s="17">
        <f t="shared" ca="1" si="3"/>
        <v>0</v>
      </c>
      <c r="P4" s="17">
        <f t="shared" si="4"/>
        <v>-107752.39880582159</v>
      </c>
      <c r="Q4" s="17">
        <f t="shared" si="5"/>
        <v>25636435.683383022</v>
      </c>
      <c r="R4" s="17">
        <f t="shared" si="6"/>
        <v>0</v>
      </c>
      <c r="S4" s="17">
        <f t="shared" si="7"/>
        <v>11919386.642166922</v>
      </c>
      <c r="T4" s="17">
        <f t="shared" si="8"/>
        <v>0</v>
      </c>
      <c r="U4" s="17">
        <f t="shared" ca="1" si="9"/>
        <v>33454836.436595298</v>
      </c>
      <c r="W4" t="s">
        <v>492</v>
      </c>
    </row>
    <row r="5" spans="1:27" x14ac:dyDescent="0.2">
      <c r="A5" s="28">
        <f>'Monthly Data'!A5</f>
        <v>41730</v>
      </c>
      <c r="B5">
        <f>'Monthly Data'!C5</f>
        <v>4</v>
      </c>
      <c r="C5">
        <f>'Monthly Data'!B5</f>
        <v>2014</v>
      </c>
      <c r="D5" s="18">
        <f>'Monthly Data'!N5</f>
        <v>31122302.337819774</v>
      </c>
      <c r="E5" s="215">
        <f ca="1">Weather!CT39</f>
        <v>233.92395833333336</v>
      </c>
      <c r="F5" s="216">
        <f ca="1">Weather!BB39</f>
        <v>1.1666666666666714E-2</v>
      </c>
      <c r="G5">
        <f>'Monthly Data'!AV5</f>
        <v>4</v>
      </c>
      <c r="H5">
        <f>'Monthly Data'!BO5</f>
        <v>30</v>
      </c>
      <c r="I5">
        <f>'Monthly Data'!BR5</f>
        <v>0</v>
      </c>
      <c r="J5" s="17">
        <f>'Monthly Data'!AT5</f>
        <v>705966</v>
      </c>
      <c r="K5">
        <f>'Monthly Data'!BJ5</f>
        <v>0</v>
      </c>
      <c r="M5" s="17">
        <f t="shared" si="1"/>
        <v>-9501475.1395959798</v>
      </c>
      <c r="N5" s="17">
        <f t="shared" ca="1" si="2"/>
        <v>2746661.2095037615</v>
      </c>
      <c r="O5" s="17">
        <f t="shared" ca="1" si="3"/>
        <v>254.51489892739153</v>
      </c>
      <c r="P5" s="17">
        <f t="shared" si="4"/>
        <v>-143669.86507442879</v>
      </c>
      <c r="Q5" s="17">
        <f t="shared" si="5"/>
        <v>24809453.88714486</v>
      </c>
      <c r="R5" s="17">
        <f t="shared" si="6"/>
        <v>0</v>
      </c>
      <c r="S5" s="17">
        <f t="shared" si="7"/>
        <v>12037189.685853964</v>
      </c>
      <c r="T5" s="17">
        <f t="shared" si="8"/>
        <v>0</v>
      </c>
      <c r="U5" s="17">
        <f t="shared" ca="1" si="9"/>
        <v>29948414.292731106</v>
      </c>
    </row>
    <row r="6" spans="1:27" x14ac:dyDescent="0.2">
      <c r="A6" s="28">
        <f>'Monthly Data'!A6</f>
        <v>41760</v>
      </c>
      <c r="B6">
        <f>'Monthly Data'!C6</f>
        <v>5</v>
      </c>
      <c r="C6">
        <f>'Monthly Data'!B6</f>
        <v>2014</v>
      </c>
      <c r="D6" s="18">
        <f>'Monthly Data'!N6</f>
        <v>29213195.613046642</v>
      </c>
      <c r="E6" s="215">
        <f ca="1">Weather!CT40</f>
        <v>46.324929225504526</v>
      </c>
      <c r="F6" s="216">
        <f ca="1">Weather!BB40</f>
        <v>19.778958333333328</v>
      </c>
      <c r="G6">
        <f>'Monthly Data'!AV6</f>
        <v>5</v>
      </c>
      <c r="H6">
        <f>'Monthly Data'!BO6</f>
        <v>31</v>
      </c>
      <c r="I6">
        <f>'Monthly Data'!BR6</f>
        <v>0</v>
      </c>
      <c r="J6" s="17">
        <f>'Monthly Data'!AT6</f>
        <v>705966</v>
      </c>
      <c r="K6">
        <f>'Monthly Data'!BJ6</f>
        <v>0</v>
      </c>
      <c r="M6" s="17">
        <f t="shared" si="1"/>
        <v>-9501475.1395959798</v>
      </c>
      <c r="N6" s="17">
        <f t="shared" ca="1" si="2"/>
        <v>543932.68241207476</v>
      </c>
      <c r="O6" s="17">
        <f t="shared" ca="1" si="3"/>
        <v>431489.10695120576</v>
      </c>
      <c r="P6" s="17">
        <f t="shared" si="4"/>
        <v>-179587.33134303597</v>
      </c>
      <c r="Q6" s="17">
        <f t="shared" si="5"/>
        <v>25636435.683383022</v>
      </c>
      <c r="R6" s="17">
        <f t="shared" si="6"/>
        <v>0</v>
      </c>
      <c r="S6" s="17">
        <f t="shared" si="7"/>
        <v>12037189.685853964</v>
      </c>
      <c r="T6" s="17">
        <f t="shared" si="8"/>
        <v>0</v>
      </c>
      <c r="U6" s="17">
        <f t="shared" ca="1" si="9"/>
        <v>28967984.687661253</v>
      </c>
      <c r="X6" t="s">
        <v>139</v>
      </c>
      <c r="Y6" t="s">
        <v>140</v>
      </c>
      <c r="Z6" t="s">
        <v>141</v>
      </c>
      <c r="AA6" t="s">
        <v>142</v>
      </c>
    </row>
    <row r="7" spans="1:27" x14ac:dyDescent="0.2">
      <c r="A7" s="28">
        <f>'Monthly Data'!A7</f>
        <v>41791</v>
      </c>
      <c r="B7">
        <f>'Monthly Data'!C7</f>
        <v>6</v>
      </c>
      <c r="C7">
        <f>'Monthly Data'!B7</f>
        <v>2014</v>
      </c>
      <c r="D7" s="18">
        <f>'Monthly Data'!N7</f>
        <v>28067407.907230251</v>
      </c>
      <c r="E7" s="215">
        <f ca="1">Weather!CT41</f>
        <v>1.25875</v>
      </c>
      <c r="F7" s="216">
        <f ca="1">Weather!BB41</f>
        <v>53.293685210734182</v>
      </c>
      <c r="G7">
        <f>'Monthly Data'!AV7</f>
        <v>6</v>
      </c>
      <c r="H7">
        <f>'Monthly Data'!BO7</f>
        <v>30</v>
      </c>
      <c r="I7">
        <f>'Monthly Data'!BR7</f>
        <v>0</v>
      </c>
      <c r="J7" s="17">
        <f>'Monthly Data'!AT7</f>
        <v>705966</v>
      </c>
      <c r="K7">
        <f>'Monthly Data'!BJ7</f>
        <v>0</v>
      </c>
      <c r="M7" s="17">
        <f t="shared" si="1"/>
        <v>-9501475.1395959798</v>
      </c>
      <c r="N7" s="17">
        <f t="shared" ca="1" si="2"/>
        <v>14779.844792709282</v>
      </c>
      <c r="O7" s="17">
        <f t="shared" ca="1" si="3"/>
        <v>1162631.7347038437</v>
      </c>
      <c r="P7" s="17">
        <f t="shared" si="4"/>
        <v>-215504.79761164318</v>
      </c>
      <c r="Q7" s="17">
        <f t="shared" si="5"/>
        <v>24809453.88714486</v>
      </c>
      <c r="R7" s="17">
        <f t="shared" si="6"/>
        <v>0</v>
      </c>
      <c r="S7" s="17">
        <f t="shared" si="7"/>
        <v>12037189.685853964</v>
      </c>
      <c r="T7" s="17">
        <f t="shared" si="8"/>
        <v>0</v>
      </c>
      <c r="U7" s="17">
        <f t="shared" ca="1" si="9"/>
        <v>28307075.215287752</v>
      </c>
      <c r="W7" t="s">
        <v>134</v>
      </c>
      <c r="X7" s="105">
        <v>-9501475.1395959798</v>
      </c>
      <c r="Y7" s="105">
        <v>3621459.8463115701</v>
      </c>
      <c r="Z7" s="76">
        <v>-2.6236588400319198</v>
      </c>
      <c r="AA7" s="251">
        <v>9.8004168508518293E-3</v>
      </c>
    </row>
    <row r="8" spans="1:27" x14ac:dyDescent="0.2">
      <c r="A8" s="28">
        <f>'Monthly Data'!A8</f>
        <v>41821</v>
      </c>
      <c r="B8">
        <f>'Monthly Data'!C8</f>
        <v>7</v>
      </c>
      <c r="C8">
        <f>'Monthly Data'!B8</f>
        <v>2014</v>
      </c>
      <c r="D8" s="18">
        <f>'Monthly Data'!N8</f>
        <v>28019396.695157461</v>
      </c>
      <c r="E8" s="215">
        <f ca="1">Weather!CT42</f>
        <v>0</v>
      </c>
      <c r="F8" s="216">
        <f ca="1">Weather!BB42</f>
        <v>104.42694776957208</v>
      </c>
      <c r="G8">
        <f>'Monthly Data'!AV8</f>
        <v>7</v>
      </c>
      <c r="H8">
        <f>'Monthly Data'!BO8</f>
        <v>31</v>
      </c>
      <c r="I8">
        <f>'Monthly Data'!BR8</f>
        <v>0</v>
      </c>
      <c r="J8" s="17">
        <f>'Monthly Data'!AT8</f>
        <v>713152</v>
      </c>
      <c r="K8">
        <f>'Monthly Data'!BJ8</f>
        <v>0</v>
      </c>
      <c r="M8" s="17">
        <f t="shared" si="1"/>
        <v>-9501475.1395959798</v>
      </c>
      <c r="N8" s="17">
        <f t="shared" ca="1" si="2"/>
        <v>0</v>
      </c>
      <c r="O8" s="17">
        <f t="shared" ca="1" si="3"/>
        <v>2278132.6334458739</v>
      </c>
      <c r="P8" s="17">
        <f t="shared" si="4"/>
        <v>-251422.26388025039</v>
      </c>
      <c r="Q8" s="17">
        <f t="shared" si="5"/>
        <v>25636435.683383022</v>
      </c>
      <c r="R8" s="17">
        <f t="shared" si="6"/>
        <v>0</v>
      </c>
      <c r="S8" s="17">
        <f t="shared" si="7"/>
        <v>12159715.76371401</v>
      </c>
      <c r="T8" s="17">
        <f t="shared" si="8"/>
        <v>0</v>
      </c>
      <c r="U8" s="17">
        <f t="shared" ca="1" si="9"/>
        <v>30321386.677066676</v>
      </c>
      <c r="W8" t="s">
        <v>34</v>
      </c>
      <c r="X8" s="105">
        <v>11741.684045846499</v>
      </c>
      <c r="Y8" s="105">
        <v>340.50341561495401</v>
      </c>
      <c r="Z8" s="76">
        <v>34.483307677371997</v>
      </c>
      <c r="AA8" s="251">
        <v>4.4807285194303098E-65</v>
      </c>
    </row>
    <row r="9" spans="1:27" x14ac:dyDescent="0.2">
      <c r="A9" s="28">
        <f>'Monthly Data'!A9</f>
        <v>41852</v>
      </c>
      <c r="B9">
        <f>'Monthly Data'!C9</f>
        <v>8</v>
      </c>
      <c r="C9">
        <f>'Monthly Data'!B9</f>
        <v>2014</v>
      </c>
      <c r="D9" s="18">
        <f>'Monthly Data'!N9</f>
        <v>28140240.283092655</v>
      </c>
      <c r="E9" s="215">
        <f ca="1">Weather!CT43</f>
        <v>0.1158333333333335</v>
      </c>
      <c r="F9" s="216">
        <f ca="1">Weather!BB43</f>
        <v>74.696666666666673</v>
      </c>
      <c r="G9">
        <f>'Monthly Data'!AV9</f>
        <v>8</v>
      </c>
      <c r="H9">
        <f>'Monthly Data'!BO9</f>
        <v>31</v>
      </c>
      <c r="I9">
        <f>'Monthly Data'!BR9</f>
        <v>0</v>
      </c>
      <c r="J9" s="17">
        <f>'Monthly Data'!AT9</f>
        <v>713152</v>
      </c>
      <c r="K9">
        <f>'Monthly Data'!BJ9</f>
        <v>0</v>
      </c>
      <c r="M9" s="17">
        <f t="shared" si="1"/>
        <v>-9501475.1395959798</v>
      </c>
      <c r="N9" s="17">
        <f t="shared" ca="1" si="2"/>
        <v>1360.0784019772213</v>
      </c>
      <c r="O9" s="17">
        <f t="shared" ca="1" si="3"/>
        <v>1629549.8200182556</v>
      </c>
      <c r="P9" s="17">
        <f t="shared" si="4"/>
        <v>-287339.73014885758</v>
      </c>
      <c r="Q9" s="17">
        <f t="shared" si="5"/>
        <v>25636435.683383022</v>
      </c>
      <c r="R9" s="17">
        <f t="shared" si="6"/>
        <v>0</v>
      </c>
      <c r="S9" s="17">
        <f t="shared" si="7"/>
        <v>12159715.76371401</v>
      </c>
      <c r="T9" s="17">
        <f t="shared" si="8"/>
        <v>0</v>
      </c>
      <c r="U9" s="17">
        <f t="shared" ca="1" si="9"/>
        <v>29638246.475772426</v>
      </c>
      <c r="W9" t="s">
        <v>29</v>
      </c>
      <c r="X9" s="105">
        <v>21815.562765204901</v>
      </c>
      <c r="Y9" s="105">
        <v>1912.8817201296799</v>
      </c>
      <c r="Z9" s="76">
        <v>11.404553943735699</v>
      </c>
      <c r="AA9" s="251">
        <v>5.3447480253911997E-21</v>
      </c>
    </row>
    <row r="10" spans="1:27" x14ac:dyDescent="0.2">
      <c r="A10" s="28">
        <f>'Monthly Data'!A10</f>
        <v>41883</v>
      </c>
      <c r="B10">
        <f>'Monthly Data'!C10</f>
        <v>9</v>
      </c>
      <c r="C10">
        <f>'Monthly Data'!B10</f>
        <v>2014</v>
      </c>
      <c r="D10" s="18">
        <f>'Monthly Data'!N10</f>
        <v>28441518.027214915</v>
      </c>
      <c r="E10" s="215">
        <f ca="1">Weather!CT44</f>
        <v>11.597845892171184</v>
      </c>
      <c r="F10" s="216">
        <f ca="1">Weather!BB44</f>
        <v>25.91041666666667</v>
      </c>
      <c r="G10">
        <f>'Monthly Data'!AV10</f>
        <v>9</v>
      </c>
      <c r="H10">
        <f>'Monthly Data'!BO10</f>
        <v>30</v>
      </c>
      <c r="I10">
        <f>'Monthly Data'!BR10</f>
        <v>0</v>
      </c>
      <c r="J10" s="17">
        <f>'Monthly Data'!AT10</f>
        <v>713152</v>
      </c>
      <c r="K10">
        <f>'Monthly Data'!BJ10</f>
        <v>1</v>
      </c>
      <c r="M10" s="17">
        <f t="shared" si="1"/>
        <v>-9501475.1395959798</v>
      </c>
      <c r="N10" s="17">
        <f t="shared" ca="1" si="2"/>
        <v>136178.24207829277</v>
      </c>
      <c r="O10" s="17">
        <f t="shared" ca="1" si="3"/>
        <v>565250.3210642779</v>
      </c>
      <c r="P10" s="17">
        <f t="shared" si="4"/>
        <v>-323257.19641746476</v>
      </c>
      <c r="Q10" s="17">
        <f t="shared" si="5"/>
        <v>24809453.88714486</v>
      </c>
      <c r="R10" s="17">
        <f t="shared" si="6"/>
        <v>0</v>
      </c>
      <c r="S10" s="17">
        <f t="shared" si="7"/>
        <v>12159715.76371401</v>
      </c>
      <c r="T10" s="17">
        <f t="shared" si="8"/>
        <v>413783.55369814899</v>
      </c>
      <c r="U10" s="17">
        <f t="shared" ca="1" si="9"/>
        <v>28259649.431686144</v>
      </c>
      <c r="W10" t="s">
        <v>47</v>
      </c>
      <c r="X10" s="105">
        <v>-35917.466268607197</v>
      </c>
      <c r="Y10" s="105">
        <v>7838.7253453206304</v>
      </c>
      <c r="Z10" s="76">
        <v>-4.5820544395076004</v>
      </c>
      <c r="AA10" s="251">
        <v>1.1131639584773E-5</v>
      </c>
    </row>
    <row r="11" spans="1:27" x14ac:dyDescent="0.2">
      <c r="A11" s="28">
        <f>'Monthly Data'!A11</f>
        <v>41913</v>
      </c>
      <c r="B11">
        <f>'Monthly Data'!C11</f>
        <v>10</v>
      </c>
      <c r="C11">
        <f>'Monthly Data'!B11</f>
        <v>2014</v>
      </c>
      <c r="D11" s="18">
        <f>'Monthly Data'!N11</f>
        <v>30844451.580300067</v>
      </c>
      <c r="E11" s="215">
        <f ca="1">Weather!CT45</f>
        <v>128.51888157360821</v>
      </c>
      <c r="F11" s="216">
        <f ca="1">Weather!BB45</f>
        <v>2.0656249999999989</v>
      </c>
      <c r="G11">
        <f>'Monthly Data'!AV11</f>
        <v>10</v>
      </c>
      <c r="H11">
        <f>'Monthly Data'!BO11</f>
        <v>31</v>
      </c>
      <c r="I11">
        <f>'Monthly Data'!BR11</f>
        <v>0</v>
      </c>
      <c r="J11" s="17">
        <f>'Monthly Data'!AT11</f>
        <v>716976</v>
      </c>
      <c r="K11">
        <f>'Monthly Data'!BJ11</f>
        <v>1</v>
      </c>
      <c r="M11" s="17">
        <f t="shared" si="1"/>
        <v>-9501475.1395959798</v>
      </c>
      <c r="N11" s="17">
        <f t="shared" ca="1" si="2"/>
        <v>1509028.1013628712</v>
      </c>
      <c r="O11" s="17">
        <f t="shared" ca="1" si="3"/>
        <v>45062.771836876353</v>
      </c>
      <c r="P11" s="17">
        <f t="shared" si="4"/>
        <v>-359174.66268607194</v>
      </c>
      <c r="Q11" s="17">
        <f t="shared" si="5"/>
        <v>25636435.683383022</v>
      </c>
      <c r="R11" s="17">
        <f t="shared" si="6"/>
        <v>0</v>
      </c>
      <c r="S11" s="17">
        <f t="shared" si="7"/>
        <v>12224917.506232355</v>
      </c>
      <c r="T11" s="17">
        <f t="shared" si="8"/>
        <v>413783.55369814899</v>
      </c>
      <c r="U11" s="17">
        <f t="shared" ca="1" si="9"/>
        <v>29968577.814231221</v>
      </c>
      <c r="W11" t="s">
        <v>66</v>
      </c>
      <c r="X11" s="105">
        <v>826981.79623816197</v>
      </c>
      <c r="Y11" s="105">
        <v>45971.413026811002</v>
      </c>
      <c r="Z11" s="76">
        <v>17.989044534173001</v>
      </c>
      <c r="AA11" s="251">
        <v>3.0448706922036697E-36</v>
      </c>
    </row>
    <row r="12" spans="1:27" x14ac:dyDescent="0.2">
      <c r="A12" s="28">
        <f>'Monthly Data'!A12</f>
        <v>41944</v>
      </c>
      <c r="B12">
        <f>'Monthly Data'!C12</f>
        <v>11</v>
      </c>
      <c r="C12">
        <f>'Monthly Data'!B12</f>
        <v>2014</v>
      </c>
      <c r="D12" s="18">
        <f>'Monthly Data'!N12</f>
        <v>32830100.218734831</v>
      </c>
      <c r="E12" s="215">
        <f ca="1">Weather!CT46</f>
        <v>332.1049960098469</v>
      </c>
      <c r="F12" s="216">
        <f ca="1">Weather!BB46</f>
        <v>0</v>
      </c>
      <c r="G12">
        <f>'Monthly Data'!AV12</f>
        <v>11</v>
      </c>
      <c r="H12">
        <f>'Monthly Data'!BO12</f>
        <v>30</v>
      </c>
      <c r="I12">
        <f>'Monthly Data'!BR12</f>
        <v>0</v>
      </c>
      <c r="J12" s="17">
        <f>'Monthly Data'!AT12</f>
        <v>716976</v>
      </c>
      <c r="K12">
        <f>'Monthly Data'!BJ12</f>
        <v>1</v>
      </c>
      <c r="M12" s="17">
        <f t="shared" si="1"/>
        <v>-9501475.1395959798</v>
      </c>
      <c r="N12" s="17">
        <f t="shared" ca="1" si="2"/>
        <v>3899471.9331947346</v>
      </c>
      <c r="O12" s="17">
        <f t="shared" ca="1" si="3"/>
        <v>0</v>
      </c>
      <c r="P12" s="17">
        <f t="shared" si="4"/>
        <v>-395092.12895467918</v>
      </c>
      <c r="Q12" s="17">
        <f t="shared" si="5"/>
        <v>24809453.88714486</v>
      </c>
      <c r="R12" s="17">
        <f t="shared" si="6"/>
        <v>0</v>
      </c>
      <c r="S12" s="17">
        <f t="shared" si="7"/>
        <v>12224917.506232355</v>
      </c>
      <c r="T12" s="17">
        <f t="shared" si="8"/>
        <v>413783.55369814899</v>
      </c>
      <c r="U12" s="17">
        <f t="shared" ca="1" si="9"/>
        <v>31451059.611719437</v>
      </c>
      <c r="W12" t="s">
        <v>69</v>
      </c>
      <c r="X12" s="105">
        <v>-1932105.38036072</v>
      </c>
      <c r="Y12" s="105">
        <v>517635.81692495203</v>
      </c>
      <c r="Z12" s="76">
        <v>-3.7325573640527998</v>
      </c>
      <c r="AA12" s="251">
        <v>2.8831258096878798E-4</v>
      </c>
    </row>
    <row r="13" spans="1:27" x14ac:dyDescent="0.2">
      <c r="A13" s="28">
        <f>'Monthly Data'!A13</f>
        <v>41974</v>
      </c>
      <c r="B13">
        <f>'Monthly Data'!C13</f>
        <v>12</v>
      </c>
      <c r="C13">
        <f>'Monthly Data'!B13</f>
        <v>2014</v>
      </c>
      <c r="D13" s="18">
        <f>'Monthly Data'!N13</f>
        <v>34969793.401415013</v>
      </c>
      <c r="E13" s="215">
        <f ca="1">Weather!CT47</f>
        <v>508.62936502461724</v>
      </c>
      <c r="F13" s="216">
        <f ca="1">Weather!BB47</f>
        <v>0</v>
      </c>
      <c r="G13">
        <f>'Monthly Data'!AV13</f>
        <v>12</v>
      </c>
      <c r="H13">
        <f>'Monthly Data'!BO13</f>
        <v>31</v>
      </c>
      <c r="I13">
        <f>'Monthly Data'!BR13</f>
        <v>0</v>
      </c>
      <c r="J13" s="17">
        <f>'Monthly Data'!AT13</f>
        <v>716976</v>
      </c>
      <c r="K13">
        <f>'Monthly Data'!BJ13</f>
        <v>0</v>
      </c>
      <c r="M13" s="17">
        <f t="shared" si="1"/>
        <v>-9501475.1395959798</v>
      </c>
      <c r="N13" s="17">
        <f t="shared" ca="1" si="2"/>
        <v>5972165.3005585838</v>
      </c>
      <c r="O13" s="17">
        <f t="shared" ca="1" si="3"/>
        <v>0</v>
      </c>
      <c r="P13" s="17">
        <f t="shared" si="4"/>
        <v>-431009.59522328636</v>
      </c>
      <c r="Q13" s="17">
        <f t="shared" si="5"/>
        <v>25636435.683383022</v>
      </c>
      <c r="R13" s="17">
        <f t="shared" si="6"/>
        <v>0</v>
      </c>
      <c r="S13" s="17">
        <f t="shared" si="7"/>
        <v>12224917.506232355</v>
      </c>
      <c r="T13" s="17">
        <f t="shared" si="8"/>
        <v>0</v>
      </c>
      <c r="U13" s="17">
        <f t="shared" ca="1" si="9"/>
        <v>33901033.755354695</v>
      </c>
      <c r="W13" t="s">
        <v>45</v>
      </c>
      <c r="X13" s="105">
        <v>17.0506648845043</v>
      </c>
      <c r="Y13" s="105">
        <v>5.0440147791221399</v>
      </c>
      <c r="Z13" s="76">
        <v>3.3803756791275301</v>
      </c>
      <c r="AA13" s="251">
        <v>9.70566681494129E-4</v>
      </c>
    </row>
    <row r="14" spans="1:27" x14ac:dyDescent="0.2">
      <c r="A14" s="28">
        <f>'Monthly Data'!A14</f>
        <v>42005</v>
      </c>
      <c r="B14">
        <f>'Monthly Data'!C14</f>
        <v>1</v>
      </c>
      <c r="C14">
        <f>'Monthly Data'!B14</f>
        <v>2015</v>
      </c>
      <c r="D14" s="18">
        <f>'Monthly Data'!N14</f>
        <v>37525993.187569529</v>
      </c>
      <c r="E14" s="10">
        <f ca="1">E2</f>
        <v>666.68367523535153</v>
      </c>
      <c r="F14" s="10">
        <f ca="1">F2</f>
        <v>0</v>
      </c>
      <c r="G14">
        <f>'Monthly Data'!AV14</f>
        <v>13</v>
      </c>
      <c r="H14">
        <f>'Monthly Data'!BO14</f>
        <v>31</v>
      </c>
      <c r="I14">
        <f>'Monthly Data'!BR14</f>
        <v>0</v>
      </c>
      <c r="J14" s="17">
        <f>'Monthly Data'!AT14</f>
        <v>718587</v>
      </c>
      <c r="K14">
        <f>'Monthly Data'!BJ14</f>
        <v>0</v>
      </c>
      <c r="M14" s="17">
        <f t="shared" si="1"/>
        <v>-9501475.1395959798</v>
      </c>
      <c r="N14" s="17">
        <f t="shared" ca="1" si="2"/>
        <v>7827989.0731372358</v>
      </c>
      <c r="O14" s="17">
        <f t="shared" ca="1" si="3"/>
        <v>0</v>
      </c>
      <c r="P14" s="17">
        <f t="shared" si="4"/>
        <v>-466927.06149189355</v>
      </c>
      <c r="Q14" s="17">
        <f t="shared" si="5"/>
        <v>25636435.683383022</v>
      </c>
      <c r="R14" s="17">
        <f t="shared" si="6"/>
        <v>0</v>
      </c>
      <c r="S14" s="17">
        <f t="shared" si="7"/>
        <v>12252386.127361292</v>
      </c>
      <c r="T14" s="17">
        <f t="shared" si="8"/>
        <v>0</v>
      </c>
      <c r="U14" s="17">
        <f t="shared" ca="1" si="9"/>
        <v>35748408.682793677</v>
      </c>
      <c r="W14" t="s">
        <v>61</v>
      </c>
      <c r="X14" s="105">
        <v>413783.55369814899</v>
      </c>
      <c r="Y14" s="105">
        <v>151753.19522408201</v>
      </c>
      <c r="Z14" s="76">
        <v>2.72668758695424</v>
      </c>
      <c r="AA14" s="251">
        <v>7.3325468143778001E-3</v>
      </c>
    </row>
    <row r="15" spans="1:27" x14ac:dyDescent="0.2">
      <c r="A15" s="28">
        <f>'Monthly Data'!A15</f>
        <v>42036</v>
      </c>
      <c r="B15">
        <f>'Monthly Data'!C15</f>
        <v>2</v>
      </c>
      <c r="C15">
        <f>'Monthly Data'!B15</f>
        <v>2015</v>
      </c>
      <c r="D15" s="18">
        <f>'Monthly Data'!N15</f>
        <v>34433695.116453581</v>
      </c>
      <c r="E15" s="10">
        <f t="shared" ref="E15:F15" ca="1" si="10">E3</f>
        <v>599.3508333333333</v>
      </c>
      <c r="F15" s="10">
        <f t="shared" ca="1" si="10"/>
        <v>0</v>
      </c>
      <c r="G15">
        <f>'Monthly Data'!AV15</f>
        <v>14</v>
      </c>
      <c r="H15">
        <f>'Monthly Data'!BO15</f>
        <v>28</v>
      </c>
      <c r="I15">
        <f>'Monthly Data'!BR15</f>
        <v>0</v>
      </c>
      <c r="J15" s="17">
        <f>'Monthly Data'!AT15</f>
        <v>718587</v>
      </c>
      <c r="K15">
        <f>'Monthly Data'!BJ15</f>
        <v>0</v>
      </c>
      <c r="M15" s="17">
        <f t="shared" si="1"/>
        <v>-9501475.1395959798</v>
      </c>
      <c r="N15" s="17">
        <f t="shared" ca="1" si="2"/>
        <v>7037388.1176148038</v>
      </c>
      <c r="O15" s="17">
        <f t="shared" ca="1" si="3"/>
        <v>0</v>
      </c>
      <c r="P15" s="17">
        <f t="shared" si="4"/>
        <v>-502844.52776050079</v>
      </c>
      <c r="Q15" s="17">
        <f t="shared" si="5"/>
        <v>23155490.294668537</v>
      </c>
      <c r="R15" s="17">
        <f t="shared" si="6"/>
        <v>0</v>
      </c>
      <c r="S15" s="17">
        <f t="shared" si="7"/>
        <v>12252386.127361292</v>
      </c>
      <c r="T15" s="17">
        <f t="shared" si="8"/>
        <v>0</v>
      </c>
      <c r="U15" s="17">
        <f t="shared" ca="1" si="9"/>
        <v>32440944.872288153</v>
      </c>
    </row>
    <row r="16" spans="1:27" x14ac:dyDescent="0.2">
      <c r="A16" s="28">
        <f>'Monthly Data'!A16</f>
        <v>42064</v>
      </c>
      <c r="B16">
        <f>'Monthly Data'!C16</f>
        <v>3</v>
      </c>
      <c r="C16">
        <f>'Monthly Data'!B16</f>
        <v>2015</v>
      </c>
      <c r="D16" s="18">
        <f>'Monthly Data'!N16</f>
        <v>35206079.096577205</v>
      </c>
      <c r="E16" s="10">
        <f t="shared" ref="E16:F16" ca="1" si="11">E4</f>
        <v>469.11853767651354</v>
      </c>
      <c r="F16" s="10">
        <f t="shared" ca="1" si="11"/>
        <v>0</v>
      </c>
      <c r="G16">
        <f>'Monthly Data'!AV16</f>
        <v>15</v>
      </c>
      <c r="H16">
        <f>'Monthly Data'!BO16</f>
        <v>31</v>
      </c>
      <c r="I16">
        <f>'Monthly Data'!BR16</f>
        <v>0</v>
      </c>
      <c r="J16" s="17">
        <f>'Monthly Data'!AT16</f>
        <v>718587</v>
      </c>
      <c r="K16">
        <f>'Monthly Data'!BJ16</f>
        <v>0</v>
      </c>
      <c r="M16" s="17">
        <f t="shared" si="1"/>
        <v>-9501475.1395959798</v>
      </c>
      <c r="N16" s="17">
        <f t="shared" ca="1" si="2"/>
        <v>5508241.6494471589</v>
      </c>
      <c r="O16" s="17">
        <f t="shared" ca="1" si="3"/>
        <v>0</v>
      </c>
      <c r="P16" s="17">
        <f t="shared" si="4"/>
        <v>-538761.99402910797</v>
      </c>
      <c r="Q16" s="17">
        <f t="shared" si="5"/>
        <v>25636435.683383022</v>
      </c>
      <c r="R16" s="17">
        <f t="shared" si="6"/>
        <v>0</v>
      </c>
      <c r="S16" s="17">
        <f t="shared" si="7"/>
        <v>12252386.127361292</v>
      </c>
      <c r="T16" s="17">
        <f t="shared" si="8"/>
        <v>0</v>
      </c>
      <c r="U16" s="17">
        <f t="shared" ca="1" si="9"/>
        <v>33356826.326566383</v>
      </c>
      <c r="W16" t="s">
        <v>143</v>
      </c>
    </row>
    <row r="17" spans="1:26" x14ac:dyDescent="0.2">
      <c r="A17" s="28">
        <f>'Monthly Data'!A17</f>
        <v>42095</v>
      </c>
      <c r="B17">
        <f>'Monthly Data'!C17</f>
        <v>4</v>
      </c>
      <c r="C17">
        <f>'Monthly Data'!B17</f>
        <v>2015</v>
      </c>
      <c r="D17" s="18">
        <f>'Monthly Data'!N17</f>
        <v>29332521.895687036</v>
      </c>
      <c r="E17" s="10">
        <f t="shared" ref="E17:F17" ca="1" si="12">E5</f>
        <v>233.92395833333336</v>
      </c>
      <c r="F17" s="10">
        <f t="shared" ca="1" si="12"/>
        <v>1.1666666666666714E-2</v>
      </c>
      <c r="G17">
        <f>'Monthly Data'!AV17</f>
        <v>16</v>
      </c>
      <c r="H17">
        <f>'Monthly Data'!BO17</f>
        <v>30</v>
      </c>
      <c r="I17">
        <f>'Monthly Data'!BR17</f>
        <v>0</v>
      </c>
      <c r="J17" s="17">
        <f>'Monthly Data'!AT17</f>
        <v>723726</v>
      </c>
      <c r="K17">
        <f>'Monthly Data'!BJ17</f>
        <v>0</v>
      </c>
      <c r="M17" s="17">
        <f t="shared" si="1"/>
        <v>-9501475.1395959798</v>
      </c>
      <c r="N17" s="17">
        <f t="shared" ca="1" si="2"/>
        <v>2746661.2095037615</v>
      </c>
      <c r="O17" s="17">
        <f t="shared" ca="1" si="3"/>
        <v>254.51489892739153</v>
      </c>
      <c r="P17" s="17">
        <f t="shared" si="4"/>
        <v>-574679.46029771515</v>
      </c>
      <c r="Q17" s="17">
        <f t="shared" si="5"/>
        <v>24809453.88714486</v>
      </c>
      <c r="R17" s="17">
        <f t="shared" si="6"/>
        <v>0</v>
      </c>
      <c r="S17" s="17">
        <f t="shared" si="7"/>
        <v>12340009.494202759</v>
      </c>
      <c r="T17" s="17">
        <f t="shared" si="8"/>
        <v>0</v>
      </c>
      <c r="U17" s="17">
        <f t="shared" ca="1" si="9"/>
        <v>29820224.505856615</v>
      </c>
      <c r="W17" t="s">
        <v>144</v>
      </c>
      <c r="X17">
        <v>36066514561472</v>
      </c>
      <c r="Y17" t="s">
        <v>145</v>
      </c>
      <c r="Z17" s="105">
        <v>541501.33482912497</v>
      </c>
    </row>
    <row r="18" spans="1:26" x14ac:dyDescent="0.2">
      <c r="A18" s="28">
        <f>'Monthly Data'!A18</f>
        <v>42125</v>
      </c>
      <c r="B18">
        <f>'Monthly Data'!C18</f>
        <v>5</v>
      </c>
      <c r="C18">
        <f>'Monthly Data'!B18</f>
        <v>2015</v>
      </c>
      <c r="D18" s="18">
        <f>'Monthly Data'!N18</f>
        <v>28039906.557423722</v>
      </c>
      <c r="E18" s="10">
        <f t="shared" ref="E18:F18" ca="1" si="13">E6</f>
        <v>46.324929225504526</v>
      </c>
      <c r="F18" s="10">
        <f t="shared" ca="1" si="13"/>
        <v>19.778958333333328</v>
      </c>
      <c r="G18">
        <f>'Monthly Data'!AV18</f>
        <v>17</v>
      </c>
      <c r="H18">
        <f>'Monthly Data'!BO18</f>
        <v>31</v>
      </c>
      <c r="I18">
        <f>'Monthly Data'!BR18</f>
        <v>0</v>
      </c>
      <c r="J18" s="17">
        <f>'Monthly Data'!AT18</f>
        <v>723726</v>
      </c>
      <c r="K18">
        <f>'Monthly Data'!BJ18</f>
        <v>0</v>
      </c>
      <c r="M18" s="17">
        <f t="shared" si="1"/>
        <v>-9501475.1395959798</v>
      </c>
      <c r="N18" s="17">
        <f t="shared" ca="1" si="2"/>
        <v>543932.68241207476</v>
      </c>
      <c r="O18" s="17">
        <f t="shared" ca="1" si="3"/>
        <v>431489.10695120576</v>
      </c>
      <c r="P18" s="17">
        <f t="shared" si="4"/>
        <v>-610596.92656632233</v>
      </c>
      <c r="Q18" s="17">
        <f t="shared" si="5"/>
        <v>25636435.683383022</v>
      </c>
      <c r="R18" s="17">
        <f t="shared" si="6"/>
        <v>0</v>
      </c>
      <c r="S18" s="17">
        <f t="shared" si="7"/>
        <v>12340009.494202759</v>
      </c>
      <c r="T18" s="17">
        <f t="shared" si="8"/>
        <v>0</v>
      </c>
      <c r="U18" s="17">
        <f t="shared" ca="1" si="9"/>
        <v>28839794.900786757</v>
      </c>
      <c r="W18" t="s">
        <v>146</v>
      </c>
      <c r="X18" s="252">
        <v>0.96561073764774297</v>
      </c>
      <c r="Y18" t="s">
        <v>147</v>
      </c>
      <c r="Z18" s="252">
        <v>0.96365362515615105</v>
      </c>
    </row>
    <row r="19" spans="1:26" x14ac:dyDescent="0.2">
      <c r="A19" s="28">
        <f>'Monthly Data'!A19</f>
        <v>42156</v>
      </c>
      <c r="B19">
        <f>'Monthly Data'!C19</f>
        <v>6</v>
      </c>
      <c r="C19">
        <f>'Monthly Data'!B19</f>
        <v>2015</v>
      </c>
      <c r="D19" s="18">
        <f>'Monthly Data'!N19</f>
        <v>27666358.35763308</v>
      </c>
      <c r="E19" s="10">
        <f t="shared" ref="E19:F19" ca="1" si="14">E7</f>
        <v>1.25875</v>
      </c>
      <c r="F19" s="10">
        <f t="shared" ca="1" si="14"/>
        <v>53.293685210734182</v>
      </c>
      <c r="G19">
        <f>'Monthly Data'!AV19</f>
        <v>18</v>
      </c>
      <c r="H19">
        <f>'Monthly Data'!BO19</f>
        <v>30</v>
      </c>
      <c r="I19">
        <f>'Monthly Data'!BR19</f>
        <v>0</v>
      </c>
      <c r="J19" s="17">
        <f>'Monthly Data'!AT19</f>
        <v>723726</v>
      </c>
      <c r="K19">
        <f>'Monthly Data'!BJ19</f>
        <v>0</v>
      </c>
      <c r="M19" s="17">
        <f t="shared" si="1"/>
        <v>-9501475.1395959798</v>
      </c>
      <c r="N19" s="17">
        <f t="shared" ca="1" si="2"/>
        <v>14779.844792709282</v>
      </c>
      <c r="O19" s="17">
        <f t="shared" ca="1" si="3"/>
        <v>1162631.7347038437</v>
      </c>
      <c r="P19" s="17">
        <f t="shared" si="4"/>
        <v>-646514.39283492952</v>
      </c>
      <c r="Q19" s="17">
        <f t="shared" si="5"/>
        <v>24809453.88714486</v>
      </c>
      <c r="R19" s="17">
        <f t="shared" si="6"/>
        <v>0</v>
      </c>
      <c r="S19" s="17">
        <f t="shared" si="7"/>
        <v>12340009.494202759</v>
      </c>
      <c r="T19" s="17">
        <f t="shared" si="8"/>
        <v>0</v>
      </c>
      <c r="U19" s="17">
        <f t="shared" ca="1" si="9"/>
        <v>28178885.428413264</v>
      </c>
      <c r="W19" t="s">
        <v>489</v>
      </c>
      <c r="X19" s="76">
        <v>401.36140250093098</v>
      </c>
      <c r="Y19" t="s">
        <v>148</v>
      </c>
      <c r="Z19" s="252">
        <v>1.6943725825629001E-81</v>
      </c>
    </row>
    <row r="20" spans="1:26" x14ac:dyDescent="0.2">
      <c r="A20" s="28">
        <f>'Monthly Data'!A20</f>
        <v>42186</v>
      </c>
      <c r="B20">
        <f>'Monthly Data'!C20</f>
        <v>7</v>
      </c>
      <c r="C20">
        <f>'Monthly Data'!B20</f>
        <v>2015</v>
      </c>
      <c r="D20" s="18">
        <f>'Monthly Data'!N20</f>
        <v>29065483.472317301</v>
      </c>
      <c r="E20" s="10">
        <f t="shared" ref="E20:F20" ca="1" si="15">E8</f>
        <v>0</v>
      </c>
      <c r="F20" s="10">
        <f t="shared" ca="1" si="15"/>
        <v>104.42694776957208</v>
      </c>
      <c r="G20">
        <f>'Monthly Data'!AV20</f>
        <v>19</v>
      </c>
      <c r="H20">
        <f>'Monthly Data'!BO20</f>
        <v>31</v>
      </c>
      <c r="I20">
        <f>'Monthly Data'!BR20</f>
        <v>0</v>
      </c>
      <c r="J20" s="17">
        <f>'Monthly Data'!AT20</f>
        <v>730341</v>
      </c>
      <c r="K20">
        <f>'Monthly Data'!BJ20</f>
        <v>0</v>
      </c>
      <c r="M20" s="17">
        <f t="shared" si="1"/>
        <v>-9501475.1395959798</v>
      </c>
      <c r="N20" s="17">
        <f t="shared" ca="1" si="2"/>
        <v>0</v>
      </c>
      <c r="O20" s="17">
        <f t="shared" ca="1" si="3"/>
        <v>2278132.6334458739</v>
      </c>
      <c r="P20" s="17">
        <f t="shared" si="4"/>
        <v>-682431.8591035367</v>
      </c>
      <c r="Q20" s="17">
        <f t="shared" si="5"/>
        <v>25636435.683383022</v>
      </c>
      <c r="R20" s="17">
        <f t="shared" si="6"/>
        <v>0</v>
      </c>
      <c r="S20" s="17">
        <f t="shared" si="7"/>
        <v>12452799.642413756</v>
      </c>
      <c r="T20" s="17">
        <f t="shared" si="8"/>
        <v>0</v>
      </c>
      <c r="U20" s="17">
        <f t="shared" ca="1" si="9"/>
        <v>30183460.960543133</v>
      </c>
      <c r="W20" t="s">
        <v>149</v>
      </c>
      <c r="X20" s="252">
        <v>-3.5575708606437502E-2</v>
      </c>
      <c r="Y20" t="s">
        <v>150</v>
      </c>
      <c r="Z20" s="252">
        <v>2.0582840745129398</v>
      </c>
    </row>
    <row r="21" spans="1:26" x14ac:dyDescent="0.2">
      <c r="A21" s="28">
        <f>'Monthly Data'!A21</f>
        <v>42217</v>
      </c>
      <c r="B21">
        <f>'Monthly Data'!C21</f>
        <v>8</v>
      </c>
      <c r="C21">
        <f>'Monthly Data'!B21</f>
        <v>2015</v>
      </c>
      <c r="D21" s="18">
        <f>'Monthly Data'!N21</f>
        <v>28381856.660066649</v>
      </c>
      <c r="E21" s="10">
        <f t="shared" ref="E21:F21" ca="1" si="16">E9</f>
        <v>0.1158333333333335</v>
      </c>
      <c r="F21" s="10">
        <f t="shared" ca="1" si="16"/>
        <v>74.696666666666673</v>
      </c>
      <c r="G21">
        <f>'Monthly Data'!AV21</f>
        <v>20</v>
      </c>
      <c r="H21">
        <f>'Monthly Data'!BO21</f>
        <v>31</v>
      </c>
      <c r="I21">
        <f>'Monthly Data'!BR21</f>
        <v>0</v>
      </c>
      <c r="J21" s="17">
        <f>'Monthly Data'!AT21</f>
        <v>730341</v>
      </c>
      <c r="K21">
        <f>'Monthly Data'!BJ21</f>
        <v>0</v>
      </c>
      <c r="M21" s="17">
        <f t="shared" si="1"/>
        <v>-9501475.1395959798</v>
      </c>
      <c r="N21" s="17">
        <f t="shared" ca="1" si="2"/>
        <v>1360.0784019772213</v>
      </c>
      <c r="O21" s="17">
        <f t="shared" ca="1" si="3"/>
        <v>1629549.8200182556</v>
      </c>
      <c r="P21" s="17">
        <f t="shared" si="4"/>
        <v>-718349.32537214388</v>
      </c>
      <c r="Q21" s="17">
        <f t="shared" si="5"/>
        <v>25636435.683383022</v>
      </c>
      <c r="R21" s="17">
        <f t="shared" si="6"/>
        <v>0</v>
      </c>
      <c r="S21" s="17">
        <f t="shared" si="7"/>
        <v>12452799.642413756</v>
      </c>
      <c r="T21" s="17">
        <f t="shared" si="8"/>
        <v>0</v>
      </c>
      <c r="U21" s="17">
        <f t="shared" ca="1" si="9"/>
        <v>29500320.75924889</v>
      </c>
    </row>
    <row r="22" spans="1:26" x14ac:dyDescent="0.2">
      <c r="A22" s="28">
        <f>'Monthly Data'!A22</f>
        <v>42248</v>
      </c>
      <c r="B22">
        <f>'Monthly Data'!C22</f>
        <v>9</v>
      </c>
      <c r="C22">
        <f>'Monthly Data'!B22</f>
        <v>2015</v>
      </c>
      <c r="D22" s="18">
        <f>'Monthly Data'!N22</f>
        <v>28197307.314456262</v>
      </c>
      <c r="E22" s="10">
        <f t="shared" ref="E22:F22" ca="1" si="17">E10</f>
        <v>11.597845892171184</v>
      </c>
      <c r="F22" s="10">
        <f t="shared" ca="1" si="17"/>
        <v>25.91041666666667</v>
      </c>
      <c r="G22">
        <f>'Monthly Data'!AV22</f>
        <v>21</v>
      </c>
      <c r="H22">
        <f>'Monthly Data'!BO22</f>
        <v>30</v>
      </c>
      <c r="I22">
        <f>'Monthly Data'!BR22</f>
        <v>0</v>
      </c>
      <c r="J22" s="17">
        <f>'Monthly Data'!AT22</f>
        <v>730341</v>
      </c>
      <c r="K22">
        <f>'Monthly Data'!BJ22</f>
        <v>1</v>
      </c>
      <c r="M22" s="17">
        <f t="shared" si="1"/>
        <v>-9501475.1395959798</v>
      </c>
      <c r="N22" s="17">
        <f t="shared" ca="1" si="2"/>
        <v>136178.24207829277</v>
      </c>
      <c r="O22" s="17">
        <f t="shared" ca="1" si="3"/>
        <v>565250.3210642779</v>
      </c>
      <c r="P22" s="17">
        <f t="shared" si="4"/>
        <v>-754266.79164075118</v>
      </c>
      <c r="Q22" s="17">
        <f t="shared" si="5"/>
        <v>24809453.88714486</v>
      </c>
      <c r="R22" s="17">
        <f t="shared" si="6"/>
        <v>0</v>
      </c>
      <c r="S22" s="17">
        <f t="shared" si="7"/>
        <v>12452799.642413756</v>
      </c>
      <c r="T22" s="17">
        <f t="shared" si="8"/>
        <v>413783.55369814899</v>
      </c>
      <c r="U22" s="17">
        <f t="shared" ca="1" si="9"/>
        <v>28121723.715162605</v>
      </c>
      <c r="W22" t="s">
        <v>151</v>
      </c>
    </row>
    <row r="23" spans="1:26" x14ac:dyDescent="0.2">
      <c r="A23" s="28">
        <f>'Monthly Data'!A23</f>
        <v>42278</v>
      </c>
      <c r="B23">
        <f>'Monthly Data'!C23</f>
        <v>10</v>
      </c>
      <c r="C23">
        <f>'Monthly Data'!B23</f>
        <v>2015</v>
      </c>
      <c r="D23" s="18">
        <f>'Monthly Data'!N23</f>
        <v>28821038.068710539</v>
      </c>
      <c r="E23" s="10">
        <f t="shared" ref="E23:F23" ca="1" si="18">E11</f>
        <v>128.51888157360821</v>
      </c>
      <c r="F23" s="10">
        <f t="shared" ca="1" si="18"/>
        <v>2.0656249999999989</v>
      </c>
      <c r="G23">
        <f>'Monthly Data'!AV23</f>
        <v>22</v>
      </c>
      <c r="H23">
        <f>'Monthly Data'!BO23</f>
        <v>31</v>
      </c>
      <c r="I23">
        <f>'Monthly Data'!BR23</f>
        <v>0</v>
      </c>
      <c r="J23" s="17">
        <f>'Monthly Data'!AT23</f>
        <v>737784</v>
      </c>
      <c r="K23">
        <f>'Monthly Data'!BJ23</f>
        <v>1</v>
      </c>
      <c r="M23" s="17">
        <f t="shared" si="1"/>
        <v>-9501475.1395959798</v>
      </c>
      <c r="N23" s="17">
        <f t="shared" ca="1" si="2"/>
        <v>1509028.1013628712</v>
      </c>
      <c r="O23" s="17">
        <f t="shared" ca="1" si="3"/>
        <v>45062.771836876353</v>
      </c>
      <c r="P23" s="17">
        <f t="shared" si="4"/>
        <v>-790184.25790935836</v>
      </c>
      <c r="Q23" s="17">
        <f t="shared" si="5"/>
        <v>25636435.683383022</v>
      </c>
      <c r="R23" s="17">
        <f t="shared" si="6"/>
        <v>0</v>
      </c>
      <c r="S23" s="17">
        <f t="shared" si="7"/>
        <v>12579707.74114912</v>
      </c>
      <c r="T23" s="17">
        <f t="shared" si="8"/>
        <v>413783.55369814899</v>
      </c>
      <c r="U23" s="17">
        <f t="shared" ca="1" si="9"/>
        <v>29892358.453924697</v>
      </c>
      <c r="W23" t="s">
        <v>152</v>
      </c>
      <c r="X23">
        <v>30057404.177312002</v>
      </c>
      <c r="Y23" t="s">
        <v>153</v>
      </c>
      <c r="Z23">
        <v>2837565.8405742599</v>
      </c>
    </row>
    <row r="24" spans="1:26" x14ac:dyDescent="0.2">
      <c r="A24" s="28">
        <f>'Monthly Data'!A24</f>
        <v>42309</v>
      </c>
      <c r="B24">
        <f>'Monthly Data'!C24</f>
        <v>11</v>
      </c>
      <c r="C24">
        <f>'Monthly Data'!B24</f>
        <v>2015</v>
      </c>
      <c r="D24" s="18">
        <f>'Monthly Data'!N24</f>
        <v>30205603.567728698</v>
      </c>
      <c r="E24" s="10">
        <f t="shared" ref="E24:F24" ca="1" si="19">E12</f>
        <v>332.1049960098469</v>
      </c>
      <c r="F24" s="10">
        <f t="shared" ca="1" si="19"/>
        <v>0</v>
      </c>
      <c r="G24">
        <f>'Monthly Data'!AV24</f>
        <v>23</v>
      </c>
      <c r="H24">
        <f>'Monthly Data'!BO24</f>
        <v>30</v>
      </c>
      <c r="I24">
        <f>'Monthly Data'!BR24</f>
        <v>0</v>
      </c>
      <c r="J24" s="17">
        <f>'Monthly Data'!AT24</f>
        <v>737784</v>
      </c>
      <c r="K24">
        <f>'Monthly Data'!BJ24</f>
        <v>1</v>
      </c>
      <c r="M24" s="17">
        <f t="shared" si="1"/>
        <v>-9501475.1395959798</v>
      </c>
      <c r="N24" s="17">
        <f t="shared" ca="1" si="2"/>
        <v>3899471.9331947346</v>
      </c>
      <c r="O24" s="17">
        <f t="shared" ca="1" si="3"/>
        <v>0</v>
      </c>
      <c r="P24" s="17">
        <f t="shared" si="4"/>
        <v>-826101.72417796555</v>
      </c>
      <c r="Q24" s="17">
        <f t="shared" si="5"/>
        <v>24809453.88714486</v>
      </c>
      <c r="R24" s="17">
        <f t="shared" si="6"/>
        <v>0</v>
      </c>
      <c r="S24" s="17">
        <f t="shared" si="7"/>
        <v>12579707.74114912</v>
      </c>
      <c r="T24" s="17">
        <f t="shared" si="8"/>
        <v>413783.55369814899</v>
      </c>
      <c r="U24" s="17">
        <f t="shared" ca="1" si="9"/>
        <v>31374840.251412917</v>
      </c>
    </row>
    <row r="25" spans="1:26" x14ac:dyDescent="0.2">
      <c r="A25" s="28">
        <f>'Monthly Data'!A25</f>
        <v>42339</v>
      </c>
      <c r="B25">
        <f>'Monthly Data'!C25</f>
        <v>12</v>
      </c>
      <c r="C25">
        <f>'Monthly Data'!B25</f>
        <v>2015</v>
      </c>
      <c r="D25" s="18">
        <f>'Monthly Data'!N25</f>
        <v>32372334.335820865</v>
      </c>
      <c r="E25" s="10">
        <f t="shared" ref="E25:F25" ca="1" si="20">E13</f>
        <v>508.62936502461724</v>
      </c>
      <c r="F25" s="10">
        <f t="shared" ca="1" si="20"/>
        <v>0</v>
      </c>
      <c r="G25">
        <f>'Monthly Data'!AV25</f>
        <v>24</v>
      </c>
      <c r="H25">
        <f>'Monthly Data'!BO25</f>
        <v>31</v>
      </c>
      <c r="I25">
        <f>'Monthly Data'!BR25</f>
        <v>0</v>
      </c>
      <c r="J25" s="17">
        <f>'Monthly Data'!AT25</f>
        <v>737784</v>
      </c>
      <c r="K25">
        <f>'Monthly Data'!BJ25</f>
        <v>0</v>
      </c>
      <c r="M25" s="17">
        <f t="shared" si="1"/>
        <v>-9501475.1395959798</v>
      </c>
      <c r="N25" s="17">
        <f t="shared" ca="1" si="2"/>
        <v>5972165.3005585838</v>
      </c>
      <c r="O25" s="17">
        <f t="shared" ca="1" si="3"/>
        <v>0</v>
      </c>
      <c r="P25" s="17">
        <f t="shared" si="4"/>
        <v>-862019.19044657273</v>
      </c>
      <c r="Q25" s="17">
        <f t="shared" si="5"/>
        <v>25636435.683383022</v>
      </c>
      <c r="R25" s="17">
        <f t="shared" si="6"/>
        <v>0</v>
      </c>
      <c r="S25" s="17">
        <f t="shared" si="7"/>
        <v>12579707.74114912</v>
      </c>
      <c r="T25" s="17">
        <f t="shared" si="8"/>
        <v>0</v>
      </c>
      <c r="U25" s="17">
        <f t="shared" ca="1" si="9"/>
        <v>33824814.395048171</v>
      </c>
    </row>
    <row r="26" spans="1:26" x14ac:dyDescent="0.2">
      <c r="A26" s="28">
        <f>'Monthly Data'!A26</f>
        <v>42370</v>
      </c>
      <c r="B26">
        <f>'Monthly Data'!C26</f>
        <v>1</v>
      </c>
      <c r="C26">
        <f>'Monthly Data'!B26</f>
        <v>2016</v>
      </c>
      <c r="D26" s="18">
        <f>'Monthly Data'!N26</f>
        <v>35247496.219310194</v>
      </c>
      <c r="E26" s="10">
        <f t="shared" ref="E26:F26" ca="1" si="21">E14</f>
        <v>666.68367523535153</v>
      </c>
      <c r="F26" s="10">
        <f t="shared" ca="1" si="21"/>
        <v>0</v>
      </c>
      <c r="G26">
        <f>'Monthly Data'!AV26</f>
        <v>25</v>
      </c>
      <c r="H26">
        <f>'Monthly Data'!BO26</f>
        <v>31</v>
      </c>
      <c r="I26">
        <f>'Monthly Data'!BR26</f>
        <v>0</v>
      </c>
      <c r="J26" s="17">
        <f>'Monthly Data'!AT26</f>
        <v>743287</v>
      </c>
      <c r="K26">
        <f>'Monthly Data'!BJ26</f>
        <v>0</v>
      </c>
      <c r="M26" s="17">
        <f t="shared" si="1"/>
        <v>-9501475.1395959798</v>
      </c>
      <c r="N26" s="17">
        <f t="shared" ca="1" si="2"/>
        <v>7827989.0731372358</v>
      </c>
      <c r="O26" s="17">
        <f t="shared" ca="1" si="3"/>
        <v>0</v>
      </c>
      <c r="P26" s="17">
        <f t="shared" si="4"/>
        <v>-897936.65671517991</v>
      </c>
      <c r="Q26" s="17">
        <f t="shared" si="5"/>
        <v>25636435.683383022</v>
      </c>
      <c r="R26" s="17">
        <f t="shared" si="6"/>
        <v>0</v>
      </c>
      <c r="S26" s="17">
        <f t="shared" si="7"/>
        <v>12673537.550008548</v>
      </c>
      <c r="T26" s="17">
        <f t="shared" si="8"/>
        <v>0</v>
      </c>
      <c r="U26" s="17">
        <f t="shared" ca="1" si="9"/>
        <v>35738550.510217644</v>
      </c>
    </row>
    <row r="27" spans="1:26" x14ac:dyDescent="0.2">
      <c r="A27" s="28">
        <f>'Monthly Data'!A27</f>
        <v>42401</v>
      </c>
      <c r="B27">
        <f>'Monthly Data'!C27</f>
        <v>2</v>
      </c>
      <c r="C27">
        <f>'Monthly Data'!B27</f>
        <v>2016</v>
      </c>
      <c r="D27" s="18">
        <f>'Monthly Data'!N27</f>
        <v>32459358.879751384</v>
      </c>
      <c r="E27" s="10">
        <f t="shared" ref="E27:F27" ca="1" si="22">E15</f>
        <v>599.3508333333333</v>
      </c>
      <c r="F27" s="10">
        <f t="shared" ca="1" si="22"/>
        <v>0</v>
      </c>
      <c r="G27">
        <f>'Monthly Data'!AV27</f>
        <v>26</v>
      </c>
      <c r="H27">
        <f>'Monthly Data'!BO27</f>
        <v>29</v>
      </c>
      <c r="I27">
        <f>'Monthly Data'!BR27</f>
        <v>0</v>
      </c>
      <c r="J27" s="17">
        <f>'Monthly Data'!AT27</f>
        <v>743287</v>
      </c>
      <c r="K27">
        <f>'Monthly Data'!BJ27</f>
        <v>0</v>
      </c>
      <c r="M27" s="17">
        <f t="shared" si="1"/>
        <v>-9501475.1395959798</v>
      </c>
      <c r="N27" s="17">
        <f t="shared" ca="1" si="2"/>
        <v>7037388.1176148038</v>
      </c>
      <c r="O27" s="17">
        <f t="shared" ca="1" si="3"/>
        <v>0</v>
      </c>
      <c r="P27" s="17">
        <f t="shared" si="4"/>
        <v>-933854.12298378709</v>
      </c>
      <c r="Q27" s="17">
        <f t="shared" si="5"/>
        <v>23982472.090906698</v>
      </c>
      <c r="R27" s="17">
        <f t="shared" si="6"/>
        <v>0</v>
      </c>
      <c r="S27" s="17">
        <f t="shared" si="7"/>
        <v>12673537.550008548</v>
      </c>
      <c r="T27" s="17">
        <f t="shared" si="8"/>
        <v>0</v>
      </c>
      <c r="U27" s="17">
        <f t="shared" ca="1" si="9"/>
        <v>33258068.495950282</v>
      </c>
    </row>
    <row r="28" spans="1:26" x14ac:dyDescent="0.2">
      <c r="A28" s="28">
        <f>'Monthly Data'!A28</f>
        <v>42430</v>
      </c>
      <c r="B28">
        <f>'Monthly Data'!C28</f>
        <v>3</v>
      </c>
      <c r="C28">
        <f>'Monthly Data'!B28</f>
        <v>2016</v>
      </c>
      <c r="D28" s="18">
        <f>'Monthly Data'!N28</f>
        <v>32394729.877224918</v>
      </c>
      <c r="E28" s="10">
        <f t="shared" ref="E28:F28" ca="1" si="23">E16</f>
        <v>469.11853767651354</v>
      </c>
      <c r="F28" s="10">
        <f t="shared" ca="1" si="23"/>
        <v>0</v>
      </c>
      <c r="G28">
        <f>'Monthly Data'!AV28</f>
        <v>27</v>
      </c>
      <c r="H28">
        <f>'Monthly Data'!BO28</f>
        <v>31</v>
      </c>
      <c r="I28">
        <f>'Monthly Data'!BR28</f>
        <v>0</v>
      </c>
      <c r="J28" s="17">
        <f>'Monthly Data'!AT28</f>
        <v>743287</v>
      </c>
      <c r="K28">
        <f>'Monthly Data'!BJ28</f>
        <v>0</v>
      </c>
      <c r="M28" s="17">
        <f t="shared" si="1"/>
        <v>-9501475.1395959798</v>
      </c>
      <c r="N28" s="17">
        <f t="shared" ca="1" si="2"/>
        <v>5508241.6494471589</v>
      </c>
      <c r="O28" s="17">
        <f t="shared" ca="1" si="3"/>
        <v>0</v>
      </c>
      <c r="P28" s="17">
        <f t="shared" si="4"/>
        <v>-969771.58925239427</v>
      </c>
      <c r="Q28" s="17">
        <f t="shared" si="5"/>
        <v>25636435.683383022</v>
      </c>
      <c r="R28" s="17">
        <f t="shared" si="6"/>
        <v>0</v>
      </c>
      <c r="S28" s="17">
        <f t="shared" si="7"/>
        <v>12673537.550008548</v>
      </c>
      <c r="T28" s="17">
        <f t="shared" si="8"/>
        <v>0</v>
      </c>
      <c r="U28" s="17">
        <f t="shared" ca="1" si="9"/>
        <v>33346968.153990358</v>
      </c>
    </row>
    <row r="29" spans="1:26" x14ac:dyDescent="0.2">
      <c r="A29" s="28">
        <f>'Monthly Data'!A29</f>
        <v>42461</v>
      </c>
      <c r="B29">
        <f>'Monthly Data'!C29</f>
        <v>4</v>
      </c>
      <c r="C29">
        <f>'Monthly Data'!B29</f>
        <v>2016</v>
      </c>
      <c r="D29" s="18">
        <f>'Monthly Data'!N29</f>
        <v>28940353.581118435</v>
      </c>
      <c r="E29" s="10">
        <f t="shared" ref="E29:F29" ca="1" si="24">E17</f>
        <v>233.92395833333336</v>
      </c>
      <c r="F29" s="10">
        <f t="shared" ca="1" si="24"/>
        <v>1.1666666666666714E-2</v>
      </c>
      <c r="G29">
        <f>'Monthly Data'!AV29</f>
        <v>28</v>
      </c>
      <c r="H29">
        <f>'Monthly Data'!BO29</f>
        <v>30</v>
      </c>
      <c r="I29">
        <f>'Monthly Data'!BR29</f>
        <v>0</v>
      </c>
      <c r="J29" s="17">
        <f>'Monthly Data'!AT29</f>
        <v>740632</v>
      </c>
      <c r="K29">
        <f>'Monthly Data'!BJ29</f>
        <v>0</v>
      </c>
      <c r="M29" s="17">
        <f t="shared" si="1"/>
        <v>-9501475.1395959798</v>
      </c>
      <c r="N29" s="17">
        <f t="shared" ca="1" si="2"/>
        <v>2746661.2095037615</v>
      </c>
      <c r="O29" s="17">
        <f t="shared" ca="1" si="3"/>
        <v>254.51489892739153</v>
      </c>
      <c r="P29" s="17">
        <f t="shared" si="4"/>
        <v>-1005689.0555210016</v>
      </c>
      <c r="Q29" s="17">
        <f t="shared" si="5"/>
        <v>24809453.88714486</v>
      </c>
      <c r="R29" s="17">
        <f t="shared" si="6"/>
        <v>0</v>
      </c>
      <c r="S29" s="17">
        <f t="shared" si="7"/>
        <v>12628268.034740189</v>
      </c>
      <c r="T29" s="17">
        <f t="shared" si="8"/>
        <v>0</v>
      </c>
      <c r="U29" s="17">
        <f t="shared" ca="1" si="9"/>
        <v>29677473.451170757</v>
      </c>
    </row>
    <row r="30" spans="1:26" x14ac:dyDescent="0.2">
      <c r="A30" s="28">
        <f>'Monthly Data'!A30</f>
        <v>42491</v>
      </c>
      <c r="B30">
        <f>'Monthly Data'!C30</f>
        <v>5</v>
      </c>
      <c r="C30">
        <f>'Monthly Data'!B30</f>
        <v>2016</v>
      </c>
      <c r="D30" s="18">
        <f>'Monthly Data'!N30</f>
        <v>27378681.483578455</v>
      </c>
      <c r="E30" s="10">
        <f t="shared" ref="E30:F30" ca="1" si="25">E18</f>
        <v>46.324929225504526</v>
      </c>
      <c r="F30" s="10">
        <f t="shared" ca="1" si="25"/>
        <v>19.778958333333328</v>
      </c>
      <c r="G30">
        <f>'Monthly Data'!AV30</f>
        <v>29</v>
      </c>
      <c r="H30">
        <f>'Monthly Data'!BO30</f>
        <v>31</v>
      </c>
      <c r="I30">
        <f>'Monthly Data'!BR30</f>
        <v>0</v>
      </c>
      <c r="J30" s="17">
        <f>'Monthly Data'!AT30</f>
        <v>740632</v>
      </c>
      <c r="K30">
        <f>'Monthly Data'!BJ30</f>
        <v>0</v>
      </c>
      <c r="M30" s="17">
        <f t="shared" si="1"/>
        <v>-9501475.1395959798</v>
      </c>
      <c r="N30" s="17">
        <f t="shared" ca="1" si="2"/>
        <v>543932.68241207476</v>
      </c>
      <c r="O30" s="17">
        <f t="shared" ca="1" si="3"/>
        <v>431489.10695120576</v>
      </c>
      <c r="P30" s="17">
        <f t="shared" si="4"/>
        <v>-1041606.5217896088</v>
      </c>
      <c r="Q30" s="17">
        <f t="shared" si="5"/>
        <v>25636435.683383022</v>
      </c>
      <c r="R30" s="17">
        <f t="shared" si="6"/>
        <v>0</v>
      </c>
      <c r="S30" s="17">
        <f t="shared" si="7"/>
        <v>12628268.034740189</v>
      </c>
      <c r="T30" s="17">
        <f t="shared" si="8"/>
        <v>0</v>
      </c>
      <c r="U30" s="17">
        <f t="shared" ca="1" si="9"/>
        <v>28697043.846100904</v>
      </c>
    </row>
    <row r="31" spans="1:26" x14ac:dyDescent="0.2">
      <c r="A31" s="28">
        <f>'Monthly Data'!A31</f>
        <v>42522</v>
      </c>
      <c r="B31">
        <f>'Monthly Data'!C31</f>
        <v>6</v>
      </c>
      <c r="C31">
        <f>'Monthly Data'!B31</f>
        <v>2016</v>
      </c>
      <c r="D31" s="18">
        <f>'Monthly Data'!N31</f>
        <v>27434328.919874996</v>
      </c>
      <c r="E31" s="10">
        <f t="shared" ref="E31:F31" ca="1" si="26">E19</f>
        <v>1.25875</v>
      </c>
      <c r="F31" s="10">
        <f t="shared" ca="1" si="26"/>
        <v>53.293685210734182</v>
      </c>
      <c r="G31">
        <f>'Monthly Data'!AV31</f>
        <v>30</v>
      </c>
      <c r="H31">
        <f>'Monthly Data'!BO31</f>
        <v>30</v>
      </c>
      <c r="I31">
        <f>'Monthly Data'!BR31</f>
        <v>0</v>
      </c>
      <c r="J31" s="17">
        <f>'Monthly Data'!AT31</f>
        <v>740632</v>
      </c>
      <c r="K31">
        <f>'Monthly Data'!BJ31</f>
        <v>0</v>
      </c>
      <c r="M31" s="17">
        <f t="shared" si="1"/>
        <v>-9501475.1395959798</v>
      </c>
      <c r="N31" s="17">
        <f t="shared" ca="1" si="2"/>
        <v>14779.844792709282</v>
      </c>
      <c r="O31" s="17">
        <f t="shared" ca="1" si="3"/>
        <v>1162631.7347038437</v>
      </c>
      <c r="P31" s="17">
        <f t="shared" si="4"/>
        <v>-1077523.9880582159</v>
      </c>
      <c r="Q31" s="17">
        <f t="shared" si="5"/>
        <v>24809453.88714486</v>
      </c>
      <c r="R31" s="17">
        <f t="shared" si="6"/>
        <v>0</v>
      </c>
      <c r="S31" s="17">
        <f t="shared" si="7"/>
        <v>12628268.034740189</v>
      </c>
      <c r="T31" s="17">
        <f t="shared" si="8"/>
        <v>0</v>
      </c>
      <c r="U31" s="17">
        <f t="shared" ca="1" si="9"/>
        <v>28036134.373727404</v>
      </c>
    </row>
    <row r="32" spans="1:26" x14ac:dyDescent="0.2">
      <c r="A32" s="28">
        <f>'Monthly Data'!A32</f>
        <v>42552</v>
      </c>
      <c r="B32">
        <f>'Monthly Data'!C32</f>
        <v>7</v>
      </c>
      <c r="C32">
        <f>'Monthly Data'!B32</f>
        <v>2016</v>
      </c>
      <c r="D32" s="18">
        <f>'Monthly Data'!N32</f>
        <v>29318170.811119556</v>
      </c>
      <c r="E32" s="10">
        <f t="shared" ref="E32:F32" ca="1" si="27">E20</f>
        <v>0</v>
      </c>
      <c r="F32" s="10">
        <f t="shared" ca="1" si="27"/>
        <v>104.42694776957208</v>
      </c>
      <c r="G32">
        <f>'Monthly Data'!AV32</f>
        <v>31</v>
      </c>
      <c r="H32">
        <f>'Monthly Data'!BO32</f>
        <v>31</v>
      </c>
      <c r="I32">
        <f>'Monthly Data'!BR32</f>
        <v>0</v>
      </c>
      <c r="J32" s="17">
        <f>'Monthly Data'!AT32</f>
        <v>746606</v>
      </c>
      <c r="K32">
        <f>'Monthly Data'!BJ32</f>
        <v>0</v>
      </c>
      <c r="M32" s="17">
        <f t="shared" si="1"/>
        <v>-9501475.1395959798</v>
      </c>
      <c r="N32" s="17">
        <f t="shared" ca="1" si="2"/>
        <v>0</v>
      </c>
      <c r="O32" s="17">
        <f t="shared" ca="1" si="3"/>
        <v>2278132.6334458739</v>
      </c>
      <c r="P32" s="17">
        <f t="shared" si="4"/>
        <v>-1113441.4543268231</v>
      </c>
      <c r="Q32" s="17">
        <f t="shared" si="5"/>
        <v>25636435.683383022</v>
      </c>
      <c r="R32" s="17">
        <f t="shared" si="6"/>
        <v>0</v>
      </c>
      <c r="S32" s="17">
        <f t="shared" si="7"/>
        <v>12730128.706760218</v>
      </c>
      <c r="T32" s="17">
        <f t="shared" si="8"/>
        <v>0</v>
      </c>
      <c r="U32" s="17">
        <f t="shared" ca="1" si="9"/>
        <v>30029780.429666311</v>
      </c>
    </row>
    <row r="33" spans="1:21" x14ac:dyDescent="0.2">
      <c r="A33" s="28">
        <f>'Monthly Data'!A33</f>
        <v>42583</v>
      </c>
      <c r="B33">
        <f>'Monthly Data'!C33</f>
        <v>8</v>
      </c>
      <c r="C33">
        <f>'Monthly Data'!B33</f>
        <v>2016</v>
      </c>
      <c r="D33" s="18">
        <f>'Monthly Data'!N33</f>
        <v>29867205.248904526</v>
      </c>
      <c r="E33" s="10">
        <f t="shared" ref="E33:F33" ca="1" si="28">E21</f>
        <v>0.1158333333333335</v>
      </c>
      <c r="F33" s="10">
        <f t="shared" ca="1" si="28"/>
        <v>74.696666666666673</v>
      </c>
      <c r="G33">
        <f>'Monthly Data'!AV33</f>
        <v>32</v>
      </c>
      <c r="H33">
        <f>'Monthly Data'!BO33</f>
        <v>31</v>
      </c>
      <c r="I33">
        <f>'Monthly Data'!BR33</f>
        <v>0</v>
      </c>
      <c r="J33" s="17">
        <f>'Monthly Data'!AT33</f>
        <v>746606</v>
      </c>
      <c r="K33">
        <f>'Monthly Data'!BJ33</f>
        <v>0</v>
      </c>
      <c r="M33" s="17">
        <f t="shared" si="1"/>
        <v>-9501475.1395959798</v>
      </c>
      <c r="N33" s="17">
        <f t="shared" ca="1" si="2"/>
        <v>1360.0784019772213</v>
      </c>
      <c r="O33" s="17">
        <f t="shared" ca="1" si="3"/>
        <v>1629549.8200182556</v>
      </c>
      <c r="P33" s="17">
        <f t="shared" si="4"/>
        <v>-1149358.9205954303</v>
      </c>
      <c r="Q33" s="17">
        <f t="shared" si="5"/>
        <v>25636435.683383022</v>
      </c>
      <c r="R33" s="17">
        <f t="shared" si="6"/>
        <v>0</v>
      </c>
      <c r="S33" s="17">
        <f t="shared" si="7"/>
        <v>12730128.706760218</v>
      </c>
      <c r="T33" s="17">
        <f t="shared" si="8"/>
        <v>0</v>
      </c>
      <c r="U33" s="17">
        <f t="shared" ca="1" si="9"/>
        <v>29346640.228372063</v>
      </c>
    </row>
    <row r="34" spans="1:21" x14ac:dyDescent="0.2">
      <c r="A34" s="28">
        <f>'Monthly Data'!A34</f>
        <v>42614</v>
      </c>
      <c r="B34">
        <f>'Monthly Data'!C34</f>
        <v>9</v>
      </c>
      <c r="C34">
        <f>'Monthly Data'!B34</f>
        <v>2016</v>
      </c>
      <c r="D34" s="18">
        <f>'Monthly Data'!N34</f>
        <v>27630000.897851404</v>
      </c>
      <c r="E34" s="10">
        <f t="shared" ref="E34:F34" ca="1" si="29">E22</f>
        <v>11.597845892171184</v>
      </c>
      <c r="F34" s="10">
        <f t="shared" ca="1" si="29"/>
        <v>25.91041666666667</v>
      </c>
      <c r="G34">
        <f>'Monthly Data'!AV34</f>
        <v>33</v>
      </c>
      <c r="H34">
        <f>'Monthly Data'!BO34</f>
        <v>30</v>
      </c>
      <c r="I34">
        <f>'Monthly Data'!BR34</f>
        <v>0</v>
      </c>
      <c r="J34" s="17">
        <f>'Monthly Data'!AT34</f>
        <v>746606</v>
      </c>
      <c r="K34">
        <f>'Monthly Data'!BJ34</f>
        <v>1</v>
      </c>
      <c r="M34" s="17">
        <f t="shared" ref="M34:M65" si="30">$X$7</f>
        <v>-9501475.1395959798</v>
      </c>
      <c r="N34" s="17">
        <f t="shared" ca="1" si="2"/>
        <v>136178.24207829277</v>
      </c>
      <c r="O34" s="17">
        <f t="shared" ca="1" si="3"/>
        <v>565250.3210642779</v>
      </c>
      <c r="P34" s="17">
        <f t="shared" si="4"/>
        <v>-1185276.3868640375</v>
      </c>
      <c r="Q34" s="17">
        <f t="shared" si="5"/>
        <v>24809453.88714486</v>
      </c>
      <c r="R34" s="17">
        <f t="shared" si="6"/>
        <v>0</v>
      </c>
      <c r="S34" s="17">
        <f t="shared" si="7"/>
        <v>12730128.706760218</v>
      </c>
      <c r="T34" s="17">
        <f t="shared" si="8"/>
        <v>413783.55369814899</v>
      </c>
      <c r="U34" s="17">
        <f t="shared" ca="1" si="9"/>
        <v>27968043.184285779</v>
      </c>
    </row>
    <row r="35" spans="1:21" x14ac:dyDescent="0.2">
      <c r="A35" s="28">
        <f>'Monthly Data'!A35</f>
        <v>42644</v>
      </c>
      <c r="B35">
        <f>'Monthly Data'!C35</f>
        <v>10</v>
      </c>
      <c r="C35">
        <f>'Monthly Data'!B35</f>
        <v>2016</v>
      </c>
      <c r="D35" s="18">
        <f>'Monthly Data'!N35</f>
        <v>28269122.016322847</v>
      </c>
      <c r="E35" s="10">
        <f t="shared" ref="E35:F35" ca="1" si="31">E23</f>
        <v>128.51888157360821</v>
      </c>
      <c r="F35" s="10">
        <f t="shared" ca="1" si="31"/>
        <v>2.0656249999999989</v>
      </c>
      <c r="G35">
        <f>'Monthly Data'!AV35</f>
        <v>34</v>
      </c>
      <c r="H35">
        <f>'Monthly Data'!BO35</f>
        <v>31</v>
      </c>
      <c r="I35">
        <f>'Monthly Data'!BR35</f>
        <v>0</v>
      </c>
      <c r="J35" s="17">
        <f>'Monthly Data'!AT35</f>
        <v>745380</v>
      </c>
      <c r="K35">
        <f>'Monthly Data'!BJ35</f>
        <v>1</v>
      </c>
      <c r="M35" s="17">
        <f t="shared" si="30"/>
        <v>-9501475.1395959798</v>
      </c>
      <c r="N35" s="17">
        <f t="shared" ca="1" si="2"/>
        <v>1509028.1013628712</v>
      </c>
      <c r="O35" s="17">
        <f t="shared" ca="1" si="3"/>
        <v>45062.771836876353</v>
      </c>
      <c r="P35" s="17">
        <f t="shared" si="4"/>
        <v>-1221193.8531326447</v>
      </c>
      <c r="Q35" s="17">
        <f t="shared" si="5"/>
        <v>25636435.683383022</v>
      </c>
      <c r="R35" s="17">
        <f t="shared" si="6"/>
        <v>0</v>
      </c>
      <c r="S35" s="17">
        <f t="shared" si="7"/>
        <v>12709224.591611816</v>
      </c>
      <c r="T35" s="17">
        <f t="shared" si="8"/>
        <v>413783.55369814899</v>
      </c>
      <c r="U35" s="17">
        <f t="shared" ca="1" si="9"/>
        <v>29590865.709164109</v>
      </c>
    </row>
    <row r="36" spans="1:21" x14ac:dyDescent="0.2">
      <c r="A36" s="28">
        <f>'Monthly Data'!A36</f>
        <v>42675</v>
      </c>
      <c r="B36">
        <f>'Monthly Data'!C36</f>
        <v>11</v>
      </c>
      <c r="C36">
        <f>'Monthly Data'!B36</f>
        <v>2016</v>
      </c>
      <c r="D36" s="18">
        <f>'Monthly Data'!N36</f>
        <v>29625054.663851045</v>
      </c>
      <c r="E36" s="10">
        <f t="shared" ref="E36:F36" ca="1" si="32">E24</f>
        <v>332.1049960098469</v>
      </c>
      <c r="F36" s="10">
        <f t="shared" ca="1" si="32"/>
        <v>0</v>
      </c>
      <c r="G36">
        <f>'Monthly Data'!AV36</f>
        <v>35</v>
      </c>
      <c r="H36">
        <f>'Monthly Data'!BO36</f>
        <v>30</v>
      </c>
      <c r="I36">
        <f>'Monthly Data'!BR36</f>
        <v>0</v>
      </c>
      <c r="J36" s="17">
        <f>'Monthly Data'!AT36</f>
        <v>745380</v>
      </c>
      <c r="K36">
        <f>'Monthly Data'!BJ36</f>
        <v>1</v>
      </c>
      <c r="M36" s="17">
        <f t="shared" si="30"/>
        <v>-9501475.1395959798</v>
      </c>
      <c r="N36" s="17">
        <f t="shared" ca="1" si="2"/>
        <v>3899471.9331947346</v>
      </c>
      <c r="O36" s="17">
        <f t="shared" ca="1" si="3"/>
        <v>0</v>
      </c>
      <c r="P36" s="17">
        <f t="shared" si="4"/>
        <v>-1257111.3194012519</v>
      </c>
      <c r="Q36" s="17">
        <f t="shared" si="5"/>
        <v>24809453.88714486</v>
      </c>
      <c r="R36" s="17">
        <f t="shared" si="6"/>
        <v>0</v>
      </c>
      <c r="S36" s="17">
        <f t="shared" si="7"/>
        <v>12709224.591611816</v>
      </c>
      <c r="T36" s="17">
        <f t="shared" si="8"/>
        <v>413783.55369814899</v>
      </c>
      <c r="U36" s="17">
        <f t="shared" ca="1" si="9"/>
        <v>31073347.506652329</v>
      </c>
    </row>
    <row r="37" spans="1:21" x14ac:dyDescent="0.2">
      <c r="A37" s="28">
        <f>'Monthly Data'!A37</f>
        <v>42705</v>
      </c>
      <c r="B37">
        <f>'Monthly Data'!C37</f>
        <v>12</v>
      </c>
      <c r="C37">
        <f>'Monthly Data'!B37</f>
        <v>2016</v>
      </c>
      <c r="D37" s="18">
        <f>'Monthly Data'!N37</f>
        <v>33235343.950073261</v>
      </c>
      <c r="E37" s="10">
        <f t="shared" ref="E37:F37" ca="1" si="33">E25</f>
        <v>508.62936502461724</v>
      </c>
      <c r="F37" s="10">
        <f t="shared" ca="1" si="33"/>
        <v>0</v>
      </c>
      <c r="G37">
        <f>'Monthly Data'!AV37</f>
        <v>36</v>
      </c>
      <c r="H37">
        <f>'Monthly Data'!BO37</f>
        <v>31</v>
      </c>
      <c r="I37">
        <f>'Monthly Data'!BR37</f>
        <v>0</v>
      </c>
      <c r="J37" s="17">
        <f>'Monthly Data'!AT37</f>
        <v>745380</v>
      </c>
      <c r="K37">
        <f>'Monthly Data'!BJ37</f>
        <v>0</v>
      </c>
      <c r="M37" s="17">
        <f t="shared" si="30"/>
        <v>-9501475.1395959798</v>
      </c>
      <c r="N37" s="17">
        <f t="shared" ca="1" si="2"/>
        <v>5972165.3005585838</v>
      </c>
      <c r="O37" s="17">
        <f t="shared" ca="1" si="3"/>
        <v>0</v>
      </c>
      <c r="P37" s="17">
        <f t="shared" si="4"/>
        <v>-1293028.785669859</v>
      </c>
      <c r="Q37" s="17">
        <f t="shared" si="5"/>
        <v>25636435.683383022</v>
      </c>
      <c r="R37" s="17">
        <f t="shared" si="6"/>
        <v>0</v>
      </c>
      <c r="S37" s="17">
        <f t="shared" si="7"/>
        <v>12709224.591611816</v>
      </c>
      <c r="T37" s="17">
        <f t="shared" si="8"/>
        <v>0</v>
      </c>
      <c r="U37" s="17">
        <f t="shared" ca="1" si="9"/>
        <v>33523321.650287583</v>
      </c>
    </row>
    <row r="38" spans="1:21" x14ac:dyDescent="0.2">
      <c r="A38" s="28">
        <f>'Monthly Data'!A38</f>
        <v>42736</v>
      </c>
      <c r="B38">
        <f>'Monthly Data'!C38</f>
        <v>1</v>
      </c>
      <c r="C38">
        <f>'Monthly Data'!B38</f>
        <v>2017</v>
      </c>
      <c r="D38" s="18">
        <f>'Monthly Data'!N38</f>
        <v>33771797.658702679</v>
      </c>
      <c r="E38" s="10">
        <f t="shared" ref="E38:F38" ca="1" si="34">E26</f>
        <v>666.68367523535153</v>
      </c>
      <c r="F38" s="10">
        <f t="shared" ca="1" si="34"/>
        <v>0</v>
      </c>
      <c r="G38">
        <f>'Monthly Data'!AV38</f>
        <v>37</v>
      </c>
      <c r="H38">
        <f>'Monthly Data'!BO38</f>
        <v>31</v>
      </c>
      <c r="I38">
        <f>'Monthly Data'!BR38</f>
        <v>0</v>
      </c>
      <c r="J38" s="17">
        <f>'Monthly Data'!AT38</f>
        <v>756702</v>
      </c>
      <c r="K38">
        <f>'Monthly Data'!BJ38</f>
        <v>0</v>
      </c>
      <c r="M38" s="17">
        <f t="shared" si="30"/>
        <v>-9501475.1395959798</v>
      </c>
      <c r="N38" s="17">
        <f t="shared" ca="1" si="2"/>
        <v>7827989.0731372358</v>
      </c>
      <c r="O38" s="17">
        <f t="shared" ca="1" si="3"/>
        <v>0</v>
      </c>
      <c r="P38" s="17">
        <f t="shared" si="4"/>
        <v>-1328946.2519384662</v>
      </c>
      <c r="Q38" s="17">
        <f t="shared" si="5"/>
        <v>25636435.683383022</v>
      </c>
      <c r="R38" s="17">
        <f t="shared" si="6"/>
        <v>0</v>
      </c>
      <c r="S38" s="17">
        <f t="shared" si="7"/>
        <v>12902272.219434174</v>
      </c>
      <c r="T38" s="17">
        <f t="shared" si="8"/>
        <v>0</v>
      </c>
      <c r="U38" s="17">
        <f t="shared" ca="1" si="9"/>
        <v>35536275.584419988</v>
      </c>
    </row>
    <row r="39" spans="1:21" x14ac:dyDescent="0.2">
      <c r="A39" s="28">
        <f>'Monthly Data'!A39</f>
        <v>42767</v>
      </c>
      <c r="B39">
        <f>'Monthly Data'!C39</f>
        <v>2</v>
      </c>
      <c r="C39">
        <f>'Monthly Data'!B39</f>
        <v>2017</v>
      </c>
      <c r="D39" s="18">
        <f>'Monthly Data'!N39</f>
        <v>30821664.603979621</v>
      </c>
      <c r="E39" s="10">
        <f t="shared" ref="E39:F39" ca="1" si="35">E27</f>
        <v>599.3508333333333</v>
      </c>
      <c r="F39" s="10">
        <f t="shared" ca="1" si="35"/>
        <v>0</v>
      </c>
      <c r="G39">
        <f>'Monthly Data'!AV39</f>
        <v>38</v>
      </c>
      <c r="H39">
        <f>'Monthly Data'!BO39</f>
        <v>28</v>
      </c>
      <c r="I39">
        <f>'Monthly Data'!BR39</f>
        <v>0</v>
      </c>
      <c r="J39" s="17">
        <f>'Monthly Data'!AT39</f>
        <v>756702</v>
      </c>
      <c r="K39">
        <f>'Monthly Data'!BJ39</f>
        <v>0</v>
      </c>
      <c r="M39" s="17">
        <f t="shared" si="30"/>
        <v>-9501475.1395959798</v>
      </c>
      <c r="N39" s="17">
        <f t="shared" ca="1" si="2"/>
        <v>7037388.1176148038</v>
      </c>
      <c r="O39" s="17">
        <f t="shared" ca="1" si="3"/>
        <v>0</v>
      </c>
      <c r="P39" s="17">
        <f t="shared" si="4"/>
        <v>-1364863.7182070734</v>
      </c>
      <c r="Q39" s="17">
        <f t="shared" si="5"/>
        <v>23155490.294668537</v>
      </c>
      <c r="R39" s="17">
        <f t="shared" si="6"/>
        <v>0</v>
      </c>
      <c r="S39" s="17">
        <f t="shared" si="7"/>
        <v>12902272.219434174</v>
      </c>
      <c r="T39" s="17">
        <f t="shared" si="8"/>
        <v>0</v>
      </c>
      <c r="U39" s="17">
        <f t="shared" ca="1" si="9"/>
        <v>32228811.773914464</v>
      </c>
    </row>
    <row r="40" spans="1:21" x14ac:dyDescent="0.2">
      <c r="A40" s="28">
        <f>'Monthly Data'!A40</f>
        <v>42795</v>
      </c>
      <c r="B40">
        <f>'Monthly Data'!C40</f>
        <v>3</v>
      </c>
      <c r="C40">
        <f>'Monthly Data'!B40</f>
        <v>2017</v>
      </c>
      <c r="D40" s="18">
        <f>'Monthly Data'!N40</f>
        <v>33517131.703601539</v>
      </c>
      <c r="E40" s="10">
        <f t="shared" ref="E40:F40" ca="1" si="36">E28</f>
        <v>469.11853767651354</v>
      </c>
      <c r="F40" s="10">
        <f t="shared" ca="1" si="36"/>
        <v>0</v>
      </c>
      <c r="G40">
        <f>'Monthly Data'!AV40</f>
        <v>39</v>
      </c>
      <c r="H40">
        <f>'Monthly Data'!BO40</f>
        <v>31</v>
      </c>
      <c r="I40">
        <f>'Monthly Data'!BR40</f>
        <v>0</v>
      </c>
      <c r="J40" s="17">
        <f>'Monthly Data'!AT40</f>
        <v>756702</v>
      </c>
      <c r="K40">
        <f>'Monthly Data'!BJ40</f>
        <v>0</v>
      </c>
      <c r="M40" s="17">
        <f t="shared" si="30"/>
        <v>-9501475.1395959798</v>
      </c>
      <c r="N40" s="17">
        <f t="shared" ca="1" si="2"/>
        <v>5508241.6494471589</v>
      </c>
      <c r="O40" s="17">
        <f t="shared" ca="1" si="3"/>
        <v>0</v>
      </c>
      <c r="P40" s="17">
        <f t="shared" si="4"/>
        <v>-1400781.1844756806</v>
      </c>
      <c r="Q40" s="17">
        <f t="shared" si="5"/>
        <v>25636435.683383022</v>
      </c>
      <c r="R40" s="17">
        <f t="shared" si="6"/>
        <v>0</v>
      </c>
      <c r="S40" s="17">
        <f t="shared" si="7"/>
        <v>12902272.219434174</v>
      </c>
      <c r="T40" s="17">
        <f t="shared" si="8"/>
        <v>0</v>
      </c>
      <c r="U40" s="17">
        <f t="shared" ca="1" si="9"/>
        <v>33144693.228192694</v>
      </c>
    </row>
    <row r="41" spans="1:21" x14ac:dyDescent="0.2">
      <c r="A41" s="28">
        <f>'Monthly Data'!A41</f>
        <v>42826</v>
      </c>
      <c r="B41">
        <f>'Monthly Data'!C41</f>
        <v>4</v>
      </c>
      <c r="C41">
        <f>'Monthly Data'!B41</f>
        <v>2017</v>
      </c>
      <c r="D41" s="18">
        <f>'Monthly Data'!N41</f>
        <v>28201638.7495308</v>
      </c>
      <c r="E41" s="10">
        <f t="shared" ref="E41:F41" ca="1" si="37">E29</f>
        <v>233.92395833333336</v>
      </c>
      <c r="F41" s="10">
        <f t="shared" ca="1" si="37"/>
        <v>1.1666666666666714E-2</v>
      </c>
      <c r="G41">
        <f>'Monthly Data'!AV41</f>
        <v>40</v>
      </c>
      <c r="H41">
        <f>'Monthly Data'!BO41</f>
        <v>30</v>
      </c>
      <c r="I41">
        <f>'Monthly Data'!BR41</f>
        <v>0</v>
      </c>
      <c r="J41" s="17">
        <f>'Monthly Data'!AT41</f>
        <v>764644</v>
      </c>
      <c r="K41">
        <f>'Monthly Data'!BJ41</f>
        <v>0</v>
      </c>
      <c r="M41" s="17">
        <f t="shared" si="30"/>
        <v>-9501475.1395959798</v>
      </c>
      <c r="N41" s="17">
        <f t="shared" ca="1" si="2"/>
        <v>2746661.2095037615</v>
      </c>
      <c r="O41" s="17">
        <f t="shared" ca="1" si="3"/>
        <v>254.51489892739153</v>
      </c>
      <c r="P41" s="17">
        <f t="shared" si="4"/>
        <v>-1436698.6507442878</v>
      </c>
      <c r="Q41" s="17">
        <f t="shared" si="5"/>
        <v>24809453.88714486</v>
      </c>
      <c r="R41" s="17">
        <f t="shared" si="6"/>
        <v>0</v>
      </c>
      <c r="S41" s="17">
        <f t="shared" si="7"/>
        <v>13037688.599946907</v>
      </c>
      <c r="T41" s="17">
        <f t="shared" si="8"/>
        <v>0</v>
      </c>
      <c r="U41" s="17">
        <f t="shared" ca="1" si="9"/>
        <v>29655884.421154186</v>
      </c>
    </row>
    <row r="42" spans="1:21" x14ac:dyDescent="0.2">
      <c r="A42" s="28">
        <f>'Monthly Data'!A42</f>
        <v>42856</v>
      </c>
      <c r="B42">
        <f>'Monthly Data'!C42</f>
        <v>5</v>
      </c>
      <c r="C42">
        <f>'Monthly Data'!B42</f>
        <v>2017</v>
      </c>
      <c r="D42" s="18">
        <f>'Monthly Data'!N42</f>
        <v>27372200.623789527</v>
      </c>
      <c r="E42" s="10">
        <f t="shared" ref="E42:F42" ca="1" si="38">E30</f>
        <v>46.324929225504526</v>
      </c>
      <c r="F42" s="10">
        <f t="shared" ca="1" si="38"/>
        <v>19.778958333333328</v>
      </c>
      <c r="G42">
        <f>'Monthly Data'!AV42</f>
        <v>41</v>
      </c>
      <c r="H42">
        <f>'Monthly Data'!BO42</f>
        <v>31</v>
      </c>
      <c r="I42">
        <f>'Monthly Data'!BR42</f>
        <v>0</v>
      </c>
      <c r="J42" s="17">
        <f>'Monthly Data'!AT42</f>
        <v>764644</v>
      </c>
      <c r="K42">
        <f>'Monthly Data'!BJ42</f>
        <v>0</v>
      </c>
      <c r="M42" s="17">
        <f t="shared" si="30"/>
        <v>-9501475.1395959798</v>
      </c>
      <c r="N42" s="17">
        <f t="shared" ca="1" si="2"/>
        <v>543932.68241207476</v>
      </c>
      <c r="O42" s="17">
        <f t="shared" ca="1" si="3"/>
        <v>431489.10695120576</v>
      </c>
      <c r="P42" s="17">
        <f t="shared" si="4"/>
        <v>-1472616.1170128952</v>
      </c>
      <c r="Q42" s="17">
        <f t="shared" si="5"/>
        <v>25636435.683383022</v>
      </c>
      <c r="R42" s="17">
        <f t="shared" si="6"/>
        <v>0</v>
      </c>
      <c r="S42" s="17">
        <f t="shared" si="7"/>
        <v>13037688.599946907</v>
      </c>
      <c r="T42" s="17">
        <f t="shared" si="8"/>
        <v>0</v>
      </c>
      <c r="U42" s="17">
        <f t="shared" ca="1" si="9"/>
        <v>28675454.816084333</v>
      </c>
    </row>
    <row r="43" spans="1:21" x14ac:dyDescent="0.2">
      <c r="A43" s="28">
        <f>'Monthly Data'!A43</f>
        <v>42887</v>
      </c>
      <c r="B43">
        <f>'Monthly Data'!C43</f>
        <v>6</v>
      </c>
      <c r="C43">
        <f>'Monthly Data'!B43</f>
        <v>2017</v>
      </c>
      <c r="D43" s="18">
        <f>'Monthly Data'!N43</f>
        <v>26996934.5106472</v>
      </c>
      <c r="E43" s="10">
        <f t="shared" ref="E43:F43" ca="1" si="39">E31</f>
        <v>1.25875</v>
      </c>
      <c r="F43" s="10">
        <f t="shared" ca="1" si="39"/>
        <v>53.293685210734182</v>
      </c>
      <c r="G43">
        <f>'Monthly Data'!AV43</f>
        <v>42</v>
      </c>
      <c r="H43">
        <f>'Monthly Data'!BO43</f>
        <v>30</v>
      </c>
      <c r="I43">
        <f>'Monthly Data'!BR43</f>
        <v>0</v>
      </c>
      <c r="J43" s="17">
        <f>'Monthly Data'!AT43</f>
        <v>764644</v>
      </c>
      <c r="K43">
        <f>'Monthly Data'!BJ43</f>
        <v>0</v>
      </c>
      <c r="M43" s="17">
        <f t="shared" si="30"/>
        <v>-9501475.1395959798</v>
      </c>
      <c r="N43" s="17">
        <f t="shared" ca="1" si="2"/>
        <v>14779.844792709282</v>
      </c>
      <c r="O43" s="17">
        <f t="shared" ca="1" si="3"/>
        <v>1162631.7347038437</v>
      </c>
      <c r="P43" s="17">
        <f t="shared" si="4"/>
        <v>-1508533.5832815024</v>
      </c>
      <c r="Q43" s="17">
        <f t="shared" si="5"/>
        <v>24809453.88714486</v>
      </c>
      <c r="R43" s="17">
        <f t="shared" si="6"/>
        <v>0</v>
      </c>
      <c r="S43" s="17">
        <f t="shared" si="7"/>
        <v>13037688.599946907</v>
      </c>
      <c r="T43" s="17">
        <f t="shared" si="8"/>
        <v>0</v>
      </c>
      <c r="U43" s="17">
        <f t="shared" ca="1" si="9"/>
        <v>28014545.343710836</v>
      </c>
    </row>
    <row r="44" spans="1:21" x14ac:dyDescent="0.2">
      <c r="A44" s="28">
        <f>'Monthly Data'!A44</f>
        <v>42917</v>
      </c>
      <c r="B44">
        <f>'Monthly Data'!C44</f>
        <v>7</v>
      </c>
      <c r="C44">
        <f>'Monthly Data'!B44</f>
        <v>2017</v>
      </c>
      <c r="D44" s="18">
        <f>'Monthly Data'!N44</f>
        <v>30033693.283745877</v>
      </c>
      <c r="E44" s="10">
        <f t="shared" ref="E44:F44" ca="1" si="40">E32</f>
        <v>0</v>
      </c>
      <c r="F44" s="10">
        <f t="shared" ca="1" si="40"/>
        <v>104.42694776957208</v>
      </c>
      <c r="G44">
        <f>'Monthly Data'!AV44</f>
        <v>43</v>
      </c>
      <c r="H44">
        <f>'Monthly Data'!BO44</f>
        <v>31</v>
      </c>
      <c r="I44">
        <f>'Monthly Data'!BR44</f>
        <v>0</v>
      </c>
      <c r="J44" s="17">
        <f>'Monthly Data'!AT44</f>
        <v>765060</v>
      </c>
      <c r="K44">
        <f>'Monthly Data'!BJ44</f>
        <v>0</v>
      </c>
      <c r="M44" s="17">
        <f t="shared" si="30"/>
        <v>-9501475.1395959798</v>
      </c>
      <c r="N44" s="17">
        <f t="shared" ca="1" si="2"/>
        <v>0</v>
      </c>
      <c r="O44" s="17">
        <f t="shared" ca="1" si="3"/>
        <v>2278132.6334458739</v>
      </c>
      <c r="P44" s="17">
        <f t="shared" si="4"/>
        <v>-1544451.0495501095</v>
      </c>
      <c r="Q44" s="17">
        <f t="shared" si="5"/>
        <v>25636435.683383022</v>
      </c>
      <c r="R44" s="17">
        <f t="shared" si="6"/>
        <v>0</v>
      </c>
      <c r="S44" s="17">
        <f t="shared" si="7"/>
        <v>13044781.67653886</v>
      </c>
      <c r="T44" s="17">
        <f t="shared" si="8"/>
        <v>0</v>
      </c>
      <c r="U44" s="17">
        <f t="shared" ca="1" si="9"/>
        <v>29913423.804221667</v>
      </c>
    </row>
    <row r="45" spans="1:21" x14ac:dyDescent="0.2">
      <c r="A45" s="28">
        <f>'Monthly Data'!A45</f>
        <v>42948</v>
      </c>
      <c r="B45">
        <f>'Monthly Data'!C45</f>
        <v>8</v>
      </c>
      <c r="C45">
        <f>'Monthly Data'!B45</f>
        <v>2017</v>
      </c>
      <c r="D45" s="18">
        <f>'Monthly Data'!N45</f>
        <v>29810611.990313642</v>
      </c>
      <c r="E45" s="10">
        <f t="shared" ref="E45:F45" ca="1" si="41">E33</f>
        <v>0.1158333333333335</v>
      </c>
      <c r="F45" s="10">
        <f t="shared" ca="1" si="41"/>
        <v>74.696666666666673</v>
      </c>
      <c r="G45">
        <f>'Monthly Data'!AV45</f>
        <v>44</v>
      </c>
      <c r="H45">
        <f>'Monthly Data'!BO45</f>
        <v>31</v>
      </c>
      <c r="I45">
        <f>'Monthly Data'!BR45</f>
        <v>0</v>
      </c>
      <c r="J45" s="17">
        <f>'Monthly Data'!AT45</f>
        <v>765060</v>
      </c>
      <c r="K45">
        <f>'Monthly Data'!BJ45</f>
        <v>0</v>
      </c>
      <c r="M45" s="17">
        <f t="shared" si="30"/>
        <v>-9501475.1395959798</v>
      </c>
      <c r="N45" s="17">
        <f t="shared" ca="1" si="2"/>
        <v>1360.0784019772213</v>
      </c>
      <c r="O45" s="17">
        <f t="shared" ca="1" si="3"/>
        <v>1629549.8200182556</v>
      </c>
      <c r="P45" s="17">
        <f t="shared" si="4"/>
        <v>-1580368.5158187167</v>
      </c>
      <c r="Q45" s="17">
        <f t="shared" si="5"/>
        <v>25636435.683383022</v>
      </c>
      <c r="R45" s="17">
        <f t="shared" si="6"/>
        <v>0</v>
      </c>
      <c r="S45" s="17">
        <f t="shared" si="7"/>
        <v>13044781.67653886</v>
      </c>
      <c r="T45" s="17">
        <f t="shared" si="8"/>
        <v>0</v>
      </c>
      <c r="U45" s="17">
        <f t="shared" ca="1" si="9"/>
        <v>29230283.602927417</v>
      </c>
    </row>
    <row r="46" spans="1:21" x14ac:dyDescent="0.2">
      <c r="A46" s="28">
        <f>'Monthly Data'!A46</f>
        <v>42979</v>
      </c>
      <c r="B46">
        <f>'Monthly Data'!C46</f>
        <v>9</v>
      </c>
      <c r="C46">
        <f>'Monthly Data'!B46</f>
        <v>2017</v>
      </c>
      <c r="D46" s="18">
        <f>'Monthly Data'!N46</f>
        <v>29229664.98879686</v>
      </c>
      <c r="E46" s="10">
        <f t="shared" ref="E46:F46" ca="1" si="42">E34</f>
        <v>11.597845892171184</v>
      </c>
      <c r="F46" s="10">
        <f t="shared" ca="1" si="42"/>
        <v>25.91041666666667</v>
      </c>
      <c r="G46">
        <f>'Monthly Data'!AV46</f>
        <v>45</v>
      </c>
      <c r="H46">
        <f>'Monthly Data'!BO46</f>
        <v>30</v>
      </c>
      <c r="I46">
        <f>'Monthly Data'!BR46</f>
        <v>0</v>
      </c>
      <c r="J46" s="17">
        <f>'Monthly Data'!AT46</f>
        <v>765060</v>
      </c>
      <c r="K46">
        <f>'Monthly Data'!BJ46</f>
        <v>1</v>
      </c>
      <c r="M46" s="17">
        <f t="shared" si="30"/>
        <v>-9501475.1395959798</v>
      </c>
      <c r="N46" s="17">
        <f t="shared" ca="1" si="2"/>
        <v>136178.24207829277</v>
      </c>
      <c r="O46" s="17">
        <f t="shared" ca="1" si="3"/>
        <v>565250.3210642779</v>
      </c>
      <c r="P46" s="17">
        <f t="shared" si="4"/>
        <v>-1616285.9820873239</v>
      </c>
      <c r="Q46" s="17">
        <f t="shared" si="5"/>
        <v>24809453.88714486</v>
      </c>
      <c r="R46" s="17">
        <f t="shared" si="6"/>
        <v>0</v>
      </c>
      <c r="S46" s="17">
        <f t="shared" si="7"/>
        <v>13044781.67653886</v>
      </c>
      <c r="T46" s="17">
        <f t="shared" si="8"/>
        <v>413783.55369814899</v>
      </c>
      <c r="U46" s="17">
        <f t="shared" ca="1" si="9"/>
        <v>27851686.558841135</v>
      </c>
    </row>
    <row r="47" spans="1:21" x14ac:dyDescent="0.2">
      <c r="A47" s="28">
        <f>'Monthly Data'!A47</f>
        <v>43009</v>
      </c>
      <c r="B47">
        <f>'Monthly Data'!C47</f>
        <v>10</v>
      </c>
      <c r="C47">
        <f>'Monthly Data'!B47</f>
        <v>2017</v>
      </c>
      <c r="D47" s="18">
        <f>'Monthly Data'!N47</f>
        <v>29788281.584134679</v>
      </c>
      <c r="E47" s="10">
        <f t="shared" ref="E47:F47" ca="1" si="43">E35</f>
        <v>128.51888157360821</v>
      </c>
      <c r="F47" s="10">
        <f t="shared" ca="1" si="43"/>
        <v>2.0656249999999989</v>
      </c>
      <c r="G47">
        <f>'Monthly Data'!AV47</f>
        <v>46</v>
      </c>
      <c r="H47">
        <f>'Monthly Data'!BO47</f>
        <v>31</v>
      </c>
      <c r="I47">
        <f>'Monthly Data'!BR47</f>
        <v>0</v>
      </c>
      <c r="J47" s="17">
        <f>'Monthly Data'!AT47</f>
        <v>771453</v>
      </c>
      <c r="K47">
        <f>'Monthly Data'!BJ47</f>
        <v>1</v>
      </c>
      <c r="M47" s="17">
        <f t="shared" si="30"/>
        <v>-9501475.1395959798</v>
      </c>
      <c r="N47" s="17">
        <f t="shared" ca="1" si="2"/>
        <v>1509028.1013628712</v>
      </c>
      <c r="O47" s="17">
        <f t="shared" ca="1" si="3"/>
        <v>45062.771836876353</v>
      </c>
      <c r="P47" s="17">
        <f t="shared" si="4"/>
        <v>-1652203.4483559311</v>
      </c>
      <c r="Q47" s="17">
        <f t="shared" si="5"/>
        <v>25636435.683383022</v>
      </c>
      <c r="R47" s="17">
        <f t="shared" si="6"/>
        <v>0</v>
      </c>
      <c r="S47" s="17">
        <f t="shared" si="7"/>
        <v>13153786.577145496</v>
      </c>
      <c r="T47" s="17">
        <f t="shared" si="8"/>
        <v>413783.55369814899</v>
      </c>
      <c r="U47" s="17">
        <f t="shared" ca="1" si="9"/>
        <v>29604418.099474501</v>
      </c>
    </row>
    <row r="48" spans="1:21" x14ac:dyDescent="0.2">
      <c r="A48" s="28">
        <f>'Monthly Data'!A48</f>
        <v>43040</v>
      </c>
      <c r="B48">
        <f>'Monthly Data'!C48</f>
        <v>11</v>
      </c>
      <c r="C48">
        <f>'Monthly Data'!B48</f>
        <v>2017</v>
      </c>
      <c r="D48" s="18">
        <f>'Monthly Data'!N48</f>
        <v>32403452.509253845</v>
      </c>
      <c r="E48" s="10">
        <f t="shared" ref="E48:F48" ca="1" si="44">E36</f>
        <v>332.1049960098469</v>
      </c>
      <c r="F48" s="10">
        <f t="shared" ca="1" si="44"/>
        <v>0</v>
      </c>
      <c r="G48">
        <f>'Monthly Data'!AV48</f>
        <v>47</v>
      </c>
      <c r="H48">
        <f>'Monthly Data'!BO48</f>
        <v>30</v>
      </c>
      <c r="I48">
        <f>'Monthly Data'!BR48</f>
        <v>0</v>
      </c>
      <c r="J48" s="17">
        <f>'Monthly Data'!AT48</f>
        <v>771453</v>
      </c>
      <c r="K48">
        <f>'Monthly Data'!BJ48</f>
        <v>1</v>
      </c>
      <c r="M48" s="17">
        <f t="shared" si="30"/>
        <v>-9501475.1395959798</v>
      </c>
      <c r="N48" s="17">
        <f t="shared" ca="1" si="2"/>
        <v>3899471.9331947346</v>
      </c>
      <c r="O48" s="17">
        <f t="shared" ca="1" si="3"/>
        <v>0</v>
      </c>
      <c r="P48" s="17">
        <f t="shared" si="4"/>
        <v>-1688120.9146245383</v>
      </c>
      <c r="Q48" s="17">
        <f t="shared" si="5"/>
        <v>24809453.88714486</v>
      </c>
      <c r="R48" s="17">
        <f t="shared" si="6"/>
        <v>0</v>
      </c>
      <c r="S48" s="17">
        <f t="shared" si="7"/>
        <v>13153786.577145496</v>
      </c>
      <c r="T48" s="17">
        <f t="shared" si="8"/>
        <v>413783.55369814899</v>
      </c>
      <c r="U48" s="17">
        <f t="shared" ca="1" si="9"/>
        <v>31086899.896962721</v>
      </c>
    </row>
    <row r="49" spans="1:21" x14ac:dyDescent="0.2">
      <c r="A49" s="28">
        <f>'Monthly Data'!A49</f>
        <v>43070</v>
      </c>
      <c r="B49">
        <f>'Monthly Data'!C49</f>
        <v>12</v>
      </c>
      <c r="C49">
        <f>'Monthly Data'!B49</f>
        <v>2017</v>
      </c>
      <c r="D49" s="18">
        <f>'Monthly Data'!N49</f>
        <v>36193918.154773518</v>
      </c>
      <c r="E49" s="10">
        <f t="shared" ref="E49:F49" ca="1" si="45">E37</f>
        <v>508.62936502461724</v>
      </c>
      <c r="F49" s="10">
        <f t="shared" ca="1" si="45"/>
        <v>0</v>
      </c>
      <c r="G49">
        <f>'Monthly Data'!AV49</f>
        <v>48</v>
      </c>
      <c r="H49">
        <f>'Monthly Data'!BO49</f>
        <v>31</v>
      </c>
      <c r="I49">
        <f>'Monthly Data'!BR49</f>
        <v>0</v>
      </c>
      <c r="J49" s="17">
        <f>'Monthly Data'!AT49</f>
        <v>771453</v>
      </c>
      <c r="K49">
        <f>'Monthly Data'!BJ49</f>
        <v>0</v>
      </c>
      <c r="M49" s="17">
        <f t="shared" si="30"/>
        <v>-9501475.1395959798</v>
      </c>
      <c r="N49" s="17">
        <f t="shared" ca="1" si="2"/>
        <v>5972165.3005585838</v>
      </c>
      <c r="O49" s="17">
        <f t="shared" ca="1" si="3"/>
        <v>0</v>
      </c>
      <c r="P49" s="17">
        <f t="shared" si="4"/>
        <v>-1724038.3808931455</v>
      </c>
      <c r="Q49" s="17">
        <f t="shared" si="5"/>
        <v>25636435.683383022</v>
      </c>
      <c r="R49" s="17">
        <f t="shared" si="6"/>
        <v>0</v>
      </c>
      <c r="S49" s="17">
        <f t="shared" si="7"/>
        <v>13153786.577145496</v>
      </c>
      <c r="T49" s="17">
        <f t="shared" si="8"/>
        <v>0</v>
      </c>
      <c r="U49" s="17">
        <f t="shared" ca="1" si="9"/>
        <v>33536874.040597975</v>
      </c>
    </row>
    <row r="50" spans="1:21" x14ac:dyDescent="0.2">
      <c r="A50" s="28">
        <f>'Monthly Data'!A50</f>
        <v>43101</v>
      </c>
      <c r="B50">
        <f>'Monthly Data'!C50</f>
        <v>1</v>
      </c>
      <c r="C50">
        <f>'Monthly Data'!B50</f>
        <v>2018</v>
      </c>
      <c r="D50" s="18">
        <f>'Monthly Data'!N50</f>
        <v>36876641.478447691</v>
      </c>
      <c r="E50" s="10">
        <f t="shared" ref="E50:F50" ca="1" si="46">E38</f>
        <v>666.68367523535153</v>
      </c>
      <c r="F50" s="10">
        <f t="shared" ca="1" si="46"/>
        <v>0</v>
      </c>
      <c r="G50">
        <f>'Monthly Data'!AV50</f>
        <v>49</v>
      </c>
      <c r="H50">
        <f>'Monthly Data'!BO50</f>
        <v>31</v>
      </c>
      <c r="I50">
        <f>'Monthly Data'!BR50</f>
        <v>0</v>
      </c>
      <c r="J50" s="17">
        <f>'Monthly Data'!AT50</f>
        <v>779459</v>
      </c>
      <c r="K50">
        <f>'Monthly Data'!BJ50</f>
        <v>0</v>
      </c>
      <c r="M50" s="17">
        <f t="shared" si="30"/>
        <v>-9501475.1395959798</v>
      </c>
      <c r="N50" s="17">
        <f t="shared" ca="1" si="2"/>
        <v>7827989.0731372358</v>
      </c>
      <c r="O50" s="17">
        <f t="shared" ca="1" si="3"/>
        <v>0</v>
      </c>
      <c r="P50" s="17">
        <f t="shared" si="4"/>
        <v>-1759955.8471617526</v>
      </c>
      <c r="Q50" s="17">
        <f t="shared" si="5"/>
        <v>25636435.683383022</v>
      </c>
      <c r="R50" s="17">
        <f t="shared" si="6"/>
        <v>0</v>
      </c>
      <c r="S50" s="17">
        <f t="shared" si="7"/>
        <v>13290294.200210838</v>
      </c>
      <c r="T50" s="17">
        <f t="shared" si="8"/>
        <v>0</v>
      </c>
      <c r="U50" s="17">
        <f t="shared" ca="1" si="9"/>
        <v>35493287.969973363</v>
      </c>
    </row>
    <row r="51" spans="1:21" x14ac:dyDescent="0.2">
      <c r="A51" s="28">
        <f>'Monthly Data'!A51</f>
        <v>43132</v>
      </c>
      <c r="B51">
        <f>'Monthly Data'!C51</f>
        <v>2</v>
      </c>
      <c r="C51">
        <f>'Monthly Data'!B51</f>
        <v>2018</v>
      </c>
      <c r="D51" s="18">
        <f>'Monthly Data'!N51</f>
        <v>32450817.161034416</v>
      </c>
      <c r="E51" s="10">
        <f t="shared" ref="E51:F51" ca="1" si="47">E39</f>
        <v>599.3508333333333</v>
      </c>
      <c r="F51" s="10">
        <f t="shared" ca="1" si="47"/>
        <v>0</v>
      </c>
      <c r="G51">
        <f>'Monthly Data'!AV51</f>
        <v>50</v>
      </c>
      <c r="H51">
        <f>'Monthly Data'!BO51</f>
        <v>28</v>
      </c>
      <c r="I51">
        <f>'Monthly Data'!BR51</f>
        <v>0</v>
      </c>
      <c r="J51" s="17">
        <f>'Monthly Data'!AT51</f>
        <v>779459</v>
      </c>
      <c r="K51">
        <f>'Monthly Data'!BJ51</f>
        <v>0</v>
      </c>
      <c r="M51" s="17">
        <f t="shared" si="30"/>
        <v>-9501475.1395959798</v>
      </c>
      <c r="N51" s="17">
        <f t="shared" ca="1" si="2"/>
        <v>7037388.1176148038</v>
      </c>
      <c r="O51" s="17">
        <f t="shared" ca="1" si="3"/>
        <v>0</v>
      </c>
      <c r="P51" s="17">
        <f t="shared" si="4"/>
        <v>-1795873.3134303598</v>
      </c>
      <c r="Q51" s="17">
        <f t="shared" si="5"/>
        <v>23155490.294668537</v>
      </c>
      <c r="R51" s="17">
        <f t="shared" si="6"/>
        <v>0</v>
      </c>
      <c r="S51" s="17">
        <f t="shared" si="7"/>
        <v>13290294.200210838</v>
      </c>
      <c r="T51" s="17">
        <f t="shared" si="8"/>
        <v>0</v>
      </c>
      <c r="U51" s="17">
        <f t="shared" ca="1" si="9"/>
        <v>32185824.159467839</v>
      </c>
    </row>
    <row r="52" spans="1:21" x14ac:dyDescent="0.2">
      <c r="A52" s="28">
        <f>'Monthly Data'!A52</f>
        <v>43160</v>
      </c>
      <c r="B52">
        <f>'Monthly Data'!C52</f>
        <v>3</v>
      </c>
      <c r="C52">
        <f>'Monthly Data'!B52</f>
        <v>2018</v>
      </c>
      <c r="D52" s="18">
        <f>'Monthly Data'!N52</f>
        <v>33530319.642503735</v>
      </c>
      <c r="E52" s="10">
        <f t="shared" ref="E52:F52" ca="1" si="48">E40</f>
        <v>469.11853767651354</v>
      </c>
      <c r="F52" s="10">
        <f t="shared" ca="1" si="48"/>
        <v>0</v>
      </c>
      <c r="G52">
        <f>'Monthly Data'!AV52</f>
        <v>51</v>
      </c>
      <c r="H52">
        <f>'Monthly Data'!BO52</f>
        <v>31</v>
      </c>
      <c r="I52">
        <f>'Monthly Data'!BR52</f>
        <v>0</v>
      </c>
      <c r="J52" s="17">
        <f>'Monthly Data'!AT52</f>
        <v>779459</v>
      </c>
      <c r="K52">
        <f>'Monthly Data'!BJ52</f>
        <v>0</v>
      </c>
      <c r="M52" s="17">
        <f t="shared" si="30"/>
        <v>-9501475.1395959798</v>
      </c>
      <c r="N52" s="17">
        <f t="shared" ca="1" si="2"/>
        <v>5508241.6494471589</v>
      </c>
      <c r="O52" s="17">
        <f t="shared" ca="1" si="3"/>
        <v>0</v>
      </c>
      <c r="P52" s="17">
        <f t="shared" si="4"/>
        <v>-1831790.779698967</v>
      </c>
      <c r="Q52" s="17">
        <f t="shared" si="5"/>
        <v>25636435.683383022</v>
      </c>
      <c r="R52" s="17">
        <f t="shared" si="6"/>
        <v>0</v>
      </c>
      <c r="S52" s="17">
        <f t="shared" si="7"/>
        <v>13290294.200210838</v>
      </c>
      <c r="T52" s="17">
        <f t="shared" si="8"/>
        <v>0</v>
      </c>
      <c r="U52" s="17">
        <f t="shared" ca="1" si="9"/>
        <v>33101705.613746069</v>
      </c>
    </row>
    <row r="53" spans="1:21" x14ac:dyDescent="0.2">
      <c r="A53" s="28">
        <f>'Monthly Data'!A53</f>
        <v>43191</v>
      </c>
      <c r="B53">
        <f>'Monthly Data'!C53</f>
        <v>4</v>
      </c>
      <c r="C53">
        <f>'Monthly Data'!B53</f>
        <v>2018</v>
      </c>
      <c r="D53" s="18">
        <f>'Monthly Data'!N53</f>
        <v>30439204.974459674</v>
      </c>
      <c r="E53" s="10">
        <f t="shared" ref="E53:F53" ca="1" si="49">E41</f>
        <v>233.92395833333336</v>
      </c>
      <c r="F53" s="10">
        <f t="shared" ca="1" si="49"/>
        <v>1.1666666666666714E-2</v>
      </c>
      <c r="G53">
        <f>'Monthly Data'!AV53</f>
        <v>52</v>
      </c>
      <c r="H53">
        <f>'Monthly Data'!BO53</f>
        <v>30</v>
      </c>
      <c r="I53">
        <f>'Monthly Data'!BR53</f>
        <v>0</v>
      </c>
      <c r="J53" s="17">
        <f>'Monthly Data'!AT53</f>
        <v>784896</v>
      </c>
      <c r="K53">
        <f>'Monthly Data'!BJ53</f>
        <v>0</v>
      </c>
      <c r="M53" s="17">
        <f t="shared" si="30"/>
        <v>-9501475.1395959798</v>
      </c>
      <c r="N53" s="17">
        <f t="shared" ca="1" si="2"/>
        <v>2746661.2095037615</v>
      </c>
      <c r="O53" s="17">
        <f t="shared" ca="1" si="3"/>
        <v>254.51489892739153</v>
      </c>
      <c r="P53" s="17">
        <f t="shared" si="4"/>
        <v>-1867708.2459675742</v>
      </c>
      <c r="Q53" s="17">
        <f t="shared" si="5"/>
        <v>24809453.88714486</v>
      </c>
      <c r="R53" s="17">
        <f t="shared" si="6"/>
        <v>0</v>
      </c>
      <c r="S53" s="17">
        <f t="shared" si="7"/>
        <v>13382998.665187888</v>
      </c>
      <c r="T53" s="17">
        <f t="shared" si="8"/>
        <v>0</v>
      </c>
      <c r="U53" s="17">
        <f t="shared" ca="1" si="9"/>
        <v>29570184.89117188</v>
      </c>
    </row>
    <row r="54" spans="1:21" x14ac:dyDescent="0.2">
      <c r="A54" s="28">
        <f>'Monthly Data'!A54</f>
        <v>43221</v>
      </c>
      <c r="B54">
        <f>'Monthly Data'!C54</f>
        <v>5</v>
      </c>
      <c r="C54">
        <f>'Monthly Data'!B54</f>
        <v>2018</v>
      </c>
      <c r="D54" s="18">
        <f>'Monthly Data'!N54</f>
        <v>29126243.549783867</v>
      </c>
      <c r="E54" s="10">
        <f t="shared" ref="E54:F54" ca="1" si="50">E42</f>
        <v>46.324929225504526</v>
      </c>
      <c r="F54" s="10">
        <f t="shared" ca="1" si="50"/>
        <v>19.778958333333328</v>
      </c>
      <c r="G54">
        <f>'Monthly Data'!AV54</f>
        <v>53</v>
      </c>
      <c r="H54">
        <f>'Monthly Data'!BO54</f>
        <v>31</v>
      </c>
      <c r="I54">
        <f>'Monthly Data'!BR54</f>
        <v>0</v>
      </c>
      <c r="J54" s="17">
        <f>'Monthly Data'!AT54</f>
        <v>784896</v>
      </c>
      <c r="K54">
        <f>'Monthly Data'!BJ54</f>
        <v>0</v>
      </c>
      <c r="M54" s="17">
        <f t="shared" si="30"/>
        <v>-9501475.1395959798</v>
      </c>
      <c r="N54" s="17">
        <f t="shared" ca="1" si="2"/>
        <v>543932.68241207476</v>
      </c>
      <c r="O54" s="17">
        <f t="shared" ca="1" si="3"/>
        <v>431489.10695120576</v>
      </c>
      <c r="P54" s="17">
        <f t="shared" si="4"/>
        <v>-1903625.7122361814</v>
      </c>
      <c r="Q54" s="17">
        <f t="shared" si="5"/>
        <v>25636435.683383022</v>
      </c>
      <c r="R54" s="17">
        <f t="shared" si="6"/>
        <v>0</v>
      </c>
      <c r="S54" s="17">
        <f t="shared" si="7"/>
        <v>13382998.665187888</v>
      </c>
      <c r="T54" s="17">
        <f t="shared" si="8"/>
        <v>0</v>
      </c>
      <c r="U54" s="17">
        <f t="shared" ca="1" si="9"/>
        <v>28589755.286102027</v>
      </c>
    </row>
    <row r="55" spans="1:21" x14ac:dyDescent="0.2">
      <c r="A55" s="28">
        <f>'Monthly Data'!A55</f>
        <v>43252</v>
      </c>
      <c r="B55">
        <f>'Monthly Data'!C55</f>
        <v>6</v>
      </c>
      <c r="C55">
        <f>'Monthly Data'!B55</f>
        <v>2018</v>
      </c>
      <c r="D55" s="18">
        <f>'Monthly Data'!N55</f>
        <v>28885481.971341256</v>
      </c>
      <c r="E55" s="10">
        <f t="shared" ref="E55:F55" ca="1" si="51">E43</f>
        <v>1.25875</v>
      </c>
      <c r="F55" s="10">
        <f t="shared" ca="1" si="51"/>
        <v>53.293685210734182</v>
      </c>
      <c r="G55">
        <f>'Monthly Data'!AV55</f>
        <v>54</v>
      </c>
      <c r="H55">
        <f>'Monthly Data'!BO55</f>
        <v>30</v>
      </c>
      <c r="I55">
        <f>'Monthly Data'!BR55</f>
        <v>0</v>
      </c>
      <c r="J55" s="17">
        <f>'Monthly Data'!AT55</f>
        <v>784896</v>
      </c>
      <c r="K55">
        <f>'Monthly Data'!BJ55</f>
        <v>0</v>
      </c>
      <c r="M55" s="17">
        <f t="shared" si="30"/>
        <v>-9501475.1395959798</v>
      </c>
      <c r="N55" s="17">
        <f t="shared" ca="1" si="2"/>
        <v>14779.844792709282</v>
      </c>
      <c r="O55" s="17">
        <f t="shared" ca="1" si="3"/>
        <v>1162631.7347038437</v>
      </c>
      <c r="P55" s="17">
        <f t="shared" si="4"/>
        <v>-1939543.1785047885</v>
      </c>
      <c r="Q55" s="17">
        <f t="shared" si="5"/>
        <v>24809453.88714486</v>
      </c>
      <c r="R55" s="17">
        <f t="shared" si="6"/>
        <v>0</v>
      </c>
      <c r="S55" s="17">
        <f t="shared" si="7"/>
        <v>13382998.665187888</v>
      </c>
      <c r="T55" s="17">
        <f t="shared" si="8"/>
        <v>0</v>
      </c>
      <c r="U55" s="17">
        <f t="shared" ca="1" si="9"/>
        <v>27928845.813728534</v>
      </c>
    </row>
    <row r="56" spans="1:21" x14ac:dyDescent="0.2">
      <c r="A56" s="28">
        <f>'Monthly Data'!A56</f>
        <v>43282</v>
      </c>
      <c r="B56">
        <f>'Monthly Data'!C56</f>
        <v>7</v>
      </c>
      <c r="C56">
        <f>'Monthly Data'!B56</f>
        <v>2018</v>
      </c>
      <c r="D56" s="18">
        <f>'Monthly Data'!N56</f>
        <v>31490270.204440821</v>
      </c>
      <c r="E56" s="10">
        <f t="shared" ref="E56:F56" ca="1" si="52">E44</f>
        <v>0</v>
      </c>
      <c r="F56" s="10">
        <f t="shared" ca="1" si="52"/>
        <v>104.42694776957208</v>
      </c>
      <c r="G56">
        <f>'Monthly Data'!AV56</f>
        <v>55</v>
      </c>
      <c r="H56">
        <f>'Monthly Data'!BO56</f>
        <v>31</v>
      </c>
      <c r="I56">
        <f>'Monthly Data'!BR56</f>
        <v>0</v>
      </c>
      <c r="J56" s="17">
        <f>'Monthly Data'!AT56</f>
        <v>794140</v>
      </c>
      <c r="K56">
        <f>'Monthly Data'!BJ56</f>
        <v>0</v>
      </c>
      <c r="M56" s="17">
        <f t="shared" si="30"/>
        <v>-9501475.1395959798</v>
      </c>
      <c r="N56" s="17">
        <f t="shared" ca="1" si="2"/>
        <v>0</v>
      </c>
      <c r="O56" s="17">
        <f t="shared" ca="1" si="3"/>
        <v>2278132.6334458739</v>
      </c>
      <c r="P56" s="17">
        <f t="shared" si="4"/>
        <v>-1975460.6447733957</v>
      </c>
      <c r="Q56" s="17">
        <f t="shared" si="5"/>
        <v>25636435.683383022</v>
      </c>
      <c r="R56" s="17">
        <f t="shared" si="6"/>
        <v>0</v>
      </c>
      <c r="S56" s="17">
        <f t="shared" si="7"/>
        <v>13540615.011380246</v>
      </c>
      <c r="T56" s="17">
        <f t="shared" si="8"/>
        <v>0</v>
      </c>
      <c r="U56" s="17">
        <f t="shared" ca="1" si="9"/>
        <v>29978247.543839768</v>
      </c>
    </row>
    <row r="57" spans="1:21" x14ac:dyDescent="0.2">
      <c r="A57" s="28">
        <f>'Monthly Data'!A57</f>
        <v>43313</v>
      </c>
      <c r="B57">
        <f>'Monthly Data'!C57</f>
        <v>8</v>
      </c>
      <c r="C57">
        <f>'Monthly Data'!B57</f>
        <v>2018</v>
      </c>
      <c r="D57" s="18">
        <f>'Monthly Data'!N57</f>
        <v>30971325.496937919</v>
      </c>
      <c r="E57" s="10">
        <f t="shared" ref="E57:F57" ca="1" si="53">E45</f>
        <v>0.1158333333333335</v>
      </c>
      <c r="F57" s="10">
        <f t="shared" ca="1" si="53"/>
        <v>74.696666666666673</v>
      </c>
      <c r="G57">
        <f>'Monthly Data'!AV57</f>
        <v>56</v>
      </c>
      <c r="H57">
        <f>'Monthly Data'!BO57</f>
        <v>31</v>
      </c>
      <c r="I57">
        <f>'Monthly Data'!BR57</f>
        <v>0</v>
      </c>
      <c r="J57" s="17">
        <f>'Monthly Data'!AT57</f>
        <v>794140</v>
      </c>
      <c r="K57">
        <f>'Monthly Data'!BJ57</f>
        <v>0</v>
      </c>
      <c r="M57" s="17">
        <f t="shared" si="30"/>
        <v>-9501475.1395959798</v>
      </c>
      <c r="N57" s="17">
        <f t="shared" ca="1" si="2"/>
        <v>1360.0784019772213</v>
      </c>
      <c r="O57" s="17">
        <f t="shared" ca="1" si="3"/>
        <v>1629549.8200182556</v>
      </c>
      <c r="P57" s="17">
        <f t="shared" si="4"/>
        <v>-2011378.1110420031</v>
      </c>
      <c r="Q57" s="17">
        <f t="shared" si="5"/>
        <v>25636435.683383022</v>
      </c>
      <c r="R57" s="17">
        <f t="shared" si="6"/>
        <v>0</v>
      </c>
      <c r="S57" s="17">
        <f t="shared" si="7"/>
        <v>13540615.011380246</v>
      </c>
      <c r="T57" s="17">
        <f t="shared" si="8"/>
        <v>0</v>
      </c>
      <c r="U57" s="17">
        <f t="shared" ca="1" si="9"/>
        <v>29295107.342545517</v>
      </c>
    </row>
    <row r="58" spans="1:21" x14ac:dyDescent="0.2">
      <c r="A58" s="28">
        <f>'Monthly Data'!A58</f>
        <v>43344</v>
      </c>
      <c r="B58">
        <f>'Monthly Data'!C58</f>
        <v>9</v>
      </c>
      <c r="C58">
        <f>'Monthly Data'!B58</f>
        <v>2018</v>
      </c>
      <c r="D58" s="18">
        <f>'Monthly Data'!N58</f>
        <v>28654541.758361634</v>
      </c>
      <c r="E58" s="10">
        <f t="shared" ref="E58:F58" ca="1" si="54">E46</f>
        <v>11.597845892171184</v>
      </c>
      <c r="F58" s="10">
        <f t="shared" ca="1" si="54"/>
        <v>25.91041666666667</v>
      </c>
      <c r="G58">
        <f>'Monthly Data'!AV58</f>
        <v>57</v>
      </c>
      <c r="H58">
        <f>'Monthly Data'!BO58</f>
        <v>30</v>
      </c>
      <c r="I58">
        <f>'Monthly Data'!BR58</f>
        <v>0</v>
      </c>
      <c r="J58" s="17">
        <f>'Monthly Data'!AT58</f>
        <v>794140</v>
      </c>
      <c r="K58">
        <f>'Monthly Data'!BJ58</f>
        <v>1</v>
      </c>
      <c r="M58" s="17">
        <f t="shared" si="30"/>
        <v>-9501475.1395959798</v>
      </c>
      <c r="N58" s="17">
        <f t="shared" ca="1" si="2"/>
        <v>136178.24207829277</v>
      </c>
      <c r="O58" s="17">
        <f t="shared" ca="1" si="3"/>
        <v>565250.3210642779</v>
      </c>
      <c r="P58" s="17">
        <f t="shared" si="4"/>
        <v>-2047295.5773106103</v>
      </c>
      <c r="Q58" s="17">
        <f t="shared" si="5"/>
        <v>24809453.88714486</v>
      </c>
      <c r="R58" s="17">
        <f t="shared" si="6"/>
        <v>0</v>
      </c>
      <c r="S58" s="17">
        <f t="shared" si="7"/>
        <v>13540615.011380246</v>
      </c>
      <c r="T58" s="17">
        <f t="shared" si="8"/>
        <v>413783.55369814899</v>
      </c>
      <c r="U58" s="17">
        <f t="shared" ca="1" si="9"/>
        <v>27916510.298459236</v>
      </c>
    </row>
    <row r="59" spans="1:21" x14ac:dyDescent="0.2">
      <c r="A59" s="28">
        <f>'Monthly Data'!A59</f>
        <v>43374</v>
      </c>
      <c r="B59">
        <f>'Monthly Data'!C59</f>
        <v>10</v>
      </c>
      <c r="C59">
        <f>'Monthly Data'!B59</f>
        <v>2018</v>
      </c>
      <c r="D59" s="18">
        <f>'Monthly Data'!N59</f>
        <v>30351483.101155873</v>
      </c>
      <c r="E59" s="10">
        <f t="shared" ref="E59:F59" ca="1" si="55">E47</f>
        <v>128.51888157360821</v>
      </c>
      <c r="F59" s="10">
        <f t="shared" ca="1" si="55"/>
        <v>2.0656249999999989</v>
      </c>
      <c r="G59">
        <f>'Monthly Data'!AV59</f>
        <v>58</v>
      </c>
      <c r="H59">
        <f>'Monthly Data'!BO59</f>
        <v>31</v>
      </c>
      <c r="I59">
        <f>'Monthly Data'!BR59</f>
        <v>0</v>
      </c>
      <c r="J59" s="17">
        <f>'Monthly Data'!AT59</f>
        <v>799632</v>
      </c>
      <c r="K59">
        <f>'Monthly Data'!BJ59</f>
        <v>1</v>
      </c>
      <c r="M59" s="17">
        <f t="shared" si="30"/>
        <v>-9501475.1395959798</v>
      </c>
      <c r="N59" s="17">
        <f t="shared" ca="1" si="2"/>
        <v>1509028.1013628712</v>
      </c>
      <c r="O59" s="17">
        <f t="shared" ca="1" si="3"/>
        <v>45062.771836876353</v>
      </c>
      <c r="P59" s="17">
        <f t="shared" si="4"/>
        <v>-2083213.0435792175</v>
      </c>
      <c r="Q59" s="17">
        <f t="shared" si="5"/>
        <v>25636435.683383022</v>
      </c>
      <c r="R59" s="17">
        <f t="shared" si="6"/>
        <v>0</v>
      </c>
      <c r="S59" s="17">
        <f t="shared" si="7"/>
        <v>13634257.262925943</v>
      </c>
      <c r="T59" s="17">
        <f t="shared" si="8"/>
        <v>413783.55369814899</v>
      </c>
      <c r="U59" s="17">
        <f t="shared" ca="1" si="9"/>
        <v>29653879.190031663</v>
      </c>
    </row>
    <row r="60" spans="1:21" x14ac:dyDescent="0.2">
      <c r="A60" s="28">
        <f>'Monthly Data'!A60</f>
        <v>43405</v>
      </c>
      <c r="B60">
        <f>'Monthly Data'!C60</f>
        <v>11</v>
      </c>
      <c r="C60">
        <f>'Monthly Data'!B60</f>
        <v>2018</v>
      </c>
      <c r="D60" s="18">
        <f>'Monthly Data'!N60</f>
        <v>32438945.153162286</v>
      </c>
      <c r="E60" s="10">
        <f t="shared" ref="E60:F60" ca="1" si="56">E48</f>
        <v>332.1049960098469</v>
      </c>
      <c r="F60" s="10">
        <f t="shared" ca="1" si="56"/>
        <v>0</v>
      </c>
      <c r="G60">
        <f>'Monthly Data'!AV60</f>
        <v>59</v>
      </c>
      <c r="H60">
        <f>'Monthly Data'!BO60</f>
        <v>30</v>
      </c>
      <c r="I60">
        <f>'Monthly Data'!BR60</f>
        <v>0</v>
      </c>
      <c r="J60" s="17">
        <f>'Monthly Data'!AT60</f>
        <v>799632</v>
      </c>
      <c r="K60">
        <f>'Monthly Data'!BJ60</f>
        <v>1</v>
      </c>
      <c r="M60" s="17">
        <f t="shared" si="30"/>
        <v>-9501475.1395959798</v>
      </c>
      <c r="N60" s="17">
        <f t="shared" ca="1" si="2"/>
        <v>3899471.9331947346</v>
      </c>
      <c r="O60" s="17">
        <f t="shared" ca="1" si="3"/>
        <v>0</v>
      </c>
      <c r="P60" s="17">
        <f t="shared" si="4"/>
        <v>-2119130.5098478245</v>
      </c>
      <c r="Q60" s="17">
        <f t="shared" si="5"/>
        <v>24809453.88714486</v>
      </c>
      <c r="R60" s="17">
        <f t="shared" si="6"/>
        <v>0</v>
      </c>
      <c r="S60" s="17">
        <f t="shared" si="7"/>
        <v>13634257.262925943</v>
      </c>
      <c r="T60" s="17">
        <f t="shared" si="8"/>
        <v>413783.55369814899</v>
      </c>
      <c r="U60" s="17">
        <f t="shared" ca="1" si="9"/>
        <v>31136360.987519879</v>
      </c>
    </row>
    <row r="61" spans="1:21" x14ac:dyDescent="0.2">
      <c r="A61" s="28">
        <f>'Monthly Data'!A61</f>
        <v>43435</v>
      </c>
      <c r="B61">
        <f>'Monthly Data'!C61</f>
        <v>12</v>
      </c>
      <c r="C61">
        <f>'Monthly Data'!B61</f>
        <v>2018</v>
      </c>
      <c r="D61" s="18">
        <f>'Monthly Data'!N61</f>
        <v>34215750.076040141</v>
      </c>
      <c r="E61" s="10">
        <f t="shared" ref="E61:F61" ca="1" si="57">E49</f>
        <v>508.62936502461724</v>
      </c>
      <c r="F61" s="10">
        <f t="shared" ca="1" si="57"/>
        <v>0</v>
      </c>
      <c r="G61">
        <f>'Monthly Data'!AV61</f>
        <v>60</v>
      </c>
      <c r="H61">
        <f>'Monthly Data'!BO61</f>
        <v>31</v>
      </c>
      <c r="I61">
        <f>'Monthly Data'!BR61</f>
        <v>0</v>
      </c>
      <c r="J61" s="17">
        <f>'Monthly Data'!AT61</f>
        <v>799632</v>
      </c>
      <c r="K61">
        <f>'Monthly Data'!BJ61</f>
        <v>0</v>
      </c>
      <c r="M61" s="17">
        <f t="shared" si="30"/>
        <v>-9501475.1395959798</v>
      </c>
      <c r="N61" s="17">
        <f t="shared" ca="1" si="2"/>
        <v>5972165.3005585838</v>
      </c>
      <c r="O61" s="17">
        <f t="shared" ca="1" si="3"/>
        <v>0</v>
      </c>
      <c r="P61" s="17">
        <f t="shared" si="4"/>
        <v>-2155047.9761164319</v>
      </c>
      <c r="Q61" s="17">
        <f t="shared" si="5"/>
        <v>25636435.683383022</v>
      </c>
      <c r="R61" s="17">
        <f t="shared" si="6"/>
        <v>0</v>
      </c>
      <c r="S61" s="17">
        <f t="shared" si="7"/>
        <v>13634257.262925943</v>
      </c>
      <c r="T61" s="17">
        <f t="shared" si="8"/>
        <v>0</v>
      </c>
      <c r="U61" s="17">
        <f t="shared" ca="1" si="9"/>
        <v>33586335.131155141</v>
      </c>
    </row>
    <row r="62" spans="1:21" x14ac:dyDescent="0.2">
      <c r="A62" s="28">
        <f>'Monthly Data'!A62</f>
        <v>43466</v>
      </c>
      <c r="B62">
        <f>'Monthly Data'!C62</f>
        <v>1</v>
      </c>
      <c r="C62">
        <f>'Monthly Data'!B62</f>
        <v>2019</v>
      </c>
      <c r="D62" s="18">
        <f>'Monthly Data'!N62</f>
        <v>36281125.86679174</v>
      </c>
      <c r="E62" s="10">
        <f t="shared" ref="E62:F62" ca="1" si="58">E50</f>
        <v>666.68367523535153</v>
      </c>
      <c r="F62" s="10">
        <f t="shared" ca="1" si="58"/>
        <v>0</v>
      </c>
      <c r="G62">
        <f>'Monthly Data'!AV62</f>
        <v>61</v>
      </c>
      <c r="H62">
        <f>'Monthly Data'!BO62</f>
        <v>31</v>
      </c>
      <c r="I62">
        <f>'Monthly Data'!BR62</f>
        <v>0</v>
      </c>
      <c r="J62" s="17">
        <f>'Monthly Data'!AT62</f>
        <v>800724</v>
      </c>
      <c r="K62">
        <f>'Monthly Data'!BJ62</f>
        <v>0</v>
      </c>
      <c r="M62" s="17">
        <f t="shared" si="30"/>
        <v>-9501475.1395959798</v>
      </c>
      <c r="N62" s="17">
        <f t="shared" ca="1" si="2"/>
        <v>7827989.0731372358</v>
      </c>
      <c r="O62" s="17">
        <f t="shared" ca="1" si="3"/>
        <v>0</v>
      </c>
      <c r="P62" s="17">
        <f t="shared" si="4"/>
        <v>-2190965.4423850388</v>
      </c>
      <c r="Q62" s="17">
        <f t="shared" si="5"/>
        <v>25636435.683383022</v>
      </c>
      <c r="R62" s="17">
        <f t="shared" si="6"/>
        <v>0</v>
      </c>
      <c r="S62" s="17">
        <f t="shared" si="7"/>
        <v>13652876.588979822</v>
      </c>
      <c r="T62" s="17">
        <f t="shared" si="8"/>
        <v>0</v>
      </c>
      <c r="U62" s="17">
        <f t="shared" ca="1" si="9"/>
        <v>35424860.763519064</v>
      </c>
    </row>
    <row r="63" spans="1:21" x14ac:dyDescent="0.2">
      <c r="A63" s="28">
        <f>'Monthly Data'!A63</f>
        <v>43497</v>
      </c>
      <c r="B63">
        <f>'Monthly Data'!C63</f>
        <v>2</v>
      </c>
      <c r="C63">
        <f>'Monthly Data'!B63</f>
        <v>2019</v>
      </c>
      <c r="D63" s="18">
        <f>'Monthly Data'!N63</f>
        <v>32472484.106644373</v>
      </c>
      <c r="E63" s="10">
        <f t="shared" ref="E63:F63" ca="1" si="59">E51</f>
        <v>599.3508333333333</v>
      </c>
      <c r="F63" s="10">
        <f t="shared" ca="1" si="59"/>
        <v>0</v>
      </c>
      <c r="G63">
        <f>'Monthly Data'!AV63</f>
        <v>62</v>
      </c>
      <c r="H63">
        <f>'Monthly Data'!BO63</f>
        <v>28</v>
      </c>
      <c r="I63">
        <f>'Monthly Data'!BR63</f>
        <v>0</v>
      </c>
      <c r="J63" s="17">
        <f>'Monthly Data'!AT63</f>
        <v>800724</v>
      </c>
      <c r="K63">
        <f>'Monthly Data'!BJ63</f>
        <v>0</v>
      </c>
      <c r="M63" s="17">
        <f t="shared" si="30"/>
        <v>-9501475.1395959798</v>
      </c>
      <c r="N63" s="17">
        <f t="shared" ca="1" si="2"/>
        <v>7037388.1176148038</v>
      </c>
      <c r="O63" s="17">
        <f t="shared" ca="1" si="3"/>
        <v>0</v>
      </c>
      <c r="P63" s="17">
        <f t="shared" si="4"/>
        <v>-2226882.9086536462</v>
      </c>
      <c r="Q63" s="17">
        <f t="shared" si="5"/>
        <v>23155490.294668537</v>
      </c>
      <c r="R63" s="17">
        <f t="shared" si="6"/>
        <v>0</v>
      </c>
      <c r="S63" s="17">
        <f t="shared" si="7"/>
        <v>13652876.588979822</v>
      </c>
      <c r="T63" s="17">
        <f t="shared" si="8"/>
        <v>0</v>
      </c>
      <c r="U63" s="17">
        <f t="shared" ca="1" si="9"/>
        <v>32117396.953013536</v>
      </c>
    </row>
    <row r="64" spans="1:21" x14ac:dyDescent="0.2">
      <c r="A64" s="28">
        <f>'Monthly Data'!A64</f>
        <v>43525</v>
      </c>
      <c r="B64">
        <f>'Monthly Data'!C64</f>
        <v>3</v>
      </c>
      <c r="C64">
        <f>'Monthly Data'!B64</f>
        <v>2019</v>
      </c>
      <c r="D64" s="18">
        <f>'Monthly Data'!N64</f>
        <v>33332897.506497011</v>
      </c>
      <c r="E64" s="10">
        <f t="shared" ref="E64:F64" ca="1" si="60">E52</f>
        <v>469.11853767651354</v>
      </c>
      <c r="F64" s="10">
        <f t="shared" ca="1" si="60"/>
        <v>0</v>
      </c>
      <c r="G64">
        <f>'Monthly Data'!AV64</f>
        <v>63</v>
      </c>
      <c r="H64">
        <f>'Monthly Data'!BO64</f>
        <v>31</v>
      </c>
      <c r="I64">
        <f>'Monthly Data'!BR64</f>
        <v>0</v>
      </c>
      <c r="J64" s="17">
        <f>'Monthly Data'!AT64</f>
        <v>800724</v>
      </c>
      <c r="K64">
        <f>'Monthly Data'!BJ64</f>
        <v>0</v>
      </c>
      <c r="M64" s="17">
        <f t="shared" si="30"/>
        <v>-9501475.1395959798</v>
      </c>
      <c r="N64" s="17">
        <f t="shared" ca="1" si="2"/>
        <v>5508241.6494471589</v>
      </c>
      <c r="O64" s="17">
        <f t="shared" ca="1" si="3"/>
        <v>0</v>
      </c>
      <c r="P64" s="17">
        <f t="shared" si="4"/>
        <v>-2262800.3749222532</v>
      </c>
      <c r="Q64" s="17">
        <f t="shared" si="5"/>
        <v>25636435.683383022</v>
      </c>
      <c r="R64" s="17">
        <f t="shared" si="6"/>
        <v>0</v>
      </c>
      <c r="S64" s="17">
        <f t="shared" si="7"/>
        <v>13652876.588979822</v>
      </c>
      <c r="T64" s="17">
        <f t="shared" si="8"/>
        <v>0</v>
      </c>
      <c r="U64" s="17">
        <f t="shared" ca="1" si="9"/>
        <v>33033278.40729177</v>
      </c>
    </row>
    <row r="65" spans="1:21" x14ac:dyDescent="0.2">
      <c r="A65" s="28">
        <f>'Monthly Data'!A65</f>
        <v>43556</v>
      </c>
      <c r="B65">
        <f>'Monthly Data'!C65</f>
        <v>4</v>
      </c>
      <c r="C65">
        <f>'Monthly Data'!B65</f>
        <v>2019</v>
      </c>
      <c r="D65" s="18">
        <f>'Monthly Data'!N65</f>
        <v>29146608.456349649</v>
      </c>
      <c r="E65" s="10">
        <f t="shared" ref="E65:F65" ca="1" si="61">E53</f>
        <v>233.92395833333336</v>
      </c>
      <c r="F65" s="10">
        <f t="shared" ca="1" si="61"/>
        <v>1.1666666666666714E-2</v>
      </c>
      <c r="G65">
        <f>'Monthly Data'!AV65</f>
        <v>64</v>
      </c>
      <c r="H65">
        <f>'Monthly Data'!BO65</f>
        <v>30</v>
      </c>
      <c r="I65">
        <f>'Monthly Data'!BR65</f>
        <v>0</v>
      </c>
      <c r="J65" s="17">
        <f>'Monthly Data'!AT65</f>
        <v>806630</v>
      </c>
      <c r="K65">
        <f>'Monthly Data'!BJ65</f>
        <v>0</v>
      </c>
      <c r="M65" s="17">
        <f t="shared" si="30"/>
        <v>-9501475.1395959798</v>
      </c>
      <c r="N65" s="17">
        <f t="shared" ca="1" si="2"/>
        <v>2746661.2095037615</v>
      </c>
      <c r="O65" s="17">
        <f t="shared" ca="1" si="3"/>
        <v>254.51489892739153</v>
      </c>
      <c r="P65" s="17">
        <f t="shared" si="4"/>
        <v>-2298717.8411908606</v>
      </c>
      <c r="Q65" s="17">
        <f t="shared" si="5"/>
        <v>24809453.88714486</v>
      </c>
      <c r="R65" s="17">
        <f t="shared" si="6"/>
        <v>0</v>
      </c>
      <c r="S65" s="17">
        <f t="shared" si="7"/>
        <v>13753577.815787705</v>
      </c>
      <c r="T65" s="17">
        <f t="shared" si="8"/>
        <v>0</v>
      </c>
      <c r="U65" s="17">
        <f t="shared" ca="1" si="9"/>
        <v>29509754.44654841</v>
      </c>
    </row>
    <row r="66" spans="1:21" x14ac:dyDescent="0.2">
      <c r="A66" s="28">
        <f>'Monthly Data'!A66</f>
        <v>43586</v>
      </c>
      <c r="B66">
        <f>'Monthly Data'!C66</f>
        <v>5</v>
      </c>
      <c r="C66">
        <f>'Monthly Data'!B66</f>
        <v>2019</v>
      </c>
      <c r="D66" s="18">
        <f>'Monthly Data'!N66</f>
        <v>27939346.306202278</v>
      </c>
      <c r="E66" s="10">
        <f t="shared" ref="E66:F66" ca="1" si="62">E54</f>
        <v>46.324929225504526</v>
      </c>
      <c r="F66" s="10">
        <f t="shared" ca="1" si="62"/>
        <v>19.778958333333328</v>
      </c>
      <c r="G66">
        <f>'Monthly Data'!AV66</f>
        <v>65</v>
      </c>
      <c r="H66">
        <f>'Monthly Data'!BO66</f>
        <v>31</v>
      </c>
      <c r="I66">
        <f>'Monthly Data'!BR66</f>
        <v>0</v>
      </c>
      <c r="J66" s="17">
        <f>'Monthly Data'!AT66</f>
        <v>806630</v>
      </c>
      <c r="K66">
        <f>'Monthly Data'!BJ66</f>
        <v>0</v>
      </c>
      <c r="M66" s="17">
        <f t="shared" ref="M66:M97" si="63">$X$7</f>
        <v>-9501475.1395959798</v>
      </c>
      <c r="N66" s="17">
        <f t="shared" ca="1" si="2"/>
        <v>543932.68241207476</v>
      </c>
      <c r="O66" s="17">
        <f t="shared" ca="1" si="3"/>
        <v>431489.10695120576</v>
      </c>
      <c r="P66" s="17">
        <f t="shared" si="4"/>
        <v>-2334635.307459468</v>
      </c>
      <c r="Q66" s="17">
        <f t="shared" si="5"/>
        <v>25636435.683383022</v>
      </c>
      <c r="R66" s="17">
        <f t="shared" si="6"/>
        <v>0</v>
      </c>
      <c r="S66" s="17">
        <f t="shared" si="7"/>
        <v>13753577.815787705</v>
      </c>
      <c r="T66" s="17">
        <f t="shared" si="8"/>
        <v>0</v>
      </c>
      <c r="U66" s="17">
        <f t="shared" ca="1" si="9"/>
        <v>28529324.841478556</v>
      </c>
    </row>
    <row r="67" spans="1:21" x14ac:dyDescent="0.2">
      <c r="A67" s="28">
        <f>'Monthly Data'!A67</f>
        <v>43617</v>
      </c>
      <c r="B67">
        <f>'Monthly Data'!C67</f>
        <v>6</v>
      </c>
      <c r="C67">
        <f>'Monthly Data'!B67</f>
        <v>2019</v>
      </c>
      <c r="D67" s="18">
        <f>'Monthly Data'!N67</f>
        <v>27453255.636054914</v>
      </c>
      <c r="E67" s="10">
        <f t="shared" ref="E67:F67" ca="1" si="64">E55</f>
        <v>1.25875</v>
      </c>
      <c r="F67" s="10">
        <f t="shared" ca="1" si="64"/>
        <v>53.293685210734182</v>
      </c>
      <c r="G67">
        <f>'Monthly Data'!AV67</f>
        <v>66</v>
      </c>
      <c r="H67">
        <f>'Monthly Data'!BO67</f>
        <v>30</v>
      </c>
      <c r="I67">
        <f>'Monthly Data'!BR67</f>
        <v>0</v>
      </c>
      <c r="J67" s="17">
        <f>'Monthly Data'!AT67</f>
        <v>806630</v>
      </c>
      <c r="K67">
        <f>'Monthly Data'!BJ67</f>
        <v>0</v>
      </c>
      <c r="M67" s="17">
        <f t="shared" si="63"/>
        <v>-9501475.1395959798</v>
      </c>
      <c r="N67" s="17">
        <f t="shared" ref="N67:N130" ca="1" si="65">E67*$X$8</f>
        <v>14779.844792709282</v>
      </c>
      <c r="O67" s="17">
        <f t="shared" ref="O67:O130" ca="1" si="66">F67*$X$9</f>
        <v>1162631.7347038437</v>
      </c>
      <c r="P67" s="17">
        <f t="shared" ref="P67:P130" si="67">G67*$X$10</f>
        <v>-2370552.773728075</v>
      </c>
      <c r="Q67" s="17">
        <f t="shared" ref="Q67:Q130" si="68">H67*$X$11</f>
        <v>24809453.88714486</v>
      </c>
      <c r="R67" s="17">
        <f t="shared" ref="R67:R130" si="69">I67*$X$12</f>
        <v>0</v>
      </c>
      <c r="S67" s="17">
        <f t="shared" ref="S67:S130" si="70">J67*$X$13</f>
        <v>13753577.815787705</v>
      </c>
      <c r="T67" s="17">
        <f t="shared" ref="T67:T130" si="71">K67*$X$14</f>
        <v>0</v>
      </c>
      <c r="U67" s="17">
        <f t="shared" ref="U67:U130" ca="1" si="72">SUM(M67:T67)</f>
        <v>27868415.369105063</v>
      </c>
    </row>
    <row r="68" spans="1:21" x14ac:dyDescent="0.2">
      <c r="A68" s="28">
        <f>'Monthly Data'!A68</f>
        <v>43647</v>
      </c>
      <c r="B68">
        <f>'Monthly Data'!C68</f>
        <v>7</v>
      </c>
      <c r="C68">
        <f>'Monthly Data'!B68</f>
        <v>2019</v>
      </c>
      <c r="D68" s="18">
        <f>'Monthly Data'!N68</f>
        <v>30266965.175907552</v>
      </c>
      <c r="E68" s="10">
        <f t="shared" ref="E68:F68" ca="1" si="73">E56</f>
        <v>0</v>
      </c>
      <c r="F68" s="10">
        <f t="shared" ca="1" si="73"/>
        <v>104.42694776957208</v>
      </c>
      <c r="G68">
        <f>'Monthly Data'!AV68</f>
        <v>67</v>
      </c>
      <c r="H68">
        <f>'Monthly Data'!BO68</f>
        <v>31</v>
      </c>
      <c r="I68">
        <f>'Monthly Data'!BR68</f>
        <v>0</v>
      </c>
      <c r="J68" s="17">
        <f>'Monthly Data'!AT68</f>
        <v>810347</v>
      </c>
      <c r="K68">
        <f>'Monthly Data'!BJ68</f>
        <v>0</v>
      </c>
      <c r="M68" s="17">
        <f t="shared" si="63"/>
        <v>-9501475.1395959798</v>
      </c>
      <c r="N68" s="17">
        <f t="shared" ca="1" si="65"/>
        <v>0</v>
      </c>
      <c r="O68" s="17">
        <f t="shared" ca="1" si="66"/>
        <v>2278132.6334458739</v>
      </c>
      <c r="P68" s="17">
        <f t="shared" si="67"/>
        <v>-2406470.2399966824</v>
      </c>
      <c r="Q68" s="17">
        <f t="shared" si="68"/>
        <v>25636435.683383022</v>
      </c>
      <c r="R68" s="17">
        <f t="shared" si="69"/>
        <v>0</v>
      </c>
      <c r="S68" s="17">
        <f t="shared" si="70"/>
        <v>13816955.137163406</v>
      </c>
      <c r="T68" s="17">
        <f t="shared" si="71"/>
        <v>0</v>
      </c>
      <c r="U68" s="17">
        <f t="shared" ca="1" si="72"/>
        <v>29823578.074399639</v>
      </c>
    </row>
    <row r="69" spans="1:21" x14ac:dyDescent="0.2">
      <c r="A69" s="28">
        <f>'Monthly Data'!A69</f>
        <v>43678</v>
      </c>
      <c r="B69">
        <f>'Monthly Data'!C69</f>
        <v>8</v>
      </c>
      <c r="C69">
        <f>'Monthly Data'!B69</f>
        <v>2019</v>
      </c>
      <c r="D69" s="18">
        <f>'Monthly Data'!N69</f>
        <v>29172056.525760185</v>
      </c>
      <c r="E69" s="10">
        <f t="shared" ref="E69:F69" ca="1" si="74">E57</f>
        <v>0.1158333333333335</v>
      </c>
      <c r="F69" s="10">
        <f t="shared" ca="1" si="74"/>
        <v>74.696666666666673</v>
      </c>
      <c r="G69">
        <f>'Monthly Data'!AV69</f>
        <v>68</v>
      </c>
      <c r="H69">
        <f>'Monthly Data'!BO69</f>
        <v>31</v>
      </c>
      <c r="I69">
        <f>'Monthly Data'!BR69</f>
        <v>0</v>
      </c>
      <c r="J69" s="17">
        <f>'Monthly Data'!AT69</f>
        <v>810347</v>
      </c>
      <c r="K69">
        <f>'Monthly Data'!BJ69</f>
        <v>0</v>
      </c>
      <c r="M69" s="17">
        <f t="shared" si="63"/>
        <v>-9501475.1395959798</v>
      </c>
      <c r="N69" s="17">
        <f t="shared" ca="1" si="65"/>
        <v>1360.0784019772213</v>
      </c>
      <c r="O69" s="17">
        <f t="shared" ca="1" si="66"/>
        <v>1629549.8200182556</v>
      </c>
      <c r="P69" s="17">
        <f t="shared" si="67"/>
        <v>-2442387.7062652893</v>
      </c>
      <c r="Q69" s="17">
        <f t="shared" si="68"/>
        <v>25636435.683383022</v>
      </c>
      <c r="R69" s="17">
        <f t="shared" si="69"/>
        <v>0</v>
      </c>
      <c r="S69" s="17">
        <f t="shared" si="70"/>
        <v>13816955.137163406</v>
      </c>
      <c r="T69" s="17">
        <f t="shared" si="71"/>
        <v>0</v>
      </c>
      <c r="U69" s="17">
        <f t="shared" ca="1" si="72"/>
        <v>29140437.873105392</v>
      </c>
    </row>
    <row r="70" spans="1:21" x14ac:dyDescent="0.2">
      <c r="A70" s="28">
        <f>'Monthly Data'!A70</f>
        <v>43709</v>
      </c>
      <c r="B70">
        <f>'Monthly Data'!C70</f>
        <v>9</v>
      </c>
      <c r="C70">
        <f>'Monthly Data'!B70</f>
        <v>2019</v>
      </c>
      <c r="D70" s="18">
        <f>'Monthly Data'!N70</f>
        <v>27183202.695612822</v>
      </c>
      <c r="E70" s="10">
        <f t="shared" ref="E70:F70" ca="1" si="75">E58</f>
        <v>11.597845892171184</v>
      </c>
      <c r="F70" s="10">
        <f t="shared" ca="1" si="75"/>
        <v>25.91041666666667</v>
      </c>
      <c r="G70">
        <f>'Monthly Data'!AV70</f>
        <v>69</v>
      </c>
      <c r="H70">
        <f>'Monthly Data'!BO70</f>
        <v>30</v>
      </c>
      <c r="I70">
        <f>'Monthly Data'!BR70</f>
        <v>0</v>
      </c>
      <c r="J70" s="17">
        <f>'Monthly Data'!AT70</f>
        <v>810347</v>
      </c>
      <c r="K70">
        <f>'Monthly Data'!BJ70</f>
        <v>1</v>
      </c>
      <c r="M70" s="17">
        <f t="shared" si="63"/>
        <v>-9501475.1395959798</v>
      </c>
      <c r="N70" s="17">
        <f t="shared" ca="1" si="65"/>
        <v>136178.24207829277</v>
      </c>
      <c r="O70" s="17">
        <f t="shared" ca="1" si="66"/>
        <v>565250.3210642779</v>
      </c>
      <c r="P70" s="17">
        <f t="shared" si="67"/>
        <v>-2478305.1725338968</v>
      </c>
      <c r="Q70" s="17">
        <f t="shared" si="68"/>
        <v>24809453.88714486</v>
      </c>
      <c r="R70" s="17">
        <f t="shared" si="69"/>
        <v>0</v>
      </c>
      <c r="S70" s="17">
        <f t="shared" si="70"/>
        <v>13816955.137163406</v>
      </c>
      <c r="T70" s="17">
        <f t="shared" si="71"/>
        <v>413783.55369814899</v>
      </c>
      <c r="U70" s="17">
        <f t="shared" ca="1" si="72"/>
        <v>27761840.829019111</v>
      </c>
    </row>
    <row r="71" spans="1:21" x14ac:dyDescent="0.2">
      <c r="A71" s="28">
        <f>'Monthly Data'!A71</f>
        <v>43739</v>
      </c>
      <c r="B71">
        <f>'Monthly Data'!C71</f>
        <v>10</v>
      </c>
      <c r="C71">
        <f>'Monthly Data'!B71</f>
        <v>2019</v>
      </c>
      <c r="D71" s="18">
        <f>'Monthly Data'!N71</f>
        <v>29031687.915465459</v>
      </c>
      <c r="E71" s="10">
        <f t="shared" ref="E71:F71" ca="1" si="76">E59</f>
        <v>128.51888157360821</v>
      </c>
      <c r="F71" s="10">
        <f t="shared" ca="1" si="76"/>
        <v>2.0656249999999989</v>
      </c>
      <c r="G71">
        <f>'Monthly Data'!AV71</f>
        <v>70</v>
      </c>
      <c r="H71">
        <f>'Monthly Data'!BO71</f>
        <v>31</v>
      </c>
      <c r="I71">
        <f>'Monthly Data'!BR71</f>
        <v>0</v>
      </c>
      <c r="J71" s="17">
        <f>'Monthly Data'!AT71</f>
        <v>811397</v>
      </c>
      <c r="K71">
        <f>'Monthly Data'!BJ71</f>
        <v>1</v>
      </c>
      <c r="M71" s="17">
        <f t="shared" si="63"/>
        <v>-9501475.1395959798</v>
      </c>
      <c r="N71" s="17">
        <f t="shared" ca="1" si="65"/>
        <v>1509028.1013628712</v>
      </c>
      <c r="O71" s="17">
        <f t="shared" ca="1" si="66"/>
        <v>45062.771836876353</v>
      </c>
      <c r="P71" s="17">
        <f t="shared" si="67"/>
        <v>-2514222.6388025037</v>
      </c>
      <c r="Q71" s="17">
        <f t="shared" si="68"/>
        <v>25636435.683383022</v>
      </c>
      <c r="R71" s="17">
        <f t="shared" si="69"/>
        <v>0</v>
      </c>
      <c r="S71" s="17">
        <f t="shared" si="70"/>
        <v>13834858.335292136</v>
      </c>
      <c r="T71" s="17">
        <f t="shared" si="71"/>
        <v>413783.55369814899</v>
      </c>
      <c r="U71" s="17">
        <f t="shared" ca="1" si="72"/>
        <v>29423470.66717457</v>
      </c>
    </row>
    <row r="72" spans="1:21" x14ac:dyDescent="0.2">
      <c r="A72" s="28">
        <f>'Monthly Data'!A72</f>
        <v>43770</v>
      </c>
      <c r="B72">
        <f>'Monthly Data'!C72</f>
        <v>11</v>
      </c>
      <c r="C72">
        <f>'Monthly Data'!B72</f>
        <v>2019</v>
      </c>
      <c r="D72" s="18">
        <f>'Monthly Data'!N72</f>
        <v>31785880.245318092</v>
      </c>
      <c r="E72" s="10">
        <f t="shared" ref="E72:F72" ca="1" si="77">E60</f>
        <v>332.1049960098469</v>
      </c>
      <c r="F72" s="10">
        <f t="shared" ca="1" si="77"/>
        <v>0</v>
      </c>
      <c r="G72">
        <f>'Monthly Data'!AV72</f>
        <v>71</v>
      </c>
      <c r="H72">
        <f>'Monthly Data'!BO72</f>
        <v>30</v>
      </c>
      <c r="I72">
        <f>'Monthly Data'!BR72</f>
        <v>0</v>
      </c>
      <c r="J72" s="17">
        <f>'Monthly Data'!AT72</f>
        <v>811397</v>
      </c>
      <c r="K72">
        <f>'Monthly Data'!BJ72</f>
        <v>1</v>
      </c>
      <c r="M72" s="17">
        <f t="shared" si="63"/>
        <v>-9501475.1395959798</v>
      </c>
      <c r="N72" s="17">
        <f t="shared" ca="1" si="65"/>
        <v>3899471.9331947346</v>
      </c>
      <c r="O72" s="17">
        <f t="shared" ca="1" si="66"/>
        <v>0</v>
      </c>
      <c r="P72" s="17">
        <f t="shared" si="67"/>
        <v>-2550140.1050711111</v>
      </c>
      <c r="Q72" s="17">
        <f t="shared" si="68"/>
        <v>24809453.88714486</v>
      </c>
      <c r="R72" s="17">
        <f t="shared" si="69"/>
        <v>0</v>
      </c>
      <c r="S72" s="17">
        <f t="shared" si="70"/>
        <v>13834858.335292136</v>
      </c>
      <c r="T72" s="17">
        <f t="shared" si="71"/>
        <v>413783.55369814899</v>
      </c>
      <c r="U72" s="17">
        <f t="shared" ca="1" si="72"/>
        <v>30905952.464662787</v>
      </c>
    </row>
    <row r="73" spans="1:21" x14ac:dyDescent="0.2">
      <c r="A73" s="28">
        <f>'Monthly Data'!A73</f>
        <v>43800</v>
      </c>
      <c r="B73">
        <f>'Monthly Data'!C73</f>
        <v>12</v>
      </c>
      <c r="C73">
        <f>'Monthly Data'!B73</f>
        <v>2019</v>
      </c>
      <c r="D73" s="18">
        <f>'Monthly Data'!N73</f>
        <v>33913799.495170727</v>
      </c>
      <c r="E73" s="10">
        <f t="shared" ref="E73:F73" ca="1" si="78">E61</f>
        <v>508.62936502461724</v>
      </c>
      <c r="F73" s="10">
        <f t="shared" ca="1" si="78"/>
        <v>0</v>
      </c>
      <c r="G73">
        <f>'Monthly Data'!AV73</f>
        <v>72</v>
      </c>
      <c r="H73">
        <f>'Monthly Data'!BO73</f>
        <v>31</v>
      </c>
      <c r="I73">
        <f>'Monthly Data'!BR73</f>
        <v>0</v>
      </c>
      <c r="J73" s="17">
        <f>'Monthly Data'!AT73</f>
        <v>811397</v>
      </c>
      <c r="K73">
        <f>'Monthly Data'!BJ73</f>
        <v>0</v>
      </c>
      <c r="M73" s="17">
        <f t="shared" si="63"/>
        <v>-9501475.1395959798</v>
      </c>
      <c r="N73" s="17">
        <f t="shared" ca="1" si="65"/>
        <v>5972165.3005585838</v>
      </c>
      <c r="O73" s="17">
        <f t="shared" ca="1" si="66"/>
        <v>0</v>
      </c>
      <c r="P73" s="17">
        <f t="shared" si="67"/>
        <v>-2586057.5713397181</v>
      </c>
      <c r="Q73" s="17">
        <f t="shared" si="68"/>
        <v>25636435.683383022</v>
      </c>
      <c r="R73" s="17">
        <f t="shared" si="69"/>
        <v>0</v>
      </c>
      <c r="S73" s="17">
        <f t="shared" si="70"/>
        <v>13834858.335292136</v>
      </c>
      <c r="T73" s="17">
        <f t="shared" si="71"/>
        <v>0</v>
      </c>
      <c r="U73" s="17">
        <f t="shared" ca="1" si="72"/>
        <v>33355926.608298041</v>
      </c>
    </row>
    <row r="74" spans="1:21" x14ac:dyDescent="0.2">
      <c r="A74" s="28">
        <f>'Monthly Data'!A74</f>
        <v>43831</v>
      </c>
      <c r="B74">
        <f>'Monthly Data'!C74</f>
        <v>1</v>
      </c>
      <c r="C74">
        <f>'Monthly Data'!B74</f>
        <v>2020</v>
      </c>
      <c r="D74" s="18">
        <f>'Monthly Data'!N74</f>
        <v>33896121.025919832</v>
      </c>
      <c r="E74" s="10">
        <f t="shared" ref="E74:F74" ca="1" si="79">E62</f>
        <v>666.68367523535153</v>
      </c>
      <c r="F74" s="10">
        <f t="shared" ca="1" si="79"/>
        <v>0</v>
      </c>
      <c r="G74">
        <f>'Monthly Data'!AV74</f>
        <v>73</v>
      </c>
      <c r="H74">
        <f>'Monthly Data'!BO74</f>
        <v>31</v>
      </c>
      <c r="I74">
        <f>'Monthly Data'!BR74</f>
        <v>0</v>
      </c>
      <c r="J74" s="17">
        <f>'Monthly Data'!AT74</f>
        <v>800126</v>
      </c>
      <c r="K74">
        <f>'Monthly Data'!BJ74</f>
        <v>0</v>
      </c>
      <c r="M74" s="17">
        <f t="shared" si="63"/>
        <v>-9501475.1395959798</v>
      </c>
      <c r="N74" s="17">
        <f t="shared" ca="1" si="65"/>
        <v>7827989.0731372358</v>
      </c>
      <c r="O74" s="17">
        <f t="shared" ca="1" si="66"/>
        <v>0</v>
      </c>
      <c r="P74" s="17">
        <f t="shared" si="67"/>
        <v>-2621975.0376083255</v>
      </c>
      <c r="Q74" s="17">
        <f t="shared" si="68"/>
        <v>25636435.683383022</v>
      </c>
      <c r="R74" s="17">
        <f t="shared" si="69"/>
        <v>0</v>
      </c>
      <c r="S74" s="17">
        <f t="shared" si="70"/>
        <v>13642680.291378887</v>
      </c>
      <c r="T74" s="17">
        <f t="shared" si="71"/>
        <v>0</v>
      </c>
      <c r="U74" s="17">
        <f t="shared" ca="1" si="72"/>
        <v>34983654.870694838</v>
      </c>
    </row>
    <row r="75" spans="1:21" x14ac:dyDescent="0.2">
      <c r="A75" s="28">
        <f>'Monthly Data'!A75</f>
        <v>43862</v>
      </c>
      <c r="B75">
        <f>'Monthly Data'!C75</f>
        <v>2</v>
      </c>
      <c r="C75">
        <f>'Monthly Data'!B75</f>
        <v>2020</v>
      </c>
      <c r="D75" s="18">
        <f>'Monthly Data'!N75</f>
        <v>32095520.527711645</v>
      </c>
      <c r="E75" s="10">
        <f t="shared" ref="E75:F75" ca="1" si="80">E63</f>
        <v>599.3508333333333</v>
      </c>
      <c r="F75" s="10">
        <f t="shared" ca="1" si="80"/>
        <v>0</v>
      </c>
      <c r="G75">
        <f>'Monthly Data'!AV75</f>
        <v>74</v>
      </c>
      <c r="H75">
        <f>'Monthly Data'!BO75</f>
        <v>29</v>
      </c>
      <c r="I75">
        <f>'Monthly Data'!BR75</f>
        <v>0</v>
      </c>
      <c r="J75" s="17">
        <f>'Monthly Data'!AT75</f>
        <v>800126</v>
      </c>
      <c r="K75">
        <f>'Monthly Data'!BJ75</f>
        <v>0</v>
      </c>
      <c r="M75" s="17">
        <f t="shared" si="63"/>
        <v>-9501475.1395959798</v>
      </c>
      <c r="N75" s="17">
        <f t="shared" ca="1" si="65"/>
        <v>7037388.1176148038</v>
      </c>
      <c r="O75" s="17">
        <f t="shared" ca="1" si="66"/>
        <v>0</v>
      </c>
      <c r="P75" s="17">
        <f t="shared" si="67"/>
        <v>-2657892.5038769324</v>
      </c>
      <c r="Q75" s="17">
        <f t="shared" si="68"/>
        <v>23982472.090906698</v>
      </c>
      <c r="R75" s="17">
        <f t="shared" si="69"/>
        <v>0</v>
      </c>
      <c r="S75" s="17">
        <f t="shared" si="70"/>
        <v>13642680.291378887</v>
      </c>
      <c r="T75" s="17">
        <f t="shared" si="71"/>
        <v>0</v>
      </c>
      <c r="U75" s="17">
        <f t="shared" ca="1" si="72"/>
        <v>32503172.856427476</v>
      </c>
    </row>
    <row r="76" spans="1:21" x14ac:dyDescent="0.2">
      <c r="A76" s="28">
        <f>'Monthly Data'!A76</f>
        <v>43891</v>
      </c>
      <c r="B76">
        <f>'Monthly Data'!C76</f>
        <v>3</v>
      </c>
      <c r="C76">
        <f>'Monthly Data'!B76</f>
        <v>2020</v>
      </c>
      <c r="D76" s="18">
        <f>'Monthly Data'!N76</f>
        <v>31020737.220503461</v>
      </c>
      <c r="E76" s="10">
        <f t="shared" ref="E76:F76" ca="1" si="81">E64</f>
        <v>469.11853767651354</v>
      </c>
      <c r="F76" s="10">
        <f t="shared" ca="1" si="81"/>
        <v>0</v>
      </c>
      <c r="G76">
        <f>'Monthly Data'!AV76</f>
        <v>75</v>
      </c>
      <c r="H76">
        <f>'Monthly Data'!BO76</f>
        <v>31</v>
      </c>
      <c r="I76">
        <f>'Monthly Data'!BR76</f>
        <v>0.5</v>
      </c>
      <c r="J76" s="17">
        <f>'Monthly Data'!AT76</f>
        <v>800126</v>
      </c>
      <c r="K76">
        <f>'Monthly Data'!BJ76</f>
        <v>0</v>
      </c>
      <c r="M76" s="17">
        <f t="shared" si="63"/>
        <v>-9501475.1395959798</v>
      </c>
      <c r="N76" s="17">
        <f t="shared" ca="1" si="65"/>
        <v>5508241.6494471589</v>
      </c>
      <c r="O76" s="17">
        <f t="shared" ca="1" si="66"/>
        <v>0</v>
      </c>
      <c r="P76" s="17">
        <f t="shared" si="67"/>
        <v>-2693809.9701455398</v>
      </c>
      <c r="Q76" s="17">
        <f t="shared" si="68"/>
        <v>25636435.683383022</v>
      </c>
      <c r="R76" s="17">
        <f t="shared" si="69"/>
        <v>-966052.69018035999</v>
      </c>
      <c r="S76" s="17">
        <f t="shared" si="70"/>
        <v>13642680.291378887</v>
      </c>
      <c r="T76" s="17">
        <f t="shared" si="71"/>
        <v>0</v>
      </c>
      <c r="U76" s="17">
        <f t="shared" ca="1" si="72"/>
        <v>31626019.824287184</v>
      </c>
    </row>
    <row r="77" spans="1:21" x14ac:dyDescent="0.2">
      <c r="A77" s="28">
        <f>'Monthly Data'!A77</f>
        <v>43922</v>
      </c>
      <c r="B77">
        <f>'Monthly Data'!C77</f>
        <v>4</v>
      </c>
      <c r="C77">
        <f>'Monthly Data'!B77</f>
        <v>2020</v>
      </c>
      <c r="D77" s="18">
        <f>'Monthly Data'!N77</f>
        <v>25567063.165295273</v>
      </c>
      <c r="E77" s="10">
        <f t="shared" ref="E77:F77" ca="1" si="82">E65</f>
        <v>233.92395833333336</v>
      </c>
      <c r="F77" s="10">
        <f t="shared" ca="1" si="82"/>
        <v>1.1666666666666714E-2</v>
      </c>
      <c r="G77">
        <f>'Monthly Data'!AV77</f>
        <v>76</v>
      </c>
      <c r="H77">
        <f>'Monthly Data'!BO77</f>
        <v>30</v>
      </c>
      <c r="I77">
        <f>'Monthly Data'!BR77</f>
        <v>1</v>
      </c>
      <c r="J77" s="17">
        <f>'Monthly Data'!AT77</f>
        <v>706539</v>
      </c>
      <c r="K77">
        <f>'Monthly Data'!BJ77</f>
        <v>0</v>
      </c>
      <c r="M77" s="17">
        <f t="shared" si="63"/>
        <v>-9501475.1395959798</v>
      </c>
      <c r="N77" s="17">
        <f t="shared" ca="1" si="65"/>
        <v>2746661.2095037615</v>
      </c>
      <c r="O77" s="17">
        <f t="shared" ca="1" si="66"/>
        <v>254.51489892739153</v>
      </c>
      <c r="P77" s="17">
        <f t="shared" si="67"/>
        <v>-2729727.4364141468</v>
      </c>
      <c r="Q77" s="17">
        <f t="shared" si="68"/>
        <v>24809453.88714486</v>
      </c>
      <c r="R77" s="17">
        <f t="shared" si="69"/>
        <v>-1932105.38036072</v>
      </c>
      <c r="S77" s="17">
        <f t="shared" si="70"/>
        <v>12046959.716832783</v>
      </c>
      <c r="T77" s="17">
        <f t="shared" si="71"/>
        <v>0</v>
      </c>
      <c r="U77" s="17">
        <f t="shared" ca="1" si="72"/>
        <v>25440021.372009486</v>
      </c>
    </row>
    <row r="78" spans="1:21" x14ac:dyDescent="0.2">
      <c r="A78" s="28">
        <f>'Monthly Data'!A78</f>
        <v>43952</v>
      </c>
      <c r="B78">
        <f>'Monthly Data'!C78</f>
        <v>5</v>
      </c>
      <c r="C78">
        <f>'Monthly Data'!B78</f>
        <v>2020</v>
      </c>
      <c r="D78" s="18">
        <f>'Monthly Data'!N78</f>
        <v>25132119.509087089</v>
      </c>
      <c r="E78" s="10">
        <f t="shared" ref="E78:F78" ca="1" si="83">E66</f>
        <v>46.324929225504526</v>
      </c>
      <c r="F78" s="10">
        <f t="shared" ca="1" si="83"/>
        <v>19.778958333333328</v>
      </c>
      <c r="G78">
        <f>'Monthly Data'!AV78</f>
        <v>77</v>
      </c>
      <c r="H78">
        <f>'Monthly Data'!BO78</f>
        <v>31</v>
      </c>
      <c r="I78">
        <f>'Monthly Data'!BR78</f>
        <v>1</v>
      </c>
      <c r="J78" s="17">
        <f>'Monthly Data'!AT78</f>
        <v>706539</v>
      </c>
      <c r="K78">
        <f>'Monthly Data'!BJ78</f>
        <v>0</v>
      </c>
      <c r="M78" s="17">
        <f t="shared" si="63"/>
        <v>-9501475.1395959798</v>
      </c>
      <c r="N78" s="17">
        <f t="shared" ca="1" si="65"/>
        <v>543932.68241207476</v>
      </c>
      <c r="O78" s="17">
        <f t="shared" ca="1" si="66"/>
        <v>431489.10695120576</v>
      </c>
      <c r="P78" s="17">
        <f t="shared" si="67"/>
        <v>-2765644.9026827542</v>
      </c>
      <c r="Q78" s="17">
        <f t="shared" si="68"/>
        <v>25636435.683383022</v>
      </c>
      <c r="R78" s="17">
        <f t="shared" si="69"/>
        <v>-1932105.38036072</v>
      </c>
      <c r="S78" s="17">
        <f t="shared" si="70"/>
        <v>12046959.716832783</v>
      </c>
      <c r="T78" s="17">
        <f t="shared" si="71"/>
        <v>0</v>
      </c>
      <c r="U78" s="17">
        <f t="shared" ca="1" si="72"/>
        <v>24459591.766939633</v>
      </c>
    </row>
    <row r="79" spans="1:21" x14ac:dyDescent="0.2">
      <c r="A79" s="28">
        <f>'Monthly Data'!A79</f>
        <v>43983</v>
      </c>
      <c r="B79">
        <f>'Monthly Data'!C79</f>
        <v>6</v>
      </c>
      <c r="C79">
        <f>'Monthly Data'!B79</f>
        <v>2020</v>
      </c>
      <c r="D79" s="18">
        <f>'Monthly Data'!N79</f>
        <v>25159228.287878901</v>
      </c>
      <c r="E79" s="10">
        <f t="shared" ref="E79:F79" ca="1" si="84">E67</f>
        <v>1.25875</v>
      </c>
      <c r="F79" s="10">
        <f t="shared" ca="1" si="84"/>
        <v>53.293685210734182</v>
      </c>
      <c r="G79">
        <f>'Monthly Data'!AV79</f>
        <v>78</v>
      </c>
      <c r="H79">
        <f>'Monthly Data'!BO79</f>
        <v>30</v>
      </c>
      <c r="I79">
        <f>'Monthly Data'!BR79</f>
        <v>0.5</v>
      </c>
      <c r="J79" s="17">
        <f>'Monthly Data'!AT79</f>
        <v>706539</v>
      </c>
      <c r="K79">
        <f>'Monthly Data'!BJ79</f>
        <v>0</v>
      </c>
      <c r="M79" s="17">
        <f t="shared" si="63"/>
        <v>-9501475.1395959798</v>
      </c>
      <c r="N79" s="17">
        <f t="shared" ca="1" si="65"/>
        <v>14779.844792709282</v>
      </c>
      <c r="O79" s="17">
        <f t="shared" ca="1" si="66"/>
        <v>1162631.7347038437</v>
      </c>
      <c r="P79" s="17">
        <f t="shared" si="67"/>
        <v>-2801562.3689513612</v>
      </c>
      <c r="Q79" s="17">
        <f t="shared" si="68"/>
        <v>24809453.88714486</v>
      </c>
      <c r="R79" s="17">
        <f t="shared" si="69"/>
        <v>-966052.69018035999</v>
      </c>
      <c r="S79" s="17">
        <f t="shared" si="70"/>
        <v>12046959.716832783</v>
      </c>
      <c r="T79" s="17">
        <f t="shared" si="71"/>
        <v>0</v>
      </c>
      <c r="U79" s="17">
        <f t="shared" ca="1" si="72"/>
        <v>24764734.984746493</v>
      </c>
    </row>
    <row r="80" spans="1:21" x14ac:dyDescent="0.2">
      <c r="A80" s="28">
        <f>'Monthly Data'!A80</f>
        <v>44013</v>
      </c>
      <c r="B80">
        <f>'Monthly Data'!C80</f>
        <v>7</v>
      </c>
      <c r="C80">
        <f>'Monthly Data'!B80</f>
        <v>2020</v>
      </c>
      <c r="D80" s="18">
        <f>'Monthly Data'!N80</f>
        <v>28751793.768670712</v>
      </c>
      <c r="E80" s="10">
        <f t="shared" ref="E80:F80" ca="1" si="85">E68</f>
        <v>0</v>
      </c>
      <c r="F80" s="10">
        <f t="shared" ca="1" si="85"/>
        <v>104.42694776957208</v>
      </c>
      <c r="G80">
        <f>'Monthly Data'!AV80</f>
        <v>79</v>
      </c>
      <c r="H80">
        <f>'Monthly Data'!BO80</f>
        <v>31</v>
      </c>
      <c r="I80">
        <f>'Monthly Data'!BR80</f>
        <v>0.5</v>
      </c>
      <c r="J80" s="17">
        <f>'Monthly Data'!AT80</f>
        <v>777225</v>
      </c>
      <c r="K80">
        <f>'Monthly Data'!BJ80</f>
        <v>0</v>
      </c>
      <c r="M80" s="17">
        <f t="shared" si="63"/>
        <v>-9501475.1395959798</v>
      </c>
      <c r="N80" s="17">
        <f t="shared" ca="1" si="65"/>
        <v>0</v>
      </c>
      <c r="O80" s="17">
        <f t="shared" ca="1" si="66"/>
        <v>2278132.6334458739</v>
      </c>
      <c r="P80" s="17">
        <f t="shared" si="67"/>
        <v>-2837479.8352199686</v>
      </c>
      <c r="Q80" s="17">
        <f t="shared" si="68"/>
        <v>25636435.683383022</v>
      </c>
      <c r="R80" s="17">
        <f t="shared" si="69"/>
        <v>-966052.69018035999</v>
      </c>
      <c r="S80" s="17">
        <f t="shared" si="70"/>
        <v>13252203.014858855</v>
      </c>
      <c r="T80" s="17">
        <f t="shared" si="71"/>
        <v>0</v>
      </c>
      <c r="U80" s="17">
        <f t="shared" ca="1" si="72"/>
        <v>27861763.666691445</v>
      </c>
    </row>
    <row r="81" spans="1:21" x14ac:dyDescent="0.2">
      <c r="A81" s="28">
        <f>'Monthly Data'!A81</f>
        <v>44044</v>
      </c>
      <c r="B81">
        <f>'Monthly Data'!C81</f>
        <v>8</v>
      </c>
      <c r="C81">
        <f>'Monthly Data'!B81</f>
        <v>2020</v>
      </c>
      <c r="D81" s="18">
        <f>'Monthly Data'!N81</f>
        <v>27133108.955462527</v>
      </c>
      <c r="E81" s="10">
        <f t="shared" ref="E81:F81" ca="1" si="86">E69</f>
        <v>0.1158333333333335</v>
      </c>
      <c r="F81" s="10">
        <f t="shared" ca="1" si="86"/>
        <v>74.696666666666673</v>
      </c>
      <c r="G81">
        <f>'Monthly Data'!AV81</f>
        <v>80</v>
      </c>
      <c r="H81">
        <f>'Monthly Data'!BO81</f>
        <v>31</v>
      </c>
      <c r="I81">
        <f>'Monthly Data'!BR81</f>
        <v>0.5</v>
      </c>
      <c r="J81" s="17">
        <f>'Monthly Data'!AT81</f>
        <v>777225</v>
      </c>
      <c r="K81">
        <f>'Monthly Data'!BJ81</f>
        <v>0</v>
      </c>
      <c r="M81" s="17">
        <f t="shared" si="63"/>
        <v>-9501475.1395959798</v>
      </c>
      <c r="N81" s="17">
        <f t="shared" ca="1" si="65"/>
        <v>1360.0784019772213</v>
      </c>
      <c r="O81" s="17">
        <f t="shared" ca="1" si="66"/>
        <v>1629549.8200182556</v>
      </c>
      <c r="P81" s="17">
        <f t="shared" si="67"/>
        <v>-2873397.3014885755</v>
      </c>
      <c r="Q81" s="17">
        <f t="shared" si="68"/>
        <v>25636435.683383022</v>
      </c>
      <c r="R81" s="17">
        <f t="shared" si="69"/>
        <v>-966052.69018035999</v>
      </c>
      <c r="S81" s="17">
        <f t="shared" si="70"/>
        <v>13252203.014858855</v>
      </c>
      <c r="T81" s="17">
        <f t="shared" si="71"/>
        <v>0</v>
      </c>
      <c r="U81" s="17">
        <f t="shared" ca="1" si="72"/>
        <v>27178623.465397194</v>
      </c>
    </row>
    <row r="82" spans="1:21" x14ac:dyDescent="0.2">
      <c r="A82" s="28">
        <f>'Monthly Data'!A82</f>
        <v>44075</v>
      </c>
      <c r="B82">
        <f>'Monthly Data'!C82</f>
        <v>9</v>
      </c>
      <c r="C82">
        <f>'Monthly Data'!B82</f>
        <v>2020</v>
      </c>
      <c r="D82" s="18">
        <f>'Monthly Data'!N82</f>
        <v>25201907.553254344</v>
      </c>
      <c r="E82" s="10">
        <f t="shared" ref="E82:F82" ca="1" si="87">E70</f>
        <v>11.597845892171184</v>
      </c>
      <c r="F82" s="10">
        <f t="shared" ca="1" si="87"/>
        <v>25.91041666666667</v>
      </c>
      <c r="G82">
        <f>'Monthly Data'!AV82</f>
        <v>81</v>
      </c>
      <c r="H82">
        <f>'Monthly Data'!BO82</f>
        <v>30</v>
      </c>
      <c r="I82">
        <f>'Monthly Data'!BR82</f>
        <v>0.5</v>
      </c>
      <c r="J82" s="17">
        <f>'Monthly Data'!AT82</f>
        <v>777225</v>
      </c>
      <c r="K82">
        <f>'Monthly Data'!BJ82</f>
        <v>1</v>
      </c>
      <c r="M82" s="17">
        <f t="shared" si="63"/>
        <v>-9501475.1395959798</v>
      </c>
      <c r="N82" s="17">
        <f t="shared" ca="1" si="65"/>
        <v>136178.24207829277</v>
      </c>
      <c r="O82" s="17">
        <f t="shared" ca="1" si="66"/>
        <v>565250.3210642779</v>
      </c>
      <c r="P82" s="17">
        <f t="shared" si="67"/>
        <v>-2909314.7677571829</v>
      </c>
      <c r="Q82" s="17">
        <f t="shared" si="68"/>
        <v>24809453.88714486</v>
      </c>
      <c r="R82" s="17">
        <f t="shared" si="69"/>
        <v>-966052.69018035999</v>
      </c>
      <c r="S82" s="17">
        <f t="shared" si="70"/>
        <v>13252203.014858855</v>
      </c>
      <c r="T82" s="17">
        <f t="shared" si="71"/>
        <v>413783.55369814899</v>
      </c>
      <c r="U82" s="17">
        <f t="shared" ca="1" si="72"/>
        <v>25800026.421310913</v>
      </c>
    </row>
    <row r="83" spans="1:21" x14ac:dyDescent="0.2">
      <c r="A83" s="28">
        <f>'Monthly Data'!A83</f>
        <v>44105</v>
      </c>
      <c r="B83">
        <f>'Monthly Data'!C83</f>
        <v>10</v>
      </c>
      <c r="C83">
        <f>'Monthly Data'!B83</f>
        <v>2020</v>
      </c>
      <c r="D83" s="18">
        <f>'Monthly Data'!N83</f>
        <v>27569490.543046154</v>
      </c>
      <c r="E83" s="10">
        <f t="shared" ref="E83:F83" ca="1" si="88">E71</f>
        <v>128.51888157360821</v>
      </c>
      <c r="F83" s="10">
        <f t="shared" ca="1" si="88"/>
        <v>2.0656249999999989</v>
      </c>
      <c r="G83">
        <f>'Monthly Data'!AV83</f>
        <v>82</v>
      </c>
      <c r="H83">
        <f>'Monthly Data'!BO83</f>
        <v>31</v>
      </c>
      <c r="I83">
        <f>'Monthly Data'!BR83</f>
        <v>0.5</v>
      </c>
      <c r="J83" s="17">
        <f>'Monthly Data'!AT83</f>
        <v>795879</v>
      </c>
      <c r="K83">
        <f>'Monthly Data'!BJ83</f>
        <v>1</v>
      </c>
      <c r="M83" s="17">
        <f t="shared" si="63"/>
        <v>-9501475.1395959798</v>
      </c>
      <c r="N83" s="17">
        <f t="shared" ca="1" si="65"/>
        <v>1509028.1013628712</v>
      </c>
      <c r="O83" s="17">
        <f t="shared" ca="1" si="66"/>
        <v>45062.771836876353</v>
      </c>
      <c r="P83" s="17">
        <f t="shared" si="67"/>
        <v>-2945232.2340257904</v>
      </c>
      <c r="Q83" s="17">
        <f t="shared" si="68"/>
        <v>25636435.683383022</v>
      </c>
      <c r="R83" s="17">
        <f t="shared" si="69"/>
        <v>-966052.69018035999</v>
      </c>
      <c r="S83" s="17">
        <f t="shared" si="70"/>
        <v>13570266.117614398</v>
      </c>
      <c r="T83" s="17">
        <f t="shared" si="71"/>
        <v>413783.55369814899</v>
      </c>
      <c r="U83" s="17">
        <f t="shared" ca="1" si="72"/>
        <v>27761816.164093185</v>
      </c>
    </row>
    <row r="84" spans="1:21" x14ac:dyDescent="0.2">
      <c r="A84" s="28">
        <f>'Monthly Data'!A84</f>
        <v>44136</v>
      </c>
      <c r="B84">
        <f>'Monthly Data'!C84</f>
        <v>11</v>
      </c>
      <c r="C84">
        <f>'Monthly Data'!B84</f>
        <v>2020</v>
      </c>
      <c r="D84" s="18">
        <f>'Monthly Data'!N84</f>
        <v>28808277.152837969</v>
      </c>
      <c r="E84" s="10">
        <f t="shared" ref="E84:F84" ca="1" si="89">E72</f>
        <v>332.1049960098469</v>
      </c>
      <c r="F84" s="10">
        <f t="shared" ca="1" si="89"/>
        <v>0</v>
      </c>
      <c r="G84">
        <f>'Monthly Data'!AV84</f>
        <v>83</v>
      </c>
      <c r="H84">
        <f>'Monthly Data'!BO84</f>
        <v>30</v>
      </c>
      <c r="I84">
        <f>'Monthly Data'!BR84</f>
        <v>0.5</v>
      </c>
      <c r="J84" s="17">
        <f>'Monthly Data'!AT84</f>
        <v>795879</v>
      </c>
      <c r="K84">
        <f>'Monthly Data'!BJ84</f>
        <v>1</v>
      </c>
      <c r="M84" s="17">
        <f t="shared" si="63"/>
        <v>-9501475.1395959798</v>
      </c>
      <c r="N84" s="17">
        <f t="shared" ca="1" si="65"/>
        <v>3899471.9331947346</v>
      </c>
      <c r="O84" s="17">
        <f t="shared" ca="1" si="66"/>
        <v>0</v>
      </c>
      <c r="P84" s="17">
        <f t="shared" si="67"/>
        <v>-2981149.7002943973</v>
      </c>
      <c r="Q84" s="17">
        <f t="shared" si="68"/>
        <v>24809453.88714486</v>
      </c>
      <c r="R84" s="17">
        <f t="shared" si="69"/>
        <v>-966052.69018035999</v>
      </c>
      <c r="S84" s="17">
        <f t="shared" si="70"/>
        <v>13570266.117614398</v>
      </c>
      <c r="T84" s="17">
        <f t="shared" si="71"/>
        <v>413783.55369814899</v>
      </c>
      <c r="U84" s="17">
        <f t="shared" ca="1" si="72"/>
        <v>29244297.961581405</v>
      </c>
    </row>
    <row r="85" spans="1:21" x14ac:dyDescent="0.2">
      <c r="A85" s="28">
        <f>'Monthly Data'!A85</f>
        <v>44166</v>
      </c>
      <c r="B85">
        <f>'Monthly Data'!C85</f>
        <v>12</v>
      </c>
      <c r="C85">
        <f>'Monthly Data'!B85</f>
        <v>2020</v>
      </c>
      <c r="D85" s="18">
        <f>'Monthly Data'!N85</f>
        <v>31609940.130629782</v>
      </c>
      <c r="E85" s="10">
        <f t="shared" ref="E85:F85" ca="1" si="90">E73</f>
        <v>508.62936502461724</v>
      </c>
      <c r="F85" s="10">
        <f t="shared" ca="1" si="90"/>
        <v>0</v>
      </c>
      <c r="G85">
        <f>'Monthly Data'!AV85</f>
        <v>84</v>
      </c>
      <c r="H85">
        <f>'Monthly Data'!BO85</f>
        <v>31</v>
      </c>
      <c r="I85">
        <f>'Monthly Data'!BR85</f>
        <v>0.5</v>
      </c>
      <c r="J85" s="17">
        <f>'Monthly Data'!AT85</f>
        <v>795879</v>
      </c>
      <c r="K85">
        <f>'Monthly Data'!BJ85</f>
        <v>0</v>
      </c>
      <c r="M85" s="17">
        <f t="shared" si="63"/>
        <v>-9501475.1395959798</v>
      </c>
      <c r="N85" s="17">
        <f t="shared" ca="1" si="65"/>
        <v>5972165.3005585838</v>
      </c>
      <c r="O85" s="17">
        <f t="shared" ca="1" si="66"/>
        <v>0</v>
      </c>
      <c r="P85" s="17">
        <f t="shared" si="67"/>
        <v>-3017067.1665630047</v>
      </c>
      <c r="Q85" s="17">
        <f t="shared" si="68"/>
        <v>25636435.683383022</v>
      </c>
      <c r="R85" s="17">
        <f t="shared" si="69"/>
        <v>-966052.69018035999</v>
      </c>
      <c r="S85" s="17">
        <f t="shared" si="70"/>
        <v>13570266.117614398</v>
      </c>
      <c r="T85" s="17">
        <f t="shared" si="71"/>
        <v>0</v>
      </c>
      <c r="U85" s="17">
        <f t="shared" ca="1" si="72"/>
        <v>31694272.10521666</v>
      </c>
    </row>
    <row r="86" spans="1:21" x14ac:dyDescent="0.2">
      <c r="A86" s="28">
        <f>'Monthly Data'!A86</f>
        <v>44197</v>
      </c>
      <c r="B86">
        <f>'Monthly Data'!C86</f>
        <v>1</v>
      </c>
      <c r="C86">
        <f>'Monthly Data'!B86</f>
        <v>2021</v>
      </c>
      <c r="D86" s="18">
        <f>'Monthly Data'!N86</f>
        <v>31503025.928263903</v>
      </c>
      <c r="E86" s="10">
        <f t="shared" ref="E86:F86" ca="1" si="91">E74</f>
        <v>666.68367523535153</v>
      </c>
      <c r="F86" s="10">
        <f t="shared" ca="1" si="91"/>
        <v>0</v>
      </c>
      <c r="G86">
        <f>'Monthly Data'!AV86</f>
        <v>85</v>
      </c>
      <c r="H86">
        <f>'Monthly Data'!BO86</f>
        <v>31</v>
      </c>
      <c r="I86">
        <f>'Monthly Data'!BR86</f>
        <v>0.5</v>
      </c>
      <c r="J86" s="17">
        <f>'Monthly Data'!AT86</f>
        <v>808584</v>
      </c>
      <c r="K86">
        <f>'Monthly Data'!BJ86</f>
        <v>0</v>
      </c>
      <c r="M86" s="17">
        <f t="shared" si="63"/>
        <v>-9501475.1395959798</v>
      </c>
      <c r="N86" s="17">
        <f t="shared" ca="1" si="65"/>
        <v>7827989.0731372358</v>
      </c>
      <c r="O86" s="17">
        <f t="shared" ca="1" si="66"/>
        <v>0</v>
      </c>
      <c r="P86" s="17">
        <f t="shared" si="67"/>
        <v>-3052984.6328316117</v>
      </c>
      <c r="Q86" s="17">
        <f t="shared" si="68"/>
        <v>25636435.683383022</v>
      </c>
      <c r="R86" s="17">
        <f t="shared" si="69"/>
        <v>-966052.69018035999</v>
      </c>
      <c r="S86" s="17">
        <f t="shared" si="70"/>
        <v>13786894.814972024</v>
      </c>
      <c r="T86" s="17">
        <f t="shared" si="71"/>
        <v>0</v>
      </c>
      <c r="U86" s="17">
        <f t="shared" ca="1" si="72"/>
        <v>33730807.108884335</v>
      </c>
    </row>
    <row r="87" spans="1:21" x14ac:dyDescent="0.2">
      <c r="A87" s="28">
        <f>'Monthly Data'!A87</f>
        <v>44228</v>
      </c>
      <c r="B87">
        <f>'Monthly Data'!C87</f>
        <v>2</v>
      </c>
      <c r="C87">
        <f>'Monthly Data'!B87</f>
        <v>2021</v>
      </c>
      <c r="D87" s="18">
        <f>'Monthly Data'!N87</f>
        <v>29705320.387662452</v>
      </c>
      <c r="E87" s="10">
        <f t="shared" ref="E87:F87" ca="1" si="92">E75</f>
        <v>599.3508333333333</v>
      </c>
      <c r="F87" s="10">
        <f t="shared" ca="1" si="92"/>
        <v>0</v>
      </c>
      <c r="G87">
        <f>'Monthly Data'!AV87</f>
        <v>86</v>
      </c>
      <c r="H87">
        <f>'Monthly Data'!BO87</f>
        <v>28</v>
      </c>
      <c r="I87">
        <f>'Monthly Data'!BR87</f>
        <v>0.5</v>
      </c>
      <c r="J87" s="17">
        <f>'Monthly Data'!AT87</f>
        <v>808584</v>
      </c>
      <c r="K87">
        <f>'Monthly Data'!BJ87</f>
        <v>0</v>
      </c>
      <c r="M87" s="17">
        <f t="shared" si="63"/>
        <v>-9501475.1395959798</v>
      </c>
      <c r="N87" s="17">
        <f t="shared" ca="1" si="65"/>
        <v>7037388.1176148038</v>
      </c>
      <c r="O87" s="17">
        <f t="shared" ca="1" si="66"/>
        <v>0</v>
      </c>
      <c r="P87" s="17">
        <f t="shared" si="67"/>
        <v>-3088902.0991002191</v>
      </c>
      <c r="Q87" s="17">
        <f t="shared" si="68"/>
        <v>23155490.294668537</v>
      </c>
      <c r="R87" s="17">
        <f t="shared" si="69"/>
        <v>-966052.69018035999</v>
      </c>
      <c r="S87" s="17">
        <f t="shared" si="70"/>
        <v>13786894.814972024</v>
      </c>
      <c r="T87" s="17">
        <f t="shared" si="71"/>
        <v>0</v>
      </c>
      <c r="U87" s="17">
        <f t="shared" ca="1" si="72"/>
        <v>30423343.29837881</v>
      </c>
    </row>
    <row r="88" spans="1:21" x14ac:dyDescent="0.2">
      <c r="A88" s="28">
        <f>'Monthly Data'!A88</f>
        <v>44256</v>
      </c>
      <c r="B88">
        <f>'Monthly Data'!C88</f>
        <v>3</v>
      </c>
      <c r="C88">
        <f>'Monthly Data'!B88</f>
        <v>2021</v>
      </c>
      <c r="D88" s="18">
        <f>'Monthly Data'!N88</f>
        <v>29854564.017060999</v>
      </c>
      <c r="E88" s="10">
        <f t="shared" ref="E88:F88" ca="1" si="93">E76</f>
        <v>469.11853767651354</v>
      </c>
      <c r="F88" s="10">
        <f t="shared" ca="1" si="93"/>
        <v>0</v>
      </c>
      <c r="G88">
        <f>'Monthly Data'!AV88</f>
        <v>87</v>
      </c>
      <c r="H88">
        <f>'Monthly Data'!BO88</f>
        <v>31</v>
      </c>
      <c r="I88">
        <f>'Monthly Data'!BR88</f>
        <v>0.5</v>
      </c>
      <c r="J88" s="17">
        <f>'Monthly Data'!AT88</f>
        <v>808584</v>
      </c>
      <c r="K88">
        <f>'Monthly Data'!BJ88</f>
        <v>0</v>
      </c>
      <c r="M88" s="17">
        <f t="shared" si="63"/>
        <v>-9501475.1395959798</v>
      </c>
      <c r="N88" s="17">
        <f t="shared" ca="1" si="65"/>
        <v>5508241.6494471589</v>
      </c>
      <c r="O88" s="17">
        <f t="shared" ca="1" si="66"/>
        <v>0</v>
      </c>
      <c r="P88" s="17">
        <f t="shared" si="67"/>
        <v>-3124819.565368826</v>
      </c>
      <c r="Q88" s="17">
        <f t="shared" si="68"/>
        <v>25636435.683383022</v>
      </c>
      <c r="R88" s="17">
        <f t="shared" si="69"/>
        <v>-966052.69018035999</v>
      </c>
      <c r="S88" s="17">
        <f t="shared" si="70"/>
        <v>13786894.814972024</v>
      </c>
      <c r="T88" s="17">
        <f t="shared" si="71"/>
        <v>0</v>
      </c>
      <c r="U88" s="17">
        <f t="shared" ca="1" si="72"/>
        <v>31339224.752657037</v>
      </c>
    </row>
    <row r="89" spans="1:21" x14ac:dyDescent="0.2">
      <c r="A89" s="28">
        <f>'Monthly Data'!A89</f>
        <v>44287</v>
      </c>
      <c r="B89">
        <f>'Monthly Data'!C89</f>
        <v>4</v>
      </c>
      <c r="C89">
        <f>'Monthly Data'!B89</f>
        <v>2021</v>
      </c>
      <c r="D89" s="18">
        <f>'Monthly Data'!N89</f>
        <v>25770865.557459541</v>
      </c>
      <c r="E89" s="10">
        <f t="shared" ref="E89:F89" ca="1" si="94">E77</f>
        <v>233.92395833333336</v>
      </c>
      <c r="F89" s="10">
        <f t="shared" ca="1" si="94"/>
        <v>1.1666666666666714E-2</v>
      </c>
      <c r="G89">
        <f>'Monthly Data'!AV89</f>
        <v>88</v>
      </c>
      <c r="H89">
        <f>'Monthly Data'!BO89</f>
        <v>30</v>
      </c>
      <c r="I89">
        <f>'Monthly Data'!BR89</f>
        <v>0.5</v>
      </c>
      <c r="J89" s="17">
        <f>'Monthly Data'!AT89</f>
        <v>802518</v>
      </c>
      <c r="K89">
        <f>'Monthly Data'!BJ89</f>
        <v>0</v>
      </c>
      <c r="M89" s="17">
        <f t="shared" si="63"/>
        <v>-9501475.1395959798</v>
      </c>
      <c r="N89" s="17">
        <f t="shared" ca="1" si="65"/>
        <v>2746661.2095037615</v>
      </c>
      <c r="O89" s="17">
        <f t="shared" ca="1" si="66"/>
        <v>254.51489892739153</v>
      </c>
      <c r="P89" s="17">
        <f t="shared" si="67"/>
        <v>-3160737.0316374335</v>
      </c>
      <c r="Q89" s="17">
        <f t="shared" si="68"/>
        <v>24809453.88714486</v>
      </c>
      <c r="R89" s="17">
        <f t="shared" si="69"/>
        <v>-966052.69018035999</v>
      </c>
      <c r="S89" s="17">
        <f t="shared" si="70"/>
        <v>13683465.481782623</v>
      </c>
      <c r="T89" s="17">
        <f t="shared" si="71"/>
        <v>0</v>
      </c>
      <c r="U89" s="17">
        <f t="shared" ca="1" si="72"/>
        <v>27611570.231916398</v>
      </c>
    </row>
    <row r="90" spans="1:21" x14ac:dyDescent="0.2">
      <c r="A90" s="28">
        <f>'Monthly Data'!A90</f>
        <v>44317</v>
      </c>
      <c r="B90">
        <f>'Monthly Data'!C90</f>
        <v>5</v>
      </c>
      <c r="C90">
        <f>'Monthly Data'!B90</f>
        <v>2021</v>
      </c>
      <c r="D90" s="18">
        <f>'Monthly Data'!N90</f>
        <v>26003773.763858087</v>
      </c>
      <c r="E90" s="10">
        <f t="shared" ref="E90:F90" ca="1" si="95">E78</f>
        <v>46.324929225504526</v>
      </c>
      <c r="F90" s="10">
        <f t="shared" ca="1" si="95"/>
        <v>19.778958333333328</v>
      </c>
      <c r="G90">
        <f>'Monthly Data'!AV90</f>
        <v>89</v>
      </c>
      <c r="H90">
        <f>'Monthly Data'!BO90</f>
        <v>31</v>
      </c>
      <c r="I90">
        <f>'Monthly Data'!BR90</f>
        <v>0.5</v>
      </c>
      <c r="J90" s="17">
        <f>'Monthly Data'!AT90</f>
        <v>802518</v>
      </c>
      <c r="K90">
        <f>'Monthly Data'!BJ90</f>
        <v>0</v>
      </c>
      <c r="M90" s="17">
        <f t="shared" si="63"/>
        <v>-9501475.1395959798</v>
      </c>
      <c r="N90" s="17">
        <f t="shared" ca="1" si="65"/>
        <v>543932.68241207476</v>
      </c>
      <c r="O90" s="17">
        <f t="shared" ca="1" si="66"/>
        <v>431489.10695120576</v>
      </c>
      <c r="P90" s="17">
        <f t="shared" si="67"/>
        <v>-3196654.4979060404</v>
      </c>
      <c r="Q90" s="17">
        <f t="shared" si="68"/>
        <v>25636435.683383022</v>
      </c>
      <c r="R90" s="17">
        <f t="shared" si="69"/>
        <v>-966052.69018035999</v>
      </c>
      <c r="S90" s="17">
        <f t="shared" si="70"/>
        <v>13683465.481782623</v>
      </c>
      <c r="T90" s="17">
        <f t="shared" si="71"/>
        <v>0</v>
      </c>
      <c r="U90" s="17">
        <f t="shared" ca="1" si="72"/>
        <v>26631140.626846544</v>
      </c>
    </row>
    <row r="91" spans="1:21" x14ac:dyDescent="0.2">
      <c r="A91" s="28">
        <f>'Monthly Data'!A91</f>
        <v>44348</v>
      </c>
      <c r="B91">
        <f>'Monthly Data'!C91</f>
        <v>6</v>
      </c>
      <c r="C91">
        <f>'Monthly Data'!B91</f>
        <v>2021</v>
      </c>
      <c r="D91" s="18">
        <f>'Monthly Data'!N91</f>
        <v>26043272.149256632</v>
      </c>
      <c r="E91" s="10">
        <f t="shared" ref="E91:F91" ca="1" si="96">E79</f>
        <v>1.25875</v>
      </c>
      <c r="F91" s="10">
        <f t="shared" ca="1" si="96"/>
        <v>53.293685210734182</v>
      </c>
      <c r="G91">
        <f>'Monthly Data'!AV91</f>
        <v>90</v>
      </c>
      <c r="H91">
        <f>'Monthly Data'!BO91</f>
        <v>30</v>
      </c>
      <c r="I91">
        <f>'Monthly Data'!BR91</f>
        <v>0.5</v>
      </c>
      <c r="J91" s="17">
        <f>'Monthly Data'!AT91</f>
        <v>802518</v>
      </c>
      <c r="K91">
        <f>'Monthly Data'!BJ91</f>
        <v>0</v>
      </c>
      <c r="M91" s="17">
        <f t="shared" si="63"/>
        <v>-9501475.1395959798</v>
      </c>
      <c r="N91" s="17">
        <f t="shared" ca="1" si="65"/>
        <v>14779.844792709282</v>
      </c>
      <c r="O91" s="17">
        <f t="shared" ca="1" si="66"/>
        <v>1162631.7347038437</v>
      </c>
      <c r="P91" s="17">
        <f t="shared" si="67"/>
        <v>-3232571.9641746478</v>
      </c>
      <c r="Q91" s="17">
        <f t="shared" si="68"/>
        <v>24809453.88714486</v>
      </c>
      <c r="R91" s="17">
        <f t="shared" si="69"/>
        <v>-966052.69018035999</v>
      </c>
      <c r="S91" s="17">
        <f t="shared" si="70"/>
        <v>13683465.481782623</v>
      </c>
      <c r="T91" s="17">
        <f t="shared" si="71"/>
        <v>0</v>
      </c>
      <c r="U91" s="17">
        <f t="shared" ca="1" si="72"/>
        <v>25970231.154473048</v>
      </c>
    </row>
    <row r="92" spans="1:21" x14ac:dyDescent="0.2">
      <c r="A92" s="28">
        <f>'Monthly Data'!A92</f>
        <v>44378</v>
      </c>
      <c r="B92">
        <f>'Monthly Data'!C92</f>
        <v>7</v>
      </c>
      <c r="C92">
        <f>'Monthly Data'!B92</f>
        <v>2021</v>
      </c>
      <c r="D92" s="18">
        <f>'Monthly Data'!N92</f>
        <v>27770526.577655174</v>
      </c>
      <c r="E92" s="10">
        <f t="shared" ref="E92:F92" ca="1" si="97">E80</f>
        <v>0</v>
      </c>
      <c r="F92" s="10">
        <f t="shared" ca="1" si="97"/>
        <v>104.42694776957208</v>
      </c>
      <c r="G92">
        <f>'Monthly Data'!AV92</f>
        <v>91</v>
      </c>
      <c r="H92">
        <f>'Monthly Data'!BO92</f>
        <v>31</v>
      </c>
      <c r="I92">
        <f>'Monthly Data'!BR92</f>
        <v>0.5</v>
      </c>
      <c r="J92" s="17">
        <f>'Monthly Data'!AT92</f>
        <v>819564</v>
      </c>
      <c r="K92">
        <f>'Monthly Data'!BJ92</f>
        <v>0</v>
      </c>
      <c r="M92" s="17">
        <f t="shared" si="63"/>
        <v>-9501475.1395959798</v>
      </c>
      <c r="N92" s="17">
        <f t="shared" ca="1" si="65"/>
        <v>0</v>
      </c>
      <c r="O92" s="17">
        <f t="shared" ca="1" si="66"/>
        <v>2278132.6334458739</v>
      </c>
      <c r="P92" s="17">
        <f t="shared" si="67"/>
        <v>-3268489.4304432548</v>
      </c>
      <c r="Q92" s="17">
        <f t="shared" si="68"/>
        <v>25636435.683383022</v>
      </c>
      <c r="R92" s="17">
        <f t="shared" si="69"/>
        <v>-966052.69018035999</v>
      </c>
      <c r="S92" s="17">
        <f t="shared" si="70"/>
        <v>13974111.115403883</v>
      </c>
      <c r="T92" s="17">
        <f t="shared" si="71"/>
        <v>0</v>
      </c>
      <c r="U92" s="17">
        <f t="shared" ca="1" si="72"/>
        <v>28152662.172013186</v>
      </c>
    </row>
    <row r="93" spans="1:21" x14ac:dyDescent="0.2">
      <c r="A93" s="28">
        <f>'Monthly Data'!A93</f>
        <v>44409</v>
      </c>
      <c r="B93">
        <f>'Monthly Data'!C93</f>
        <v>8</v>
      </c>
      <c r="C93">
        <f>'Monthly Data'!B93</f>
        <v>2021</v>
      </c>
      <c r="D93" s="18">
        <f>'Monthly Data'!N93</f>
        <v>28869023.053053726</v>
      </c>
      <c r="E93" s="10">
        <f t="shared" ref="E93:F93" ca="1" si="98">E81</f>
        <v>0.1158333333333335</v>
      </c>
      <c r="F93" s="10">
        <f t="shared" ca="1" si="98"/>
        <v>74.696666666666673</v>
      </c>
      <c r="G93">
        <f>'Monthly Data'!AV93</f>
        <v>92</v>
      </c>
      <c r="H93">
        <f>'Monthly Data'!BO93</f>
        <v>31</v>
      </c>
      <c r="I93">
        <f>'Monthly Data'!BR93</f>
        <v>0.5</v>
      </c>
      <c r="J93" s="17">
        <f>'Monthly Data'!AT93</f>
        <v>819564</v>
      </c>
      <c r="K93">
        <f>'Monthly Data'!BJ93</f>
        <v>0</v>
      </c>
      <c r="M93" s="17">
        <f t="shared" si="63"/>
        <v>-9501475.1395959798</v>
      </c>
      <c r="N93" s="17">
        <f t="shared" ca="1" si="65"/>
        <v>1360.0784019772213</v>
      </c>
      <c r="O93" s="17">
        <f t="shared" ca="1" si="66"/>
        <v>1629549.8200182556</v>
      </c>
      <c r="P93" s="17">
        <f t="shared" si="67"/>
        <v>-3304406.8967118622</v>
      </c>
      <c r="Q93" s="17">
        <f t="shared" si="68"/>
        <v>25636435.683383022</v>
      </c>
      <c r="R93" s="17">
        <f t="shared" si="69"/>
        <v>-966052.69018035999</v>
      </c>
      <c r="S93" s="17">
        <f t="shared" si="70"/>
        <v>13974111.115403883</v>
      </c>
      <c r="T93" s="17">
        <f t="shared" si="71"/>
        <v>0</v>
      </c>
      <c r="U93" s="17">
        <f t="shared" ca="1" si="72"/>
        <v>27469521.970718935</v>
      </c>
    </row>
    <row r="94" spans="1:21" x14ac:dyDescent="0.2">
      <c r="A94" s="28">
        <f>'Monthly Data'!A94</f>
        <v>44440</v>
      </c>
      <c r="B94">
        <f>'Monthly Data'!C94</f>
        <v>9</v>
      </c>
      <c r="C94">
        <f>'Monthly Data'!B94</f>
        <v>2021</v>
      </c>
      <c r="D94" s="18">
        <f>'Monthly Data'!N94</f>
        <v>26337465.956452273</v>
      </c>
      <c r="E94" s="10">
        <f t="shared" ref="E94:F94" ca="1" si="99">E82</f>
        <v>11.597845892171184</v>
      </c>
      <c r="F94" s="10">
        <f t="shared" ca="1" si="99"/>
        <v>25.91041666666667</v>
      </c>
      <c r="G94">
        <f>'Monthly Data'!AV94</f>
        <v>93</v>
      </c>
      <c r="H94">
        <f>'Monthly Data'!BO94</f>
        <v>30</v>
      </c>
      <c r="I94">
        <f>'Monthly Data'!BR94</f>
        <v>0.5</v>
      </c>
      <c r="J94" s="17">
        <f>'Monthly Data'!AT94</f>
        <v>819564</v>
      </c>
      <c r="K94">
        <f>'Monthly Data'!BJ94</f>
        <v>1</v>
      </c>
      <c r="M94" s="17">
        <f t="shared" si="63"/>
        <v>-9501475.1395959798</v>
      </c>
      <c r="N94" s="17">
        <f t="shared" ca="1" si="65"/>
        <v>136178.24207829277</v>
      </c>
      <c r="O94" s="17">
        <f t="shared" ca="1" si="66"/>
        <v>565250.3210642779</v>
      </c>
      <c r="P94" s="17">
        <f t="shared" si="67"/>
        <v>-3340324.3629804691</v>
      </c>
      <c r="Q94" s="17">
        <f t="shared" si="68"/>
        <v>24809453.88714486</v>
      </c>
      <c r="R94" s="17">
        <f t="shared" si="69"/>
        <v>-966052.69018035999</v>
      </c>
      <c r="S94" s="17">
        <f t="shared" si="70"/>
        <v>13974111.115403883</v>
      </c>
      <c r="T94" s="17">
        <f t="shared" si="71"/>
        <v>413783.55369814899</v>
      </c>
      <c r="U94" s="17">
        <f t="shared" ca="1" si="72"/>
        <v>26090924.926632654</v>
      </c>
    </row>
    <row r="95" spans="1:21" x14ac:dyDescent="0.2">
      <c r="A95" s="28">
        <f>'Monthly Data'!A95</f>
        <v>44470</v>
      </c>
      <c r="B95">
        <f>'Monthly Data'!C95</f>
        <v>10</v>
      </c>
      <c r="C95">
        <f>'Monthly Data'!B95</f>
        <v>2021</v>
      </c>
      <c r="D95" s="18">
        <f>'Monthly Data'!N95</f>
        <v>27573316.757850815</v>
      </c>
      <c r="E95" s="10">
        <f t="shared" ref="E95:F95" ca="1" si="100">E83</f>
        <v>128.51888157360821</v>
      </c>
      <c r="F95" s="10">
        <f t="shared" ca="1" si="100"/>
        <v>2.0656249999999989</v>
      </c>
      <c r="G95">
        <f>'Monthly Data'!AV95</f>
        <v>94</v>
      </c>
      <c r="H95">
        <f>'Monthly Data'!BO95</f>
        <v>31</v>
      </c>
      <c r="I95">
        <f>'Monthly Data'!BR95</f>
        <v>0.5</v>
      </c>
      <c r="J95" s="17">
        <f>'Monthly Data'!AT95</f>
        <v>838397</v>
      </c>
      <c r="K95">
        <f>'Monthly Data'!BJ95</f>
        <v>1</v>
      </c>
      <c r="M95" s="17">
        <f t="shared" si="63"/>
        <v>-9501475.1395959798</v>
      </c>
      <c r="N95" s="17">
        <f t="shared" ca="1" si="65"/>
        <v>1509028.1013628712</v>
      </c>
      <c r="O95" s="17">
        <f t="shared" ca="1" si="66"/>
        <v>45062.771836876353</v>
      </c>
      <c r="P95" s="17">
        <f t="shared" si="67"/>
        <v>-3376241.8292490765</v>
      </c>
      <c r="Q95" s="17">
        <f t="shared" si="68"/>
        <v>25636435.683383022</v>
      </c>
      <c r="R95" s="17">
        <f t="shared" si="69"/>
        <v>-966052.69018035999</v>
      </c>
      <c r="S95" s="17">
        <f t="shared" si="70"/>
        <v>14295226.287173752</v>
      </c>
      <c r="T95" s="17">
        <f t="shared" si="71"/>
        <v>413783.55369814899</v>
      </c>
      <c r="U95" s="17">
        <f t="shared" ca="1" si="72"/>
        <v>28055766.738429252</v>
      </c>
    </row>
    <row r="96" spans="1:21" x14ac:dyDescent="0.2">
      <c r="A96" s="28">
        <f>'Monthly Data'!A96</f>
        <v>44501</v>
      </c>
      <c r="B96">
        <f>'Monthly Data'!C96</f>
        <v>11</v>
      </c>
      <c r="C96">
        <f>'Monthly Data'!B96</f>
        <v>2021</v>
      </c>
      <c r="D96" s="18">
        <f>'Monthly Data'!N96</f>
        <v>29449934.302249361</v>
      </c>
      <c r="E96" s="10">
        <f t="shared" ref="E96:F96" ca="1" si="101">E84</f>
        <v>332.1049960098469</v>
      </c>
      <c r="F96" s="10">
        <f t="shared" ca="1" si="101"/>
        <v>0</v>
      </c>
      <c r="G96">
        <f>'Monthly Data'!AV96</f>
        <v>95</v>
      </c>
      <c r="H96">
        <f>'Monthly Data'!BO96</f>
        <v>30</v>
      </c>
      <c r="I96">
        <f>'Monthly Data'!BR96</f>
        <v>0.5</v>
      </c>
      <c r="J96" s="17">
        <f>'Monthly Data'!AT96</f>
        <v>838397</v>
      </c>
      <c r="K96">
        <f>'Monthly Data'!BJ96</f>
        <v>1</v>
      </c>
      <c r="M96" s="17">
        <f t="shared" si="63"/>
        <v>-9501475.1395959798</v>
      </c>
      <c r="N96" s="17">
        <f t="shared" ca="1" si="65"/>
        <v>3899471.9331947346</v>
      </c>
      <c r="O96" s="17">
        <f t="shared" ca="1" si="66"/>
        <v>0</v>
      </c>
      <c r="P96" s="17">
        <f t="shared" si="67"/>
        <v>-3412159.2955176835</v>
      </c>
      <c r="Q96" s="17">
        <f t="shared" si="68"/>
        <v>24809453.88714486</v>
      </c>
      <c r="R96" s="17">
        <f t="shared" si="69"/>
        <v>-966052.69018035999</v>
      </c>
      <c r="S96" s="17">
        <f t="shared" si="70"/>
        <v>14295226.287173752</v>
      </c>
      <c r="T96" s="17">
        <f t="shared" si="71"/>
        <v>413783.55369814899</v>
      </c>
      <c r="U96" s="17">
        <f t="shared" ca="1" si="72"/>
        <v>29538248.535917472</v>
      </c>
    </row>
    <row r="97" spans="1:21" x14ac:dyDescent="0.2">
      <c r="A97" s="28">
        <f>'Monthly Data'!A97</f>
        <v>44531</v>
      </c>
      <c r="B97">
        <f>'Monthly Data'!C97</f>
        <v>12</v>
      </c>
      <c r="C97">
        <f>'Monthly Data'!B97</f>
        <v>2021</v>
      </c>
      <c r="D97" s="18">
        <f>'Monthly Data'!N97</f>
        <v>32434889.370647911</v>
      </c>
      <c r="E97" s="10">
        <f t="shared" ref="E97:F97" ca="1" si="102">E85</f>
        <v>508.62936502461724</v>
      </c>
      <c r="F97" s="10">
        <f t="shared" ca="1" si="102"/>
        <v>0</v>
      </c>
      <c r="G97">
        <f>'Monthly Data'!AV97</f>
        <v>96</v>
      </c>
      <c r="H97">
        <f>'Monthly Data'!BO97</f>
        <v>31</v>
      </c>
      <c r="I97">
        <f>'Monthly Data'!BR97</f>
        <v>0.5</v>
      </c>
      <c r="J97" s="17">
        <f>'Monthly Data'!AT97</f>
        <v>838397</v>
      </c>
      <c r="K97">
        <f>'Monthly Data'!BJ97</f>
        <v>0</v>
      </c>
      <c r="M97" s="17">
        <f t="shared" si="63"/>
        <v>-9501475.1395959798</v>
      </c>
      <c r="N97" s="17">
        <f t="shared" ca="1" si="65"/>
        <v>5972165.3005585838</v>
      </c>
      <c r="O97" s="17">
        <f t="shared" ca="1" si="66"/>
        <v>0</v>
      </c>
      <c r="P97" s="17">
        <f t="shared" si="67"/>
        <v>-3448076.7617862909</v>
      </c>
      <c r="Q97" s="17">
        <f t="shared" si="68"/>
        <v>25636435.683383022</v>
      </c>
      <c r="R97" s="17">
        <f t="shared" si="69"/>
        <v>-966052.69018035999</v>
      </c>
      <c r="S97" s="17">
        <f t="shared" si="70"/>
        <v>14295226.287173752</v>
      </c>
      <c r="T97" s="17">
        <f t="shared" si="71"/>
        <v>0</v>
      </c>
      <c r="U97" s="17">
        <f t="shared" ca="1" si="72"/>
        <v>31988222.679552723</v>
      </c>
    </row>
    <row r="98" spans="1:21" x14ac:dyDescent="0.2">
      <c r="A98" s="28">
        <f>'Monthly Data'!A98</f>
        <v>44562</v>
      </c>
      <c r="B98">
        <f>'Monthly Data'!C98</f>
        <v>1</v>
      </c>
      <c r="C98">
        <f>'Monthly Data'!B98</f>
        <v>2022</v>
      </c>
      <c r="D98" s="18">
        <f>'Monthly Data'!N98</f>
        <v>35303574.279932499</v>
      </c>
      <c r="E98" s="10">
        <f t="shared" ref="E98:F98" ca="1" si="103">E86</f>
        <v>666.68367523535153</v>
      </c>
      <c r="F98" s="10">
        <f t="shared" ca="1" si="103"/>
        <v>0</v>
      </c>
      <c r="G98">
        <f>'Monthly Data'!AV98</f>
        <v>97</v>
      </c>
      <c r="H98">
        <f>'Monthly Data'!BO98</f>
        <v>31</v>
      </c>
      <c r="I98">
        <f>'Monthly Data'!BR98</f>
        <v>0.25</v>
      </c>
      <c r="J98" s="17">
        <f>'Monthly Data'!AT98</f>
        <v>845218</v>
      </c>
      <c r="K98">
        <f>'Monthly Data'!BJ98</f>
        <v>0</v>
      </c>
      <c r="M98" s="17">
        <f t="shared" ref="M98:M129" si="104">$X$7</f>
        <v>-9501475.1395959798</v>
      </c>
      <c r="N98" s="17">
        <f t="shared" ca="1" si="65"/>
        <v>7827989.0731372358</v>
      </c>
      <c r="O98" s="17">
        <f t="shared" ca="1" si="66"/>
        <v>0</v>
      </c>
      <c r="P98" s="17">
        <f t="shared" si="67"/>
        <v>-3483994.2280548983</v>
      </c>
      <c r="Q98" s="17">
        <f t="shared" si="68"/>
        <v>25636435.683383022</v>
      </c>
      <c r="R98" s="17">
        <f t="shared" si="69"/>
        <v>-483026.34509018</v>
      </c>
      <c r="S98" s="17">
        <f t="shared" si="70"/>
        <v>14411528.872350955</v>
      </c>
      <c r="T98" s="17">
        <f t="shared" si="71"/>
        <v>0</v>
      </c>
      <c r="U98" s="17">
        <f t="shared" ca="1" si="72"/>
        <v>34407457.916130155</v>
      </c>
    </row>
    <row r="99" spans="1:21" x14ac:dyDescent="0.2">
      <c r="A99" s="28">
        <f>'Monthly Data'!A99</f>
        <v>44593</v>
      </c>
      <c r="B99">
        <f>'Monthly Data'!C99</f>
        <v>2</v>
      </c>
      <c r="C99">
        <f>'Monthly Data'!B99</f>
        <v>2022</v>
      </c>
      <c r="D99" s="18">
        <f>'Monthly Data'!N99</f>
        <v>31372467.215929374</v>
      </c>
      <c r="E99" s="10">
        <f t="shared" ref="E99:F99" ca="1" si="105">E87</f>
        <v>599.3508333333333</v>
      </c>
      <c r="F99" s="10">
        <f t="shared" ca="1" si="105"/>
        <v>0</v>
      </c>
      <c r="G99">
        <f>'Monthly Data'!AV99</f>
        <v>98</v>
      </c>
      <c r="H99">
        <f>'Monthly Data'!BO99</f>
        <v>28</v>
      </c>
      <c r="I99">
        <f>'Monthly Data'!BR99</f>
        <v>0.25</v>
      </c>
      <c r="J99" s="17">
        <f>'Monthly Data'!AT99</f>
        <v>845218</v>
      </c>
      <c r="K99">
        <f>'Monthly Data'!BJ99</f>
        <v>0</v>
      </c>
      <c r="M99" s="17">
        <f t="shared" si="104"/>
        <v>-9501475.1395959798</v>
      </c>
      <c r="N99" s="17">
        <f t="shared" ca="1" si="65"/>
        <v>7037388.1176148038</v>
      </c>
      <c r="O99" s="17">
        <f t="shared" ca="1" si="66"/>
        <v>0</v>
      </c>
      <c r="P99" s="17">
        <f t="shared" si="67"/>
        <v>-3519911.6943235053</v>
      </c>
      <c r="Q99" s="17">
        <f t="shared" si="68"/>
        <v>23155490.294668537</v>
      </c>
      <c r="R99" s="17">
        <f t="shared" si="69"/>
        <v>-483026.34509018</v>
      </c>
      <c r="S99" s="17">
        <f t="shared" si="70"/>
        <v>14411528.872350955</v>
      </c>
      <c r="T99" s="17">
        <f t="shared" si="71"/>
        <v>0</v>
      </c>
      <c r="U99" s="17">
        <f t="shared" ca="1" si="72"/>
        <v>31099994.105624631</v>
      </c>
    </row>
    <row r="100" spans="1:21" x14ac:dyDescent="0.2">
      <c r="A100" s="28">
        <f>'Monthly Data'!A100</f>
        <v>44621</v>
      </c>
      <c r="B100">
        <f>'Monthly Data'!C100</f>
        <v>3</v>
      </c>
      <c r="C100">
        <f>'Monthly Data'!B100</f>
        <v>2022</v>
      </c>
      <c r="D100" s="18">
        <f>'Monthly Data'!N100</f>
        <v>32474633.647926256</v>
      </c>
      <c r="E100" s="10">
        <f t="shared" ref="E100:F100" ca="1" si="106">E88</f>
        <v>469.11853767651354</v>
      </c>
      <c r="F100" s="10">
        <f t="shared" ca="1" si="106"/>
        <v>0</v>
      </c>
      <c r="G100">
        <f>'Monthly Data'!AV100</f>
        <v>99</v>
      </c>
      <c r="H100">
        <f>'Monthly Data'!BO100</f>
        <v>31</v>
      </c>
      <c r="I100">
        <f>'Monthly Data'!BR100</f>
        <v>0.25</v>
      </c>
      <c r="J100" s="17">
        <f>'Monthly Data'!AT100</f>
        <v>845218</v>
      </c>
      <c r="K100">
        <f>'Monthly Data'!BJ100</f>
        <v>0</v>
      </c>
      <c r="M100" s="17">
        <f t="shared" si="104"/>
        <v>-9501475.1395959798</v>
      </c>
      <c r="N100" s="17">
        <f t="shared" ca="1" si="65"/>
        <v>5508241.6494471589</v>
      </c>
      <c r="O100" s="17">
        <f t="shared" ca="1" si="66"/>
        <v>0</v>
      </c>
      <c r="P100" s="17">
        <f t="shared" si="67"/>
        <v>-3555829.1605921127</v>
      </c>
      <c r="Q100" s="17">
        <f t="shared" si="68"/>
        <v>25636435.683383022</v>
      </c>
      <c r="R100" s="17">
        <f t="shared" si="69"/>
        <v>-483026.34509018</v>
      </c>
      <c r="S100" s="17">
        <f t="shared" si="70"/>
        <v>14411528.872350955</v>
      </c>
      <c r="T100" s="17">
        <f t="shared" si="71"/>
        <v>0</v>
      </c>
      <c r="U100" s="17">
        <f t="shared" ca="1" si="72"/>
        <v>32015875.559902862</v>
      </c>
    </row>
    <row r="101" spans="1:21" x14ac:dyDescent="0.2">
      <c r="A101" s="28">
        <f>'Monthly Data'!A101</f>
        <v>44652</v>
      </c>
      <c r="B101">
        <f>'Monthly Data'!C101</f>
        <v>4</v>
      </c>
      <c r="C101">
        <f>'Monthly Data'!B101</f>
        <v>2022</v>
      </c>
      <c r="D101" s="18">
        <f>'Monthly Data'!N101</f>
        <v>28569435.47692313</v>
      </c>
      <c r="E101" s="10">
        <f t="shared" ref="E101:F101" ca="1" si="107">E89</f>
        <v>233.92395833333336</v>
      </c>
      <c r="F101" s="10">
        <f t="shared" ca="1" si="107"/>
        <v>1.1666666666666714E-2</v>
      </c>
      <c r="G101">
        <f>'Monthly Data'!AV101</f>
        <v>100</v>
      </c>
      <c r="H101">
        <f>'Monthly Data'!BO101</f>
        <v>30</v>
      </c>
      <c r="I101">
        <f>'Monthly Data'!BR101</f>
        <v>0.25</v>
      </c>
      <c r="J101" s="17">
        <f>'Monthly Data'!AT101</f>
        <v>851621</v>
      </c>
      <c r="K101">
        <f>'Monthly Data'!BJ101</f>
        <v>0</v>
      </c>
      <c r="M101" s="17">
        <f t="shared" si="104"/>
        <v>-9501475.1395959798</v>
      </c>
      <c r="N101" s="17">
        <f t="shared" ca="1" si="65"/>
        <v>2746661.2095037615</v>
      </c>
      <c r="O101" s="17">
        <f t="shared" ca="1" si="66"/>
        <v>254.51489892739153</v>
      </c>
      <c r="P101" s="17">
        <f t="shared" si="67"/>
        <v>-3591746.6268607196</v>
      </c>
      <c r="Q101" s="17">
        <f t="shared" si="68"/>
        <v>24809453.88714486</v>
      </c>
      <c r="R101" s="17">
        <f t="shared" si="69"/>
        <v>-483026.34509018</v>
      </c>
      <c r="S101" s="17">
        <f t="shared" si="70"/>
        <v>14520704.279606437</v>
      </c>
      <c r="T101" s="17">
        <f t="shared" si="71"/>
        <v>0</v>
      </c>
      <c r="U101" s="17">
        <f t="shared" ca="1" si="72"/>
        <v>28500825.779607106</v>
      </c>
    </row>
    <row r="102" spans="1:21" x14ac:dyDescent="0.2">
      <c r="A102" s="28">
        <f>'Monthly Data'!A102</f>
        <v>44682</v>
      </c>
      <c r="B102">
        <f>'Monthly Data'!C102</f>
        <v>5</v>
      </c>
      <c r="C102">
        <f>'Monthly Data'!B102</f>
        <v>2022</v>
      </c>
      <c r="D102" s="18">
        <f>'Monthly Data'!N102</f>
        <v>28694219.856920011</v>
      </c>
      <c r="E102" s="10">
        <f t="shared" ref="E102:F102" ca="1" si="108">E90</f>
        <v>46.324929225504526</v>
      </c>
      <c r="F102" s="10">
        <f t="shared" ca="1" si="108"/>
        <v>19.778958333333328</v>
      </c>
      <c r="G102">
        <f>'Monthly Data'!AV102</f>
        <v>101</v>
      </c>
      <c r="H102">
        <f>'Monthly Data'!BO102</f>
        <v>31</v>
      </c>
      <c r="I102">
        <f>'Monthly Data'!BR102</f>
        <v>0.25</v>
      </c>
      <c r="J102" s="17">
        <f>'Monthly Data'!AT102</f>
        <v>851621</v>
      </c>
      <c r="K102">
        <f>'Monthly Data'!BJ102</f>
        <v>0</v>
      </c>
      <c r="M102" s="17">
        <f t="shared" si="104"/>
        <v>-9501475.1395959798</v>
      </c>
      <c r="N102" s="17">
        <f t="shared" ca="1" si="65"/>
        <v>543932.68241207476</v>
      </c>
      <c r="O102" s="17">
        <f t="shared" ca="1" si="66"/>
        <v>431489.10695120576</v>
      </c>
      <c r="P102" s="17">
        <f t="shared" si="67"/>
        <v>-3627664.0931293271</v>
      </c>
      <c r="Q102" s="17">
        <f t="shared" si="68"/>
        <v>25636435.683383022</v>
      </c>
      <c r="R102" s="17">
        <f t="shared" si="69"/>
        <v>-483026.34509018</v>
      </c>
      <c r="S102" s="17">
        <f t="shared" si="70"/>
        <v>14520704.279606437</v>
      </c>
      <c r="T102" s="17">
        <f t="shared" si="71"/>
        <v>0</v>
      </c>
      <c r="U102" s="17">
        <f t="shared" ca="1" si="72"/>
        <v>27520396.174537249</v>
      </c>
    </row>
    <row r="103" spans="1:21" x14ac:dyDescent="0.2">
      <c r="A103" s="28">
        <f>'Monthly Data'!A103</f>
        <v>44713</v>
      </c>
      <c r="B103">
        <f>'Monthly Data'!C103</f>
        <v>6</v>
      </c>
      <c r="C103">
        <f>'Monthly Data'!B103</f>
        <v>2022</v>
      </c>
      <c r="D103" s="18">
        <f>'Monthly Data'!N103</f>
        <v>26890122.734916892</v>
      </c>
      <c r="E103" s="10">
        <f t="shared" ref="E103:F103" ca="1" si="109">E91</f>
        <v>1.25875</v>
      </c>
      <c r="F103" s="10">
        <f t="shared" ca="1" si="109"/>
        <v>53.293685210734182</v>
      </c>
      <c r="G103">
        <f>'Monthly Data'!AV103</f>
        <v>102</v>
      </c>
      <c r="H103">
        <f>'Monthly Data'!BO103</f>
        <v>30</v>
      </c>
      <c r="I103">
        <f>'Monthly Data'!BR103</f>
        <v>0.25</v>
      </c>
      <c r="J103" s="17">
        <f>'Monthly Data'!AT103</f>
        <v>851621</v>
      </c>
      <c r="K103">
        <f>'Monthly Data'!BJ103</f>
        <v>0</v>
      </c>
      <c r="M103" s="17">
        <f t="shared" si="104"/>
        <v>-9501475.1395959798</v>
      </c>
      <c r="N103" s="17">
        <f t="shared" ca="1" si="65"/>
        <v>14779.844792709282</v>
      </c>
      <c r="O103" s="17">
        <f t="shared" ca="1" si="66"/>
        <v>1162631.7347038437</v>
      </c>
      <c r="P103" s="17">
        <f t="shared" si="67"/>
        <v>-3663581.559397934</v>
      </c>
      <c r="Q103" s="17">
        <f t="shared" si="68"/>
        <v>24809453.88714486</v>
      </c>
      <c r="R103" s="17">
        <f t="shared" si="69"/>
        <v>-483026.34509018</v>
      </c>
      <c r="S103" s="17">
        <f t="shared" si="70"/>
        <v>14520704.279606437</v>
      </c>
      <c r="T103" s="17">
        <f t="shared" si="71"/>
        <v>0</v>
      </c>
      <c r="U103" s="17">
        <f t="shared" ca="1" si="72"/>
        <v>26859486.702163756</v>
      </c>
    </row>
    <row r="104" spans="1:21" x14ac:dyDescent="0.2">
      <c r="A104" s="28">
        <f>'Monthly Data'!A104</f>
        <v>44743</v>
      </c>
      <c r="B104">
        <f>'Monthly Data'!C104</f>
        <v>7</v>
      </c>
      <c r="C104">
        <f>'Monthly Data'!B104</f>
        <v>2022</v>
      </c>
      <c r="D104" s="18">
        <f>'Monthly Data'!N104</f>
        <v>28327082.735913772</v>
      </c>
      <c r="E104" s="10">
        <f t="shared" ref="E104:F104" ca="1" si="110">E92</f>
        <v>0</v>
      </c>
      <c r="F104" s="10">
        <f t="shared" ca="1" si="110"/>
        <v>104.42694776957208</v>
      </c>
      <c r="G104">
        <f>'Monthly Data'!AV104</f>
        <v>103</v>
      </c>
      <c r="H104">
        <f>'Monthly Data'!BO104</f>
        <v>31</v>
      </c>
      <c r="I104">
        <f>'Monthly Data'!BR104</f>
        <v>0.25</v>
      </c>
      <c r="J104" s="17">
        <f>'Monthly Data'!AT104</f>
        <v>852979</v>
      </c>
      <c r="K104">
        <f>'Monthly Data'!BJ104</f>
        <v>0</v>
      </c>
      <c r="M104" s="17">
        <f t="shared" si="104"/>
        <v>-9501475.1395959798</v>
      </c>
      <c r="N104" s="17">
        <f t="shared" ca="1" si="65"/>
        <v>0</v>
      </c>
      <c r="O104" s="17">
        <f t="shared" ca="1" si="66"/>
        <v>2278132.6334458739</v>
      </c>
      <c r="P104" s="17">
        <f t="shared" si="67"/>
        <v>-3699499.0256665414</v>
      </c>
      <c r="Q104" s="17">
        <f t="shared" si="68"/>
        <v>25636435.683383022</v>
      </c>
      <c r="R104" s="17">
        <f t="shared" si="69"/>
        <v>-483026.34509018</v>
      </c>
      <c r="S104" s="17">
        <f t="shared" si="70"/>
        <v>14543859.082519593</v>
      </c>
      <c r="T104" s="17">
        <f t="shared" si="71"/>
        <v>0</v>
      </c>
      <c r="U104" s="17">
        <f t="shared" ca="1" si="72"/>
        <v>28774426.888995789</v>
      </c>
    </row>
    <row r="105" spans="1:21" x14ac:dyDescent="0.2">
      <c r="A105" s="28">
        <f>'Monthly Data'!A105</f>
        <v>44774</v>
      </c>
      <c r="B105">
        <f>'Monthly Data'!C105</f>
        <v>8</v>
      </c>
      <c r="C105">
        <f>'Monthly Data'!B105</f>
        <v>2022</v>
      </c>
      <c r="D105" s="18">
        <f>'Monthly Data'!N105</f>
        <v>28533100.437910646</v>
      </c>
      <c r="E105" s="10">
        <f t="shared" ref="E105:F105" ca="1" si="111">E93</f>
        <v>0.1158333333333335</v>
      </c>
      <c r="F105" s="10">
        <f t="shared" ca="1" si="111"/>
        <v>74.696666666666673</v>
      </c>
      <c r="G105">
        <f>'Monthly Data'!AV105</f>
        <v>104</v>
      </c>
      <c r="H105">
        <f>'Monthly Data'!BO105</f>
        <v>31</v>
      </c>
      <c r="I105">
        <f>'Monthly Data'!BR105</f>
        <v>0.25</v>
      </c>
      <c r="J105" s="17">
        <f>'Monthly Data'!AT105</f>
        <v>852979</v>
      </c>
      <c r="K105">
        <f>'Monthly Data'!BJ105</f>
        <v>0</v>
      </c>
      <c r="M105" s="17">
        <f t="shared" si="104"/>
        <v>-9501475.1395959798</v>
      </c>
      <c r="N105" s="17">
        <f t="shared" ca="1" si="65"/>
        <v>1360.0784019772213</v>
      </c>
      <c r="O105" s="17">
        <f t="shared" ca="1" si="66"/>
        <v>1629549.8200182556</v>
      </c>
      <c r="P105" s="17">
        <f t="shared" si="67"/>
        <v>-3735416.4919351484</v>
      </c>
      <c r="Q105" s="17">
        <f t="shared" si="68"/>
        <v>25636435.683383022</v>
      </c>
      <c r="R105" s="17">
        <f t="shared" si="69"/>
        <v>-483026.34509018</v>
      </c>
      <c r="S105" s="17">
        <f t="shared" si="70"/>
        <v>14543859.082519593</v>
      </c>
      <c r="T105" s="17">
        <f t="shared" si="71"/>
        <v>0</v>
      </c>
      <c r="U105" s="17">
        <f t="shared" ca="1" si="72"/>
        <v>28091286.687701538</v>
      </c>
    </row>
    <row r="106" spans="1:21" x14ac:dyDescent="0.2">
      <c r="A106" s="28">
        <f>'Monthly Data'!A106</f>
        <v>44805</v>
      </c>
      <c r="B106">
        <f>'Monthly Data'!C106</f>
        <v>9</v>
      </c>
      <c r="C106">
        <f>'Monthly Data'!B106</f>
        <v>2022</v>
      </c>
      <c r="D106" s="18">
        <f>'Monthly Data'!N106</f>
        <v>27419851.763907529</v>
      </c>
      <c r="E106" s="10">
        <f t="shared" ref="E106:F106" ca="1" si="112">E94</f>
        <v>11.597845892171184</v>
      </c>
      <c r="F106" s="10">
        <f t="shared" ca="1" si="112"/>
        <v>25.91041666666667</v>
      </c>
      <c r="G106">
        <f>'Monthly Data'!AV106</f>
        <v>105</v>
      </c>
      <c r="H106">
        <f>'Monthly Data'!BO106</f>
        <v>30</v>
      </c>
      <c r="I106">
        <f>'Monthly Data'!BR106</f>
        <v>0.25</v>
      </c>
      <c r="J106" s="17">
        <f>'Monthly Data'!AT106</f>
        <v>852979</v>
      </c>
      <c r="K106">
        <f>'Monthly Data'!BJ106</f>
        <v>1</v>
      </c>
      <c r="M106" s="17">
        <f t="shared" si="104"/>
        <v>-9501475.1395959798</v>
      </c>
      <c r="N106" s="17">
        <f t="shared" ca="1" si="65"/>
        <v>136178.24207829277</v>
      </c>
      <c r="O106" s="17">
        <f t="shared" ca="1" si="66"/>
        <v>565250.3210642779</v>
      </c>
      <c r="P106" s="17">
        <f t="shared" si="67"/>
        <v>-3771333.9582037558</v>
      </c>
      <c r="Q106" s="17">
        <f t="shared" si="68"/>
        <v>24809453.88714486</v>
      </c>
      <c r="R106" s="17">
        <f t="shared" si="69"/>
        <v>-483026.34509018</v>
      </c>
      <c r="S106" s="17">
        <f t="shared" si="70"/>
        <v>14543859.082519593</v>
      </c>
      <c r="T106" s="17">
        <f t="shared" si="71"/>
        <v>413783.55369814899</v>
      </c>
      <c r="U106" s="17">
        <f t="shared" ca="1" si="72"/>
        <v>26712689.643615257</v>
      </c>
    </row>
    <row r="107" spans="1:21" x14ac:dyDescent="0.2">
      <c r="A107" s="28">
        <f>'Monthly Data'!A107</f>
        <v>44835</v>
      </c>
      <c r="B107">
        <f>'Monthly Data'!C107</f>
        <v>10</v>
      </c>
      <c r="C107">
        <f>'Monthly Data'!B107</f>
        <v>2022</v>
      </c>
      <c r="D107" s="18">
        <f>'Monthly Data'!N107</f>
        <v>27803839.531904407</v>
      </c>
      <c r="E107" s="10">
        <f t="shared" ref="E107:F107" ca="1" si="113">E95</f>
        <v>128.51888157360821</v>
      </c>
      <c r="F107" s="10">
        <f t="shared" ca="1" si="113"/>
        <v>2.0656249999999989</v>
      </c>
      <c r="G107">
        <f>'Monthly Data'!AV107</f>
        <v>106</v>
      </c>
      <c r="H107">
        <f>'Monthly Data'!BO107</f>
        <v>31</v>
      </c>
      <c r="I107">
        <f>'Monthly Data'!BR107</f>
        <v>0.25</v>
      </c>
      <c r="J107" s="17">
        <f>'Monthly Data'!AT107</f>
        <v>852029</v>
      </c>
      <c r="K107">
        <f>'Monthly Data'!BJ107</f>
        <v>1</v>
      </c>
      <c r="M107" s="17">
        <f t="shared" si="104"/>
        <v>-9501475.1395959798</v>
      </c>
      <c r="N107" s="17">
        <f t="shared" ca="1" si="65"/>
        <v>1509028.1013628712</v>
      </c>
      <c r="O107" s="17">
        <f t="shared" ca="1" si="66"/>
        <v>45062.771836876353</v>
      </c>
      <c r="P107" s="17">
        <f t="shared" si="67"/>
        <v>-3807251.4244723627</v>
      </c>
      <c r="Q107" s="17">
        <f t="shared" si="68"/>
        <v>25636435.683383022</v>
      </c>
      <c r="R107" s="17">
        <f t="shared" si="69"/>
        <v>-483026.34509018</v>
      </c>
      <c r="S107" s="17">
        <f t="shared" si="70"/>
        <v>14527660.950879315</v>
      </c>
      <c r="T107" s="17">
        <f t="shared" si="71"/>
        <v>413783.55369814899</v>
      </c>
      <c r="U107" s="17">
        <f t="shared" ca="1" si="72"/>
        <v>28340218.152001709</v>
      </c>
    </row>
    <row r="108" spans="1:21" x14ac:dyDescent="0.2">
      <c r="A108" s="28">
        <f>'Monthly Data'!A108</f>
        <v>44866</v>
      </c>
      <c r="B108">
        <f>'Monthly Data'!C108</f>
        <v>11</v>
      </c>
      <c r="C108">
        <f>'Monthly Data'!B108</f>
        <v>2022</v>
      </c>
      <c r="D108" s="18">
        <f>'Monthly Data'!N108</f>
        <v>29585222.576901283</v>
      </c>
      <c r="E108" s="10">
        <f t="shared" ref="E108:F108" ca="1" si="114">E96</f>
        <v>332.1049960098469</v>
      </c>
      <c r="F108" s="10">
        <f t="shared" ca="1" si="114"/>
        <v>0</v>
      </c>
      <c r="G108">
        <f>'Monthly Data'!AV108</f>
        <v>107</v>
      </c>
      <c r="H108">
        <f>'Monthly Data'!BO108</f>
        <v>30</v>
      </c>
      <c r="I108">
        <f>'Monthly Data'!BR108</f>
        <v>0.25</v>
      </c>
      <c r="J108" s="17">
        <f>'Monthly Data'!AT108</f>
        <v>852029</v>
      </c>
      <c r="K108">
        <f>'Monthly Data'!BJ108</f>
        <v>1</v>
      </c>
      <c r="M108" s="17">
        <f t="shared" si="104"/>
        <v>-9501475.1395959798</v>
      </c>
      <c r="N108" s="17">
        <f t="shared" ca="1" si="65"/>
        <v>3899471.9331947346</v>
      </c>
      <c r="O108" s="17">
        <f t="shared" ca="1" si="66"/>
        <v>0</v>
      </c>
      <c r="P108" s="17">
        <f t="shared" si="67"/>
        <v>-3843168.8907409701</v>
      </c>
      <c r="Q108" s="17">
        <f t="shared" si="68"/>
        <v>24809453.88714486</v>
      </c>
      <c r="R108" s="17">
        <f t="shared" si="69"/>
        <v>-483026.34509018</v>
      </c>
      <c r="S108" s="17">
        <f t="shared" si="70"/>
        <v>14527660.950879315</v>
      </c>
      <c r="T108" s="17">
        <f t="shared" si="71"/>
        <v>413783.55369814899</v>
      </c>
      <c r="U108" s="17">
        <f t="shared" ca="1" si="72"/>
        <v>29822699.949489925</v>
      </c>
    </row>
    <row r="109" spans="1:21" x14ac:dyDescent="0.2">
      <c r="A109" s="28">
        <f>'Monthly Data'!A109</f>
        <v>44896</v>
      </c>
      <c r="B109">
        <f>'Monthly Data'!C109</f>
        <v>12</v>
      </c>
      <c r="C109">
        <f>'Monthly Data'!B109</f>
        <v>2022</v>
      </c>
      <c r="D109" s="18">
        <f>'Monthly Data'!N109</f>
        <v>32431814.966898166</v>
      </c>
      <c r="E109" s="10">
        <f t="shared" ref="E109:F109" ca="1" si="115">E97</f>
        <v>508.62936502461724</v>
      </c>
      <c r="F109" s="10">
        <f t="shared" ca="1" si="115"/>
        <v>0</v>
      </c>
      <c r="G109">
        <f>'Monthly Data'!AV109</f>
        <v>108</v>
      </c>
      <c r="H109">
        <f>'Monthly Data'!BO109</f>
        <v>31</v>
      </c>
      <c r="I109">
        <f>'Monthly Data'!BR109</f>
        <v>0.25</v>
      </c>
      <c r="J109" s="17">
        <f>'Monthly Data'!AT109</f>
        <v>852029</v>
      </c>
      <c r="K109">
        <f>'Monthly Data'!BJ109</f>
        <v>0</v>
      </c>
      <c r="M109" s="17">
        <f t="shared" si="104"/>
        <v>-9501475.1395959798</v>
      </c>
      <c r="N109" s="17">
        <f t="shared" ca="1" si="65"/>
        <v>5972165.3005585838</v>
      </c>
      <c r="O109" s="17">
        <f t="shared" ca="1" si="66"/>
        <v>0</v>
      </c>
      <c r="P109" s="17">
        <f t="shared" si="67"/>
        <v>-3879086.3570095771</v>
      </c>
      <c r="Q109" s="17">
        <f t="shared" si="68"/>
        <v>25636435.683383022</v>
      </c>
      <c r="R109" s="17">
        <f t="shared" si="69"/>
        <v>-483026.34509018</v>
      </c>
      <c r="S109" s="17">
        <f t="shared" si="70"/>
        <v>14527660.950879315</v>
      </c>
      <c r="T109" s="17">
        <f t="shared" si="71"/>
        <v>0</v>
      </c>
      <c r="U109" s="17">
        <f t="shared" ca="1" si="72"/>
        <v>32272674.093125179</v>
      </c>
    </row>
    <row r="110" spans="1:21" x14ac:dyDescent="0.2">
      <c r="A110" s="28">
        <f>'Monthly Data'!A110</f>
        <v>44927</v>
      </c>
      <c r="B110">
        <f>'Monthly Data'!C110</f>
        <v>1</v>
      </c>
      <c r="C110">
        <f>'Monthly Data'!B110</f>
        <v>2023</v>
      </c>
      <c r="D110" s="18">
        <f>'Monthly Data'!N110</f>
        <v>33325468.746121921</v>
      </c>
      <c r="E110" s="10">
        <f t="shared" ref="E110:F110" ca="1" si="116">E98</f>
        <v>666.68367523535153</v>
      </c>
      <c r="F110" s="10">
        <f t="shared" ca="1" si="116"/>
        <v>0</v>
      </c>
      <c r="G110">
        <f>'Monthly Data'!AV110</f>
        <v>109</v>
      </c>
      <c r="H110">
        <f>'Monthly Data'!BO110</f>
        <v>31</v>
      </c>
      <c r="I110">
        <f>'Monthly Data'!BR110</f>
        <v>0</v>
      </c>
      <c r="J110" s="17">
        <f>'Monthly Data'!AT110</f>
        <v>860658</v>
      </c>
      <c r="K110">
        <f>'Monthly Data'!BJ110</f>
        <v>0</v>
      </c>
      <c r="M110" s="17">
        <f t="shared" si="104"/>
        <v>-9501475.1395959798</v>
      </c>
      <c r="N110" s="17">
        <f t="shared" ca="1" si="65"/>
        <v>7827989.0731372358</v>
      </c>
      <c r="O110" s="17">
        <f t="shared" ca="1" si="66"/>
        <v>0</v>
      </c>
      <c r="P110" s="17">
        <f t="shared" si="67"/>
        <v>-3915003.8232781845</v>
      </c>
      <c r="Q110" s="17">
        <f t="shared" si="68"/>
        <v>25636435.683383022</v>
      </c>
      <c r="R110" s="17">
        <f t="shared" si="69"/>
        <v>0</v>
      </c>
      <c r="S110" s="17">
        <f t="shared" si="70"/>
        <v>14674791.138167702</v>
      </c>
      <c r="T110" s="17">
        <f t="shared" si="71"/>
        <v>0</v>
      </c>
      <c r="U110" s="17">
        <f t="shared" ca="1" si="72"/>
        <v>34722736.931813791</v>
      </c>
    </row>
    <row r="111" spans="1:21" x14ac:dyDescent="0.2">
      <c r="A111" s="28">
        <f>'Monthly Data'!A111</f>
        <v>44958</v>
      </c>
      <c r="B111">
        <f>'Monthly Data'!C111</f>
        <v>2</v>
      </c>
      <c r="C111">
        <f>'Monthly Data'!B111</f>
        <v>2023</v>
      </c>
      <c r="D111" s="18">
        <f>'Monthly Data'!N111</f>
        <v>30837156.259682801</v>
      </c>
      <c r="E111" s="10">
        <f t="shared" ref="E111:F111" ca="1" si="117">E99</f>
        <v>599.3508333333333</v>
      </c>
      <c r="F111" s="10">
        <f t="shared" ca="1" si="117"/>
        <v>0</v>
      </c>
      <c r="G111">
        <f>'Monthly Data'!AV111</f>
        <v>110</v>
      </c>
      <c r="H111">
        <f>'Monthly Data'!BO111</f>
        <v>28</v>
      </c>
      <c r="I111">
        <f>'Monthly Data'!BR111</f>
        <v>0</v>
      </c>
      <c r="J111" s="17">
        <f>'Monthly Data'!AT111</f>
        <v>860658</v>
      </c>
      <c r="K111">
        <f>'Monthly Data'!BJ111</f>
        <v>0</v>
      </c>
      <c r="M111" s="17">
        <f t="shared" si="104"/>
        <v>-9501475.1395959798</v>
      </c>
      <c r="N111" s="17">
        <f t="shared" ca="1" si="65"/>
        <v>7037388.1176148038</v>
      </c>
      <c r="O111" s="17">
        <f t="shared" ca="1" si="66"/>
        <v>0</v>
      </c>
      <c r="P111" s="17">
        <f t="shared" si="67"/>
        <v>-3950921.2895467915</v>
      </c>
      <c r="Q111" s="17">
        <f t="shared" si="68"/>
        <v>23155490.294668537</v>
      </c>
      <c r="R111" s="17">
        <f t="shared" si="69"/>
        <v>0</v>
      </c>
      <c r="S111" s="17">
        <f t="shared" si="70"/>
        <v>14674791.138167702</v>
      </c>
      <c r="T111" s="17">
        <f t="shared" si="71"/>
        <v>0</v>
      </c>
      <c r="U111" s="17">
        <f t="shared" ca="1" si="72"/>
        <v>31415273.121308271</v>
      </c>
    </row>
    <row r="112" spans="1:21" x14ac:dyDescent="0.2">
      <c r="A112" s="28">
        <f>'Monthly Data'!A112</f>
        <v>44986</v>
      </c>
      <c r="B112">
        <f>'Monthly Data'!C112</f>
        <v>3</v>
      </c>
      <c r="C112">
        <f>'Monthly Data'!B112</f>
        <v>2023</v>
      </c>
      <c r="D112" s="18">
        <f>'Monthly Data'!N112</f>
        <v>32391742.110243682</v>
      </c>
      <c r="E112" s="10">
        <f t="shared" ref="E112:F112" ca="1" si="118">E100</f>
        <v>469.11853767651354</v>
      </c>
      <c r="F112" s="10">
        <f t="shared" ca="1" si="118"/>
        <v>0</v>
      </c>
      <c r="G112">
        <f>'Monthly Data'!AV112</f>
        <v>111</v>
      </c>
      <c r="H112">
        <f>'Monthly Data'!BO112</f>
        <v>31</v>
      </c>
      <c r="I112">
        <f>'Monthly Data'!BR112</f>
        <v>0</v>
      </c>
      <c r="J112" s="17">
        <f>'Monthly Data'!AT112</f>
        <v>860658</v>
      </c>
      <c r="K112">
        <f>'Monthly Data'!BJ112</f>
        <v>0</v>
      </c>
      <c r="M112" s="17">
        <f t="shared" si="104"/>
        <v>-9501475.1395959798</v>
      </c>
      <c r="N112" s="17">
        <f t="shared" ca="1" si="65"/>
        <v>5508241.6494471589</v>
      </c>
      <c r="O112" s="17">
        <f t="shared" ca="1" si="66"/>
        <v>0</v>
      </c>
      <c r="P112" s="17">
        <f t="shared" si="67"/>
        <v>-3986838.7558153989</v>
      </c>
      <c r="Q112" s="17">
        <f t="shared" si="68"/>
        <v>25636435.683383022</v>
      </c>
      <c r="R112" s="17">
        <f t="shared" si="69"/>
        <v>0</v>
      </c>
      <c r="S112" s="17">
        <f t="shared" si="70"/>
        <v>14674791.138167702</v>
      </c>
      <c r="T112" s="17">
        <f t="shared" si="71"/>
        <v>0</v>
      </c>
      <c r="U112" s="17">
        <f t="shared" ca="1" si="72"/>
        <v>32331154.575586505</v>
      </c>
    </row>
    <row r="113" spans="1:24" x14ac:dyDescent="0.2">
      <c r="A113" s="28">
        <f>'Monthly Data'!A113</f>
        <v>45017</v>
      </c>
      <c r="B113">
        <f>'Monthly Data'!C113</f>
        <v>4</v>
      </c>
      <c r="C113">
        <f>'Monthly Data'!B113</f>
        <v>2023</v>
      </c>
      <c r="D113" s="18">
        <f>'Monthly Data'!N113</f>
        <v>27702269.425804559</v>
      </c>
      <c r="E113" s="10">
        <f t="shared" ref="E113:F113" ca="1" si="119">E101</f>
        <v>233.92395833333336</v>
      </c>
      <c r="F113" s="10">
        <f t="shared" ca="1" si="119"/>
        <v>1.1666666666666714E-2</v>
      </c>
      <c r="G113">
        <f>'Monthly Data'!AV113</f>
        <v>112</v>
      </c>
      <c r="H113">
        <f>'Monthly Data'!BO113</f>
        <v>30</v>
      </c>
      <c r="I113">
        <f>'Monthly Data'!BR113</f>
        <v>0</v>
      </c>
      <c r="J113" s="17">
        <f>'Monthly Data'!AT113</f>
        <v>865503</v>
      </c>
      <c r="K113">
        <f>'Monthly Data'!BJ113</f>
        <v>0</v>
      </c>
      <c r="M113" s="17">
        <f t="shared" si="104"/>
        <v>-9501475.1395959798</v>
      </c>
      <c r="N113" s="17">
        <f t="shared" ca="1" si="65"/>
        <v>2746661.2095037615</v>
      </c>
      <c r="O113" s="17">
        <f t="shared" ca="1" si="66"/>
        <v>254.51489892739153</v>
      </c>
      <c r="P113" s="17">
        <f t="shared" si="67"/>
        <v>-4022756.2220840063</v>
      </c>
      <c r="Q113" s="17">
        <f t="shared" si="68"/>
        <v>24809453.88714486</v>
      </c>
      <c r="R113" s="17">
        <f t="shared" si="69"/>
        <v>0</v>
      </c>
      <c r="S113" s="17">
        <f t="shared" si="70"/>
        <v>14757401.609533126</v>
      </c>
      <c r="T113" s="17">
        <f t="shared" si="71"/>
        <v>0</v>
      </c>
      <c r="U113" s="17">
        <f t="shared" ca="1" si="72"/>
        <v>28789539.85940069</v>
      </c>
    </row>
    <row r="114" spans="1:24" x14ac:dyDescent="0.2">
      <c r="A114" s="28">
        <f>'Monthly Data'!A114</f>
        <v>45047</v>
      </c>
      <c r="B114">
        <f>'Monthly Data'!C114</f>
        <v>5</v>
      </c>
      <c r="C114">
        <f>'Monthly Data'!B114</f>
        <v>2023</v>
      </c>
      <c r="D114" s="18">
        <f>'Monthly Data'!N114</f>
        <v>27191589.291365437</v>
      </c>
      <c r="E114" s="10">
        <f t="shared" ref="E114:F114" ca="1" si="120">E102</f>
        <v>46.324929225504526</v>
      </c>
      <c r="F114" s="10">
        <f t="shared" ca="1" si="120"/>
        <v>19.778958333333328</v>
      </c>
      <c r="G114">
        <f>'Monthly Data'!AV114</f>
        <v>113</v>
      </c>
      <c r="H114">
        <f>'Monthly Data'!BO114</f>
        <v>31</v>
      </c>
      <c r="I114">
        <f>'Monthly Data'!BR114</f>
        <v>0</v>
      </c>
      <c r="J114" s="17">
        <f>'Monthly Data'!AT114</f>
        <v>865503</v>
      </c>
      <c r="K114">
        <f>'Monthly Data'!BJ114</f>
        <v>0</v>
      </c>
      <c r="M114" s="17">
        <f t="shared" si="104"/>
        <v>-9501475.1395959798</v>
      </c>
      <c r="N114" s="17">
        <f t="shared" ca="1" si="65"/>
        <v>543932.68241207476</v>
      </c>
      <c r="O114" s="17">
        <f t="shared" ca="1" si="66"/>
        <v>431489.10695120576</v>
      </c>
      <c r="P114" s="17">
        <f t="shared" si="67"/>
        <v>-4058673.6883526132</v>
      </c>
      <c r="Q114" s="17">
        <f t="shared" si="68"/>
        <v>25636435.683383022</v>
      </c>
      <c r="R114" s="17">
        <f t="shared" si="69"/>
        <v>0</v>
      </c>
      <c r="S114" s="17">
        <f t="shared" si="70"/>
        <v>14757401.609533126</v>
      </c>
      <c r="T114" s="17">
        <f t="shared" si="71"/>
        <v>0</v>
      </c>
      <c r="U114" s="17">
        <f t="shared" ca="1" si="72"/>
        <v>27809110.254330836</v>
      </c>
    </row>
    <row r="115" spans="1:24" x14ac:dyDescent="0.2">
      <c r="A115" s="28">
        <f>'Monthly Data'!A115</f>
        <v>45078</v>
      </c>
      <c r="B115">
        <f>'Monthly Data'!C115</f>
        <v>6</v>
      </c>
      <c r="C115">
        <f>'Monthly Data'!B115</f>
        <v>2023</v>
      </c>
      <c r="D115" s="18">
        <f>'Monthly Data'!N115</f>
        <v>27669678.449926317</v>
      </c>
      <c r="E115" s="10">
        <f t="shared" ref="E115:F115" ca="1" si="121">E103</f>
        <v>1.25875</v>
      </c>
      <c r="F115" s="10">
        <f t="shared" ca="1" si="121"/>
        <v>53.293685210734182</v>
      </c>
      <c r="G115">
        <f>'Monthly Data'!AV115</f>
        <v>114</v>
      </c>
      <c r="H115">
        <f>'Monthly Data'!BO115</f>
        <v>30</v>
      </c>
      <c r="I115">
        <f>'Monthly Data'!BR115</f>
        <v>0</v>
      </c>
      <c r="J115" s="17">
        <f>'Monthly Data'!AT115</f>
        <v>865503</v>
      </c>
      <c r="K115">
        <f>'Monthly Data'!BJ115</f>
        <v>0</v>
      </c>
      <c r="M115" s="17">
        <f t="shared" si="104"/>
        <v>-9501475.1395959798</v>
      </c>
      <c r="N115" s="17">
        <f t="shared" ca="1" si="65"/>
        <v>14779.844792709282</v>
      </c>
      <c r="O115" s="17">
        <f t="shared" ca="1" si="66"/>
        <v>1162631.7347038437</v>
      </c>
      <c r="P115" s="17">
        <f t="shared" si="67"/>
        <v>-4094591.1546212207</v>
      </c>
      <c r="Q115" s="17">
        <f t="shared" si="68"/>
        <v>24809453.88714486</v>
      </c>
      <c r="R115" s="17">
        <f t="shared" si="69"/>
        <v>0</v>
      </c>
      <c r="S115" s="17">
        <f t="shared" si="70"/>
        <v>14757401.609533126</v>
      </c>
      <c r="T115" s="17">
        <f t="shared" si="71"/>
        <v>0</v>
      </c>
      <c r="U115" s="17">
        <f t="shared" ca="1" si="72"/>
        <v>27148200.781957336</v>
      </c>
    </row>
    <row r="116" spans="1:24" x14ac:dyDescent="0.2">
      <c r="A116" s="28">
        <f>'Monthly Data'!A116</f>
        <v>45108</v>
      </c>
      <c r="B116">
        <f>'Monthly Data'!C116</f>
        <v>7</v>
      </c>
      <c r="C116">
        <f>'Monthly Data'!B116</f>
        <v>2023</v>
      </c>
      <c r="D116" s="18">
        <f>'Monthly Data'!N116</f>
        <v>28849666.375487197</v>
      </c>
      <c r="E116" s="10">
        <f t="shared" ref="E116:F116" ca="1" si="122">E104</f>
        <v>0</v>
      </c>
      <c r="F116" s="10">
        <f t="shared" ca="1" si="122"/>
        <v>104.42694776957208</v>
      </c>
      <c r="G116">
        <f>'Monthly Data'!AV116</f>
        <v>115</v>
      </c>
      <c r="H116">
        <f>'Monthly Data'!BO116</f>
        <v>31</v>
      </c>
      <c r="I116">
        <f>'Monthly Data'!BR116</f>
        <v>0</v>
      </c>
      <c r="J116" s="17">
        <f>'Monthly Data'!AT116</f>
        <v>867701</v>
      </c>
      <c r="K116">
        <f>'Monthly Data'!BJ116</f>
        <v>0</v>
      </c>
      <c r="M116" s="17">
        <f t="shared" si="104"/>
        <v>-9501475.1395959798</v>
      </c>
      <c r="N116" s="17">
        <f t="shared" ca="1" si="65"/>
        <v>0</v>
      </c>
      <c r="O116" s="17">
        <f t="shared" ca="1" si="66"/>
        <v>2278132.6334458739</v>
      </c>
      <c r="P116" s="17">
        <f t="shared" si="67"/>
        <v>-4130508.6208898276</v>
      </c>
      <c r="Q116" s="17">
        <f t="shared" si="68"/>
        <v>25636435.683383022</v>
      </c>
      <c r="R116" s="17">
        <f t="shared" si="69"/>
        <v>0</v>
      </c>
      <c r="S116" s="17">
        <f t="shared" si="70"/>
        <v>14794878.970949266</v>
      </c>
      <c r="T116" s="17">
        <f t="shared" si="71"/>
        <v>0</v>
      </c>
      <c r="U116" s="17">
        <f t="shared" ca="1" si="72"/>
        <v>29077463.527292356</v>
      </c>
    </row>
    <row r="117" spans="1:24" x14ac:dyDescent="0.2">
      <c r="A117" s="28">
        <f>'Monthly Data'!A117</f>
        <v>45139</v>
      </c>
      <c r="B117">
        <f>'Monthly Data'!C117</f>
        <v>8</v>
      </c>
      <c r="C117">
        <f>'Monthly Data'!B117</f>
        <v>2023</v>
      </c>
      <c r="D117" s="18">
        <f>'Monthly Data'!N117</f>
        <v>27410213.500048079</v>
      </c>
      <c r="E117" s="10">
        <f t="shared" ref="E117:F117" ca="1" si="123">E105</f>
        <v>0.1158333333333335</v>
      </c>
      <c r="F117" s="10">
        <f t="shared" ca="1" si="123"/>
        <v>74.696666666666673</v>
      </c>
      <c r="G117">
        <f>'Monthly Data'!AV117</f>
        <v>116</v>
      </c>
      <c r="H117">
        <f>'Monthly Data'!BO117</f>
        <v>31</v>
      </c>
      <c r="I117">
        <f>'Monthly Data'!BR117</f>
        <v>0</v>
      </c>
      <c r="J117" s="17">
        <f>'Monthly Data'!AT117</f>
        <v>867701</v>
      </c>
      <c r="K117">
        <f>'Monthly Data'!BJ117</f>
        <v>0</v>
      </c>
      <c r="M117" s="17">
        <f t="shared" si="104"/>
        <v>-9501475.1395959798</v>
      </c>
      <c r="N117" s="17">
        <f t="shared" ca="1" si="65"/>
        <v>1360.0784019772213</v>
      </c>
      <c r="O117" s="17">
        <f t="shared" ca="1" si="66"/>
        <v>1629549.8200182556</v>
      </c>
      <c r="P117" s="17">
        <f t="shared" si="67"/>
        <v>-4166426.087158435</v>
      </c>
      <c r="Q117" s="17">
        <f t="shared" si="68"/>
        <v>25636435.683383022</v>
      </c>
      <c r="R117" s="17">
        <f t="shared" si="69"/>
        <v>0</v>
      </c>
      <c r="S117" s="17">
        <f t="shared" si="70"/>
        <v>14794878.970949266</v>
      </c>
      <c r="T117" s="17">
        <f t="shared" si="71"/>
        <v>0</v>
      </c>
      <c r="U117" s="17">
        <f t="shared" ca="1" si="72"/>
        <v>28394323.325998105</v>
      </c>
    </row>
    <row r="118" spans="1:24" x14ac:dyDescent="0.2">
      <c r="A118" s="28">
        <f>'Monthly Data'!A118</f>
        <v>45170</v>
      </c>
      <c r="B118">
        <f>'Monthly Data'!C118</f>
        <v>9</v>
      </c>
      <c r="C118">
        <f>'Monthly Data'!B118</f>
        <v>2023</v>
      </c>
      <c r="D118" s="18">
        <f>'Monthly Data'!N118</f>
        <v>26672181.881608956</v>
      </c>
      <c r="E118" s="10">
        <f t="shared" ref="E118:F118" ca="1" si="124">E106</f>
        <v>11.597845892171184</v>
      </c>
      <c r="F118" s="10">
        <f t="shared" ca="1" si="124"/>
        <v>25.91041666666667</v>
      </c>
      <c r="G118">
        <f>'Monthly Data'!AV118</f>
        <v>117</v>
      </c>
      <c r="H118">
        <f>'Monthly Data'!BO118</f>
        <v>30</v>
      </c>
      <c r="I118">
        <f>'Monthly Data'!BR118</f>
        <v>0</v>
      </c>
      <c r="J118" s="17">
        <f>'Monthly Data'!AT118</f>
        <v>867701</v>
      </c>
      <c r="K118">
        <f>'Monthly Data'!BJ118</f>
        <v>1</v>
      </c>
      <c r="M118" s="17">
        <f t="shared" si="104"/>
        <v>-9501475.1395959798</v>
      </c>
      <c r="N118" s="17">
        <f t="shared" ca="1" si="65"/>
        <v>136178.24207829277</v>
      </c>
      <c r="O118" s="17">
        <f t="shared" ca="1" si="66"/>
        <v>565250.3210642779</v>
      </c>
      <c r="P118" s="17">
        <f t="shared" si="67"/>
        <v>-4202343.5534270424</v>
      </c>
      <c r="Q118" s="17">
        <f t="shared" si="68"/>
        <v>24809453.88714486</v>
      </c>
      <c r="R118" s="17">
        <f t="shared" si="69"/>
        <v>0</v>
      </c>
      <c r="S118" s="17">
        <f t="shared" si="70"/>
        <v>14794878.970949266</v>
      </c>
      <c r="T118" s="17">
        <f t="shared" si="71"/>
        <v>413783.55369814899</v>
      </c>
      <c r="U118" s="17">
        <f t="shared" ca="1" si="72"/>
        <v>27015726.281911824</v>
      </c>
    </row>
    <row r="119" spans="1:24" x14ac:dyDescent="0.2">
      <c r="A119" s="28">
        <f>'Monthly Data'!A119</f>
        <v>45200</v>
      </c>
      <c r="B119">
        <f>'Monthly Data'!C119</f>
        <v>10</v>
      </c>
      <c r="C119">
        <f>'Monthly Data'!B119</f>
        <v>2023</v>
      </c>
      <c r="D119" s="18">
        <f>'Monthly Data'!N119</f>
        <v>28075910.169169836</v>
      </c>
      <c r="E119" s="10">
        <f t="shared" ref="E119:F119" ca="1" si="125">E107</f>
        <v>128.51888157360821</v>
      </c>
      <c r="F119" s="10">
        <f t="shared" ca="1" si="125"/>
        <v>2.0656249999999989</v>
      </c>
      <c r="G119">
        <f>'Monthly Data'!AV119</f>
        <v>118</v>
      </c>
      <c r="H119">
        <f>'Monthly Data'!BO119</f>
        <v>31</v>
      </c>
      <c r="I119">
        <f>'Monthly Data'!BR119</f>
        <v>0</v>
      </c>
      <c r="J119" s="17">
        <f>'Monthly Data'!AT119</f>
        <v>869576</v>
      </c>
      <c r="K119">
        <f>'Monthly Data'!BJ119</f>
        <v>1</v>
      </c>
      <c r="M119" s="17">
        <f t="shared" si="104"/>
        <v>-9501475.1395959798</v>
      </c>
      <c r="N119" s="17">
        <f t="shared" ca="1" si="65"/>
        <v>1509028.1013628712</v>
      </c>
      <c r="O119" s="17">
        <f t="shared" ca="1" si="66"/>
        <v>45062.771836876353</v>
      </c>
      <c r="P119" s="17">
        <f t="shared" si="67"/>
        <v>-4238261.0196956489</v>
      </c>
      <c r="Q119" s="17">
        <f t="shared" si="68"/>
        <v>25636435.683383022</v>
      </c>
      <c r="R119" s="17">
        <f t="shared" si="69"/>
        <v>0</v>
      </c>
      <c r="S119" s="17">
        <f t="shared" si="70"/>
        <v>14826848.967607711</v>
      </c>
      <c r="T119" s="17">
        <f t="shared" si="71"/>
        <v>413783.55369814899</v>
      </c>
      <c r="U119" s="17">
        <f t="shared" ca="1" si="72"/>
        <v>28691422.918596998</v>
      </c>
    </row>
    <row r="120" spans="1:24" x14ac:dyDescent="0.2">
      <c r="A120" s="28">
        <f>'Monthly Data'!A120</f>
        <v>45231</v>
      </c>
      <c r="B120">
        <f>'Monthly Data'!C120</f>
        <v>11</v>
      </c>
      <c r="C120">
        <f>'Monthly Data'!B120</f>
        <v>2023</v>
      </c>
      <c r="D120" s="18">
        <f>'Monthly Data'!N120</f>
        <v>30125834.330730714</v>
      </c>
      <c r="E120" s="10">
        <f t="shared" ref="E120:F120" ca="1" si="126">E108</f>
        <v>332.1049960098469</v>
      </c>
      <c r="F120" s="10">
        <f t="shared" ca="1" si="126"/>
        <v>0</v>
      </c>
      <c r="G120">
        <f>'Monthly Data'!AV120</f>
        <v>119</v>
      </c>
      <c r="H120">
        <f>'Monthly Data'!BO120</f>
        <v>30</v>
      </c>
      <c r="I120">
        <f>'Monthly Data'!BR120</f>
        <v>0</v>
      </c>
      <c r="J120" s="17">
        <f>'Monthly Data'!AT120</f>
        <v>869576</v>
      </c>
      <c r="K120">
        <f>'Monthly Data'!BJ120</f>
        <v>1</v>
      </c>
      <c r="M120" s="17">
        <f t="shared" si="104"/>
        <v>-9501475.1395959798</v>
      </c>
      <c r="N120" s="17">
        <f t="shared" ca="1" si="65"/>
        <v>3899471.9331947346</v>
      </c>
      <c r="O120" s="17">
        <f t="shared" ca="1" si="66"/>
        <v>0</v>
      </c>
      <c r="P120" s="17">
        <f t="shared" si="67"/>
        <v>-4274178.4859642563</v>
      </c>
      <c r="Q120" s="17">
        <f t="shared" si="68"/>
        <v>24809453.88714486</v>
      </c>
      <c r="R120" s="17">
        <f t="shared" si="69"/>
        <v>0</v>
      </c>
      <c r="S120" s="17">
        <f t="shared" si="70"/>
        <v>14826848.967607711</v>
      </c>
      <c r="T120" s="17">
        <f t="shared" si="71"/>
        <v>413783.55369814899</v>
      </c>
      <c r="U120" s="17">
        <f t="shared" ca="1" si="72"/>
        <v>30173904.716085218</v>
      </c>
    </row>
    <row r="121" spans="1:24" x14ac:dyDescent="0.2">
      <c r="A121" s="28">
        <f>'Monthly Data'!A121</f>
        <v>45261</v>
      </c>
      <c r="B121">
        <f>'Monthly Data'!C121</f>
        <v>12</v>
      </c>
      <c r="C121">
        <f>'Monthly Data'!B121</f>
        <v>2023</v>
      </c>
      <c r="D121" s="18">
        <f>'Monthly Data'!N121</f>
        <v>31326096.943291593</v>
      </c>
      <c r="E121" s="10">
        <f t="shared" ref="E121:F121" ca="1" si="127">E109</f>
        <v>508.62936502461724</v>
      </c>
      <c r="F121" s="10">
        <f t="shared" ca="1" si="127"/>
        <v>0</v>
      </c>
      <c r="G121">
        <f>'Monthly Data'!AV121</f>
        <v>120</v>
      </c>
      <c r="H121">
        <f>'Monthly Data'!BO121</f>
        <v>31</v>
      </c>
      <c r="I121">
        <f>'Monthly Data'!BR121</f>
        <v>0</v>
      </c>
      <c r="J121" s="17">
        <f>'Monthly Data'!AT121</f>
        <v>869576</v>
      </c>
      <c r="K121">
        <f>'Monthly Data'!BJ121</f>
        <v>0</v>
      </c>
      <c r="M121" s="17">
        <f t="shared" si="104"/>
        <v>-9501475.1395959798</v>
      </c>
      <c r="N121" s="17">
        <f t="shared" ca="1" si="65"/>
        <v>5972165.3005585838</v>
      </c>
      <c r="O121" s="17">
        <f t="shared" ca="1" si="66"/>
        <v>0</v>
      </c>
      <c r="P121" s="17">
        <f t="shared" si="67"/>
        <v>-4310095.9522328638</v>
      </c>
      <c r="Q121" s="17">
        <f t="shared" si="68"/>
        <v>25636435.683383022</v>
      </c>
      <c r="R121" s="17">
        <f t="shared" si="69"/>
        <v>0</v>
      </c>
      <c r="S121" s="17">
        <f t="shared" si="70"/>
        <v>14826848.967607711</v>
      </c>
      <c r="T121" s="17">
        <f t="shared" si="71"/>
        <v>0</v>
      </c>
      <c r="U121" s="17">
        <f t="shared" ca="1" si="72"/>
        <v>32623878.859720472</v>
      </c>
    </row>
    <row r="122" spans="1:24" x14ac:dyDescent="0.2">
      <c r="A122" s="28">
        <f>EOMONTH(A121,0)+1</f>
        <v>45292</v>
      </c>
      <c r="B122">
        <f>MONTH(A122)</f>
        <v>1</v>
      </c>
      <c r="C122">
        <f>YEAR(A122)</f>
        <v>2024</v>
      </c>
      <c r="D122" s="18">
        <f>'Monthly Data'!N122</f>
        <v>33487909.795723487</v>
      </c>
      <c r="E122" s="10">
        <f t="shared" ref="E122:F122" ca="1" si="128">E110</f>
        <v>666.68367523535153</v>
      </c>
      <c r="F122" s="10">
        <f t="shared" ca="1" si="128"/>
        <v>0</v>
      </c>
      <c r="G122">
        <f>G121+1</f>
        <v>121</v>
      </c>
      <c r="H122">
        <f>H74</f>
        <v>31</v>
      </c>
      <c r="I122">
        <f>'Monthly Data'!BR122</f>
        <v>0</v>
      </c>
      <c r="J122" s="17">
        <f>Economic!I122</f>
        <v>874402</v>
      </c>
      <c r="K122">
        <f>K110</f>
        <v>0</v>
      </c>
      <c r="M122" s="17">
        <f t="shared" si="104"/>
        <v>-9501475.1395959798</v>
      </c>
      <c r="N122" s="17">
        <f t="shared" ca="1" si="65"/>
        <v>7827989.0731372358</v>
      </c>
      <c r="O122" s="17">
        <f t="shared" ca="1" si="66"/>
        <v>0</v>
      </c>
      <c r="P122" s="17">
        <f t="shared" si="67"/>
        <v>-4346013.4185014712</v>
      </c>
      <c r="Q122" s="17">
        <f t="shared" si="68"/>
        <v>25636435.683383022</v>
      </c>
      <c r="R122" s="17">
        <f t="shared" si="69"/>
        <v>0</v>
      </c>
      <c r="S122" s="17">
        <f t="shared" si="70"/>
        <v>14909135.476340329</v>
      </c>
      <c r="T122" s="17">
        <f t="shared" si="71"/>
        <v>0</v>
      </c>
      <c r="U122" s="17">
        <f t="shared" ca="1" si="72"/>
        <v>34526071.674763136</v>
      </c>
    </row>
    <row r="123" spans="1:24" x14ac:dyDescent="0.2">
      <c r="A123" s="28">
        <f t="shared" ref="A123:A145" si="129">EOMONTH(A122,0)+1</f>
        <v>45323</v>
      </c>
      <c r="B123">
        <f t="shared" ref="B123:B145" si="130">MONTH(A123)</f>
        <v>2</v>
      </c>
      <c r="C123">
        <f t="shared" ref="C123:C145" si="131">YEAR(A123)</f>
        <v>2024</v>
      </c>
      <c r="D123" s="18">
        <f>'Monthly Data'!N123</f>
        <v>30402072.506792381</v>
      </c>
      <c r="E123" s="10">
        <f t="shared" ref="E123:F123" ca="1" si="132">E111</f>
        <v>599.3508333333333</v>
      </c>
      <c r="F123" s="10">
        <f t="shared" ca="1" si="132"/>
        <v>0</v>
      </c>
      <c r="G123">
        <f t="shared" ref="G123:G145" si="133">G122+1</f>
        <v>122</v>
      </c>
      <c r="H123">
        <f t="shared" ref="H123:H145" si="134">H75</f>
        <v>29</v>
      </c>
      <c r="I123">
        <f>'Monthly Data'!BR123</f>
        <v>0</v>
      </c>
      <c r="J123" s="17">
        <f>Economic!I123</f>
        <v>874402</v>
      </c>
      <c r="K123">
        <f t="shared" ref="K123:K145" si="135">K111</f>
        <v>0</v>
      </c>
      <c r="M123" s="17">
        <f t="shared" si="104"/>
        <v>-9501475.1395959798</v>
      </c>
      <c r="N123" s="17">
        <f t="shared" ca="1" si="65"/>
        <v>7037388.1176148038</v>
      </c>
      <c r="O123" s="17">
        <f t="shared" ca="1" si="66"/>
        <v>0</v>
      </c>
      <c r="P123" s="17">
        <f t="shared" si="67"/>
        <v>-4381930.8847700777</v>
      </c>
      <c r="Q123" s="17">
        <f t="shared" si="68"/>
        <v>23982472.090906698</v>
      </c>
      <c r="R123" s="17">
        <f t="shared" si="69"/>
        <v>0</v>
      </c>
      <c r="S123" s="17">
        <f t="shared" si="70"/>
        <v>14909135.476340329</v>
      </c>
      <c r="T123" s="17">
        <f t="shared" si="71"/>
        <v>0</v>
      </c>
      <c r="U123" s="17">
        <f t="shared" ca="1" si="72"/>
        <v>32045589.660495773</v>
      </c>
    </row>
    <row r="124" spans="1:24" x14ac:dyDescent="0.2">
      <c r="A124" s="28">
        <f t="shared" si="129"/>
        <v>45352</v>
      </c>
      <c r="B124">
        <f t="shared" si="130"/>
        <v>3</v>
      </c>
      <c r="C124">
        <f t="shared" si="131"/>
        <v>2024</v>
      </c>
      <c r="D124" s="18">
        <f>'Monthly Data'!N124</f>
        <v>30560769.37786128</v>
      </c>
      <c r="E124" s="10">
        <f t="shared" ref="E124:F124" ca="1" si="136">E112</f>
        <v>469.11853767651354</v>
      </c>
      <c r="F124" s="10">
        <f t="shared" ca="1" si="136"/>
        <v>0</v>
      </c>
      <c r="G124">
        <f t="shared" si="133"/>
        <v>123</v>
      </c>
      <c r="H124">
        <f t="shared" si="134"/>
        <v>31</v>
      </c>
      <c r="I124">
        <f>'Monthly Data'!BR124</f>
        <v>0</v>
      </c>
      <c r="J124" s="17">
        <f>Economic!I124</f>
        <v>874402</v>
      </c>
      <c r="K124">
        <f t="shared" si="135"/>
        <v>0</v>
      </c>
      <c r="M124" s="17">
        <f t="shared" si="104"/>
        <v>-9501475.1395959798</v>
      </c>
      <c r="N124" s="17">
        <f t="shared" ca="1" si="65"/>
        <v>5508241.6494471589</v>
      </c>
      <c r="O124" s="17">
        <f t="shared" ca="1" si="66"/>
        <v>0</v>
      </c>
      <c r="P124" s="17">
        <f t="shared" si="67"/>
        <v>-4417848.3510386851</v>
      </c>
      <c r="Q124" s="17">
        <f t="shared" si="68"/>
        <v>25636435.683383022</v>
      </c>
      <c r="R124" s="17">
        <f t="shared" si="69"/>
        <v>0</v>
      </c>
      <c r="S124" s="17">
        <f t="shared" si="70"/>
        <v>14909135.476340329</v>
      </c>
      <c r="T124" s="17">
        <f t="shared" si="71"/>
        <v>0</v>
      </c>
      <c r="U124" s="17">
        <f t="shared" ca="1" si="72"/>
        <v>32134489.318535842</v>
      </c>
      <c r="W124" s="17"/>
      <c r="X124" s="30"/>
    </row>
    <row r="125" spans="1:24" x14ac:dyDescent="0.2">
      <c r="A125" s="28">
        <f t="shared" si="129"/>
        <v>45383</v>
      </c>
      <c r="B125">
        <f t="shared" si="130"/>
        <v>4</v>
      </c>
      <c r="C125">
        <f t="shared" si="131"/>
        <v>2024</v>
      </c>
      <c r="D125" s="18">
        <f>'Monthly Data'!N125</f>
        <v>27840160.598930176</v>
      </c>
      <c r="E125" s="10">
        <f t="shared" ref="E125:F125" ca="1" si="137">E113</f>
        <v>233.92395833333336</v>
      </c>
      <c r="F125" s="10">
        <f t="shared" ca="1" si="137"/>
        <v>1.1666666666666714E-2</v>
      </c>
      <c r="G125">
        <f t="shared" si="133"/>
        <v>124</v>
      </c>
      <c r="H125">
        <f t="shared" si="134"/>
        <v>30</v>
      </c>
      <c r="I125">
        <f>'Monthly Data'!BR125</f>
        <v>0</v>
      </c>
      <c r="J125" s="17">
        <f>Economic!I125</f>
        <v>877135</v>
      </c>
      <c r="K125">
        <f t="shared" si="135"/>
        <v>0</v>
      </c>
      <c r="M125" s="17">
        <f t="shared" si="104"/>
        <v>-9501475.1395959798</v>
      </c>
      <c r="N125" s="17">
        <f t="shared" ca="1" si="65"/>
        <v>2746661.2095037615</v>
      </c>
      <c r="O125" s="17">
        <f t="shared" ca="1" si="66"/>
        <v>254.51489892739153</v>
      </c>
      <c r="P125" s="17">
        <f t="shared" si="67"/>
        <v>-4453765.8173072925</v>
      </c>
      <c r="Q125" s="17">
        <f t="shared" si="68"/>
        <v>24809453.88714486</v>
      </c>
      <c r="R125" s="17">
        <f t="shared" si="69"/>
        <v>0</v>
      </c>
      <c r="S125" s="17">
        <f t="shared" si="70"/>
        <v>14955734.943469679</v>
      </c>
      <c r="T125" s="17">
        <f t="shared" si="71"/>
        <v>0</v>
      </c>
      <c r="U125" s="17">
        <f t="shared" ca="1" si="72"/>
        <v>28556863.598113954</v>
      </c>
      <c r="W125" s="17"/>
      <c r="X125" s="30"/>
    </row>
    <row r="126" spans="1:24" x14ac:dyDescent="0.2">
      <c r="A126" s="28">
        <f t="shared" si="129"/>
        <v>45413</v>
      </c>
      <c r="B126">
        <f t="shared" si="130"/>
        <v>5</v>
      </c>
      <c r="C126">
        <f t="shared" si="131"/>
        <v>2024</v>
      </c>
      <c r="D126" s="18">
        <f>'Monthly Data'!N126</f>
        <v>26873110.719999075</v>
      </c>
      <c r="E126" s="10">
        <f t="shared" ref="E126:F126" ca="1" si="138">E114</f>
        <v>46.324929225504526</v>
      </c>
      <c r="F126" s="10">
        <f t="shared" ca="1" si="138"/>
        <v>19.778958333333328</v>
      </c>
      <c r="G126">
        <f t="shared" si="133"/>
        <v>125</v>
      </c>
      <c r="H126">
        <f t="shared" si="134"/>
        <v>31</v>
      </c>
      <c r="I126">
        <f>'Monthly Data'!BR126</f>
        <v>0</v>
      </c>
      <c r="J126" s="17">
        <f>Economic!I126</f>
        <v>877135</v>
      </c>
      <c r="K126">
        <f t="shared" si="135"/>
        <v>0</v>
      </c>
      <c r="M126" s="17">
        <f t="shared" si="104"/>
        <v>-9501475.1395959798</v>
      </c>
      <c r="N126" s="17">
        <f t="shared" ca="1" si="65"/>
        <v>543932.68241207476</v>
      </c>
      <c r="O126" s="17">
        <f t="shared" ca="1" si="66"/>
        <v>431489.10695120576</v>
      </c>
      <c r="P126" s="17">
        <f t="shared" si="67"/>
        <v>-4489683.2835758999</v>
      </c>
      <c r="Q126" s="17">
        <f t="shared" si="68"/>
        <v>25636435.683383022</v>
      </c>
      <c r="R126" s="17">
        <f t="shared" si="69"/>
        <v>0</v>
      </c>
      <c r="S126" s="17">
        <f t="shared" si="70"/>
        <v>14955734.943469679</v>
      </c>
      <c r="T126" s="17">
        <f t="shared" si="71"/>
        <v>0</v>
      </c>
      <c r="U126" s="17">
        <f t="shared" ca="1" si="72"/>
        <v>27576433.993044101</v>
      </c>
      <c r="W126" s="17"/>
      <c r="X126" s="30"/>
    </row>
    <row r="127" spans="1:24" x14ac:dyDescent="0.2">
      <c r="A127" s="28">
        <f t="shared" si="129"/>
        <v>45444</v>
      </c>
      <c r="B127">
        <f t="shared" si="130"/>
        <v>6</v>
      </c>
      <c r="C127">
        <f t="shared" si="131"/>
        <v>2024</v>
      </c>
      <c r="D127" s="18">
        <f>'Monthly Data'!N127</f>
        <v>26966104.141067971</v>
      </c>
      <c r="E127" s="10">
        <f t="shared" ref="E127:F127" ca="1" si="139">E115</f>
        <v>1.25875</v>
      </c>
      <c r="F127" s="10">
        <f t="shared" ca="1" si="139"/>
        <v>53.293685210734182</v>
      </c>
      <c r="G127">
        <f t="shared" si="133"/>
        <v>126</v>
      </c>
      <c r="H127">
        <f t="shared" si="134"/>
        <v>30</v>
      </c>
      <c r="I127">
        <f>'Monthly Data'!BR127</f>
        <v>0</v>
      </c>
      <c r="J127" s="17">
        <f>Economic!I127</f>
        <v>877135</v>
      </c>
      <c r="K127">
        <f t="shared" si="135"/>
        <v>0</v>
      </c>
      <c r="M127" s="17">
        <f t="shared" si="104"/>
        <v>-9501475.1395959798</v>
      </c>
      <c r="N127" s="17">
        <f t="shared" ca="1" si="65"/>
        <v>14779.844792709282</v>
      </c>
      <c r="O127" s="17">
        <f t="shared" ca="1" si="66"/>
        <v>1162631.7347038437</v>
      </c>
      <c r="P127" s="17">
        <f t="shared" si="67"/>
        <v>-4525600.7498445064</v>
      </c>
      <c r="Q127" s="17">
        <f t="shared" si="68"/>
        <v>24809453.88714486</v>
      </c>
      <c r="R127" s="17">
        <f t="shared" si="69"/>
        <v>0</v>
      </c>
      <c r="S127" s="17">
        <f t="shared" si="70"/>
        <v>14955734.943469679</v>
      </c>
      <c r="T127" s="17">
        <f t="shared" si="71"/>
        <v>0</v>
      </c>
      <c r="U127" s="17">
        <f t="shared" ca="1" si="72"/>
        <v>26915524.520670608</v>
      </c>
      <c r="W127" s="17"/>
      <c r="X127" s="30"/>
    </row>
    <row r="128" spans="1:24" x14ac:dyDescent="0.2">
      <c r="A128" s="28">
        <f t="shared" si="129"/>
        <v>45474</v>
      </c>
      <c r="B128">
        <f t="shared" si="130"/>
        <v>7</v>
      </c>
      <c r="C128">
        <f t="shared" si="131"/>
        <v>2024</v>
      </c>
      <c r="D128" s="18">
        <f>'Monthly Data'!N128</f>
        <v>29325088.142136868</v>
      </c>
      <c r="E128" s="10">
        <f t="shared" ref="E128:F128" ca="1" si="140">E116</f>
        <v>0</v>
      </c>
      <c r="F128" s="10">
        <f t="shared" ca="1" si="140"/>
        <v>104.42694776957208</v>
      </c>
      <c r="G128">
        <f t="shared" si="133"/>
        <v>127</v>
      </c>
      <c r="H128">
        <f t="shared" si="134"/>
        <v>31</v>
      </c>
      <c r="I128">
        <f>'Monthly Data'!BR128</f>
        <v>0</v>
      </c>
      <c r="J128" s="17">
        <f>Economic!I128</f>
        <v>877865</v>
      </c>
      <c r="K128">
        <f t="shared" si="135"/>
        <v>0</v>
      </c>
      <c r="M128" s="17">
        <f t="shared" si="104"/>
        <v>-9501475.1395959798</v>
      </c>
      <c r="N128" s="17">
        <f t="shared" ca="1" si="65"/>
        <v>0</v>
      </c>
      <c r="O128" s="17">
        <f t="shared" ca="1" si="66"/>
        <v>2278132.6334458739</v>
      </c>
      <c r="P128" s="17">
        <f t="shared" si="67"/>
        <v>-4561518.2161131138</v>
      </c>
      <c r="Q128" s="17">
        <f t="shared" si="68"/>
        <v>25636435.683383022</v>
      </c>
      <c r="R128" s="17">
        <f t="shared" si="69"/>
        <v>0</v>
      </c>
      <c r="S128" s="17">
        <f t="shared" si="70"/>
        <v>14968181.928835368</v>
      </c>
      <c r="T128" s="17">
        <f t="shared" si="71"/>
        <v>0</v>
      </c>
      <c r="U128" s="17">
        <f t="shared" ca="1" si="72"/>
        <v>28819756.88995517</v>
      </c>
      <c r="W128" s="17"/>
      <c r="X128" s="30"/>
    </row>
    <row r="129" spans="1:24" x14ac:dyDescent="0.2">
      <c r="A129" s="28">
        <f t="shared" si="129"/>
        <v>45505</v>
      </c>
      <c r="B129">
        <f t="shared" si="130"/>
        <v>8</v>
      </c>
      <c r="C129">
        <f t="shared" si="131"/>
        <v>2024</v>
      </c>
      <c r="D129" s="18">
        <f>'Monthly Data'!N129</f>
        <v>28897756.003205769</v>
      </c>
      <c r="E129" s="10">
        <f t="shared" ref="E129:F129" ca="1" si="141">E117</f>
        <v>0.1158333333333335</v>
      </c>
      <c r="F129" s="10">
        <f t="shared" ca="1" si="141"/>
        <v>74.696666666666673</v>
      </c>
      <c r="G129">
        <f t="shared" si="133"/>
        <v>128</v>
      </c>
      <c r="H129">
        <f t="shared" si="134"/>
        <v>31</v>
      </c>
      <c r="I129">
        <f>'Monthly Data'!BR129</f>
        <v>0</v>
      </c>
      <c r="J129" s="17">
        <f>Economic!I129</f>
        <v>877865</v>
      </c>
      <c r="K129">
        <f t="shared" si="135"/>
        <v>0</v>
      </c>
      <c r="M129" s="17">
        <f t="shared" si="104"/>
        <v>-9501475.1395959798</v>
      </c>
      <c r="N129" s="17">
        <f t="shared" ca="1" si="65"/>
        <v>1360.0784019772213</v>
      </c>
      <c r="O129" s="17">
        <f t="shared" ca="1" si="66"/>
        <v>1629549.8200182556</v>
      </c>
      <c r="P129" s="17">
        <f t="shared" si="67"/>
        <v>-4597435.6823817212</v>
      </c>
      <c r="Q129" s="17">
        <f t="shared" si="68"/>
        <v>25636435.683383022</v>
      </c>
      <c r="R129" s="17">
        <f t="shared" si="69"/>
        <v>0</v>
      </c>
      <c r="S129" s="17">
        <f t="shared" si="70"/>
        <v>14968181.928835368</v>
      </c>
      <c r="T129" s="17">
        <f t="shared" si="71"/>
        <v>0</v>
      </c>
      <c r="U129" s="17">
        <f t="shared" ca="1" si="72"/>
        <v>28136616.68866092</v>
      </c>
      <c r="W129" s="17"/>
      <c r="X129" s="30"/>
    </row>
    <row r="130" spans="1:24" x14ac:dyDescent="0.2">
      <c r="A130" s="28">
        <f t="shared" si="129"/>
        <v>45536</v>
      </c>
      <c r="B130">
        <f t="shared" si="130"/>
        <v>9</v>
      </c>
      <c r="C130">
        <f t="shared" si="131"/>
        <v>2024</v>
      </c>
      <c r="D130" s="18">
        <f>'Monthly Data'!N130</f>
        <v>27520933.564274665</v>
      </c>
      <c r="E130" s="10">
        <f t="shared" ref="E130:F130" ca="1" si="142">E118</f>
        <v>11.597845892171184</v>
      </c>
      <c r="F130" s="10">
        <f t="shared" ca="1" si="142"/>
        <v>25.91041666666667</v>
      </c>
      <c r="G130">
        <f t="shared" si="133"/>
        <v>129</v>
      </c>
      <c r="H130">
        <f t="shared" si="134"/>
        <v>30</v>
      </c>
      <c r="I130">
        <f>'Monthly Data'!BR130</f>
        <v>0</v>
      </c>
      <c r="J130" s="17">
        <f>Economic!I130</f>
        <v>877865</v>
      </c>
      <c r="K130">
        <f t="shared" si="135"/>
        <v>1</v>
      </c>
      <c r="M130" s="17">
        <f t="shared" ref="M130:M145" si="143">$X$7</f>
        <v>-9501475.1395959798</v>
      </c>
      <c r="N130" s="17">
        <f t="shared" ca="1" si="65"/>
        <v>136178.24207829277</v>
      </c>
      <c r="O130" s="17">
        <f t="shared" ca="1" si="66"/>
        <v>565250.3210642779</v>
      </c>
      <c r="P130" s="17">
        <f t="shared" si="67"/>
        <v>-4633353.1486503286</v>
      </c>
      <c r="Q130" s="17">
        <f t="shared" si="68"/>
        <v>24809453.88714486</v>
      </c>
      <c r="R130" s="17">
        <f t="shared" si="69"/>
        <v>0</v>
      </c>
      <c r="S130" s="17">
        <f t="shared" si="70"/>
        <v>14968181.928835368</v>
      </c>
      <c r="T130" s="17">
        <f t="shared" si="71"/>
        <v>413783.55369814899</v>
      </c>
      <c r="U130" s="17">
        <f t="shared" ca="1" si="72"/>
        <v>26758019.644574638</v>
      </c>
      <c r="W130" s="17"/>
      <c r="X130" s="30"/>
    </row>
    <row r="131" spans="1:24" x14ac:dyDescent="0.2">
      <c r="A131" s="28">
        <f t="shared" si="129"/>
        <v>45566</v>
      </c>
      <c r="B131">
        <f t="shared" si="130"/>
        <v>10</v>
      </c>
      <c r="C131">
        <f t="shared" si="131"/>
        <v>2024</v>
      </c>
      <c r="D131" s="18">
        <f>'Monthly Data'!N131</f>
        <v>27977111.705343559</v>
      </c>
      <c r="E131" s="10">
        <f t="shared" ref="E131:F131" ca="1" si="144">E119</f>
        <v>128.51888157360821</v>
      </c>
      <c r="F131" s="10">
        <f t="shared" ca="1" si="144"/>
        <v>2.0656249999999989</v>
      </c>
      <c r="G131">
        <f t="shared" si="133"/>
        <v>130</v>
      </c>
      <c r="H131">
        <f t="shared" si="134"/>
        <v>31</v>
      </c>
      <c r="I131">
        <f>'Monthly Data'!BR131</f>
        <v>0</v>
      </c>
      <c r="J131" s="17">
        <f>Economic!I131</f>
        <v>869576</v>
      </c>
      <c r="K131">
        <f t="shared" si="135"/>
        <v>1</v>
      </c>
      <c r="M131" s="17">
        <f t="shared" si="143"/>
        <v>-9501475.1395959798</v>
      </c>
      <c r="N131" s="17">
        <f t="shared" ref="N131:N145" ca="1" si="145">E131*$X$8</f>
        <v>1509028.1013628712</v>
      </c>
      <c r="O131" s="17">
        <f t="shared" ref="O131:O145" ca="1" si="146">F131*$X$9</f>
        <v>45062.771836876353</v>
      </c>
      <c r="P131" s="17">
        <f t="shared" ref="P131:P145" si="147">G131*$X$10</f>
        <v>-4669270.614918936</v>
      </c>
      <c r="Q131" s="17">
        <f t="shared" ref="Q131:Q145" si="148">H131*$X$11</f>
        <v>25636435.683383022</v>
      </c>
      <c r="R131" s="17">
        <f t="shared" ref="R131:R145" si="149">I131*$X$12</f>
        <v>0</v>
      </c>
      <c r="S131" s="17">
        <f t="shared" ref="S131:S145" si="150">J131*$X$13</f>
        <v>14826848.967607711</v>
      </c>
      <c r="T131" s="17">
        <f t="shared" ref="T131:T145" si="151">K131*$X$14</f>
        <v>413783.55369814899</v>
      </c>
      <c r="U131" s="17">
        <f t="shared" ref="U131:U145" ca="1" si="152">SUM(M131:T131)</f>
        <v>28260413.323373713</v>
      </c>
      <c r="W131" s="17"/>
      <c r="X131" s="30"/>
    </row>
    <row r="132" spans="1:24" x14ac:dyDescent="0.2">
      <c r="A132" s="28">
        <f t="shared" si="129"/>
        <v>45597</v>
      </c>
      <c r="B132">
        <f t="shared" si="130"/>
        <v>11</v>
      </c>
      <c r="C132">
        <f t="shared" si="131"/>
        <v>2024</v>
      </c>
      <c r="D132" s="18">
        <f>'Monthly Data'!N132</f>
        <v>28979419.546412461</v>
      </c>
      <c r="E132" s="10">
        <f t="shared" ref="E132:F132" ca="1" si="153">E120</f>
        <v>332.1049960098469</v>
      </c>
      <c r="F132" s="10">
        <f t="shared" ca="1" si="153"/>
        <v>0</v>
      </c>
      <c r="G132">
        <f t="shared" si="133"/>
        <v>131</v>
      </c>
      <c r="H132">
        <f t="shared" si="134"/>
        <v>30</v>
      </c>
      <c r="I132">
        <f>'Monthly Data'!BR132</f>
        <v>0</v>
      </c>
      <c r="J132" s="17">
        <f>Economic!I132</f>
        <v>869576</v>
      </c>
      <c r="K132">
        <f t="shared" si="135"/>
        <v>1</v>
      </c>
      <c r="M132" s="17">
        <f t="shared" si="143"/>
        <v>-9501475.1395959798</v>
      </c>
      <c r="N132" s="17">
        <f t="shared" ca="1" si="145"/>
        <v>3899471.9331947346</v>
      </c>
      <c r="O132" s="17">
        <f t="shared" ca="1" si="146"/>
        <v>0</v>
      </c>
      <c r="P132" s="17">
        <f t="shared" si="147"/>
        <v>-4705188.0811875425</v>
      </c>
      <c r="Q132" s="17">
        <f t="shared" si="148"/>
        <v>24809453.88714486</v>
      </c>
      <c r="R132" s="17">
        <f t="shared" si="149"/>
        <v>0</v>
      </c>
      <c r="S132" s="17">
        <f t="shared" si="150"/>
        <v>14826848.967607711</v>
      </c>
      <c r="T132" s="17">
        <f t="shared" si="151"/>
        <v>413783.55369814899</v>
      </c>
      <c r="U132" s="17">
        <f t="shared" ca="1" si="152"/>
        <v>29742895.120861929</v>
      </c>
      <c r="W132" s="17"/>
      <c r="X132" s="30"/>
    </row>
    <row r="133" spans="1:24" x14ac:dyDescent="0.2">
      <c r="A133" s="28">
        <f t="shared" si="129"/>
        <v>45627</v>
      </c>
      <c r="B133">
        <f t="shared" si="130"/>
        <v>12</v>
      </c>
      <c r="C133">
        <f t="shared" si="131"/>
        <v>2024</v>
      </c>
      <c r="E133" s="10">
        <f t="shared" ref="E133:F133" ca="1" si="154">E121</f>
        <v>508.62936502461724</v>
      </c>
      <c r="F133" s="10">
        <f t="shared" ca="1" si="154"/>
        <v>0</v>
      </c>
      <c r="G133">
        <f t="shared" si="133"/>
        <v>132</v>
      </c>
      <c r="H133">
        <f t="shared" si="134"/>
        <v>31</v>
      </c>
      <c r="I133">
        <f>'Monthly Data'!BR133</f>
        <v>0</v>
      </c>
      <c r="J133" s="17">
        <f>Economic!I133</f>
        <v>869576</v>
      </c>
      <c r="K133">
        <f t="shared" si="135"/>
        <v>0</v>
      </c>
      <c r="M133" s="17">
        <f t="shared" si="143"/>
        <v>-9501475.1395959798</v>
      </c>
      <c r="N133" s="17">
        <f t="shared" ca="1" si="145"/>
        <v>5972165.3005585838</v>
      </c>
      <c r="O133" s="17">
        <f t="shared" ca="1" si="146"/>
        <v>0</v>
      </c>
      <c r="P133" s="17">
        <f t="shared" si="147"/>
        <v>-4741105.5474561499</v>
      </c>
      <c r="Q133" s="17">
        <f t="shared" si="148"/>
        <v>25636435.683383022</v>
      </c>
      <c r="R133" s="17">
        <f t="shared" si="149"/>
        <v>0</v>
      </c>
      <c r="S133" s="17">
        <f t="shared" si="150"/>
        <v>14826848.967607711</v>
      </c>
      <c r="T133" s="17">
        <f t="shared" si="151"/>
        <v>0</v>
      </c>
      <c r="U133" s="17">
        <f t="shared" ca="1" si="152"/>
        <v>32192869.264497187</v>
      </c>
      <c r="W133" s="17"/>
      <c r="X133" s="30"/>
    </row>
    <row r="134" spans="1:24" x14ac:dyDescent="0.2">
      <c r="A134" s="28">
        <f t="shared" si="129"/>
        <v>45658</v>
      </c>
      <c r="B134">
        <f t="shared" si="130"/>
        <v>1</v>
      </c>
      <c r="C134">
        <f t="shared" si="131"/>
        <v>2025</v>
      </c>
      <c r="E134" s="10">
        <f t="shared" ref="E134:F134" ca="1" si="155">E122</f>
        <v>666.68367523535153</v>
      </c>
      <c r="F134" s="10">
        <f t="shared" ca="1" si="155"/>
        <v>0</v>
      </c>
      <c r="G134">
        <f t="shared" si="133"/>
        <v>133</v>
      </c>
      <c r="H134">
        <f t="shared" si="134"/>
        <v>31</v>
      </c>
      <c r="I134">
        <f>'Monthly Data'!BR134</f>
        <v>0</v>
      </c>
      <c r="J134" s="17">
        <f>Economic!I134</f>
        <v>874402</v>
      </c>
      <c r="K134">
        <f t="shared" si="135"/>
        <v>0</v>
      </c>
      <c r="M134" s="17">
        <f t="shared" si="143"/>
        <v>-9501475.1395959798</v>
      </c>
      <c r="N134" s="17">
        <f t="shared" ca="1" si="145"/>
        <v>7827989.0731372358</v>
      </c>
      <c r="O134" s="17">
        <f t="shared" ca="1" si="146"/>
        <v>0</v>
      </c>
      <c r="P134" s="17">
        <f t="shared" si="147"/>
        <v>-4777023.0137247574</v>
      </c>
      <c r="Q134" s="17">
        <f t="shared" si="148"/>
        <v>25636435.683383022</v>
      </c>
      <c r="R134" s="17">
        <f t="shared" si="149"/>
        <v>0</v>
      </c>
      <c r="S134" s="17">
        <f t="shared" si="150"/>
        <v>14909135.476340329</v>
      </c>
      <c r="T134" s="17">
        <f t="shared" si="151"/>
        <v>0</v>
      </c>
      <c r="U134" s="17">
        <f t="shared" ca="1" si="152"/>
        <v>34095062.07953985</v>
      </c>
      <c r="W134" s="17"/>
      <c r="X134" s="30"/>
    </row>
    <row r="135" spans="1:24" x14ac:dyDescent="0.2">
      <c r="A135" s="28">
        <f t="shared" si="129"/>
        <v>45689</v>
      </c>
      <c r="B135">
        <f t="shared" si="130"/>
        <v>2</v>
      </c>
      <c r="C135">
        <f t="shared" si="131"/>
        <v>2025</v>
      </c>
      <c r="E135" s="10">
        <f t="shared" ref="E135:F135" ca="1" si="156">E123</f>
        <v>599.3508333333333</v>
      </c>
      <c r="F135" s="10">
        <f t="shared" ca="1" si="156"/>
        <v>0</v>
      </c>
      <c r="G135">
        <f t="shared" si="133"/>
        <v>134</v>
      </c>
      <c r="H135">
        <f t="shared" si="134"/>
        <v>28</v>
      </c>
      <c r="I135">
        <f>'Monthly Data'!BR135</f>
        <v>0</v>
      </c>
      <c r="J135" s="17">
        <f>Economic!I135</f>
        <v>874402</v>
      </c>
      <c r="K135">
        <f t="shared" si="135"/>
        <v>0</v>
      </c>
      <c r="M135" s="17">
        <f t="shared" si="143"/>
        <v>-9501475.1395959798</v>
      </c>
      <c r="N135" s="17">
        <f t="shared" ca="1" si="145"/>
        <v>7037388.1176148038</v>
      </c>
      <c r="O135" s="17">
        <f t="shared" ca="1" si="146"/>
        <v>0</v>
      </c>
      <c r="P135" s="17">
        <f t="shared" si="147"/>
        <v>-4812940.4799933648</v>
      </c>
      <c r="Q135" s="17">
        <f t="shared" si="148"/>
        <v>23155490.294668537</v>
      </c>
      <c r="R135" s="17">
        <f t="shared" si="149"/>
        <v>0</v>
      </c>
      <c r="S135" s="17">
        <f t="shared" si="150"/>
        <v>14909135.476340329</v>
      </c>
      <c r="T135" s="17">
        <f t="shared" si="151"/>
        <v>0</v>
      </c>
      <c r="U135" s="17">
        <f t="shared" ca="1" si="152"/>
        <v>30787598.269034326</v>
      </c>
      <c r="W135" s="17"/>
      <c r="X135" s="30"/>
    </row>
    <row r="136" spans="1:24" x14ac:dyDescent="0.2">
      <c r="A136" s="28">
        <f t="shared" si="129"/>
        <v>45717</v>
      </c>
      <c r="B136">
        <f t="shared" si="130"/>
        <v>3</v>
      </c>
      <c r="C136">
        <f t="shared" si="131"/>
        <v>2025</v>
      </c>
      <c r="E136" s="10">
        <f t="shared" ref="E136:F136" ca="1" si="157">E124</f>
        <v>469.11853767651354</v>
      </c>
      <c r="F136" s="10">
        <f t="shared" ca="1" si="157"/>
        <v>0</v>
      </c>
      <c r="G136">
        <f t="shared" si="133"/>
        <v>135</v>
      </c>
      <c r="H136">
        <f t="shared" si="134"/>
        <v>31</v>
      </c>
      <c r="I136">
        <f>'Monthly Data'!BR136</f>
        <v>0</v>
      </c>
      <c r="J136" s="17">
        <f>Economic!I136</f>
        <v>874402</v>
      </c>
      <c r="K136">
        <f t="shared" si="135"/>
        <v>0</v>
      </c>
      <c r="M136" s="17">
        <f t="shared" si="143"/>
        <v>-9501475.1395959798</v>
      </c>
      <c r="N136" s="17">
        <f t="shared" ca="1" si="145"/>
        <v>5508241.6494471589</v>
      </c>
      <c r="O136" s="17">
        <f t="shared" ca="1" si="146"/>
        <v>0</v>
      </c>
      <c r="P136" s="17">
        <f t="shared" si="147"/>
        <v>-4848857.9462619713</v>
      </c>
      <c r="Q136" s="17">
        <f t="shared" si="148"/>
        <v>25636435.683383022</v>
      </c>
      <c r="R136" s="17">
        <f t="shared" si="149"/>
        <v>0</v>
      </c>
      <c r="S136" s="17">
        <f t="shared" si="150"/>
        <v>14909135.476340329</v>
      </c>
      <c r="T136" s="17">
        <f t="shared" si="151"/>
        <v>0</v>
      </c>
      <c r="U136" s="17">
        <f t="shared" ca="1" si="152"/>
        <v>31703479.723312557</v>
      </c>
      <c r="W136" s="17"/>
      <c r="X136" s="30"/>
    </row>
    <row r="137" spans="1:24" x14ac:dyDescent="0.2">
      <c r="A137" s="28">
        <f t="shared" si="129"/>
        <v>45748</v>
      </c>
      <c r="B137">
        <f t="shared" si="130"/>
        <v>4</v>
      </c>
      <c r="C137">
        <f t="shared" si="131"/>
        <v>2025</v>
      </c>
      <c r="E137" s="10">
        <f t="shared" ref="E137:F137" ca="1" si="158">E125</f>
        <v>233.92395833333336</v>
      </c>
      <c r="F137" s="10">
        <f t="shared" ca="1" si="158"/>
        <v>1.1666666666666714E-2</v>
      </c>
      <c r="G137">
        <f t="shared" si="133"/>
        <v>136</v>
      </c>
      <c r="H137">
        <f t="shared" si="134"/>
        <v>30</v>
      </c>
      <c r="I137">
        <f>'Monthly Data'!BR137</f>
        <v>0</v>
      </c>
      <c r="J137" s="17">
        <f>Economic!I137</f>
        <v>877135</v>
      </c>
      <c r="K137">
        <f t="shared" si="135"/>
        <v>0</v>
      </c>
      <c r="M137" s="17">
        <f t="shared" si="143"/>
        <v>-9501475.1395959798</v>
      </c>
      <c r="N137" s="17">
        <f t="shared" ca="1" si="145"/>
        <v>2746661.2095037615</v>
      </c>
      <c r="O137" s="17">
        <f t="shared" ca="1" si="146"/>
        <v>254.51489892739153</v>
      </c>
      <c r="P137" s="17">
        <f t="shared" si="147"/>
        <v>-4884775.4125305787</v>
      </c>
      <c r="Q137" s="17">
        <f t="shared" si="148"/>
        <v>24809453.88714486</v>
      </c>
      <c r="R137" s="17">
        <f t="shared" si="149"/>
        <v>0</v>
      </c>
      <c r="S137" s="17">
        <f t="shared" si="150"/>
        <v>14955734.943469679</v>
      </c>
      <c r="T137" s="17">
        <f t="shared" si="151"/>
        <v>0</v>
      </c>
      <c r="U137" s="17">
        <f t="shared" ca="1" si="152"/>
        <v>28125854.002890669</v>
      </c>
      <c r="W137" s="17"/>
      <c r="X137" s="31"/>
    </row>
    <row r="138" spans="1:24" x14ac:dyDescent="0.2">
      <c r="A138" s="28">
        <f t="shared" si="129"/>
        <v>45778</v>
      </c>
      <c r="B138">
        <f t="shared" si="130"/>
        <v>5</v>
      </c>
      <c r="C138">
        <f t="shared" si="131"/>
        <v>2025</v>
      </c>
      <c r="E138" s="10">
        <f t="shared" ref="E138:F138" ca="1" si="159">E126</f>
        <v>46.324929225504526</v>
      </c>
      <c r="F138" s="10">
        <f t="shared" ca="1" si="159"/>
        <v>19.778958333333328</v>
      </c>
      <c r="G138">
        <f t="shared" si="133"/>
        <v>137</v>
      </c>
      <c r="H138">
        <f t="shared" si="134"/>
        <v>31</v>
      </c>
      <c r="I138">
        <f>'Monthly Data'!BR138</f>
        <v>0</v>
      </c>
      <c r="J138" s="17">
        <f>Economic!I138</f>
        <v>877135</v>
      </c>
      <c r="K138">
        <f t="shared" si="135"/>
        <v>0</v>
      </c>
      <c r="M138" s="17">
        <f t="shared" si="143"/>
        <v>-9501475.1395959798</v>
      </c>
      <c r="N138" s="17">
        <f t="shared" ca="1" si="145"/>
        <v>543932.68241207476</v>
      </c>
      <c r="O138" s="17">
        <f t="shared" ca="1" si="146"/>
        <v>431489.10695120576</v>
      </c>
      <c r="P138" s="17">
        <f t="shared" si="147"/>
        <v>-4920692.8787991861</v>
      </c>
      <c r="Q138" s="17">
        <f t="shared" si="148"/>
        <v>25636435.683383022</v>
      </c>
      <c r="R138" s="17">
        <f t="shared" si="149"/>
        <v>0</v>
      </c>
      <c r="S138" s="17">
        <f t="shared" si="150"/>
        <v>14955734.943469679</v>
      </c>
      <c r="T138" s="17">
        <f t="shared" si="151"/>
        <v>0</v>
      </c>
      <c r="U138" s="17">
        <f t="shared" ca="1" si="152"/>
        <v>27145424.397820815</v>
      </c>
      <c r="W138" s="17"/>
      <c r="X138" s="31"/>
    </row>
    <row r="139" spans="1:24" x14ac:dyDescent="0.2">
      <c r="A139" s="28">
        <f t="shared" si="129"/>
        <v>45809</v>
      </c>
      <c r="B139">
        <f t="shared" si="130"/>
        <v>6</v>
      </c>
      <c r="C139">
        <f t="shared" si="131"/>
        <v>2025</v>
      </c>
      <c r="E139" s="10">
        <f t="shared" ref="E139:F139" ca="1" si="160">E127</f>
        <v>1.25875</v>
      </c>
      <c r="F139" s="10">
        <f t="shared" ca="1" si="160"/>
        <v>53.293685210734182</v>
      </c>
      <c r="G139">
        <f t="shared" si="133"/>
        <v>138</v>
      </c>
      <c r="H139">
        <f t="shared" si="134"/>
        <v>30</v>
      </c>
      <c r="I139">
        <f>'Monthly Data'!BR139</f>
        <v>0</v>
      </c>
      <c r="J139" s="17">
        <f>Economic!I139</f>
        <v>877135</v>
      </c>
      <c r="K139">
        <f t="shared" si="135"/>
        <v>0</v>
      </c>
      <c r="M139" s="17">
        <f t="shared" si="143"/>
        <v>-9501475.1395959798</v>
      </c>
      <c r="N139" s="17">
        <f t="shared" ca="1" si="145"/>
        <v>14779.844792709282</v>
      </c>
      <c r="O139" s="17">
        <f t="shared" ca="1" si="146"/>
        <v>1162631.7347038437</v>
      </c>
      <c r="P139" s="17">
        <f t="shared" si="147"/>
        <v>-4956610.3450677935</v>
      </c>
      <c r="Q139" s="17">
        <f t="shared" si="148"/>
        <v>24809453.88714486</v>
      </c>
      <c r="R139" s="17">
        <f t="shared" si="149"/>
        <v>0</v>
      </c>
      <c r="S139" s="17">
        <f t="shared" si="150"/>
        <v>14955734.943469679</v>
      </c>
      <c r="T139" s="17">
        <f t="shared" si="151"/>
        <v>0</v>
      </c>
      <c r="U139" s="17">
        <f t="shared" ca="1" si="152"/>
        <v>26484514.925447315</v>
      </c>
      <c r="W139" s="17"/>
      <c r="X139" s="31"/>
    </row>
    <row r="140" spans="1:24" x14ac:dyDescent="0.2">
      <c r="A140" s="28">
        <f t="shared" si="129"/>
        <v>45839</v>
      </c>
      <c r="B140">
        <f t="shared" si="130"/>
        <v>7</v>
      </c>
      <c r="C140">
        <f t="shared" si="131"/>
        <v>2025</v>
      </c>
      <c r="E140" s="10">
        <f t="shared" ref="E140:F140" ca="1" si="161">E128</f>
        <v>0</v>
      </c>
      <c r="F140" s="10">
        <f t="shared" ca="1" si="161"/>
        <v>104.42694776957208</v>
      </c>
      <c r="G140">
        <f t="shared" si="133"/>
        <v>139</v>
      </c>
      <c r="H140">
        <f t="shared" si="134"/>
        <v>31</v>
      </c>
      <c r="I140">
        <f>'Monthly Data'!BR140</f>
        <v>0</v>
      </c>
      <c r="J140" s="17">
        <f>Economic!I140</f>
        <v>877865</v>
      </c>
      <c r="K140">
        <f t="shared" si="135"/>
        <v>0</v>
      </c>
      <c r="M140" s="17">
        <f t="shared" si="143"/>
        <v>-9501475.1395959798</v>
      </c>
      <c r="N140" s="17">
        <f t="shared" ca="1" si="145"/>
        <v>0</v>
      </c>
      <c r="O140" s="17">
        <f t="shared" ca="1" si="146"/>
        <v>2278132.6334458739</v>
      </c>
      <c r="P140" s="17">
        <f t="shared" si="147"/>
        <v>-4992527.8113364</v>
      </c>
      <c r="Q140" s="17">
        <f t="shared" si="148"/>
        <v>25636435.683383022</v>
      </c>
      <c r="R140" s="17">
        <f t="shared" si="149"/>
        <v>0</v>
      </c>
      <c r="S140" s="17">
        <f t="shared" si="150"/>
        <v>14968181.928835368</v>
      </c>
      <c r="T140" s="17">
        <f t="shared" si="151"/>
        <v>0</v>
      </c>
      <c r="U140" s="17">
        <f t="shared" ca="1" si="152"/>
        <v>28388747.294731885</v>
      </c>
      <c r="W140" s="17"/>
      <c r="X140" s="31"/>
    </row>
    <row r="141" spans="1:24" x14ac:dyDescent="0.2">
      <c r="A141" s="28">
        <f t="shared" si="129"/>
        <v>45870</v>
      </c>
      <c r="B141">
        <f t="shared" si="130"/>
        <v>8</v>
      </c>
      <c r="C141">
        <f t="shared" si="131"/>
        <v>2025</v>
      </c>
      <c r="E141" s="10">
        <f t="shared" ref="E141:F141" ca="1" si="162">E129</f>
        <v>0.1158333333333335</v>
      </c>
      <c r="F141" s="10">
        <f t="shared" ca="1" si="162"/>
        <v>74.696666666666673</v>
      </c>
      <c r="G141">
        <f t="shared" si="133"/>
        <v>140</v>
      </c>
      <c r="H141">
        <f t="shared" si="134"/>
        <v>31</v>
      </c>
      <c r="I141">
        <f>'Monthly Data'!BR141</f>
        <v>0</v>
      </c>
      <c r="J141" s="17">
        <f>Economic!I141</f>
        <v>877865</v>
      </c>
      <c r="K141">
        <f t="shared" si="135"/>
        <v>0</v>
      </c>
      <c r="M141" s="17">
        <f t="shared" si="143"/>
        <v>-9501475.1395959798</v>
      </c>
      <c r="N141" s="17">
        <f t="shared" ca="1" si="145"/>
        <v>1360.0784019772213</v>
      </c>
      <c r="O141" s="17">
        <f t="shared" ca="1" si="146"/>
        <v>1629549.8200182556</v>
      </c>
      <c r="P141" s="17">
        <f t="shared" si="147"/>
        <v>-5028445.2776050074</v>
      </c>
      <c r="Q141" s="17">
        <f t="shared" si="148"/>
        <v>25636435.683383022</v>
      </c>
      <c r="R141" s="17">
        <f t="shared" si="149"/>
        <v>0</v>
      </c>
      <c r="S141" s="17">
        <f t="shared" si="150"/>
        <v>14968181.928835368</v>
      </c>
      <c r="T141" s="17">
        <f t="shared" si="151"/>
        <v>0</v>
      </c>
      <c r="U141" s="17">
        <f t="shared" ca="1" si="152"/>
        <v>27705607.093437634</v>
      </c>
      <c r="W141" s="17"/>
      <c r="X141" s="31"/>
    </row>
    <row r="142" spans="1:24" x14ac:dyDescent="0.2">
      <c r="A142" s="28">
        <f t="shared" si="129"/>
        <v>45901</v>
      </c>
      <c r="B142">
        <f t="shared" si="130"/>
        <v>9</v>
      </c>
      <c r="C142">
        <f t="shared" si="131"/>
        <v>2025</v>
      </c>
      <c r="E142" s="10">
        <f t="shared" ref="E142:F142" ca="1" si="163">E130</f>
        <v>11.597845892171184</v>
      </c>
      <c r="F142" s="10">
        <f t="shared" ca="1" si="163"/>
        <v>25.91041666666667</v>
      </c>
      <c r="G142">
        <f t="shared" si="133"/>
        <v>141</v>
      </c>
      <c r="H142">
        <f t="shared" si="134"/>
        <v>30</v>
      </c>
      <c r="I142">
        <f>'Monthly Data'!BR142</f>
        <v>0</v>
      </c>
      <c r="J142" s="17">
        <f>Economic!I142</f>
        <v>877865</v>
      </c>
      <c r="K142">
        <f t="shared" si="135"/>
        <v>1</v>
      </c>
      <c r="M142" s="17">
        <f t="shared" si="143"/>
        <v>-9501475.1395959798</v>
      </c>
      <c r="N142" s="17">
        <f t="shared" ca="1" si="145"/>
        <v>136178.24207829277</v>
      </c>
      <c r="O142" s="17">
        <f t="shared" ca="1" si="146"/>
        <v>565250.3210642779</v>
      </c>
      <c r="P142" s="17">
        <f t="shared" si="147"/>
        <v>-5064362.7438736148</v>
      </c>
      <c r="Q142" s="17">
        <f t="shared" si="148"/>
        <v>24809453.88714486</v>
      </c>
      <c r="R142" s="17">
        <f t="shared" si="149"/>
        <v>0</v>
      </c>
      <c r="S142" s="17">
        <f t="shared" si="150"/>
        <v>14968181.928835368</v>
      </c>
      <c r="T142" s="17">
        <f t="shared" si="151"/>
        <v>413783.55369814899</v>
      </c>
      <c r="U142" s="17">
        <f t="shared" ca="1" si="152"/>
        <v>26327010.049351353</v>
      </c>
      <c r="W142" s="17"/>
      <c r="X142" s="31"/>
    </row>
    <row r="143" spans="1:24" x14ac:dyDescent="0.2">
      <c r="A143" s="28">
        <f t="shared" si="129"/>
        <v>45931</v>
      </c>
      <c r="B143">
        <f t="shared" si="130"/>
        <v>10</v>
      </c>
      <c r="C143">
        <f t="shared" si="131"/>
        <v>2025</v>
      </c>
      <c r="E143" s="10">
        <f t="shared" ref="E143:F143" ca="1" si="164">E131</f>
        <v>128.51888157360821</v>
      </c>
      <c r="F143" s="10">
        <f t="shared" ca="1" si="164"/>
        <v>2.0656249999999989</v>
      </c>
      <c r="G143">
        <f t="shared" si="133"/>
        <v>142</v>
      </c>
      <c r="H143">
        <f t="shared" si="134"/>
        <v>31</v>
      </c>
      <c r="I143">
        <f>'Monthly Data'!BR143</f>
        <v>0</v>
      </c>
      <c r="J143" s="17">
        <f>Economic!I143</f>
        <v>869576</v>
      </c>
      <c r="K143">
        <f t="shared" si="135"/>
        <v>1</v>
      </c>
      <c r="M143" s="17">
        <f t="shared" si="143"/>
        <v>-9501475.1395959798</v>
      </c>
      <c r="N143" s="17">
        <f t="shared" ca="1" si="145"/>
        <v>1509028.1013628712</v>
      </c>
      <c r="O143" s="17">
        <f t="shared" ca="1" si="146"/>
        <v>45062.771836876353</v>
      </c>
      <c r="P143" s="17">
        <f t="shared" si="147"/>
        <v>-5100280.2101422222</v>
      </c>
      <c r="Q143" s="17">
        <f t="shared" si="148"/>
        <v>25636435.683383022</v>
      </c>
      <c r="R143" s="17">
        <f t="shared" si="149"/>
        <v>0</v>
      </c>
      <c r="S143" s="17">
        <f t="shared" si="150"/>
        <v>14826848.967607711</v>
      </c>
      <c r="T143" s="17">
        <f t="shared" si="151"/>
        <v>413783.55369814899</v>
      </c>
      <c r="U143" s="17">
        <f t="shared" ca="1" si="152"/>
        <v>27829403.728150424</v>
      </c>
      <c r="W143" s="17"/>
      <c r="X143" s="31"/>
    </row>
    <row r="144" spans="1:24" x14ac:dyDescent="0.2">
      <c r="A144" s="28">
        <f t="shared" si="129"/>
        <v>45962</v>
      </c>
      <c r="B144">
        <f t="shared" si="130"/>
        <v>11</v>
      </c>
      <c r="C144">
        <f t="shared" si="131"/>
        <v>2025</v>
      </c>
      <c r="E144" s="10">
        <f t="shared" ref="E144:F144" ca="1" si="165">E132</f>
        <v>332.1049960098469</v>
      </c>
      <c r="F144" s="10">
        <f t="shared" ca="1" si="165"/>
        <v>0</v>
      </c>
      <c r="G144">
        <f t="shared" si="133"/>
        <v>143</v>
      </c>
      <c r="H144">
        <f t="shared" si="134"/>
        <v>30</v>
      </c>
      <c r="I144">
        <f>'Monthly Data'!BR144</f>
        <v>0</v>
      </c>
      <c r="J144" s="17">
        <f>Economic!I144</f>
        <v>869576</v>
      </c>
      <c r="K144">
        <f t="shared" si="135"/>
        <v>1</v>
      </c>
      <c r="M144" s="17">
        <f t="shared" si="143"/>
        <v>-9501475.1395959798</v>
      </c>
      <c r="N144" s="17">
        <f t="shared" ca="1" si="145"/>
        <v>3899471.9331947346</v>
      </c>
      <c r="O144" s="17">
        <f t="shared" ca="1" si="146"/>
        <v>0</v>
      </c>
      <c r="P144" s="17">
        <f t="shared" si="147"/>
        <v>-5136197.6764108287</v>
      </c>
      <c r="Q144" s="17">
        <f t="shared" si="148"/>
        <v>24809453.88714486</v>
      </c>
      <c r="R144" s="17">
        <f t="shared" si="149"/>
        <v>0</v>
      </c>
      <c r="S144" s="17">
        <f t="shared" si="150"/>
        <v>14826848.967607711</v>
      </c>
      <c r="T144" s="17">
        <f t="shared" si="151"/>
        <v>413783.55369814899</v>
      </c>
      <c r="U144" s="17">
        <f t="shared" ca="1" si="152"/>
        <v>29311885.525638644</v>
      </c>
      <c r="W144" s="17"/>
      <c r="X144" s="31"/>
    </row>
    <row r="145" spans="1:24" x14ac:dyDescent="0.2">
      <c r="A145" s="28">
        <f t="shared" si="129"/>
        <v>45992</v>
      </c>
      <c r="B145">
        <f t="shared" si="130"/>
        <v>12</v>
      </c>
      <c r="C145">
        <f t="shared" si="131"/>
        <v>2025</v>
      </c>
      <c r="E145" s="10">
        <f t="shared" ref="E145:F145" ca="1" si="166">E133</f>
        <v>508.62936502461724</v>
      </c>
      <c r="F145" s="10">
        <f t="shared" ca="1" si="166"/>
        <v>0</v>
      </c>
      <c r="G145">
        <f t="shared" si="133"/>
        <v>144</v>
      </c>
      <c r="H145">
        <f t="shared" si="134"/>
        <v>31</v>
      </c>
      <c r="I145">
        <f>'Monthly Data'!BR145</f>
        <v>0</v>
      </c>
      <c r="J145" s="17">
        <f>Economic!I145</f>
        <v>869576</v>
      </c>
      <c r="K145">
        <f t="shared" si="135"/>
        <v>0</v>
      </c>
      <c r="M145" s="17">
        <f t="shared" si="143"/>
        <v>-9501475.1395959798</v>
      </c>
      <c r="N145" s="17">
        <f t="shared" ca="1" si="145"/>
        <v>5972165.3005585838</v>
      </c>
      <c r="O145" s="17">
        <f t="shared" ca="1" si="146"/>
        <v>0</v>
      </c>
      <c r="P145" s="17">
        <f t="shared" si="147"/>
        <v>-5172115.1426794361</v>
      </c>
      <c r="Q145" s="17">
        <f t="shared" si="148"/>
        <v>25636435.683383022</v>
      </c>
      <c r="R145" s="17">
        <f t="shared" si="149"/>
        <v>0</v>
      </c>
      <c r="S145" s="17">
        <f t="shared" si="150"/>
        <v>14826848.967607711</v>
      </c>
      <c r="T145" s="17">
        <f t="shared" si="151"/>
        <v>0</v>
      </c>
      <c r="U145" s="17">
        <f t="shared" ca="1" si="152"/>
        <v>31761859.669273902</v>
      </c>
      <c r="W145" s="17"/>
      <c r="X145" s="31"/>
    </row>
    <row r="146" spans="1:24" x14ac:dyDescent="0.2">
      <c r="W146" s="17"/>
      <c r="X146" s="3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7A26-11CC-4327-B04F-D6DECEC7D652}">
  <sheetPr>
    <tabColor theme="3" tint="0.749992370372631"/>
  </sheetPr>
  <dimension ref="B1:AT89"/>
  <sheetViews>
    <sheetView topLeftCell="A9" workbookViewId="0"/>
  </sheetViews>
  <sheetFormatPr defaultColWidth="8.83203125" defaultRowHeight="15" x14ac:dyDescent="0.25"/>
  <cols>
    <col min="1" max="1" width="8.83203125" style="205"/>
    <col min="2" max="3" width="12.83203125" style="205" customWidth="1"/>
    <col min="4" max="4" width="8.5" style="205" bestFit="1" customWidth="1"/>
    <col min="5" max="6" width="12.6640625" style="205" customWidth="1"/>
    <col min="7" max="7" width="14" style="205" customWidth="1"/>
    <col min="8" max="8" width="12.6640625" style="205" customWidth="1"/>
    <col min="9" max="10" width="8.83203125" style="205"/>
    <col min="11" max="11" width="11.6640625" style="205" bestFit="1" customWidth="1"/>
    <col min="12" max="13" width="8.83203125" style="205"/>
    <col min="14" max="14" width="11.33203125" style="205" customWidth="1"/>
    <col min="15" max="15" width="13" style="205" customWidth="1"/>
    <col min="16" max="16" width="14.83203125" style="205" customWidth="1"/>
    <col min="17" max="17" width="14.1640625" style="205" customWidth="1"/>
    <col min="18" max="18" width="9.6640625" style="205" customWidth="1"/>
    <col min="19" max="19" width="11.1640625" style="205" customWidth="1"/>
    <col min="20" max="20" width="13" style="205" customWidth="1"/>
    <col min="21" max="21" width="14.5" style="205" customWidth="1"/>
    <col min="22" max="22" width="12.83203125" style="205" customWidth="1"/>
    <col min="23" max="26" width="8.83203125" style="205"/>
    <col min="27" max="27" width="15.1640625" style="205" customWidth="1"/>
    <col min="28" max="28" width="11.6640625" style="205" bestFit="1" customWidth="1"/>
    <col min="29" max="29" width="8.83203125" style="205"/>
    <col min="30" max="30" width="14" style="205" customWidth="1"/>
    <col min="31" max="31" width="14.83203125" style="205" customWidth="1"/>
    <col min="32" max="32" width="15.1640625" style="205" bestFit="1" customWidth="1"/>
    <col min="33" max="33" width="18.83203125" style="205" customWidth="1"/>
    <col min="34" max="34" width="10.1640625" style="205" customWidth="1"/>
    <col min="35" max="16384" width="8.83203125" style="205"/>
  </cols>
  <sheetData>
    <row r="1" spans="2:46" x14ac:dyDescent="0.25">
      <c r="B1" s="218" t="s">
        <v>165</v>
      </c>
      <c r="C1" s="219"/>
      <c r="D1" s="219"/>
      <c r="E1" s="219"/>
      <c r="F1" s="219"/>
      <c r="G1" s="219"/>
      <c r="J1" s="218"/>
      <c r="K1" s="219"/>
      <c r="L1" s="220"/>
      <c r="M1" s="464" t="s">
        <v>166</v>
      </c>
      <c r="N1" s="465"/>
      <c r="O1" s="465"/>
      <c r="P1" s="465"/>
      <c r="Q1" s="466"/>
      <c r="R1" s="464" t="s">
        <v>167</v>
      </c>
      <c r="S1" s="465"/>
      <c r="T1" s="465"/>
      <c r="U1" s="465"/>
      <c r="V1" s="466"/>
      <c r="Y1" s="205" t="s">
        <v>168</v>
      </c>
    </row>
    <row r="2" spans="2:46" s="225" customFormat="1" ht="60" x14ac:dyDescent="0.25">
      <c r="B2" s="221" t="s">
        <v>169</v>
      </c>
      <c r="C2" s="222"/>
      <c r="D2" s="223" t="s">
        <v>170</v>
      </c>
      <c r="E2" s="103" t="s">
        <v>171</v>
      </c>
      <c r="F2" s="103" t="s">
        <v>172</v>
      </c>
      <c r="G2" s="103" t="s">
        <v>173</v>
      </c>
      <c r="H2" s="224" t="s">
        <v>174</v>
      </c>
      <c r="J2" s="221"/>
      <c r="K2" s="222"/>
      <c r="L2" s="226"/>
      <c r="M2" s="227" t="s">
        <v>170</v>
      </c>
      <c r="N2" s="263" t="s">
        <v>171</v>
      </c>
      <c r="O2" s="263" t="s">
        <v>172</v>
      </c>
      <c r="P2" s="263" t="s">
        <v>173</v>
      </c>
      <c r="Q2" s="224" t="str">
        <f>H2</f>
        <v>GSH Total (Calc)</v>
      </c>
      <c r="R2" s="221" t="str">
        <f>M2</f>
        <v>Ontario</v>
      </c>
      <c r="S2" s="222" t="str">
        <f>N2</f>
        <v>Greater Sudbury / Grand Sudbury</v>
      </c>
      <c r="T2" s="222" t="str">
        <f>O2</f>
        <v>Sudbury, Unorganized, North Part</v>
      </c>
      <c r="U2" s="222" t="str">
        <f>P2</f>
        <v>West Nipissing / Nipissing Ouest</v>
      </c>
      <c r="V2" s="226" t="str">
        <f>Q2</f>
        <v>GSH Total (Calc)</v>
      </c>
      <c r="X2" s="205"/>
      <c r="Y2" s="205" t="s">
        <v>175</v>
      </c>
      <c r="Z2" s="205"/>
      <c r="AA2" s="463" t="s">
        <v>176</v>
      </c>
      <c r="AB2" s="463"/>
      <c r="AC2" s="463"/>
      <c r="AD2" s="463"/>
      <c r="AE2" s="463"/>
      <c r="AF2" s="463" t="s">
        <v>177</v>
      </c>
      <c r="AG2" s="463"/>
      <c r="AH2" s="463"/>
      <c r="AI2" s="463"/>
      <c r="AJ2" s="463"/>
      <c r="AK2" s="463" t="s">
        <v>178</v>
      </c>
      <c r="AL2" s="463"/>
      <c r="AM2" s="463"/>
      <c r="AN2" s="463"/>
      <c r="AO2" s="463"/>
      <c r="AP2" s="463" t="s">
        <v>179</v>
      </c>
      <c r="AQ2" s="463"/>
      <c r="AR2" s="463"/>
      <c r="AS2" s="463"/>
      <c r="AT2" s="463"/>
    </row>
    <row r="3" spans="2:46" x14ac:dyDescent="0.25">
      <c r="B3" s="228" t="s">
        <v>180</v>
      </c>
      <c r="C3" s="205">
        <f>VALUE(RIGHT(B3,4))</f>
        <v>2017</v>
      </c>
      <c r="D3" s="229">
        <v>1319</v>
      </c>
      <c r="E3" s="205">
        <v>3</v>
      </c>
      <c r="F3" s="205">
        <v>0</v>
      </c>
      <c r="G3" s="205">
        <v>0</v>
      </c>
      <c r="H3" s="230">
        <f>E3+F3+G3</f>
        <v>3</v>
      </c>
      <c r="J3" s="231">
        <v>42736</v>
      </c>
      <c r="K3" s="232">
        <v>2017</v>
      </c>
      <c r="L3" s="233" t="s">
        <v>180</v>
      </c>
      <c r="M3" s="228">
        <f t="shared" ref="M3:M66" si="0">SUMIFS(D:D,B:B,L3)</f>
        <v>1319</v>
      </c>
      <c r="N3" s="205">
        <f t="shared" ref="N3:N66" si="1">SUMIFS(E:E,B:B,L3)</f>
        <v>3</v>
      </c>
      <c r="O3" s="205">
        <f t="shared" ref="O3:O66" si="2">SUMIFS(F:F,B:B,L3)</f>
        <v>0</v>
      </c>
      <c r="P3" s="205">
        <f t="shared" ref="P3:P66" si="3">SUMIFS(G:G,B:B,L3)</f>
        <v>0</v>
      </c>
      <c r="Q3" s="230">
        <f>N3+O3+P3</f>
        <v>3</v>
      </c>
      <c r="R3" s="234">
        <f>M3/3</f>
        <v>439.66666666666669</v>
      </c>
      <c r="S3" s="235">
        <f>N3/3</f>
        <v>1</v>
      </c>
      <c r="T3" s="235">
        <f>O3/3</f>
        <v>0</v>
      </c>
      <c r="U3" s="235">
        <f>P3/3</f>
        <v>0</v>
      </c>
      <c r="V3" s="236">
        <f>Q3/3</f>
        <v>1</v>
      </c>
      <c r="Y3" s="205" t="s">
        <v>181</v>
      </c>
      <c r="AA3" s="205" t="s">
        <v>182</v>
      </c>
      <c r="AB3" s="205" t="s">
        <v>183</v>
      </c>
      <c r="AC3" s="205" t="s">
        <v>184</v>
      </c>
      <c r="AD3" s="205" t="s">
        <v>185</v>
      </c>
      <c r="AE3" s="205" t="s">
        <v>186</v>
      </c>
      <c r="AF3" s="205" t="s">
        <v>182</v>
      </c>
      <c r="AG3" s="205" t="s">
        <v>183</v>
      </c>
      <c r="AH3" s="205" t="s">
        <v>184</v>
      </c>
      <c r="AI3" s="205" t="s">
        <v>185</v>
      </c>
      <c r="AJ3" s="205" t="s">
        <v>186</v>
      </c>
      <c r="AK3" s="205" t="s">
        <v>182</v>
      </c>
      <c r="AL3" s="205" t="s">
        <v>183</v>
      </c>
      <c r="AM3" s="205" t="s">
        <v>184</v>
      </c>
      <c r="AN3" s="205" t="s">
        <v>185</v>
      </c>
      <c r="AO3" s="205" t="s">
        <v>186</v>
      </c>
      <c r="AP3" s="205" t="s">
        <v>182</v>
      </c>
      <c r="AQ3" s="205" t="s">
        <v>183</v>
      </c>
      <c r="AR3" s="205" t="s">
        <v>184</v>
      </c>
      <c r="AS3" s="205" t="s">
        <v>185</v>
      </c>
      <c r="AT3" s="205" t="s">
        <v>186</v>
      </c>
    </row>
    <row r="4" spans="2:46" x14ac:dyDescent="0.25">
      <c r="B4" s="228" t="s">
        <v>187</v>
      </c>
      <c r="C4" s="205">
        <f t="shared" ref="C4:C31" si="4">VALUE(RIGHT(B4,4))</f>
        <v>2017</v>
      </c>
      <c r="D4" s="229">
        <v>2089</v>
      </c>
      <c r="E4" s="205">
        <v>9</v>
      </c>
      <c r="F4" s="205">
        <v>0</v>
      </c>
      <c r="G4" s="205">
        <v>1</v>
      </c>
      <c r="H4" s="230">
        <f t="shared" ref="H4:H31" si="5">E4+F4+G4</f>
        <v>10</v>
      </c>
      <c r="J4" s="231">
        <v>42767</v>
      </c>
      <c r="K4" s="232">
        <v>2017</v>
      </c>
      <c r="L4" s="233" t="s">
        <v>180</v>
      </c>
      <c r="M4" s="228">
        <f t="shared" si="0"/>
        <v>1319</v>
      </c>
      <c r="N4" s="205">
        <f t="shared" si="1"/>
        <v>3</v>
      </c>
      <c r="O4" s="205">
        <f t="shared" si="2"/>
        <v>0</v>
      </c>
      <c r="P4" s="205">
        <f t="shared" si="3"/>
        <v>0</v>
      </c>
      <c r="Q4" s="230">
        <f t="shared" ref="Q4:Q67" si="6">N4+O4+P4</f>
        <v>3</v>
      </c>
      <c r="R4" s="234">
        <f t="shared" ref="R4:V19" si="7">M4/3+R3</f>
        <v>879.33333333333337</v>
      </c>
      <c r="S4" s="235">
        <f t="shared" si="7"/>
        <v>2</v>
      </c>
      <c r="T4" s="235">
        <f t="shared" si="7"/>
        <v>0</v>
      </c>
      <c r="U4" s="235">
        <f t="shared" si="7"/>
        <v>0</v>
      </c>
      <c r="V4" s="236">
        <f t="shared" si="7"/>
        <v>2</v>
      </c>
      <c r="X4" s="205" t="s">
        <v>169</v>
      </c>
      <c r="Y4" s="205" t="s">
        <v>188</v>
      </c>
    </row>
    <row r="5" spans="2:46" x14ac:dyDescent="0.25">
      <c r="B5" s="228" t="s">
        <v>189</v>
      </c>
      <c r="C5" s="205">
        <f t="shared" si="4"/>
        <v>2017</v>
      </c>
      <c r="D5" s="229">
        <v>2130</v>
      </c>
      <c r="E5" s="205">
        <v>6</v>
      </c>
      <c r="F5" s="205">
        <v>0</v>
      </c>
      <c r="G5" s="205">
        <v>2</v>
      </c>
      <c r="H5" s="230">
        <f t="shared" si="5"/>
        <v>8</v>
      </c>
      <c r="J5" s="231">
        <v>42795</v>
      </c>
      <c r="K5" s="232">
        <v>2017</v>
      </c>
      <c r="L5" s="233" t="s">
        <v>180</v>
      </c>
      <c r="M5" s="228">
        <f t="shared" si="0"/>
        <v>1319</v>
      </c>
      <c r="N5" s="205">
        <f t="shared" si="1"/>
        <v>3</v>
      </c>
      <c r="O5" s="205">
        <f t="shared" si="2"/>
        <v>0</v>
      </c>
      <c r="P5" s="205">
        <f t="shared" si="3"/>
        <v>0</v>
      </c>
      <c r="Q5" s="230">
        <f t="shared" si="6"/>
        <v>3</v>
      </c>
      <c r="R5" s="234">
        <f t="shared" si="7"/>
        <v>1319</v>
      </c>
      <c r="S5" s="235">
        <f t="shared" si="7"/>
        <v>3</v>
      </c>
      <c r="T5" s="235">
        <f t="shared" si="7"/>
        <v>0</v>
      </c>
      <c r="U5" s="235">
        <f t="shared" si="7"/>
        <v>0</v>
      </c>
      <c r="V5" s="236">
        <f t="shared" si="7"/>
        <v>3</v>
      </c>
      <c r="AA5" s="205" t="s">
        <v>190</v>
      </c>
    </row>
    <row r="6" spans="2:46" x14ac:dyDescent="0.25">
      <c r="B6" s="228" t="s">
        <v>191</v>
      </c>
      <c r="C6" s="205">
        <f t="shared" si="4"/>
        <v>2017</v>
      </c>
      <c r="D6" s="229">
        <v>2642</v>
      </c>
      <c r="E6" s="205">
        <v>4</v>
      </c>
      <c r="F6" s="205">
        <v>1</v>
      </c>
      <c r="G6" s="205">
        <v>2</v>
      </c>
      <c r="H6" s="230">
        <f t="shared" si="5"/>
        <v>7</v>
      </c>
      <c r="J6" s="231">
        <v>42826</v>
      </c>
      <c r="K6" s="232">
        <v>2017</v>
      </c>
      <c r="L6" s="233" t="s">
        <v>187</v>
      </c>
      <c r="M6" s="228">
        <f t="shared" si="0"/>
        <v>2089</v>
      </c>
      <c r="N6" s="205">
        <f t="shared" si="1"/>
        <v>9</v>
      </c>
      <c r="O6" s="205">
        <f t="shared" si="2"/>
        <v>0</v>
      </c>
      <c r="P6" s="205">
        <f t="shared" si="3"/>
        <v>1</v>
      </c>
      <c r="Q6" s="230">
        <f t="shared" si="6"/>
        <v>10</v>
      </c>
      <c r="R6" s="234">
        <f t="shared" si="7"/>
        <v>2015.3333333333335</v>
      </c>
      <c r="S6" s="235">
        <f t="shared" si="7"/>
        <v>6</v>
      </c>
      <c r="T6" s="235">
        <f t="shared" si="7"/>
        <v>0</v>
      </c>
      <c r="U6" s="235">
        <f t="shared" si="7"/>
        <v>0.33333333333333331</v>
      </c>
      <c r="V6" s="236">
        <f t="shared" si="7"/>
        <v>6.3333333333333339</v>
      </c>
      <c r="X6" s="205" t="s">
        <v>170</v>
      </c>
      <c r="Y6" s="205" t="s">
        <v>180</v>
      </c>
      <c r="Z6" s="205">
        <f>VALUE(RIGHT(Y6,4))</f>
        <v>2017</v>
      </c>
      <c r="AA6" s="229">
        <v>168231</v>
      </c>
      <c r="AB6" s="229">
        <v>53466</v>
      </c>
      <c r="AC6" s="229">
        <v>31137</v>
      </c>
      <c r="AD6" s="229">
        <v>70807</v>
      </c>
      <c r="AE6" s="229">
        <v>12821</v>
      </c>
      <c r="AF6" s="205">
        <v>595</v>
      </c>
      <c r="AG6" s="205">
        <v>414</v>
      </c>
      <c r="AH6" s="205">
        <v>0</v>
      </c>
      <c r="AI6" s="205">
        <v>181</v>
      </c>
      <c r="AJ6" s="205">
        <v>0</v>
      </c>
      <c r="AK6" s="229">
        <v>1633</v>
      </c>
      <c r="AL6" s="205">
        <v>918</v>
      </c>
      <c r="AM6" s="205">
        <v>0</v>
      </c>
      <c r="AN6" s="205">
        <v>715</v>
      </c>
      <c r="AO6" s="205">
        <v>0</v>
      </c>
      <c r="AP6" s="205">
        <v>724</v>
      </c>
      <c r="AQ6" s="205">
        <v>627</v>
      </c>
      <c r="AR6" s="205">
        <v>0</v>
      </c>
      <c r="AS6" s="205">
        <v>88</v>
      </c>
      <c r="AT6" s="205">
        <v>9</v>
      </c>
    </row>
    <row r="7" spans="2:46" x14ac:dyDescent="0.25">
      <c r="B7" s="228" t="s">
        <v>192</v>
      </c>
      <c r="C7" s="205">
        <f t="shared" si="4"/>
        <v>2018</v>
      </c>
      <c r="D7" s="229">
        <v>2748</v>
      </c>
      <c r="E7" s="205">
        <v>14</v>
      </c>
      <c r="F7" s="205">
        <v>0</v>
      </c>
      <c r="G7" s="205">
        <v>1</v>
      </c>
      <c r="H7" s="230">
        <f t="shared" si="5"/>
        <v>15</v>
      </c>
      <c r="J7" s="231">
        <v>42856</v>
      </c>
      <c r="K7" s="232">
        <v>2017</v>
      </c>
      <c r="L7" s="233" t="s">
        <v>187</v>
      </c>
      <c r="M7" s="228">
        <f t="shared" si="0"/>
        <v>2089</v>
      </c>
      <c r="N7" s="205">
        <f t="shared" si="1"/>
        <v>9</v>
      </c>
      <c r="O7" s="205">
        <f t="shared" si="2"/>
        <v>0</v>
      </c>
      <c r="P7" s="205">
        <f t="shared" si="3"/>
        <v>1</v>
      </c>
      <c r="Q7" s="230">
        <f t="shared" si="6"/>
        <v>10</v>
      </c>
      <c r="R7" s="234">
        <f t="shared" si="7"/>
        <v>2711.666666666667</v>
      </c>
      <c r="S7" s="235">
        <f t="shared" si="7"/>
        <v>9</v>
      </c>
      <c r="T7" s="235">
        <f t="shared" si="7"/>
        <v>0</v>
      </c>
      <c r="U7" s="235">
        <f t="shared" si="7"/>
        <v>0.66666666666666663</v>
      </c>
      <c r="V7" s="236">
        <f t="shared" si="7"/>
        <v>9.6666666666666679</v>
      </c>
      <c r="Y7" s="205" t="s">
        <v>187</v>
      </c>
      <c r="Z7" s="205">
        <f t="shared" ref="Z7:Z34" si="8">VALUE(RIGHT(Y7,4))</f>
        <v>2017</v>
      </c>
      <c r="AA7" s="229">
        <v>234023</v>
      </c>
      <c r="AB7" s="229">
        <v>78186</v>
      </c>
      <c r="AC7" s="229">
        <v>43864</v>
      </c>
      <c r="AD7" s="229">
        <v>94987</v>
      </c>
      <c r="AE7" s="229">
        <v>16986</v>
      </c>
      <c r="AF7" s="205">
        <v>831</v>
      </c>
      <c r="AG7" s="205">
        <v>604</v>
      </c>
      <c r="AH7" s="205">
        <v>0</v>
      </c>
      <c r="AI7" s="205">
        <v>227</v>
      </c>
      <c r="AJ7" s="205">
        <v>0</v>
      </c>
      <c r="AK7" s="229">
        <v>2412</v>
      </c>
      <c r="AL7" s="229">
        <v>1385</v>
      </c>
      <c r="AM7" s="205">
        <v>0</v>
      </c>
      <c r="AN7" s="229">
        <v>1027</v>
      </c>
      <c r="AO7" s="205">
        <v>0</v>
      </c>
      <c r="AP7" s="229">
        <v>1258</v>
      </c>
      <c r="AQ7" s="205">
        <v>938</v>
      </c>
      <c r="AR7" s="205">
        <v>0</v>
      </c>
      <c r="AS7" s="205">
        <v>153</v>
      </c>
      <c r="AT7" s="205">
        <v>167</v>
      </c>
    </row>
    <row r="8" spans="2:46" x14ac:dyDescent="0.25">
      <c r="B8" s="228" t="s">
        <v>193</v>
      </c>
      <c r="C8" s="205">
        <f t="shared" si="4"/>
        <v>2018</v>
      </c>
      <c r="D8" s="229">
        <v>6946</v>
      </c>
      <c r="E8" s="205">
        <v>39</v>
      </c>
      <c r="F8" s="205">
        <v>1</v>
      </c>
      <c r="G8" s="205">
        <v>2</v>
      </c>
      <c r="H8" s="230">
        <f t="shared" si="5"/>
        <v>42</v>
      </c>
      <c r="J8" s="231">
        <v>42887</v>
      </c>
      <c r="K8" s="232">
        <v>2017</v>
      </c>
      <c r="L8" s="233" t="s">
        <v>187</v>
      </c>
      <c r="M8" s="228">
        <f t="shared" si="0"/>
        <v>2089</v>
      </c>
      <c r="N8" s="205">
        <f t="shared" si="1"/>
        <v>9</v>
      </c>
      <c r="O8" s="205">
        <f t="shared" si="2"/>
        <v>0</v>
      </c>
      <c r="P8" s="205">
        <f t="shared" si="3"/>
        <v>1</v>
      </c>
      <c r="Q8" s="230">
        <f t="shared" si="6"/>
        <v>10</v>
      </c>
      <c r="R8" s="234">
        <f t="shared" si="7"/>
        <v>3408.0000000000005</v>
      </c>
      <c r="S8" s="235">
        <f t="shared" si="7"/>
        <v>12</v>
      </c>
      <c r="T8" s="235">
        <f t="shared" si="7"/>
        <v>0</v>
      </c>
      <c r="U8" s="235">
        <f t="shared" si="7"/>
        <v>1</v>
      </c>
      <c r="V8" s="236">
        <f t="shared" si="7"/>
        <v>13.000000000000002</v>
      </c>
      <c r="Y8" s="205" t="s">
        <v>189</v>
      </c>
      <c r="Z8" s="205">
        <f t="shared" si="8"/>
        <v>2017</v>
      </c>
      <c r="AA8" s="229">
        <v>219646</v>
      </c>
      <c r="AB8" s="229">
        <v>70145</v>
      </c>
      <c r="AC8" s="229">
        <v>38983</v>
      </c>
      <c r="AD8" s="229">
        <v>94541</v>
      </c>
      <c r="AE8" s="229">
        <v>15977</v>
      </c>
      <c r="AF8" s="205">
        <v>950</v>
      </c>
      <c r="AG8" s="205">
        <v>685</v>
      </c>
      <c r="AH8" s="205">
        <v>0</v>
      </c>
      <c r="AI8" s="205">
        <v>265</v>
      </c>
      <c r="AJ8" s="205">
        <v>0</v>
      </c>
      <c r="AK8" s="229">
        <v>2540</v>
      </c>
      <c r="AL8" s="229">
        <v>1504</v>
      </c>
      <c r="AM8" s="205">
        <v>0</v>
      </c>
      <c r="AN8" s="229">
        <v>1036</v>
      </c>
      <c r="AO8" s="205">
        <v>0</v>
      </c>
      <c r="AP8" s="229">
        <v>1180</v>
      </c>
      <c r="AQ8" s="205">
        <v>985</v>
      </c>
      <c r="AR8" s="205">
        <v>0</v>
      </c>
      <c r="AS8" s="205">
        <v>98</v>
      </c>
      <c r="AT8" s="205">
        <v>97</v>
      </c>
    </row>
    <row r="9" spans="2:46" x14ac:dyDescent="0.25">
      <c r="B9" s="228" t="s">
        <v>194</v>
      </c>
      <c r="C9" s="205">
        <f t="shared" si="4"/>
        <v>2018</v>
      </c>
      <c r="D9" s="229">
        <v>5258</v>
      </c>
      <c r="E9" s="205">
        <v>36</v>
      </c>
      <c r="F9" s="205">
        <v>0</v>
      </c>
      <c r="G9" s="205">
        <v>3</v>
      </c>
      <c r="H9" s="230">
        <f t="shared" si="5"/>
        <v>39</v>
      </c>
      <c r="J9" s="231">
        <v>42917</v>
      </c>
      <c r="K9" s="232">
        <v>2017</v>
      </c>
      <c r="L9" s="233" t="s">
        <v>189</v>
      </c>
      <c r="M9" s="228">
        <f t="shared" si="0"/>
        <v>2130</v>
      </c>
      <c r="N9" s="205">
        <f t="shared" si="1"/>
        <v>6</v>
      </c>
      <c r="O9" s="205">
        <f t="shared" si="2"/>
        <v>0</v>
      </c>
      <c r="P9" s="205">
        <f t="shared" si="3"/>
        <v>2</v>
      </c>
      <c r="Q9" s="230">
        <f t="shared" si="6"/>
        <v>8</v>
      </c>
      <c r="R9" s="234">
        <f t="shared" si="7"/>
        <v>4118</v>
      </c>
      <c r="S9" s="235">
        <f t="shared" si="7"/>
        <v>14</v>
      </c>
      <c r="T9" s="235">
        <f t="shared" si="7"/>
        <v>0</v>
      </c>
      <c r="U9" s="235">
        <f t="shared" si="7"/>
        <v>1.6666666666666665</v>
      </c>
      <c r="V9" s="236">
        <f t="shared" si="7"/>
        <v>15.666666666666668</v>
      </c>
      <c r="Y9" s="205" t="s">
        <v>191</v>
      </c>
      <c r="Z9" s="205">
        <f t="shared" si="8"/>
        <v>2017</v>
      </c>
      <c r="AA9" s="229">
        <v>179532</v>
      </c>
      <c r="AB9" s="229">
        <v>51455</v>
      </c>
      <c r="AC9" s="229">
        <v>30080</v>
      </c>
      <c r="AD9" s="229">
        <v>84930</v>
      </c>
      <c r="AE9" s="229">
        <v>13067</v>
      </c>
      <c r="AF9" s="229">
        <v>1187</v>
      </c>
      <c r="AG9" s="205">
        <v>829</v>
      </c>
      <c r="AH9" s="205">
        <v>0</v>
      </c>
      <c r="AI9" s="205">
        <v>358</v>
      </c>
      <c r="AJ9" s="205">
        <v>0</v>
      </c>
      <c r="AK9" s="229">
        <v>1998</v>
      </c>
      <c r="AL9" s="229">
        <v>1115</v>
      </c>
      <c r="AM9" s="205">
        <v>0</v>
      </c>
      <c r="AN9" s="205">
        <v>883</v>
      </c>
      <c r="AO9" s="205">
        <v>0</v>
      </c>
      <c r="AP9" s="229">
        <v>1455</v>
      </c>
      <c r="AQ9" s="229">
        <v>1109</v>
      </c>
      <c r="AR9" s="205">
        <v>0</v>
      </c>
      <c r="AS9" s="205">
        <v>97</v>
      </c>
      <c r="AT9" s="205">
        <v>249</v>
      </c>
    </row>
    <row r="10" spans="2:46" x14ac:dyDescent="0.25">
      <c r="B10" s="228" t="s">
        <v>195</v>
      </c>
      <c r="C10" s="205">
        <f t="shared" si="4"/>
        <v>2018</v>
      </c>
      <c r="D10" s="229">
        <v>1806</v>
      </c>
      <c r="E10" s="205">
        <v>11</v>
      </c>
      <c r="F10" s="205">
        <v>0</v>
      </c>
      <c r="G10" s="205">
        <v>0</v>
      </c>
      <c r="H10" s="230">
        <f t="shared" si="5"/>
        <v>11</v>
      </c>
      <c r="J10" s="231">
        <v>42948</v>
      </c>
      <c r="K10" s="232">
        <v>2017</v>
      </c>
      <c r="L10" s="233" t="s">
        <v>189</v>
      </c>
      <c r="M10" s="228">
        <f t="shared" si="0"/>
        <v>2130</v>
      </c>
      <c r="N10" s="205">
        <f t="shared" si="1"/>
        <v>6</v>
      </c>
      <c r="O10" s="205">
        <f t="shared" si="2"/>
        <v>0</v>
      </c>
      <c r="P10" s="205">
        <f t="shared" si="3"/>
        <v>2</v>
      </c>
      <c r="Q10" s="230">
        <f t="shared" si="6"/>
        <v>8</v>
      </c>
      <c r="R10" s="234">
        <f t="shared" si="7"/>
        <v>4828</v>
      </c>
      <c r="S10" s="235">
        <f t="shared" si="7"/>
        <v>16</v>
      </c>
      <c r="T10" s="235">
        <f t="shared" si="7"/>
        <v>0</v>
      </c>
      <c r="U10" s="235">
        <f t="shared" si="7"/>
        <v>2.333333333333333</v>
      </c>
      <c r="V10" s="236">
        <f t="shared" si="7"/>
        <v>18.333333333333336</v>
      </c>
      <c r="Y10" s="205" t="s">
        <v>192</v>
      </c>
      <c r="Z10" s="205">
        <f t="shared" si="8"/>
        <v>2018</v>
      </c>
      <c r="AA10" s="229">
        <v>165401</v>
      </c>
      <c r="AB10" s="229">
        <v>47845</v>
      </c>
      <c r="AC10" s="229">
        <v>28028</v>
      </c>
      <c r="AD10" s="229">
        <v>76236</v>
      </c>
      <c r="AE10" s="229">
        <v>13292</v>
      </c>
      <c r="AF10" s="205">
        <v>928</v>
      </c>
      <c r="AG10" s="205">
        <v>754</v>
      </c>
      <c r="AH10" s="205">
        <v>0</v>
      </c>
      <c r="AI10" s="205">
        <v>174</v>
      </c>
      <c r="AJ10" s="205">
        <v>0</v>
      </c>
      <c r="AK10" s="229">
        <v>1522</v>
      </c>
      <c r="AL10" s="205">
        <v>749</v>
      </c>
      <c r="AM10" s="205">
        <v>0</v>
      </c>
      <c r="AN10" s="205">
        <v>773</v>
      </c>
      <c r="AO10" s="205">
        <v>0</v>
      </c>
      <c r="AP10" s="229">
        <v>1820</v>
      </c>
      <c r="AQ10" s="229">
        <v>1252</v>
      </c>
      <c r="AR10" s="205">
        <v>0</v>
      </c>
      <c r="AS10" s="205">
        <v>359</v>
      </c>
      <c r="AT10" s="205">
        <v>209</v>
      </c>
    </row>
    <row r="11" spans="2:46" x14ac:dyDescent="0.25">
      <c r="B11" s="228" t="s">
        <v>196</v>
      </c>
      <c r="C11" s="205">
        <f t="shared" si="4"/>
        <v>2019</v>
      </c>
      <c r="D11" s="229">
        <v>1342</v>
      </c>
      <c r="E11" s="205">
        <v>10</v>
      </c>
      <c r="F11" s="205">
        <v>0</v>
      </c>
      <c r="G11" s="205">
        <v>1</v>
      </c>
      <c r="H11" s="230">
        <f t="shared" si="5"/>
        <v>11</v>
      </c>
      <c r="J11" s="231">
        <v>42979</v>
      </c>
      <c r="K11" s="232">
        <v>2017</v>
      </c>
      <c r="L11" s="233" t="s">
        <v>189</v>
      </c>
      <c r="M11" s="228">
        <f t="shared" si="0"/>
        <v>2130</v>
      </c>
      <c r="N11" s="205">
        <f t="shared" si="1"/>
        <v>6</v>
      </c>
      <c r="O11" s="205">
        <f t="shared" si="2"/>
        <v>0</v>
      </c>
      <c r="P11" s="205">
        <f t="shared" si="3"/>
        <v>2</v>
      </c>
      <c r="Q11" s="230">
        <f t="shared" si="6"/>
        <v>8</v>
      </c>
      <c r="R11" s="234">
        <f t="shared" si="7"/>
        <v>5538</v>
      </c>
      <c r="S11" s="235">
        <f t="shared" si="7"/>
        <v>18</v>
      </c>
      <c r="T11" s="235">
        <f t="shared" si="7"/>
        <v>0</v>
      </c>
      <c r="U11" s="235">
        <f t="shared" si="7"/>
        <v>2.9999999999999996</v>
      </c>
      <c r="V11" s="236">
        <f t="shared" si="7"/>
        <v>21.000000000000004</v>
      </c>
      <c r="Y11" s="205" t="s">
        <v>193</v>
      </c>
      <c r="Z11" s="205">
        <f t="shared" si="8"/>
        <v>2018</v>
      </c>
      <c r="AA11" s="229">
        <v>239898</v>
      </c>
      <c r="AB11" s="229">
        <v>77454</v>
      </c>
      <c r="AC11" s="229">
        <v>41155</v>
      </c>
      <c r="AD11" s="229">
        <v>105166</v>
      </c>
      <c r="AE11" s="229">
        <v>16123</v>
      </c>
      <c r="AF11" s="229">
        <v>3615</v>
      </c>
      <c r="AG11" s="229">
        <v>3303</v>
      </c>
      <c r="AH11" s="205">
        <v>0</v>
      </c>
      <c r="AI11" s="205">
        <v>312</v>
      </c>
      <c r="AJ11" s="205">
        <v>0</v>
      </c>
      <c r="AK11" s="229">
        <v>2759</v>
      </c>
      <c r="AL11" s="229">
        <v>1464</v>
      </c>
      <c r="AM11" s="205">
        <v>0</v>
      </c>
      <c r="AN11" s="229">
        <v>1295</v>
      </c>
      <c r="AO11" s="205">
        <v>0</v>
      </c>
      <c r="AP11" s="229">
        <v>3331</v>
      </c>
      <c r="AQ11" s="229">
        <v>2216</v>
      </c>
      <c r="AR11" s="205">
        <v>0</v>
      </c>
      <c r="AS11" s="205">
        <v>707</v>
      </c>
      <c r="AT11" s="205">
        <v>408</v>
      </c>
    </row>
    <row r="12" spans="2:46" x14ac:dyDescent="0.25">
      <c r="B12" s="228" t="s">
        <v>197</v>
      </c>
      <c r="C12" s="205">
        <f t="shared" si="4"/>
        <v>2019</v>
      </c>
      <c r="D12" s="229">
        <v>2878</v>
      </c>
      <c r="E12" s="205">
        <v>24</v>
      </c>
      <c r="F12" s="205">
        <v>0</v>
      </c>
      <c r="G12" s="205">
        <v>3</v>
      </c>
      <c r="H12" s="230">
        <f t="shared" si="5"/>
        <v>27</v>
      </c>
      <c r="J12" s="231">
        <v>43009</v>
      </c>
      <c r="K12" s="232">
        <v>2017</v>
      </c>
      <c r="L12" s="233" t="s">
        <v>191</v>
      </c>
      <c r="M12" s="228">
        <f t="shared" si="0"/>
        <v>2642</v>
      </c>
      <c r="N12" s="205">
        <f t="shared" si="1"/>
        <v>4</v>
      </c>
      <c r="O12" s="205">
        <f t="shared" si="2"/>
        <v>1</v>
      </c>
      <c r="P12" s="205">
        <f t="shared" si="3"/>
        <v>2</v>
      </c>
      <c r="Q12" s="230">
        <f t="shared" si="6"/>
        <v>7</v>
      </c>
      <c r="R12" s="234">
        <f t="shared" si="7"/>
        <v>6418.666666666667</v>
      </c>
      <c r="S12" s="235">
        <f t="shared" si="7"/>
        <v>19.333333333333332</v>
      </c>
      <c r="T12" s="235">
        <f t="shared" si="7"/>
        <v>0.33333333333333331</v>
      </c>
      <c r="U12" s="235">
        <f t="shared" si="7"/>
        <v>3.6666666666666661</v>
      </c>
      <c r="V12" s="236">
        <f t="shared" si="7"/>
        <v>23.333333333333336</v>
      </c>
      <c r="Y12" s="205" t="s">
        <v>194</v>
      </c>
      <c r="Z12" s="205">
        <f t="shared" si="8"/>
        <v>2018</v>
      </c>
      <c r="AA12" s="229">
        <v>218772</v>
      </c>
      <c r="AB12" s="229">
        <v>65753</v>
      </c>
      <c r="AC12" s="229">
        <v>36873</v>
      </c>
      <c r="AD12" s="229">
        <v>101715</v>
      </c>
      <c r="AE12" s="229">
        <v>14431</v>
      </c>
      <c r="AF12" s="229">
        <v>2476</v>
      </c>
      <c r="AG12" s="229">
        <v>2212</v>
      </c>
      <c r="AH12" s="205">
        <v>0</v>
      </c>
      <c r="AI12" s="205">
        <v>264</v>
      </c>
      <c r="AJ12" s="205">
        <v>0</v>
      </c>
      <c r="AK12" s="229">
        <v>2598</v>
      </c>
      <c r="AL12" s="229">
        <v>1342</v>
      </c>
      <c r="AM12" s="205">
        <v>0</v>
      </c>
      <c r="AN12" s="229">
        <v>1256</v>
      </c>
      <c r="AO12" s="205">
        <v>0</v>
      </c>
      <c r="AP12" s="229">
        <v>2782</v>
      </c>
      <c r="AQ12" s="229">
        <v>1679</v>
      </c>
      <c r="AR12" s="205">
        <v>0</v>
      </c>
      <c r="AS12" s="205">
        <v>890</v>
      </c>
      <c r="AT12" s="205">
        <v>213</v>
      </c>
    </row>
    <row r="13" spans="2:46" x14ac:dyDescent="0.25">
      <c r="B13" s="228" t="s">
        <v>198</v>
      </c>
      <c r="C13" s="205">
        <f t="shared" si="4"/>
        <v>2019</v>
      </c>
      <c r="D13" s="229">
        <v>3148</v>
      </c>
      <c r="E13" s="205">
        <v>14</v>
      </c>
      <c r="F13" s="205">
        <v>0</v>
      </c>
      <c r="G13" s="205">
        <v>1</v>
      </c>
      <c r="H13" s="230">
        <f t="shared" si="5"/>
        <v>15</v>
      </c>
      <c r="J13" s="231">
        <v>43040</v>
      </c>
      <c r="K13" s="232">
        <v>2017</v>
      </c>
      <c r="L13" s="233" t="s">
        <v>191</v>
      </c>
      <c r="M13" s="228">
        <f t="shared" si="0"/>
        <v>2642</v>
      </c>
      <c r="N13" s="205">
        <f t="shared" si="1"/>
        <v>4</v>
      </c>
      <c r="O13" s="205">
        <f t="shared" si="2"/>
        <v>1</v>
      </c>
      <c r="P13" s="205">
        <f t="shared" si="3"/>
        <v>2</v>
      </c>
      <c r="Q13" s="230">
        <f t="shared" si="6"/>
        <v>7</v>
      </c>
      <c r="R13" s="234">
        <f t="shared" si="7"/>
        <v>7299.3333333333339</v>
      </c>
      <c r="S13" s="235">
        <f t="shared" si="7"/>
        <v>20.666666666666664</v>
      </c>
      <c r="T13" s="235">
        <f t="shared" si="7"/>
        <v>0.66666666666666663</v>
      </c>
      <c r="U13" s="235">
        <f t="shared" si="7"/>
        <v>4.333333333333333</v>
      </c>
      <c r="V13" s="236">
        <f t="shared" si="7"/>
        <v>25.666666666666668</v>
      </c>
      <c r="Y13" s="205" t="s">
        <v>195</v>
      </c>
      <c r="Z13" s="205">
        <f t="shared" si="8"/>
        <v>2018</v>
      </c>
      <c r="AA13" s="229">
        <v>174495</v>
      </c>
      <c r="AB13" s="229">
        <v>49473</v>
      </c>
      <c r="AC13" s="229">
        <v>29305</v>
      </c>
      <c r="AD13" s="229">
        <v>85107</v>
      </c>
      <c r="AE13" s="229">
        <v>10610</v>
      </c>
      <c r="AF13" s="229">
        <v>1195</v>
      </c>
      <c r="AG13" s="229">
        <v>1042</v>
      </c>
      <c r="AH13" s="205">
        <v>0</v>
      </c>
      <c r="AI13" s="205">
        <v>153</v>
      </c>
      <c r="AJ13" s="205">
        <v>0</v>
      </c>
      <c r="AK13" s="229">
        <v>2393</v>
      </c>
      <c r="AL13" s="229">
        <v>1176</v>
      </c>
      <c r="AM13" s="205">
        <v>0</v>
      </c>
      <c r="AN13" s="229">
        <v>1217</v>
      </c>
      <c r="AO13" s="205">
        <v>0</v>
      </c>
      <c r="AP13" s="205">
        <v>611</v>
      </c>
      <c r="AQ13" s="205">
        <v>370</v>
      </c>
      <c r="AR13" s="205">
        <v>0</v>
      </c>
      <c r="AS13" s="205">
        <v>196</v>
      </c>
      <c r="AT13" s="205">
        <v>45</v>
      </c>
    </row>
    <row r="14" spans="2:46" x14ac:dyDescent="0.25">
      <c r="B14" s="228" t="s">
        <v>199</v>
      </c>
      <c r="C14" s="205">
        <f t="shared" si="4"/>
        <v>2019</v>
      </c>
      <c r="D14" s="229">
        <v>2394</v>
      </c>
      <c r="E14" s="205">
        <v>10</v>
      </c>
      <c r="F14" s="205">
        <v>0</v>
      </c>
      <c r="G14" s="205">
        <v>1</v>
      </c>
      <c r="H14" s="230">
        <f t="shared" si="5"/>
        <v>11</v>
      </c>
      <c r="J14" s="231">
        <v>43070</v>
      </c>
      <c r="K14" s="232">
        <v>2017</v>
      </c>
      <c r="L14" s="233" t="s">
        <v>191</v>
      </c>
      <c r="M14" s="228">
        <f t="shared" si="0"/>
        <v>2642</v>
      </c>
      <c r="N14" s="205">
        <f t="shared" si="1"/>
        <v>4</v>
      </c>
      <c r="O14" s="205">
        <f t="shared" si="2"/>
        <v>1</v>
      </c>
      <c r="P14" s="205">
        <f t="shared" si="3"/>
        <v>2</v>
      </c>
      <c r="Q14" s="230">
        <f t="shared" si="6"/>
        <v>7</v>
      </c>
      <c r="R14" s="234">
        <f t="shared" si="7"/>
        <v>8180.0000000000009</v>
      </c>
      <c r="S14" s="235">
        <f t="shared" si="7"/>
        <v>21.999999999999996</v>
      </c>
      <c r="T14" s="235">
        <f t="shared" si="7"/>
        <v>1</v>
      </c>
      <c r="U14" s="235">
        <f t="shared" si="7"/>
        <v>5</v>
      </c>
      <c r="V14" s="236">
        <f t="shared" si="7"/>
        <v>28</v>
      </c>
      <c r="Y14" s="205" t="s">
        <v>196</v>
      </c>
      <c r="Z14" s="205">
        <f t="shared" si="8"/>
        <v>2019</v>
      </c>
      <c r="AA14" s="229">
        <v>168957</v>
      </c>
      <c r="AB14" s="229">
        <v>44428</v>
      </c>
      <c r="AC14" s="229">
        <v>28460</v>
      </c>
      <c r="AD14" s="229">
        <v>83778</v>
      </c>
      <c r="AE14" s="229">
        <v>12291</v>
      </c>
      <c r="AF14" s="205">
        <v>849</v>
      </c>
      <c r="AG14" s="205">
        <v>564</v>
      </c>
      <c r="AH14" s="205">
        <v>0</v>
      </c>
      <c r="AI14" s="205">
        <v>285</v>
      </c>
      <c r="AJ14" s="205">
        <v>0</v>
      </c>
      <c r="AK14" s="229">
        <v>2648</v>
      </c>
      <c r="AL14" s="229">
        <v>1907</v>
      </c>
      <c r="AM14" s="205">
        <v>0</v>
      </c>
      <c r="AN14" s="205">
        <v>741</v>
      </c>
      <c r="AO14" s="205">
        <v>0</v>
      </c>
      <c r="AP14" s="205">
        <v>493</v>
      </c>
      <c r="AQ14" s="205">
        <v>280</v>
      </c>
      <c r="AR14" s="205">
        <v>0</v>
      </c>
      <c r="AS14" s="205">
        <v>189</v>
      </c>
      <c r="AT14" s="205">
        <v>24</v>
      </c>
    </row>
    <row r="15" spans="2:46" x14ac:dyDescent="0.25">
      <c r="B15" s="228" t="s">
        <v>200</v>
      </c>
      <c r="C15" s="205">
        <f t="shared" si="4"/>
        <v>2020</v>
      </c>
      <c r="D15" s="229">
        <v>2102</v>
      </c>
      <c r="E15" s="205">
        <v>13</v>
      </c>
      <c r="F15" s="205">
        <v>0</v>
      </c>
      <c r="G15" s="205">
        <v>0</v>
      </c>
      <c r="H15" s="230">
        <f t="shared" si="5"/>
        <v>13</v>
      </c>
      <c r="J15" s="231">
        <v>43101</v>
      </c>
      <c r="K15" s="232">
        <v>2018</v>
      </c>
      <c r="L15" s="233" t="s">
        <v>192</v>
      </c>
      <c r="M15" s="228">
        <f t="shared" si="0"/>
        <v>2748</v>
      </c>
      <c r="N15" s="205">
        <f t="shared" si="1"/>
        <v>14</v>
      </c>
      <c r="O15" s="205">
        <f t="shared" si="2"/>
        <v>0</v>
      </c>
      <c r="P15" s="205">
        <f t="shared" si="3"/>
        <v>1</v>
      </c>
      <c r="Q15" s="230">
        <f t="shared" si="6"/>
        <v>15</v>
      </c>
      <c r="R15" s="234">
        <f t="shared" si="7"/>
        <v>9096</v>
      </c>
      <c r="S15" s="235">
        <f t="shared" si="7"/>
        <v>26.666666666666664</v>
      </c>
      <c r="T15" s="235">
        <f t="shared" si="7"/>
        <v>1</v>
      </c>
      <c r="U15" s="235">
        <f t="shared" si="7"/>
        <v>5.333333333333333</v>
      </c>
      <c r="V15" s="236">
        <f t="shared" si="7"/>
        <v>33</v>
      </c>
      <c r="Y15" s="205" t="s">
        <v>197</v>
      </c>
      <c r="Z15" s="205">
        <f t="shared" si="8"/>
        <v>2019</v>
      </c>
      <c r="AA15" s="229">
        <v>222798</v>
      </c>
      <c r="AB15" s="229">
        <v>62600</v>
      </c>
      <c r="AC15" s="229">
        <v>40636</v>
      </c>
      <c r="AD15" s="229">
        <v>105628</v>
      </c>
      <c r="AE15" s="229">
        <v>13934</v>
      </c>
      <c r="AF15" s="229">
        <v>1994</v>
      </c>
      <c r="AG15" s="229">
        <v>1658</v>
      </c>
      <c r="AH15" s="205">
        <v>0</v>
      </c>
      <c r="AI15" s="205">
        <v>336</v>
      </c>
      <c r="AJ15" s="205">
        <v>0</v>
      </c>
      <c r="AK15" s="229">
        <v>4327</v>
      </c>
      <c r="AL15" s="229">
        <v>1862</v>
      </c>
      <c r="AM15" s="205">
        <v>0</v>
      </c>
      <c r="AN15" s="229">
        <v>2465</v>
      </c>
      <c r="AO15" s="205">
        <v>0</v>
      </c>
      <c r="AP15" s="205">
        <v>884</v>
      </c>
      <c r="AQ15" s="205">
        <v>498</v>
      </c>
      <c r="AR15" s="205">
        <v>0</v>
      </c>
      <c r="AS15" s="205">
        <v>349</v>
      </c>
      <c r="AT15" s="205">
        <v>37</v>
      </c>
    </row>
    <row r="16" spans="2:46" x14ac:dyDescent="0.25">
      <c r="B16" s="228" t="s">
        <v>201</v>
      </c>
      <c r="C16" s="205">
        <f t="shared" si="4"/>
        <v>2020</v>
      </c>
      <c r="D16" s="229">
        <v>1640</v>
      </c>
      <c r="E16" s="205">
        <v>12</v>
      </c>
      <c r="F16" s="205">
        <v>0</v>
      </c>
      <c r="G16" s="205">
        <v>0</v>
      </c>
      <c r="H16" s="230">
        <f t="shared" si="5"/>
        <v>12</v>
      </c>
      <c r="J16" s="231">
        <v>43132</v>
      </c>
      <c r="K16" s="232">
        <v>2018</v>
      </c>
      <c r="L16" s="233" t="s">
        <v>192</v>
      </c>
      <c r="M16" s="228">
        <f t="shared" si="0"/>
        <v>2748</v>
      </c>
      <c r="N16" s="205">
        <f t="shared" si="1"/>
        <v>14</v>
      </c>
      <c r="O16" s="205">
        <f t="shared" si="2"/>
        <v>0</v>
      </c>
      <c r="P16" s="205">
        <f t="shared" si="3"/>
        <v>1</v>
      </c>
      <c r="Q16" s="230">
        <f t="shared" si="6"/>
        <v>15</v>
      </c>
      <c r="R16" s="234">
        <f t="shared" si="7"/>
        <v>10012</v>
      </c>
      <c r="S16" s="235">
        <f t="shared" si="7"/>
        <v>31.333333333333332</v>
      </c>
      <c r="T16" s="235">
        <f t="shared" si="7"/>
        <v>1</v>
      </c>
      <c r="U16" s="235">
        <f t="shared" si="7"/>
        <v>5.6666666666666661</v>
      </c>
      <c r="V16" s="236">
        <f t="shared" si="7"/>
        <v>38</v>
      </c>
      <c r="Y16" s="205" t="s">
        <v>198</v>
      </c>
      <c r="Z16" s="205">
        <f t="shared" si="8"/>
        <v>2019</v>
      </c>
      <c r="AA16" s="229">
        <v>219577</v>
      </c>
      <c r="AB16" s="229">
        <v>56213</v>
      </c>
      <c r="AC16" s="229">
        <v>42340</v>
      </c>
      <c r="AD16" s="229">
        <v>108105</v>
      </c>
      <c r="AE16" s="229">
        <v>12919</v>
      </c>
      <c r="AF16" s="229">
        <v>2180</v>
      </c>
      <c r="AG16" s="229">
        <v>1844</v>
      </c>
      <c r="AH16" s="205">
        <v>0</v>
      </c>
      <c r="AI16" s="205">
        <v>336</v>
      </c>
      <c r="AJ16" s="205">
        <v>0</v>
      </c>
      <c r="AK16" s="229">
        <v>3982</v>
      </c>
      <c r="AL16" s="229">
        <v>2150</v>
      </c>
      <c r="AM16" s="205">
        <v>0</v>
      </c>
      <c r="AN16" s="229">
        <v>1832</v>
      </c>
      <c r="AO16" s="205">
        <v>0</v>
      </c>
      <c r="AP16" s="205">
        <v>968</v>
      </c>
      <c r="AQ16" s="205">
        <v>644</v>
      </c>
      <c r="AR16" s="205">
        <v>0</v>
      </c>
      <c r="AS16" s="205">
        <v>306</v>
      </c>
      <c r="AT16" s="205">
        <v>18</v>
      </c>
    </row>
    <row r="17" spans="2:46" x14ac:dyDescent="0.25">
      <c r="B17" s="228" t="s">
        <v>202</v>
      </c>
      <c r="C17" s="205">
        <f t="shared" si="4"/>
        <v>2020</v>
      </c>
      <c r="D17" s="229">
        <v>3296</v>
      </c>
      <c r="E17" s="205">
        <v>32</v>
      </c>
      <c r="F17" s="205">
        <v>0</v>
      </c>
      <c r="G17" s="205">
        <v>0</v>
      </c>
      <c r="H17" s="230">
        <f t="shared" si="5"/>
        <v>32</v>
      </c>
      <c r="J17" s="231">
        <v>43160</v>
      </c>
      <c r="K17" s="232">
        <v>2018</v>
      </c>
      <c r="L17" s="233" t="s">
        <v>192</v>
      </c>
      <c r="M17" s="228">
        <f t="shared" si="0"/>
        <v>2748</v>
      </c>
      <c r="N17" s="205">
        <f t="shared" si="1"/>
        <v>14</v>
      </c>
      <c r="O17" s="205">
        <f t="shared" si="2"/>
        <v>0</v>
      </c>
      <c r="P17" s="205">
        <f t="shared" si="3"/>
        <v>1</v>
      </c>
      <c r="Q17" s="230">
        <f t="shared" si="6"/>
        <v>15</v>
      </c>
      <c r="R17" s="234">
        <f t="shared" si="7"/>
        <v>10928</v>
      </c>
      <c r="S17" s="235">
        <f t="shared" si="7"/>
        <v>36</v>
      </c>
      <c r="T17" s="235">
        <f t="shared" si="7"/>
        <v>1</v>
      </c>
      <c r="U17" s="235">
        <f t="shared" si="7"/>
        <v>5.9999999999999991</v>
      </c>
      <c r="V17" s="236">
        <f t="shared" si="7"/>
        <v>43</v>
      </c>
      <c r="Y17" s="205" t="s">
        <v>199</v>
      </c>
      <c r="Z17" s="205">
        <f t="shared" si="8"/>
        <v>2019</v>
      </c>
      <c r="AA17" s="229">
        <v>184747</v>
      </c>
      <c r="AB17" s="229">
        <v>42523</v>
      </c>
      <c r="AC17" s="229">
        <v>33225</v>
      </c>
      <c r="AD17" s="229">
        <v>98451</v>
      </c>
      <c r="AE17" s="229">
        <v>10548</v>
      </c>
      <c r="AF17" s="229">
        <v>1538</v>
      </c>
      <c r="AG17" s="229">
        <v>1194</v>
      </c>
      <c r="AH17" s="205">
        <v>0</v>
      </c>
      <c r="AI17" s="205">
        <v>344</v>
      </c>
      <c r="AJ17" s="205">
        <v>0</v>
      </c>
      <c r="AK17" s="229">
        <v>3507</v>
      </c>
      <c r="AL17" s="229">
        <v>1792</v>
      </c>
      <c r="AM17" s="205">
        <v>0</v>
      </c>
      <c r="AN17" s="229">
        <v>1715</v>
      </c>
      <c r="AO17" s="205">
        <v>0</v>
      </c>
      <c r="AP17" s="205">
        <v>856</v>
      </c>
      <c r="AQ17" s="205">
        <v>442</v>
      </c>
      <c r="AR17" s="205">
        <v>0</v>
      </c>
      <c r="AS17" s="205">
        <v>401</v>
      </c>
      <c r="AT17" s="205">
        <v>13</v>
      </c>
    </row>
    <row r="18" spans="2:46" x14ac:dyDescent="0.25">
      <c r="B18" s="228" t="s">
        <v>203</v>
      </c>
      <c r="C18" s="205">
        <f t="shared" si="4"/>
        <v>2020</v>
      </c>
      <c r="D18" s="229">
        <v>3477</v>
      </c>
      <c r="E18" s="205">
        <v>9</v>
      </c>
      <c r="F18" s="205">
        <v>0</v>
      </c>
      <c r="G18" s="205">
        <v>0</v>
      </c>
      <c r="H18" s="230">
        <f t="shared" si="5"/>
        <v>9</v>
      </c>
      <c r="J18" s="231">
        <v>43191</v>
      </c>
      <c r="K18" s="232">
        <v>2018</v>
      </c>
      <c r="L18" s="233" t="s">
        <v>193</v>
      </c>
      <c r="M18" s="228">
        <f t="shared" si="0"/>
        <v>6946</v>
      </c>
      <c r="N18" s="205">
        <f t="shared" si="1"/>
        <v>39</v>
      </c>
      <c r="O18" s="205">
        <f t="shared" si="2"/>
        <v>1</v>
      </c>
      <c r="P18" s="205">
        <f t="shared" si="3"/>
        <v>2</v>
      </c>
      <c r="Q18" s="230">
        <f t="shared" si="6"/>
        <v>42</v>
      </c>
      <c r="R18" s="234">
        <f t="shared" si="7"/>
        <v>13243.333333333334</v>
      </c>
      <c r="S18" s="235">
        <f t="shared" si="7"/>
        <v>49</v>
      </c>
      <c r="T18" s="235">
        <f t="shared" si="7"/>
        <v>1.3333333333333333</v>
      </c>
      <c r="U18" s="235">
        <f t="shared" si="7"/>
        <v>6.6666666666666661</v>
      </c>
      <c r="V18" s="236">
        <f t="shared" si="7"/>
        <v>57</v>
      </c>
      <c r="Y18" s="205" t="s">
        <v>200</v>
      </c>
      <c r="Z18" s="205">
        <f t="shared" si="8"/>
        <v>2020</v>
      </c>
      <c r="AA18" s="229">
        <v>139116</v>
      </c>
      <c r="AB18" s="229">
        <v>30723</v>
      </c>
      <c r="AC18" s="229">
        <v>30242</v>
      </c>
      <c r="AD18" s="229">
        <v>69100</v>
      </c>
      <c r="AE18" s="229">
        <v>9051</v>
      </c>
      <c r="AF18" s="229">
        <v>1554</v>
      </c>
      <c r="AG18" s="229">
        <v>1259</v>
      </c>
      <c r="AH18" s="205">
        <v>0</v>
      </c>
      <c r="AI18" s="205">
        <v>295</v>
      </c>
      <c r="AJ18" s="205">
        <v>0</v>
      </c>
      <c r="AK18" s="229">
        <v>3365</v>
      </c>
      <c r="AL18" s="229">
        <v>1523</v>
      </c>
      <c r="AM18" s="205">
        <v>0</v>
      </c>
      <c r="AN18" s="229">
        <v>1842</v>
      </c>
      <c r="AO18" s="205">
        <v>0</v>
      </c>
      <c r="AP18" s="205">
        <v>548</v>
      </c>
      <c r="AQ18" s="205">
        <v>280</v>
      </c>
      <c r="AR18" s="205">
        <v>0</v>
      </c>
      <c r="AS18" s="205">
        <v>228</v>
      </c>
      <c r="AT18" s="205">
        <v>40</v>
      </c>
    </row>
    <row r="19" spans="2:46" x14ac:dyDescent="0.25">
      <c r="B19" s="228" t="s">
        <v>204</v>
      </c>
      <c r="C19" s="205">
        <f t="shared" si="4"/>
        <v>2021</v>
      </c>
      <c r="D19" s="229">
        <v>3329</v>
      </c>
      <c r="E19" s="205">
        <v>19</v>
      </c>
      <c r="F19" s="205">
        <v>0</v>
      </c>
      <c r="G19" s="205">
        <v>3</v>
      </c>
      <c r="H19" s="230">
        <f t="shared" si="5"/>
        <v>22</v>
      </c>
      <c r="J19" s="231">
        <v>43221</v>
      </c>
      <c r="K19" s="232">
        <v>2018</v>
      </c>
      <c r="L19" s="233" t="s">
        <v>193</v>
      </c>
      <c r="M19" s="228">
        <f t="shared" si="0"/>
        <v>6946</v>
      </c>
      <c r="N19" s="205">
        <f t="shared" si="1"/>
        <v>39</v>
      </c>
      <c r="O19" s="205">
        <f t="shared" si="2"/>
        <v>1</v>
      </c>
      <c r="P19" s="205">
        <f t="shared" si="3"/>
        <v>2</v>
      </c>
      <c r="Q19" s="230">
        <f t="shared" si="6"/>
        <v>42</v>
      </c>
      <c r="R19" s="234">
        <f t="shared" si="7"/>
        <v>15558.666666666668</v>
      </c>
      <c r="S19" s="235">
        <f t="shared" si="7"/>
        <v>62</v>
      </c>
      <c r="T19" s="235">
        <f t="shared" si="7"/>
        <v>1.6666666666666665</v>
      </c>
      <c r="U19" s="235">
        <f t="shared" si="7"/>
        <v>7.333333333333333</v>
      </c>
      <c r="V19" s="236">
        <f t="shared" si="7"/>
        <v>71</v>
      </c>
      <c r="Y19" s="205" t="s">
        <v>201</v>
      </c>
      <c r="Z19" s="205">
        <f t="shared" si="8"/>
        <v>2020</v>
      </c>
      <c r="AA19" s="229">
        <v>109197</v>
      </c>
      <c r="AB19" s="229">
        <v>23550</v>
      </c>
      <c r="AC19" s="229">
        <v>25679</v>
      </c>
      <c r="AD19" s="229">
        <v>53780</v>
      </c>
      <c r="AE19" s="229">
        <v>6188</v>
      </c>
      <c r="AF19" s="229">
        <v>1217</v>
      </c>
      <c r="AG19" s="205">
        <v>819</v>
      </c>
      <c r="AH19" s="205">
        <v>0</v>
      </c>
      <c r="AI19" s="205">
        <v>398</v>
      </c>
      <c r="AJ19" s="205">
        <v>0</v>
      </c>
      <c r="AK19" s="229">
        <v>2612</v>
      </c>
      <c r="AL19" s="205">
        <v>978</v>
      </c>
      <c r="AM19" s="205">
        <v>0</v>
      </c>
      <c r="AN19" s="229">
        <v>1634</v>
      </c>
      <c r="AO19" s="205">
        <v>0</v>
      </c>
      <c r="AP19" s="205">
        <v>423</v>
      </c>
      <c r="AQ19" s="205">
        <v>191</v>
      </c>
      <c r="AR19" s="205">
        <v>0</v>
      </c>
      <c r="AS19" s="205">
        <v>211</v>
      </c>
      <c r="AT19" s="205">
        <v>21</v>
      </c>
    </row>
    <row r="20" spans="2:46" x14ac:dyDescent="0.25">
      <c r="B20" s="228" t="s">
        <v>205</v>
      </c>
      <c r="C20" s="205">
        <f t="shared" si="4"/>
        <v>2021</v>
      </c>
      <c r="D20" s="229">
        <v>5096</v>
      </c>
      <c r="E20" s="205">
        <v>26</v>
      </c>
      <c r="F20" s="205">
        <v>0</v>
      </c>
      <c r="G20" s="205">
        <v>2</v>
      </c>
      <c r="H20" s="230">
        <f t="shared" si="5"/>
        <v>28</v>
      </c>
      <c r="J20" s="231">
        <v>43252</v>
      </c>
      <c r="K20" s="232">
        <v>2018</v>
      </c>
      <c r="L20" s="233" t="s">
        <v>193</v>
      </c>
      <c r="M20" s="228">
        <f t="shared" si="0"/>
        <v>6946</v>
      </c>
      <c r="N20" s="205">
        <f t="shared" si="1"/>
        <v>39</v>
      </c>
      <c r="O20" s="205">
        <f t="shared" si="2"/>
        <v>1</v>
      </c>
      <c r="P20" s="205">
        <f t="shared" si="3"/>
        <v>2</v>
      </c>
      <c r="Q20" s="230">
        <f t="shared" si="6"/>
        <v>42</v>
      </c>
      <c r="R20" s="234">
        <f t="shared" ref="R20:V35" si="9">M20/3+R19</f>
        <v>17874</v>
      </c>
      <c r="S20" s="235">
        <f t="shared" si="9"/>
        <v>75</v>
      </c>
      <c r="T20" s="235">
        <f t="shared" si="9"/>
        <v>1.9999999999999998</v>
      </c>
      <c r="U20" s="235">
        <f t="shared" si="9"/>
        <v>8</v>
      </c>
      <c r="V20" s="236">
        <f t="shared" si="9"/>
        <v>85</v>
      </c>
      <c r="Y20" s="205" t="s">
        <v>202</v>
      </c>
      <c r="Z20" s="205">
        <f t="shared" si="8"/>
        <v>2020</v>
      </c>
      <c r="AA20" s="229">
        <v>198406</v>
      </c>
      <c r="AB20" s="229">
        <v>41219</v>
      </c>
      <c r="AC20" s="229">
        <v>41892</v>
      </c>
      <c r="AD20" s="229">
        <v>103833</v>
      </c>
      <c r="AE20" s="229">
        <v>11462</v>
      </c>
      <c r="AF20" s="229">
        <v>2554</v>
      </c>
      <c r="AG20" s="229">
        <v>1258</v>
      </c>
      <c r="AH20" s="205">
        <v>0</v>
      </c>
      <c r="AI20" s="229">
        <v>1296</v>
      </c>
      <c r="AJ20" s="205">
        <v>0</v>
      </c>
      <c r="AK20" s="229">
        <v>5663</v>
      </c>
      <c r="AL20" s="229">
        <v>1468</v>
      </c>
      <c r="AM20" s="205">
        <v>0</v>
      </c>
      <c r="AN20" s="229">
        <v>4195</v>
      </c>
      <c r="AO20" s="205">
        <v>0</v>
      </c>
      <c r="AP20" s="205">
        <v>742</v>
      </c>
      <c r="AQ20" s="205">
        <v>316</v>
      </c>
      <c r="AR20" s="205">
        <v>0</v>
      </c>
      <c r="AS20" s="205">
        <v>392</v>
      </c>
      <c r="AT20" s="205">
        <v>34</v>
      </c>
    </row>
    <row r="21" spans="2:46" x14ac:dyDescent="0.25">
      <c r="B21" s="228" t="s">
        <v>206</v>
      </c>
      <c r="C21" s="205">
        <f t="shared" si="4"/>
        <v>2021</v>
      </c>
      <c r="D21" s="229">
        <v>5162</v>
      </c>
      <c r="E21" s="205">
        <v>26</v>
      </c>
      <c r="F21" s="205">
        <v>2</v>
      </c>
      <c r="G21" s="205">
        <v>2</v>
      </c>
      <c r="H21" s="230">
        <f t="shared" si="5"/>
        <v>30</v>
      </c>
      <c r="J21" s="231">
        <v>43282</v>
      </c>
      <c r="K21" s="232">
        <v>2018</v>
      </c>
      <c r="L21" s="233" t="s">
        <v>194</v>
      </c>
      <c r="M21" s="228">
        <f t="shared" si="0"/>
        <v>5258</v>
      </c>
      <c r="N21" s="205">
        <f t="shared" si="1"/>
        <v>36</v>
      </c>
      <c r="O21" s="205">
        <f t="shared" si="2"/>
        <v>0</v>
      </c>
      <c r="P21" s="205">
        <f t="shared" si="3"/>
        <v>3</v>
      </c>
      <c r="Q21" s="230">
        <f t="shared" si="6"/>
        <v>39</v>
      </c>
      <c r="R21" s="234">
        <f t="shared" si="9"/>
        <v>19626.666666666668</v>
      </c>
      <c r="S21" s="235">
        <f t="shared" si="9"/>
        <v>87</v>
      </c>
      <c r="T21" s="235">
        <f t="shared" si="9"/>
        <v>1.9999999999999998</v>
      </c>
      <c r="U21" s="235">
        <f t="shared" si="9"/>
        <v>9</v>
      </c>
      <c r="V21" s="236">
        <f t="shared" si="9"/>
        <v>98</v>
      </c>
      <c r="Y21" s="205" t="s">
        <v>203</v>
      </c>
      <c r="Z21" s="205">
        <f t="shared" si="8"/>
        <v>2020</v>
      </c>
      <c r="AA21" s="229">
        <v>153907</v>
      </c>
      <c r="AB21" s="229">
        <v>29160</v>
      </c>
      <c r="AC21" s="229">
        <v>29957</v>
      </c>
      <c r="AD21" s="229">
        <v>86256</v>
      </c>
      <c r="AE21" s="229">
        <v>8534</v>
      </c>
      <c r="AF21" s="229">
        <v>2833</v>
      </c>
      <c r="AG21" s="229">
        <v>1357</v>
      </c>
      <c r="AH21" s="205">
        <v>0</v>
      </c>
      <c r="AI21" s="229">
        <v>1476</v>
      </c>
      <c r="AJ21" s="205">
        <v>0</v>
      </c>
      <c r="AK21" s="229">
        <v>5167</v>
      </c>
      <c r="AL21" s="229">
        <v>1196</v>
      </c>
      <c r="AM21" s="205">
        <v>10</v>
      </c>
      <c r="AN21" s="229">
        <v>3961</v>
      </c>
      <c r="AO21" s="205">
        <v>0</v>
      </c>
      <c r="AP21" s="205">
        <v>644</v>
      </c>
      <c r="AQ21" s="205">
        <v>219</v>
      </c>
      <c r="AR21" s="205">
        <v>0</v>
      </c>
      <c r="AS21" s="205">
        <v>385</v>
      </c>
      <c r="AT21" s="205">
        <v>40</v>
      </c>
    </row>
    <row r="22" spans="2:46" x14ac:dyDescent="0.25">
      <c r="B22" s="228" t="s">
        <v>207</v>
      </c>
      <c r="C22" s="205">
        <f t="shared" si="4"/>
        <v>2021</v>
      </c>
      <c r="D22" s="229">
        <v>6139</v>
      </c>
      <c r="E22" s="205">
        <v>39</v>
      </c>
      <c r="F22" s="205">
        <v>0</v>
      </c>
      <c r="G22" s="205">
        <v>1</v>
      </c>
      <c r="H22" s="230">
        <f t="shared" si="5"/>
        <v>40</v>
      </c>
      <c r="J22" s="231">
        <v>43313</v>
      </c>
      <c r="K22" s="232">
        <v>2018</v>
      </c>
      <c r="L22" s="233" t="s">
        <v>194</v>
      </c>
      <c r="M22" s="228">
        <f t="shared" si="0"/>
        <v>5258</v>
      </c>
      <c r="N22" s="205">
        <f t="shared" si="1"/>
        <v>36</v>
      </c>
      <c r="O22" s="205">
        <f t="shared" si="2"/>
        <v>0</v>
      </c>
      <c r="P22" s="205">
        <f t="shared" si="3"/>
        <v>3</v>
      </c>
      <c r="Q22" s="230">
        <f t="shared" si="6"/>
        <v>39</v>
      </c>
      <c r="R22" s="234">
        <f t="shared" si="9"/>
        <v>21379.333333333336</v>
      </c>
      <c r="S22" s="235">
        <f t="shared" si="9"/>
        <v>99</v>
      </c>
      <c r="T22" s="235">
        <f t="shared" si="9"/>
        <v>1.9999999999999998</v>
      </c>
      <c r="U22" s="235">
        <f t="shared" si="9"/>
        <v>10</v>
      </c>
      <c r="V22" s="236">
        <f t="shared" si="9"/>
        <v>111</v>
      </c>
      <c r="Y22" s="205" t="s">
        <v>204</v>
      </c>
      <c r="Z22" s="205">
        <f t="shared" si="8"/>
        <v>2021</v>
      </c>
      <c r="AA22" s="229">
        <v>141788</v>
      </c>
      <c r="AB22" s="229">
        <v>24678</v>
      </c>
      <c r="AC22" s="229">
        <v>31358</v>
      </c>
      <c r="AD22" s="229">
        <v>77953</v>
      </c>
      <c r="AE22" s="229">
        <v>7799</v>
      </c>
      <c r="AF22" s="229">
        <v>2568</v>
      </c>
      <c r="AG22" s="205">
        <v>989</v>
      </c>
      <c r="AH22" s="205">
        <v>0</v>
      </c>
      <c r="AI22" s="229">
        <v>1579</v>
      </c>
      <c r="AJ22" s="205">
        <v>0</v>
      </c>
      <c r="AK22" s="229">
        <v>5850</v>
      </c>
      <c r="AL22" s="229">
        <v>1277</v>
      </c>
      <c r="AM22" s="205">
        <v>468</v>
      </c>
      <c r="AN22" s="229">
        <v>3291</v>
      </c>
      <c r="AO22" s="205">
        <v>814</v>
      </c>
      <c r="AP22" s="205">
        <v>761</v>
      </c>
      <c r="AQ22" s="205">
        <v>182</v>
      </c>
      <c r="AR22" s="205">
        <v>0</v>
      </c>
      <c r="AS22" s="205">
        <v>512</v>
      </c>
      <c r="AT22" s="205">
        <v>67</v>
      </c>
    </row>
    <row r="23" spans="2:46" x14ac:dyDescent="0.25">
      <c r="B23" s="228" t="s">
        <v>208</v>
      </c>
      <c r="C23" s="205">
        <f t="shared" si="4"/>
        <v>2022</v>
      </c>
      <c r="D23" s="229">
        <v>7123</v>
      </c>
      <c r="E23" s="205">
        <v>50</v>
      </c>
      <c r="F23" s="205">
        <v>0</v>
      </c>
      <c r="G23" s="205">
        <v>2</v>
      </c>
      <c r="H23" s="230">
        <f t="shared" si="5"/>
        <v>52</v>
      </c>
      <c r="J23" s="231">
        <v>43344</v>
      </c>
      <c r="K23" s="232">
        <v>2018</v>
      </c>
      <c r="L23" s="233" t="s">
        <v>194</v>
      </c>
      <c r="M23" s="228">
        <f t="shared" si="0"/>
        <v>5258</v>
      </c>
      <c r="N23" s="205">
        <f t="shared" si="1"/>
        <v>36</v>
      </c>
      <c r="O23" s="205">
        <f t="shared" si="2"/>
        <v>0</v>
      </c>
      <c r="P23" s="205">
        <f t="shared" si="3"/>
        <v>3</v>
      </c>
      <c r="Q23" s="230">
        <f t="shared" si="6"/>
        <v>39</v>
      </c>
      <c r="R23" s="234">
        <f t="shared" si="9"/>
        <v>23132.000000000004</v>
      </c>
      <c r="S23" s="235">
        <f t="shared" si="9"/>
        <v>111</v>
      </c>
      <c r="T23" s="235">
        <f t="shared" si="9"/>
        <v>1.9999999999999998</v>
      </c>
      <c r="U23" s="235">
        <f t="shared" si="9"/>
        <v>11</v>
      </c>
      <c r="V23" s="236">
        <f t="shared" si="9"/>
        <v>124</v>
      </c>
      <c r="Y23" s="205" t="s">
        <v>205</v>
      </c>
      <c r="Z23" s="205">
        <f t="shared" si="8"/>
        <v>2021</v>
      </c>
      <c r="AA23" s="229">
        <v>180118</v>
      </c>
      <c r="AB23" s="229">
        <v>38742</v>
      </c>
      <c r="AC23" s="229">
        <v>30651</v>
      </c>
      <c r="AD23" s="229">
        <v>102427</v>
      </c>
      <c r="AE23" s="229">
        <v>8298</v>
      </c>
      <c r="AF23" s="229">
        <v>3710</v>
      </c>
      <c r="AG23" s="229">
        <v>1648</v>
      </c>
      <c r="AH23" s="205">
        <v>0</v>
      </c>
      <c r="AI23" s="229">
        <v>2062</v>
      </c>
      <c r="AJ23" s="205">
        <v>0</v>
      </c>
      <c r="AK23" s="229">
        <v>11078</v>
      </c>
      <c r="AL23" s="229">
        <v>2150</v>
      </c>
      <c r="AM23" s="205">
        <v>546</v>
      </c>
      <c r="AN23" s="229">
        <v>6774</v>
      </c>
      <c r="AO23" s="229">
        <v>1608</v>
      </c>
      <c r="AP23" s="229">
        <v>1386</v>
      </c>
      <c r="AQ23" s="205">
        <v>267</v>
      </c>
      <c r="AR23" s="205">
        <v>0</v>
      </c>
      <c r="AS23" s="229">
        <v>1063</v>
      </c>
      <c r="AT23" s="205">
        <v>56</v>
      </c>
    </row>
    <row r="24" spans="2:46" x14ac:dyDescent="0.25">
      <c r="B24" s="228" t="s">
        <v>209</v>
      </c>
      <c r="C24" s="205">
        <f t="shared" si="4"/>
        <v>2022</v>
      </c>
      <c r="D24" s="229">
        <v>9533</v>
      </c>
      <c r="E24" s="205">
        <v>89</v>
      </c>
      <c r="F24" s="205">
        <v>2</v>
      </c>
      <c r="G24" s="205">
        <v>4</v>
      </c>
      <c r="H24" s="230">
        <f t="shared" si="5"/>
        <v>95</v>
      </c>
      <c r="J24" s="231">
        <v>43374</v>
      </c>
      <c r="K24" s="232">
        <v>2018</v>
      </c>
      <c r="L24" s="233" t="s">
        <v>195</v>
      </c>
      <c r="M24" s="228">
        <f t="shared" si="0"/>
        <v>1806</v>
      </c>
      <c r="N24" s="205">
        <f t="shared" si="1"/>
        <v>11</v>
      </c>
      <c r="O24" s="205">
        <f t="shared" si="2"/>
        <v>0</v>
      </c>
      <c r="P24" s="205">
        <f t="shared" si="3"/>
        <v>0</v>
      </c>
      <c r="Q24" s="230">
        <f t="shared" si="6"/>
        <v>11</v>
      </c>
      <c r="R24" s="234">
        <f t="shared" si="9"/>
        <v>23734.000000000004</v>
      </c>
      <c r="S24" s="235">
        <f t="shared" si="9"/>
        <v>114.66666666666667</v>
      </c>
      <c r="T24" s="235">
        <f t="shared" si="9"/>
        <v>1.9999999999999998</v>
      </c>
      <c r="U24" s="235">
        <f t="shared" si="9"/>
        <v>11</v>
      </c>
      <c r="V24" s="236">
        <f t="shared" si="9"/>
        <v>127.66666666666667</v>
      </c>
      <c r="Y24" s="205" t="s">
        <v>206</v>
      </c>
      <c r="Z24" s="205">
        <f t="shared" si="8"/>
        <v>2021</v>
      </c>
      <c r="AA24" s="229">
        <v>174623</v>
      </c>
      <c r="AB24" s="229">
        <v>39861</v>
      </c>
      <c r="AC24" s="229">
        <v>27990</v>
      </c>
      <c r="AD24" s="229">
        <v>99057</v>
      </c>
      <c r="AE24" s="229">
        <v>7715</v>
      </c>
      <c r="AF24" s="229">
        <v>3671</v>
      </c>
      <c r="AG24" s="229">
        <v>2019</v>
      </c>
      <c r="AH24" s="205">
        <v>0</v>
      </c>
      <c r="AI24" s="229">
        <v>1652</v>
      </c>
      <c r="AJ24" s="205">
        <v>0</v>
      </c>
      <c r="AK24" s="229">
        <v>10252</v>
      </c>
      <c r="AL24" s="229">
        <v>2571</v>
      </c>
      <c r="AM24" s="205">
        <v>653</v>
      </c>
      <c r="AN24" s="229">
        <v>5495</v>
      </c>
      <c r="AO24" s="229">
        <v>1533</v>
      </c>
      <c r="AP24" s="229">
        <v>1491</v>
      </c>
      <c r="AQ24" s="205">
        <v>382</v>
      </c>
      <c r="AR24" s="205">
        <v>0</v>
      </c>
      <c r="AS24" s="205">
        <v>979</v>
      </c>
      <c r="AT24" s="205">
        <v>130</v>
      </c>
    </row>
    <row r="25" spans="2:46" x14ac:dyDescent="0.25">
      <c r="B25" s="228" t="s">
        <v>210</v>
      </c>
      <c r="C25" s="205">
        <f t="shared" si="4"/>
        <v>2022</v>
      </c>
      <c r="D25" s="229">
        <v>11017</v>
      </c>
      <c r="E25" s="205">
        <v>61</v>
      </c>
      <c r="F25" s="205">
        <v>1</v>
      </c>
      <c r="G25" s="205">
        <v>4</v>
      </c>
      <c r="H25" s="230">
        <f t="shared" si="5"/>
        <v>66</v>
      </c>
      <c r="J25" s="231">
        <v>43405</v>
      </c>
      <c r="K25" s="232">
        <v>2018</v>
      </c>
      <c r="L25" s="233" t="s">
        <v>195</v>
      </c>
      <c r="M25" s="228">
        <f t="shared" si="0"/>
        <v>1806</v>
      </c>
      <c r="N25" s="205">
        <f t="shared" si="1"/>
        <v>11</v>
      </c>
      <c r="O25" s="205">
        <f t="shared" si="2"/>
        <v>0</v>
      </c>
      <c r="P25" s="205">
        <f t="shared" si="3"/>
        <v>0</v>
      </c>
      <c r="Q25" s="230">
        <f t="shared" si="6"/>
        <v>11</v>
      </c>
      <c r="R25" s="234">
        <f t="shared" si="9"/>
        <v>24336.000000000004</v>
      </c>
      <c r="S25" s="235">
        <f t="shared" si="9"/>
        <v>118.33333333333334</v>
      </c>
      <c r="T25" s="235">
        <f t="shared" si="9"/>
        <v>1.9999999999999998</v>
      </c>
      <c r="U25" s="235">
        <f t="shared" si="9"/>
        <v>11</v>
      </c>
      <c r="V25" s="236">
        <f t="shared" si="9"/>
        <v>131.33333333333334</v>
      </c>
      <c r="Y25" s="205" t="s">
        <v>207</v>
      </c>
      <c r="Z25" s="205">
        <f t="shared" si="8"/>
        <v>2021</v>
      </c>
      <c r="AA25" s="229">
        <v>130605</v>
      </c>
      <c r="AB25" s="229">
        <v>25552</v>
      </c>
      <c r="AC25" s="229">
        <v>27895</v>
      </c>
      <c r="AD25" s="229">
        <v>72981</v>
      </c>
      <c r="AE25" s="229">
        <v>4177</v>
      </c>
      <c r="AF25" s="229">
        <v>4799</v>
      </c>
      <c r="AG25" s="229">
        <v>2350</v>
      </c>
      <c r="AH25" s="205">
        <v>0</v>
      </c>
      <c r="AI25" s="229">
        <v>2449</v>
      </c>
      <c r="AJ25" s="205">
        <v>0</v>
      </c>
      <c r="AK25" s="229">
        <v>6163</v>
      </c>
      <c r="AL25" s="229">
        <v>1131</v>
      </c>
      <c r="AM25" s="205">
        <v>661</v>
      </c>
      <c r="AN25" s="229">
        <v>3297</v>
      </c>
      <c r="AO25" s="229">
        <v>1074</v>
      </c>
      <c r="AP25" s="229">
        <v>1340</v>
      </c>
      <c r="AQ25" s="205">
        <v>198</v>
      </c>
      <c r="AR25" s="205">
        <v>0</v>
      </c>
      <c r="AS25" s="229">
        <v>1114</v>
      </c>
      <c r="AT25" s="205">
        <v>28</v>
      </c>
    </row>
    <row r="26" spans="2:46" x14ac:dyDescent="0.25">
      <c r="B26" s="228" t="s">
        <v>211</v>
      </c>
      <c r="C26" s="205">
        <f t="shared" si="4"/>
        <v>2022</v>
      </c>
      <c r="D26" s="229">
        <v>10982</v>
      </c>
      <c r="E26" s="205">
        <v>69</v>
      </c>
      <c r="F26" s="205">
        <v>1</v>
      </c>
      <c r="G26" s="205">
        <v>5</v>
      </c>
      <c r="H26" s="230">
        <f t="shared" si="5"/>
        <v>75</v>
      </c>
      <c r="J26" s="231">
        <v>43435</v>
      </c>
      <c r="K26" s="232">
        <v>2018</v>
      </c>
      <c r="L26" s="233" t="s">
        <v>195</v>
      </c>
      <c r="M26" s="228">
        <f t="shared" si="0"/>
        <v>1806</v>
      </c>
      <c r="N26" s="205">
        <f t="shared" si="1"/>
        <v>11</v>
      </c>
      <c r="O26" s="205">
        <f t="shared" si="2"/>
        <v>0</v>
      </c>
      <c r="P26" s="205">
        <f t="shared" si="3"/>
        <v>0</v>
      </c>
      <c r="Q26" s="230">
        <f t="shared" si="6"/>
        <v>11</v>
      </c>
      <c r="R26" s="234">
        <f t="shared" si="9"/>
        <v>24938.000000000004</v>
      </c>
      <c r="S26" s="235">
        <f t="shared" si="9"/>
        <v>122.00000000000001</v>
      </c>
      <c r="T26" s="235">
        <f t="shared" si="9"/>
        <v>1.9999999999999998</v>
      </c>
      <c r="U26" s="235">
        <f t="shared" si="9"/>
        <v>11</v>
      </c>
      <c r="V26" s="236">
        <f t="shared" si="9"/>
        <v>135</v>
      </c>
      <c r="Y26" s="205" t="s">
        <v>208</v>
      </c>
      <c r="Z26" s="205">
        <f t="shared" si="8"/>
        <v>2022</v>
      </c>
      <c r="AA26" s="229">
        <v>135121</v>
      </c>
      <c r="AB26" s="229">
        <v>24106</v>
      </c>
      <c r="AC26" s="229">
        <v>26220</v>
      </c>
      <c r="AD26" s="229">
        <v>79256</v>
      </c>
      <c r="AE26" s="229">
        <v>5539</v>
      </c>
      <c r="AF26" s="229">
        <v>5688</v>
      </c>
      <c r="AG26" s="229">
        <v>2870</v>
      </c>
      <c r="AH26" s="205">
        <v>0</v>
      </c>
      <c r="AI26" s="229">
        <v>2814</v>
      </c>
      <c r="AJ26" s="205">
        <v>4</v>
      </c>
      <c r="AK26" s="229">
        <v>7048</v>
      </c>
      <c r="AL26" s="229">
        <v>1845</v>
      </c>
      <c r="AM26" s="205">
        <v>561</v>
      </c>
      <c r="AN26" s="229">
        <v>3757</v>
      </c>
      <c r="AO26" s="205">
        <v>885</v>
      </c>
      <c r="AP26" s="229">
        <v>1435</v>
      </c>
      <c r="AQ26" s="205">
        <v>151</v>
      </c>
      <c r="AR26" s="205">
        <v>0</v>
      </c>
      <c r="AS26" s="229">
        <v>1043</v>
      </c>
      <c r="AT26" s="205">
        <v>241</v>
      </c>
    </row>
    <row r="27" spans="2:46" x14ac:dyDescent="0.25">
      <c r="B27" s="228" t="s">
        <v>212</v>
      </c>
      <c r="C27" s="205">
        <f t="shared" si="4"/>
        <v>2023</v>
      </c>
      <c r="D27" s="229">
        <v>8460</v>
      </c>
      <c r="E27" s="205">
        <v>54</v>
      </c>
      <c r="F27" s="205">
        <v>1</v>
      </c>
      <c r="G27" s="205">
        <v>0</v>
      </c>
      <c r="H27" s="230">
        <f t="shared" si="5"/>
        <v>55</v>
      </c>
      <c r="J27" s="231">
        <v>43466</v>
      </c>
      <c r="K27" s="232">
        <v>2019</v>
      </c>
      <c r="L27" s="233" t="s">
        <v>196</v>
      </c>
      <c r="M27" s="228">
        <f t="shared" si="0"/>
        <v>1342</v>
      </c>
      <c r="N27" s="205">
        <f t="shared" si="1"/>
        <v>10</v>
      </c>
      <c r="O27" s="205">
        <f t="shared" si="2"/>
        <v>0</v>
      </c>
      <c r="P27" s="205">
        <f t="shared" si="3"/>
        <v>1</v>
      </c>
      <c r="Q27" s="230">
        <f t="shared" si="6"/>
        <v>11</v>
      </c>
      <c r="R27" s="234">
        <f t="shared" si="9"/>
        <v>25385.333333333336</v>
      </c>
      <c r="S27" s="235">
        <f t="shared" si="9"/>
        <v>125.33333333333334</v>
      </c>
      <c r="T27" s="235">
        <f t="shared" si="9"/>
        <v>1.9999999999999998</v>
      </c>
      <c r="U27" s="235">
        <f t="shared" si="9"/>
        <v>11.333333333333334</v>
      </c>
      <c r="V27" s="236">
        <f t="shared" si="9"/>
        <v>138.66666666666666</v>
      </c>
      <c r="Y27" s="205" t="s">
        <v>209</v>
      </c>
      <c r="Z27" s="205">
        <f t="shared" si="8"/>
        <v>2022</v>
      </c>
      <c r="AA27" s="229">
        <v>169211</v>
      </c>
      <c r="AB27" s="229">
        <v>32482</v>
      </c>
      <c r="AC27" s="229">
        <v>34808</v>
      </c>
      <c r="AD27" s="229">
        <v>96317</v>
      </c>
      <c r="AE27" s="229">
        <v>5604</v>
      </c>
      <c r="AF27" s="229">
        <v>7877</v>
      </c>
      <c r="AG27" s="229">
        <v>2905</v>
      </c>
      <c r="AH27" s="205">
        <v>59</v>
      </c>
      <c r="AI27" s="229">
        <v>4869</v>
      </c>
      <c r="AJ27" s="205">
        <v>44</v>
      </c>
      <c r="AK27" s="229">
        <v>11650</v>
      </c>
      <c r="AL27" s="229">
        <v>2285</v>
      </c>
      <c r="AM27" s="229">
        <v>1510</v>
      </c>
      <c r="AN27" s="229">
        <v>7089</v>
      </c>
      <c r="AO27" s="205">
        <v>766</v>
      </c>
      <c r="AP27" s="229">
        <v>1656</v>
      </c>
      <c r="AQ27" s="205">
        <v>270</v>
      </c>
      <c r="AR27" s="205">
        <v>0</v>
      </c>
      <c r="AS27" s="229">
        <v>1269</v>
      </c>
      <c r="AT27" s="205">
        <v>117</v>
      </c>
    </row>
    <row r="28" spans="2:46" x14ac:dyDescent="0.25">
      <c r="B28" s="228" t="s">
        <v>213</v>
      </c>
      <c r="C28" s="205">
        <f t="shared" si="4"/>
        <v>2023</v>
      </c>
      <c r="D28" s="229">
        <v>12751</v>
      </c>
      <c r="E28" s="205">
        <v>134</v>
      </c>
      <c r="F28" s="205">
        <v>0</v>
      </c>
      <c r="G28" s="205">
        <v>4</v>
      </c>
      <c r="H28" s="230">
        <f t="shared" si="5"/>
        <v>138</v>
      </c>
      <c r="J28" s="231">
        <v>43497</v>
      </c>
      <c r="K28" s="232">
        <v>2019</v>
      </c>
      <c r="L28" s="233" t="s">
        <v>196</v>
      </c>
      <c r="M28" s="228">
        <f t="shared" si="0"/>
        <v>1342</v>
      </c>
      <c r="N28" s="205">
        <f t="shared" si="1"/>
        <v>10</v>
      </c>
      <c r="O28" s="205">
        <f t="shared" si="2"/>
        <v>0</v>
      </c>
      <c r="P28" s="205">
        <f t="shared" si="3"/>
        <v>1</v>
      </c>
      <c r="Q28" s="230">
        <f t="shared" si="6"/>
        <v>11</v>
      </c>
      <c r="R28" s="234">
        <f t="shared" si="9"/>
        <v>25832.666666666668</v>
      </c>
      <c r="S28" s="235">
        <f t="shared" si="9"/>
        <v>128.66666666666669</v>
      </c>
      <c r="T28" s="235">
        <f t="shared" si="9"/>
        <v>1.9999999999999998</v>
      </c>
      <c r="U28" s="235">
        <f t="shared" si="9"/>
        <v>11.666666666666668</v>
      </c>
      <c r="V28" s="236">
        <f t="shared" si="9"/>
        <v>142.33333333333331</v>
      </c>
      <c r="Y28" s="205" t="s">
        <v>210</v>
      </c>
      <c r="Z28" s="205">
        <f t="shared" si="8"/>
        <v>2022</v>
      </c>
      <c r="AA28" s="229">
        <v>153734</v>
      </c>
      <c r="AB28" s="229">
        <v>30643</v>
      </c>
      <c r="AC28" s="229">
        <v>32026</v>
      </c>
      <c r="AD28" s="229">
        <v>86566</v>
      </c>
      <c r="AE28" s="229">
        <v>4499</v>
      </c>
      <c r="AF28" s="229">
        <v>9720</v>
      </c>
      <c r="AG28" s="229">
        <v>3998</v>
      </c>
      <c r="AH28" s="205">
        <v>470</v>
      </c>
      <c r="AI28" s="229">
        <v>5206</v>
      </c>
      <c r="AJ28" s="205">
        <v>46</v>
      </c>
      <c r="AK28" s="229">
        <v>9386</v>
      </c>
      <c r="AL28" s="229">
        <v>1530</v>
      </c>
      <c r="AM28" s="229">
        <v>1418</v>
      </c>
      <c r="AN28" s="229">
        <v>5939</v>
      </c>
      <c r="AO28" s="205">
        <v>499</v>
      </c>
      <c r="AP28" s="229">
        <v>1297</v>
      </c>
      <c r="AQ28" s="205">
        <v>201</v>
      </c>
      <c r="AR28" s="205">
        <v>0</v>
      </c>
      <c r="AS28" s="229">
        <v>1001</v>
      </c>
      <c r="AT28" s="205">
        <v>95</v>
      </c>
    </row>
    <row r="29" spans="2:46" x14ac:dyDescent="0.25">
      <c r="B29" s="228" t="s">
        <v>214</v>
      </c>
      <c r="C29" s="205">
        <f t="shared" si="4"/>
        <v>2023</v>
      </c>
      <c r="D29" s="229">
        <v>14624</v>
      </c>
      <c r="E29" s="205">
        <v>127</v>
      </c>
      <c r="F29" s="205">
        <v>0</v>
      </c>
      <c r="G29" s="205">
        <v>4</v>
      </c>
      <c r="H29" s="230">
        <f t="shared" si="5"/>
        <v>131</v>
      </c>
      <c r="J29" s="231">
        <v>43525</v>
      </c>
      <c r="K29" s="232">
        <v>2019</v>
      </c>
      <c r="L29" s="233" t="s">
        <v>196</v>
      </c>
      <c r="M29" s="228">
        <f t="shared" si="0"/>
        <v>1342</v>
      </c>
      <c r="N29" s="205">
        <f t="shared" si="1"/>
        <v>10</v>
      </c>
      <c r="O29" s="205">
        <f t="shared" si="2"/>
        <v>0</v>
      </c>
      <c r="P29" s="205">
        <f t="shared" si="3"/>
        <v>1</v>
      </c>
      <c r="Q29" s="230">
        <f t="shared" si="6"/>
        <v>11</v>
      </c>
      <c r="R29" s="234">
        <f t="shared" si="9"/>
        <v>26280</v>
      </c>
      <c r="S29" s="235">
        <f t="shared" si="9"/>
        <v>132.00000000000003</v>
      </c>
      <c r="T29" s="235">
        <f t="shared" si="9"/>
        <v>1.9999999999999998</v>
      </c>
      <c r="U29" s="235">
        <f t="shared" si="9"/>
        <v>12.000000000000002</v>
      </c>
      <c r="V29" s="236">
        <f t="shared" si="9"/>
        <v>145.99999999999997</v>
      </c>
      <c r="Y29" s="205" t="s">
        <v>211</v>
      </c>
      <c r="Z29" s="205">
        <f t="shared" si="8"/>
        <v>2022</v>
      </c>
      <c r="AA29" s="229">
        <v>136349</v>
      </c>
      <c r="AB29" s="229">
        <v>22723</v>
      </c>
      <c r="AC29" s="229">
        <v>29713</v>
      </c>
      <c r="AD29" s="229">
        <v>79348</v>
      </c>
      <c r="AE29" s="229">
        <v>4565</v>
      </c>
      <c r="AF29" s="229">
        <v>9498</v>
      </c>
      <c r="AG29" s="229">
        <v>2594</v>
      </c>
      <c r="AH29" s="205">
        <v>344</v>
      </c>
      <c r="AI29" s="229">
        <v>6478</v>
      </c>
      <c r="AJ29" s="205">
        <v>82</v>
      </c>
      <c r="AK29" s="229">
        <v>7391</v>
      </c>
      <c r="AL29" s="205">
        <v>998</v>
      </c>
      <c r="AM29" s="229">
        <v>1274</v>
      </c>
      <c r="AN29" s="229">
        <v>4685</v>
      </c>
      <c r="AO29" s="205">
        <v>434</v>
      </c>
      <c r="AP29" s="229">
        <v>1484</v>
      </c>
      <c r="AQ29" s="205">
        <v>171</v>
      </c>
      <c r="AR29" s="205">
        <v>0</v>
      </c>
      <c r="AS29" s="229">
        <v>1247</v>
      </c>
      <c r="AT29" s="205">
        <v>66</v>
      </c>
    </row>
    <row r="30" spans="2:46" x14ac:dyDescent="0.25">
      <c r="B30" s="228" t="s">
        <v>215</v>
      </c>
      <c r="C30" s="205">
        <f t="shared" si="4"/>
        <v>2023</v>
      </c>
      <c r="D30" s="229">
        <v>13975</v>
      </c>
      <c r="E30" s="205">
        <v>131</v>
      </c>
      <c r="F30" s="205">
        <v>0</v>
      </c>
      <c r="G30" s="205">
        <v>5</v>
      </c>
      <c r="H30" s="230">
        <f t="shared" si="5"/>
        <v>136</v>
      </c>
      <c r="J30" s="231">
        <v>43556</v>
      </c>
      <c r="K30" s="232">
        <v>2019</v>
      </c>
      <c r="L30" s="233" t="s">
        <v>197</v>
      </c>
      <c r="M30" s="228">
        <f t="shared" si="0"/>
        <v>2878</v>
      </c>
      <c r="N30" s="205">
        <f t="shared" si="1"/>
        <v>24</v>
      </c>
      <c r="O30" s="205">
        <f t="shared" si="2"/>
        <v>0</v>
      </c>
      <c r="P30" s="205">
        <f t="shared" si="3"/>
        <v>3</v>
      </c>
      <c r="Q30" s="230">
        <f t="shared" si="6"/>
        <v>27</v>
      </c>
      <c r="R30" s="234">
        <f t="shared" si="9"/>
        <v>27239.333333333332</v>
      </c>
      <c r="S30" s="235">
        <f t="shared" si="9"/>
        <v>140.00000000000003</v>
      </c>
      <c r="T30" s="235">
        <f t="shared" si="9"/>
        <v>1.9999999999999998</v>
      </c>
      <c r="U30" s="235">
        <f t="shared" si="9"/>
        <v>13.000000000000002</v>
      </c>
      <c r="V30" s="236">
        <f t="shared" si="9"/>
        <v>154.99999999999997</v>
      </c>
      <c r="Y30" s="205" t="s">
        <v>212</v>
      </c>
      <c r="Z30" s="205">
        <f t="shared" si="8"/>
        <v>2023</v>
      </c>
      <c r="AA30" s="229">
        <v>143609</v>
      </c>
      <c r="AB30" s="229">
        <v>22724</v>
      </c>
      <c r="AC30" s="229">
        <v>31182</v>
      </c>
      <c r="AD30" s="229">
        <v>83568</v>
      </c>
      <c r="AE30" s="229">
        <v>6135</v>
      </c>
      <c r="AF30" s="229">
        <v>6695</v>
      </c>
      <c r="AG30" s="229">
        <v>2359</v>
      </c>
      <c r="AH30" s="205">
        <v>353</v>
      </c>
      <c r="AI30" s="229">
        <v>3881</v>
      </c>
      <c r="AJ30" s="205">
        <v>102</v>
      </c>
      <c r="AK30" s="229">
        <v>11132</v>
      </c>
      <c r="AL30" s="205">
        <v>1792</v>
      </c>
      <c r="AM30" s="229">
        <v>1183</v>
      </c>
      <c r="AN30" s="229">
        <v>7888</v>
      </c>
      <c r="AO30" s="205">
        <v>269</v>
      </c>
      <c r="AP30" s="229">
        <v>1758</v>
      </c>
      <c r="AQ30" s="205">
        <v>84</v>
      </c>
      <c r="AR30" s="205">
        <v>0</v>
      </c>
      <c r="AS30" s="229">
        <v>1479</v>
      </c>
      <c r="AT30" s="205">
        <v>195</v>
      </c>
    </row>
    <row r="31" spans="2:46" x14ac:dyDescent="0.25">
      <c r="B31" s="237" t="s">
        <v>216</v>
      </c>
      <c r="C31" s="238">
        <f t="shared" si="4"/>
        <v>2024</v>
      </c>
      <c r="D31" s="239">
        <v>10910</v>
      </c>
      <c r="E31" s="238">
        <v>65</v>
      </c>
      <c r="F31" s="238">
        <v>1</v>
      </c>
      <c r="G31" s="238">
        <v>2</v>
      </c>
      <c r="H31" s="240">
        <f t="shared" si="5"/>
        <v>68</v>
      </c>
      <c r="J31" s="231">
        <v>43586</v>
      </c>
      <c r="K31" s="232">
        <v>2019</v>
      </c>
      <c r="L31" s="233" t="s">
        <v>197</v>
      </c>
      <c r="M31" s="228">
        <f t="shared" si="0"/>
        <v>2878</v>
      </c>
      <c r="N31" s="205">
        <f t="shared" si="1"/>
        <v>24</v>
      </c>
      <c r="O31" s="205">
        <f t="shared" si="2"/>
        <v>0</v>
      </c>
      <c r="P31" s="205">
        <f t="shared" si="3"/>
        <v>3</v>
      </c>
      <c r="Q31" s="230">
        <f t="shared" si="6"/>
        <v>27</v>
      </c>
      <c r="R31" s="234">
        <f t="shared" si="9"/>
        <v>28198.666666666664</v>
      </c>
      <c r="S31" s="235">
        <f t="shared" si="9"/>
        <v>148.00000000000003</v>
      </c>
      <c r="T31" s="235">
        <f t="shared" si="9"/>
        <v>1.9999999999999998</v>
      </c>
      <c r="U31" s="235">
        <f t="shared" si="9"/>
        <v>14.000000000000002</v>
      </c>
      <c r="V31" s="236">
        <f t="shared" si="9"/>
        <v>163.99999999999997</v>
      </c>
      <c r="Y31" s="205" t="s">
        <v>213</v>
      </c>
      <c r="Z31" s="205">
        <f t="shared" si="8"/>
        <v>2023</v>
      </c>
      <c r="AA31" s="229">
        <v>183660</v>
      </c>
      <c r="AB31" s="229">
        <v>31870</v>
      </c>
      <c r="AC31" s="229">
        <v>32566</v>
      </c>
      <c r="AD31" s="229">
        <v>111720</v>
      </c>
      <c r="AE31" s="229">
        <v>7504</v>
      </c>
      <c r="AF31" s="229">
        <v>9440</v>
      </c>
      <c r="AG31" s="229">
        <v>2191</v>
      </c>
      <c r="AH31" s="205">
        <v>382</v>
      </c>
      <c r="AI31" s="229">
        <v>6698</v>
      </c>
      <c r="AJ31" s="205">
        <v>169</v>
      </c>
      <c r="AK31" s="229">
        <v>17544</v>
      </c>
      <c r="AL31" s="205">
        <v>2957</v>
      </c>
      <c r="AM31" s="229">
        <v>1189</v>
      </c>
      <c r="AN31" s="229">
        <v>12907</v>
      </c>
      <c r="AO31" s="205">
        <v>491</v>
      </c>
      <c r="AP31" s="229">
        <v>3311</v>
      </c>
      <c r="AQ31" s="205">
        <v>210</v>
      </c>
      <c r="AR31" s="205">
        <v>0</v>
      </c>
      <c r="AS31" s="229">
        <v>2843</v>
      </c>
      <c r="AT31" s="205">
        <v>258</v>
      </c>
    </row>
    <row r="32" spans="2:46" x14ac:dyDescent="0.25">
      <c r="J32" s="231">
        <v>43617</v>
      </c>
      <c r="K32" s="232">
        <v>2019</v>
      </c>
      <c r="L32" s="233" t="s">
        <v>197</v>
      </c>
      <c r="M32" s="228">
        <f t="shared" si="0"/>
        <v>2878</v>
      </c>
      <c r="N32" s="205">
        <f t="shared" si="1"/>
        <v>24</v>
      </c>
      <c r="O32" s="205">
        <f t="shared" si="2"/>
        <v>0</v>
      </c>
      <c r="P32" s="205">
        <f t="shared" si="3"/>
        <v>3</v>
      </c>
      <c r="Q32" s="230">
        <f t="shared" si="6"/>
        <v>27</v>
      </c>
      <c r="R32" s="234">
        <f t="shared" si="9"/>
        <v>29157.999999999996</v>
      </c>
      <c r="S32" s="235">
        <f t="shared" si="9"/>
        <v>156.00000000000003</v>
      </c>
      <c r="T32" s="235">
        <f t="shared" si="9"/>
        <v>1.9999999999999998</v>
      </c>
      <c r="U32" s="235">
        <f t="shared" si="9"/>
        <v>15.000000000000002</v>
      </c>
      <c r="V32" s="236">
        <f t="shared" si="9"/>
        <v>172.99999999999997</v>
      </c>
      <c r="Y32" s="205" t="s">
        <v>214</v>
      </c>
      <c r="Z32" s="205">
        <f t="shared" si="8"/>
        <v>2023</v>
      </c>
      <c r="AA32" s="229">
        <v>178605</v>
      </c>
      <c r="AB32" s="229">
        <v>29906</v>
      </c>
      <c r="AC32" s="229">
        <v>32977</v>
      </c>
      <c r="AD32" s="229">
        <v>108355</v>
      </c>
      <c r="AE32" s="229">
        <v>7367</v>
      </c>
      <c r="AF32" s="229">
        <v>11372</v>
      </c>
      <c r="AG32" s="229">
        <v>3129</v>
      </c>
      <c r="AH32" s="205">
        <v>523</v>
      </c>
      <c r="AI32" s="229">
        <v>7644</v>
      </c>
      <c r="AJ32" s="205">
        <v>76</v>
      </c>
      <c r="AK32" s="229">
        <v>17597</v>
      </c>
      <c r="AL32" s="229">
        <v>3040</v>
      </c>
      <c r="AM32" s="229">
        <v>1172</v>
      </c>
      <c r="AN32" s="229">
        <v>12859</v>
      </c>
      <c r="AO32" s="205">
        <v>526</v>
      </c>
      <c r="AP32" s="229">
        <v>3252</v>
      </c>
      <c r="AQ32" s="205">
        <v>322</v>
      </c>
      <c r="AR32" s="205">
        <v>0</v>
      </c>
      <c r="AS32" s="229">
        <v>2825</v>
      </c>
      <c r="AT32" s="205">
        <v>105</v>
      </c>
    </row>
    <row r="33" spans="10:46" x14ac:dyDescent="0.25">
      <c r="J33" s="231">
        <v>43647</v>
      </c>
      <c r="K33" s="232">
        <v>2019</v>
      </c>
      <c r="L33" s="233" t="s">
        <v>198</v>
      </c>
      <c r="M33" s="228">
        <f t="shared" si="0"/>
        <v>3148</v>
      </c>
      <c r="N33" s="205">
        <f t="shared" si="1"/>
        <v>14</v>
      </c>
      <c r="O33" s="205">
        <f t="shared" si="2"/>
        <v>0</v>
      </c>
      <c r="P33" s="205">
        <f t="shared" si="3"/>
        <v>1</v>
      </c>
      <c r="Q33" s="230">
        <f t="shared" si="6"/>
        <v>15</v>
      </c>
      <c r="R33" s="234">
        <f t="shared" si="9"/>
        <v>30207.333333333328</v>
      </c>
      <c r="S33" s="235">
        <f t="shared" si="9"/>
        <v>160.66666666666669</v>
      </c>
      <c r="T33" s="235">
        <f t="shared" si="9"/>
        <v>1.9999999999999998</v>
      </c>
      <c r="U33" s="235">
        <f t="shared" si="9"/>
        <v>15.333333333333336</v>
      </c>
      <c r="V33" s="236">
        <f t="shared" si="9"/>
        <v>177.99999999999997</v>
      </c>
      <c r="Y33" s="205" t="s">
        <v>215</v>
      </c>
      <c r="Z33" s="205">
        <f t="shared" si="8"/>
        <v>2023</v>
      </c>
      <c r="AA33" s="229">
        <v>171157</v>
      </c>
      <c r="AB33" s="229">
        <v>26053</v>
      </c>
      <c r="AC33" s="229">
        <v>30924</v>
      </c>
      <c r="AD33" s="229">
        <v>108461</v>
      </c>
      <c r="AE33" s="229">
        <v>5719</v>
      </c>
      <c r="AF33" s="229">
        <v>10802</v>
      </c>
      <c r="AG33" s="229">
        <v>2488</v>
      </c>
      <c r="AH33" s="205">
        <v>550</v>
      </c>
      <c r="AI33" s="229">
        <v>7605</v>
      </c>
      <c r="AJ33" s="205">
        <v>159</v>
      </c>
      <c r="AK33" s="229">
        <v>16263</v>
      </c>
      <c r="AL33" s="229">
        <v>2702</v>
      </c>
      <c r="AM33" s="229">
        <v>905</v>
      </c>
      <c r="AN33" s="229">
        <v>11898</v>
      </c>
      <c r="AO33" s="205">
        <v>758</v>
      </c>
      <c r="AP33" s="229">
        <v>3173</v>
      </c>
      <c r="AQ33" s="205">
        <v>209</v>
      </c>
      <c r="AR33" s="205">
        <v>0</v>
      </c>
      <c r="AS33" s="229">
        <v>2902</v>
      </c>
      <c r="AT33" s="205">
        <v>62</v>
      </c>
    </row>
    <row r="34" spans="10:46" x14ac:dyDescent="0.25">
      <c r="J34" s="231">
        <v>43678</v>
      </c>
      <c r="K34" s="232">
        <v>2019</v>
      </c>
      <c r="L34" s="233" t="s">
        <v>198</v>
      </c>
      <c r="M34" s="228">
        <f t="shared" si="0"/>
        <v>3148</v>
      </c>
      <c r="N34" s="205">
        <f t="shared" si="1"/>
        <v>14</v>
      </c>
      <c r="O34" s="205">
        <f t="shared" si="2"/>
        <v>0</v>
      </c>
      <c r="P34" s="205">
        <f t="shared" si="3"/>
        <v>1</v>
      </c>
      <c r="Q34" s="230">
        <f t="shared" si="6"/>
        <v>15</v>
      </c>
      <c r="R34" s="234">
        <f t="shared" si="9"/>
        <v>31256.666666666661</v>
      </c>
      <c r="S34" s="235">
        <f t="shared" si="9"/>
        <v>165.33333333333334</v>
      </c>
      <c r="T34" s="235">
        <f t="shared" si="9"/>
        <v>1.9999999999999998</v>
      </c>
      <c r="U34" s="235">
        <f t="shared" si="9"/>
        <v>15.66666666666667</v>
      </c>
      <c r="V34" s="236">
        <f t="shared" si="9"/>
        <v>182.99999999999997</v>
      </c>
      <c r="Y34" s="205" t="s">
        <v>216</v>
      </c>
      <c r="Z34" s="205">
        <f t="shared" si="8"/>
        <v>2024</v>
      </c>
      <c r="AA34" s="229">
        <v>163034</v>
      </c>
      <c r="AB34" s="229">
        <v>25189</v>
      </c>
      <c r="AC34" s="229">
        <v>27619</v>
      </c>
      <c r="AD34" s="229">
        <v>103975</v>
      </c>
      <c r="AE34" s="229">
        <v>6251</v>
      </c>
      <c r="AF34" s="229">
        <v>8027</v>
      </c>
      <c r="AG34" s="229">
        <v>1596</v>
      </c>
      <c r="AH34" s="205">
        <v>469</v>
      </c>
      <c r="AI34" s="229">
        <v>5913</v>
      </c>
      <c r="AJ34" s="205">
        <v>49</v>
      </c>
      <c r="AK34" s="229">
        <v>16600</v>
      </c>
      <c r="AL34" s="229">
        <v>2260</v>
      </c>
      <c r="AM34" s="229">
        <v>1315</v>
      </c>
      <c r="AN34" s="229">
        <v>11903</v>
      </c>
      <c r="AO34" s="205">
        <v>1122</v>
      </c>
      <c r="AP34" s="229">
        <v>2883</v>
      </c>
      <c r="AQ34" s="205">
        <v>388</v>
      </c>
      <c r="AR34" s="205">
        <v>0</v>
      </c>
      <c r="AS34" s="229">
        <v>2424</v>
      </c>
      <c r="AT34" s="205">
        <v>71</v>
      </c>
    </row>
    <row r="35" spans="10:46" x14ac:dyDescent="0.25">
      <c r="J35" s="231">
        <v>43709</v>
      </c>
      <c r="K35" s="232">
        <v>2019</v>
      </c>
      <c r="L35" s="233" t="s">
        <v>198</v>
      </c>
      <c r="M35" s="228">
        <f t="shared" si="0"/>
        <v>3148</v>
      </c>
      <c r="N35" s="205">
        <f t="shared" si="1"/>
        <v>14</v>
      </c>
      <c r="O35" s="205">
        <f t="shared" si="2"/>
        <v>0</v>
      </c>
      <c r="P35" s="205">
        <f t="shared" si="3"/>
        <v>1</v>
      </c>
      <c r="Q35" s="230">
        <f t="shared" si="6"/>
        <v>15</v>
      </c>
      <c r="R35" s="234">
        <f t="shared" si="9"/>
        <v>32305.999999999993</v>
      </c>
      <c r="S35" s="235">
        <f t="shared" si="9"/>
        <v>170</v>
      </c>
      <c r="T35" s="235">
        <f t="shared" si="9"/>
        <v>1.9999999999999998</v>
      </c>
      <c r="U35" s="235">
        <f t="shared" si="9"/>
        <v>16.000000000000004</v>
      </c>
      <c r="V35" s="236">
        <f t="shared" si="9"/>
        <v>187.99999999999997</v>
      </c>
      <c r="Y35" s="241"/>
      <c r="Z35" s="241"/>
      <c r="AA35" s="241"/>
      <c r="AB35" s="241"/>
      <c r="AC35" s="241"/>
      <c r="AD35" s="241"/>
      <c r="AE35" s="241"/>
    </row>
    <row r="36" spans="10:46" x14ac:dyDescent="0.25">
      <c r="J36" s="231">
        <v>43739</v>
      </c>
      <c r="K36" s="232">
        <v>2019</v>
      </c>
      <c r="L36" s="233" t="s">
        <v>199</v>
      </c>
      <c r="M36" s="228">
        <f t="shared" si="0"/>
        <v>2394</v>
      </c>
      <c r="N36" s="205">
        <f t="shared" si="1"/>
        <v>10</v>
      </c>
      <c r="O36" s="205">
        <f t="shared" si="2"/>
        <v>0</v>
      </c>
      <c r="P36" s="205">
        <f t="shared" si="3"/>
        <v>1</v>
      </c>
      <c r="Q36" s="230">
        <f t="shared" si="6"/>
        <v>11</v>
      </c>
      <c r="R36" s="234">
        <f t="shared" ref="R36:V51" si="10">M36/3+R35</f>
        <v>33103.999999999993</v>
      </c>
      <c r="S36" s="235">
        <f t="shared" si="10"/>
        <v>173.33333333333334</v>
      </c>
      <c r="T36" s="235">
        <f t="shared" si="10"/>
        <v>1.9999999999999998</v>
      </c>
      <c r="U36" s="235">
        <f t="shared" si="10"/>
        <v>16.333333333333336</v>
      </c>
      <c r="V36" s="236">
        <f t="shared" si="10"/>
        <v>191.66666666666663</v>
      </c>
      <c r="X36" s="241" t="s">
        <v>97</v>
      </c>
      <c r="AF36" s="242">
        <f t="shared" ref="AF36:AT36" si="11">SUM(AF6:AF34)</f>
        <v>120363</v>
      </c>
      <c r="AG36" s="242">
        <f t="shared" si="11"/>
        <v>50932</v>
      </c>
      <c r="AH36" s="242">
        <f t="shared" si="11"/>
        <v>3150</v>
      </c>
      <c r="AI36" s="242">
        <f t="shared" si="11"/>
        <v>65550</v>
      </c>
      <c r="AJ36" s="242">
        <f t="shared" si="11"/>
        <v>731</v>
      </c>
      <c r="AK36" s="242">
        <f t="shared" si="11"/>
        <v>197080</v>
      </c>
      <c r="AL36" s="242">
        <f t="shared" si="11"/>
        <v>49067</v>
      </c>
      <c r="AM36" s="242">
        <f t="shared" si="11"/>
        <v>12865</v>
      </c>
      <c r="AN36" s="242">
        <f t="shared" si="11"/>
        <v>124369</v>
      </c>
      <c r="AO36" s="242">
        <f t="shared" si="11"/>
        <v>10779</v>
      </c>
      <c r="AP36" s="242">
        <f t="shared" si="11"/>
        <v>43946</v>
      </c>
      <c r="AQ36" s="242">
        <f t="shared" si="11"/>
        <v>15081</v>
      </c>
      <c r="AR36" s="242">
        <f t="shared" si="11"/>
        <v>0</v>
      </c>
      <c r="AS36" s="242">
        <f t="shared" si="11"/>
        <v>25750</v>
      </c>
      <c r="AT36" s="242">
        <f t="shared" si="11"/>
        <v>3115</v>
      </c>
    </row>
    <row r="37" spans="10:46" x14ac:dyDescent="0.25">
      <c r="J37" s="231">
        <v>43770</v>
      </c>
      <c r="K37" s="232">
        <v>2019</v>
      </c>
      <c r="L37" s="233" t="s">
        <v>199</v>
      </c>
      <c r="M37" s="228">
        <f t="shared" si="0"/>
        <v>2394</v>
      </c>
      <c r="N37" s="205">
        <f t="shared" si="1"/>
        <v>10</v>
      </c>
      <c r="O37" s="205">
        <f t="shared" si="2"/>
        <v>0</v>
      </c>
      <c r="P37" s="205">
        <f t="shared" si="3"/>
        <v>1</v>
      </c>
      <c r="Q37" s="230">
        <f t="shared" si="6"/>
        <v>11</v>
      </c>
      <c r="R37" s="234">
        <f t="shared" si="10"/>
        <v>33901.999999999993</v>
      </c>
      <c r="S37" s="235">
        <f t="shared" si="10"/>
        <v>176.66666666666669</v>
      </c>
      <c r="T37" s="235">
        <f t="shared" si="10"/>
        <v>1.9999999999999998</v>
      </c>
      <c r="U37" s="235">
        <f t="shared" si="10"/>
        <v>16.666666666666668</v>
      </c>
      <c r="V37" s="236">
        <f t="shared" si="10"/>
        <v>195.33333333333329</v>
      </c>
    </row>
    <row r="38" spans="10:46" x14ac:dyDescent="0.25">
      <c r="J38" s="231">
        <v>43800</v>
      </c>
      <c r="K38" s="232">
        <v>2019</v>
      </c>
      <c r="L38" s="233" t="s">
        <v>199</v>
      </c>
      <c r="M38" s="228">
        <f t="shared" si="0"/>
        <v>2394</v>
      </c>
      <c r="N38" s="205">
        <f t="shared" si="1"/>
        <v>10</v>
      </c>
      <c r="O38" s="205">
        <f t="shared" si="2"/>
        <v>0</v>
      </c>
      <c r="P38" s="205">
        <f t="shared" si="3"/>
        <v>1</v>
      </c>
      <c r="Q38" s="230">
        <f t="shared" si="6"/>
        <v>11</v>
      </c>
      <c r="R38" s="234">
        <f t="shared" si="10"/>
        <v>34699.999999999993</v>
      </c>
      <c r="S38" s="235">
        <f t="shared" si="10"/>
        <v>180.00000000000003</v>
      </c>
      <c r="T38" s="235">
        <f t="shared" si="10"/>
        <v>1.9999999999999998</v>
      </c>
      <c r="U38" s="235">
        <f t="shared" si="10"/>
        <v>17</v>
      </c>
      <c r="V38" s="236">
        <f t="shared" si="10"/>
        <v>198.99999999999994</v>
      </c>
    </row>
    <row r="39" spans="10:46" x14ac:dyDescent="0.25">
      <c r="J39" s="231">
        <v>43831</v>
      </c>
      <c r="K39" s="232">
        <v>2020</v>
      </c>
      <c r="L39" s="233" t="s">
        <v>200</v>
      </c>
      <c r="M39" s="228">
        <f t="shared" si="0"/>
        <v>2102</v>
      </c>
      <c r="N39" s="205">
        <f t="shared" si="1"/>
        <v>13</v>
      </c>
      <c r="O39" s="205">
        <f t="shared" si="2"/>
        <v>0</v>
      </c>
      <c r="P39" s="205">
        <f t="shared" si="3"/>
        <v>0</v>
      </c>
      <c r="Q39" s="230">
        <f t="shared" si="6"/>
        <v>13</v>
      </c>
      <c r="R39" s="234">
        <f t="shared" si="10"/>
        <v>35400.666666666657</v>
      </c>
      <c r="S39" s="235">
        <f t="shared" si="10"/>
        <v>184.33333333333337</v>
      </c>
      <c r="T39" s="235">
        <f t="shared" si="10"/>
        <v>1.9999999999999998</v>
      </c>
      <c r="U39" s="235">
        <f t="shared" si="10"/>
        <v>17</v>
      </c>
      <c r="V39" s="236">
        <f t="shared" si="10"/>
        <v>203.33333333333329</v>
      </c>
    </row>
    <row r="40" spans="10:46" x14ac:dyDescent="0.25">
      <c r="J40" s="231">
        <v>43862</v>
      </c>
      <c r="K40" s="232">
        <v>2020</v>
      </c>
      <c r="L40" s="233" t="s">
        <v>200</v>
      </c>
      <c r="M40" s="228">
        <f t="shared" si="0"/>
        <v>2102</v>
      </c>
      <c r="N40" s="205">
        <f t="shared" si="1"/>
        <v>13</v>
      </c>
      <c r="O40" s="205">
        <f t="shared" si="2"/>
        <v>0</v>
      </c>
      <c r="P40" s="205">
        <f t="shared" si="3"/>
        <v>0</v>
      </c>
      <c r="Q40" s="230">
        <f t="shared" si="6"/>
        <v>13</v>
      </c>
      <c r="R40" s="234">
        <f t="shared" si="10"/>
        <v>36101.333333333321</v>
      </c>
      <c r="S40" s="235">
        <f t="shared" si="10"/>
        <v>188.66666666666671</v>
      </c>
      <c r="T40" s="235">
        <f t="shared" si="10"/>
        <v>1.9999999999999998</v>
      </c>
      <c r="U40" s="235">
        <f t="shared" si="10"/>
        <v>17</v>
      </c>
      <c r="V40" s="236">
        <f t="shared" si="10"/>
        <v>207.66666666666663</v>
      </c>
    </row>
    <row r="41" spans="10:46" x14ac:dyDescent="0.25">
      <c r="J41" s="231">
        <v>43891</v>
      </c>
      <c r="K41" s="232">
        <v>2020</v>
      </c>
      <c r="L41" s="233" t="s">
        <v>200</v>
      </c>
      <c r="M41" s="228">
        <f t="shared" si="0"/>
        <v>2102</v>
      </c>
      <c r="N41" s="205">
        <f t="shared" si="1"/>
        <v>13</v>
      </c>
      <c r="O41" s="205">
        <f t="shared" si="2"/>
        <v>0</v>
      </c>
      <c r="P41" s="205">
        <f t="shared" si="3"/>
        <v>0</v>
      </c>
      <c r="Q41" s="230">
        <f t="shared" si="6"/>
        <v>13</v>
      </c>
      <c r="R41" s="234">
        <f t="shared" si="10"/>
        <v>36801.999999999985</v>
      </c>
      <c r="S41" s="235">
        <f t="shared" si="10"/>
        <v>193.00000000000006</v>
      </c>
      <c r="T41" s="235">
        <f t="shared" si="10"/>
        <v>1.9999999999999998</v>
      </c>
      <c r="U41" s="235">
        <f t="shared" si="10"/>
        <v>17</v>
      </c>
      <c r="V41" s="236">
        <f t="shared" si="10"/>
        <v>211.99999999999997</v>
      </c>
    </row>
    <row r="42" spans="10:46" x14ac:dyDescent="0.25">
      <c r="J42" s="231">
        <v>43922</v>
      </c>
      <c r="K42" s="232">
        <v>2020</v>
      </c>
      <c r="L42" s="233" t="s">
        <v>201</v>
      </c>
      <c r="M42" s="228">
        <f t="shared" si="0"/>
        <v>1640</v>
      </c>
      <c r="N42" s="205">
        <f t="shared" si="1"/>
        <v>12</v>
      </c>
      <c r="O42" s="205">
        <f t="shared" si="2"/>
        <v>0</v>
      </c>
      <c r="P42" s="205">
        <f t="shared" si="3"/>
        <v>0</v>
      </c>
      <c r="Q42" s="230">
        <f t="shared" si="6"/>
        <v>12</v>
      </c>
      <c r="R42" s="234">
        <f t="shared" si="10"/>
        <v>37348.66666666665</v>
      </c>
      <c r="S42" s="235">
        <f t="shared" si="10"/>
        <v>197.00000000000006</v>
      </c>
      <c r="T42" s="235">
        <f t="shared" si="10"/>
        <v>1.9999999999999998</v>
      </c>
      <c r="U42" s="235">
        <f t="shared" si="10"/>
        <v>17</v>
      </c>
      <c r="V42" s="236">
        <f t="shared" si="10"/>
        <v>215.99999999999997</v>
      </c>
    </row>
    <row r="43" spans="10:46" x14ac:dyDescent="0.25">
      <c r="J43" s="231">
        <v>43952</v>
      </c>
      <c r="K43" s="232">
        <v>2020</v>
      </c>
      <c r="L43" s="233" t="s">
        <v>201</v>
      </c>
      <c r="M43" s="228">
        <f t="shared" si="0"/>
        <v>1640</v>
      </c>
      <c r="N43" s="205">
        <f t="shared" si="1"/>
        <v>12</v>
      </c>
      <c r="O43" s="205">
        <f t="shared" si="2"/>
        <v>0</v>
      </c>
      <c r="P43" s="205">
        <f t="shared" si="3"/>
        <v>0</v>
      </c>
      <c r="Q43" s="230">
        <f t="shared" si="6"/>
        <v>12</v>
      </c>
      <c r="R43" s="234">
        <f t="shared" si="10"/>
        <v>37895.333333333314</v>
      </c>
      <c r="S43" s="235">
        <f t="shared" si="10"/>
        <v>201.00000000000006</v>
      </c>
      <c r="T43" s="235">
        <f t="shared" si="10"/>
        <v>1.9999999999999998</v>
      </c>
      <c r="U43" s="235">
        <f t="shared" si="10"/>
        <v>17</v>
      </c>
      <c r="V43" s="236">
        <f t="shared" si="10"/>
        <v>219.99999999999997</v>
      </c>
    </row>
    <row r="44" spans="10:46" x14ac:dyDescent="0.25">
      <c r="J44" s="231">
        <v>43983</v>
      </c>
      <c r="K44" s="232">
        <v>2020</v>
      </c>
      <c r="L44" s="233" t="s">
        <v>201</v>
      </c>
      <c r="M44" s="228">
        <f t="shared" si="0"/>
        <v>1640</v>
      </c>
      <c r="N44" s="205">
        <f t="shared" si="1"/>
        <v>12</v>
      </c>
      <c r="O44" s="205">
        <f t="shared" si="2"/>
        <v>0</v>
      </c>
      <c r="P44" s="205">
        <f t="shared" si="3"/>
        <v>0</v>
      </c>
      <c r="Q44" s="230">
        <f t="shared" si="6"/>
        <v>12</v>
      </c>
      <c r="R44" s="234">
        <f t="shared" si="10"/>
        <v>38441.999999999978</v>
      </c>
      <c r="S44" s="235">
        <f t="shared" si="10"/>
        <v>205.00000000000006</v>
      </c>
      <c r="T44" s="235">
        <f t="shared" si="10"/>
        <v>1.9999999999999998</v>
      </c>
      <c r="U44" s="235">
        <f t="shared" si="10"/>
        <v>17</v>
      </c>
      <c r="V44" s="236">
        <f t="shared" si="10"/>
        <v>223.99999999999997</v>
      </c>
    </row>
    <row r="45" spans="10:46" x14ac:dyDescent="0.25">
      <c r="J45" s="231">
        <v>44013</v>
      </c>
      <c r="K45" s="232">
        <v>2020</v>
      </c>
      <c r="L45" s="233" t="s">
        <v>202</v>
      </c>
      <c r="M45" s="228">
        <f t="shared" si="0"/>
        <v>3296</v>
      </c>
      <c r="N45" s="205">
        <f t="shared" si="1"/>
        <v>32</v>
      </c>
      <c r="O45" s="205">
        <f t="shared" si="2"/>
        <v>0</v>
      </c>
      <c r="P45" s="205">
        <f t="shared" si="3"/>
        <v>0</v>
      </c>
      <c r="Q45" s="230">
        <f t="shared" si="6"/>
        <v>32</v>
      </c>
      <c r="R45" s="234">
        <f t="shared" si="10"/>
        <v>39540.666666666642</v>
      </c>
      <c r="S45" s="235">
        <f t="shared" si="10"/>
        <v>215.66666666666671</v>
      </c>
      <c r="T45" s="235">
        <f t="shared" si="10"/>
        <v>1.9999999999999998</v>
      </c>
      <c r="U45" s="235">
        <f t="shared" si="10"/>
        <v>17</v>
      </c>
      <c r="V45" s="236">
        <f t="shared" si="10"/>
        <v>234.66666666666663</v>
      </c>
    </row>
    <row r="46" spans="10:46" x14ac:dyDescent="0.25">
      <c r="J46" s="231">
        <v>44044</v>
      </c>
      <c r="K46" s="232">
        <v>2020</v>
      </c>
      <c r="L46" s="233" t="s">
        <v>202</v>
      </c>
      <c r="M46" s="228">
        <f t="shared" si="0"/>
        <v>3296</v>
      </c>
      <c r="N46" s="205">
        <f t="shared" si="1"/>
        <v>32</v>
      </c>
      <c r="O46" s="205">
        <f t="shared" si="2"/>
        <v>0</v>
      </c>
      <c r="P46" s="205">
        <f t="shared" si="3"/>
        <v>0</v>
      </c>
      <c r="Q46" s="230">
        <f t="shared" si="6"/>
        <v>32</v>
      </c>
      <c r="R46" s="234">
        <f t="shared" si="10"/>
        <v>40639.333333333307</v>
      </c>
      <c r="S46" s="235">
        <f t="shared" si="10"/>
        <v>226.33333333333337</v>
      </c>
      <c r="T46" s="235">
        <f t="shared" si="10"/>
        <v>1.9999999999999998</v>
      </c>
      <c r="U46" s="235">
        <f t="shared" si="10"/>
        <v>17</v>
      </c>
      <c r="V46" s="236">
        <f t="shared" si="10"/>
        <v>245.33333333333329</v>
      </c>
    </row>
    <row r="47" spans="10:46" x14ac:dyDescent="0.25">
      <c r="J47" s="231">
        <v>44075</v>
      </c>
      <c r="K47" s="232">
        <v>2020</v>
      </c>
      <c r="L47" s="233" t="s">
        <v>202</v>
      </c>
      <c r="M47" s="228">
        <f t="shared" si="0"/>
        <v>3296</v>
      </c>
      <c r="N47" s="205">
        <f t="shared" si="1"/>
        <v>32</v>
      </c>
      <c r="O47" s="205">
        <f t="shared" si="2"/>
        <v>0</v>
      </c>
      <c r="P47" s="205">
        <f t="shared" si="3"/>
        <v>0</v>
      </c>
      <c r="Q47" s="230">
        <f t="shared" si="6"/>
        <v>32</v>
      </c>
      <c r="R47" s="234">
        <f t="shared" si="10"/>
        <v>41737.999999999971</v>
      </c>
      <c r="S47" s="235">
        <f t="shared" si="10"/>
        <v>237.00000000000003</v>
      </c>
      <c r="T47" s="235">
        <f t="shared" si="10"/>
        <v>1.9999999999999998</v>
      </c>
      <c r="U47" s="235">
        <f t="shared" si="10"/>
        <v>17</v>
      </c>
      <c r="V47" s="236">
        <f t="shared" si="10"/>
        <v>255.99999999999994</v>
      </c>
    </row>
    <row r="48" spans="10:46" x14ac:dyDescent="0.25">
      <c r="J48" s="231">
        <v>44105</v>
      </c>
      <c r="K48" s="232">
        <v>2020</v>
      </c>
      <c r="L48" s="233" t="s">
        <v>203</v>
      </c>
      <c r="M48" s="228">
        <f t="shared" si="0"/>
        <v>3477</v>
      </c>
      <c r="N48" s="205">
        <f t="shared" si="1"/>
        <v>9</v>
      </c>
      <c r="O48" s="205">
        <f t="shared" si="2"/>
        <v>0</v>
      </c>
      <c r="P48" s="205">
        <f t="shared" si="3"/>
        <v>0</v>
      </c>
      <c r="Q48" s="230">
        <f t="shared" si="6"/>
        <v>9</v>
      </c>
      <c r="R48" s="234">
        <f t="shared" si="10"/>
        <v>42896.999999999971</v>
      </c>
      <c r="S48" s="235">
        <f t="shared" si="10"/>
        <v>240.00000000000003</v>
      </c>
      <c r="T48" s="235">
        <f t="shared" si="10"/>
        <v>1.9999999999999998</v>
      </c>
      <c r="U48" s="235">
        <f t="shared" si="10"/>
        <v>17</v>
      </c>
      <c r="V48" s="236">
        <f t="shared" si="10"/>
        <v>258.99999999999994</v>
      </c>
    </row>
    <row r="49" spans="10:22" x14ac:dyDescent="0.25">
      <c r="J49" s="231">
        <v>44136</v>
      </c>
      <c r="K49" s="232">
        <v>2020</v>
      </c>
      <c r="L49" s="233" t="s">
        <v>203</v>
      </c>
      <c r="M49" s="228">
        <f t="shared" si="0"/>
        <v>3477</v>
      </c>
      <c r="N49" s="205">
        <f t="shared" si="1"/>
        <v>9</v>
      </c>
      <c r="O49" s="205">
        <f t="shared" si="2"/>
        <v>0</v>
      </c>
      <c r="P49" s="205">
        <f t="shared" si="3"/>
        <v>0</v>
      </c>
      <c r="Q49" s="230">
        <f t="shared" si="6"/>
        <v>9</v>
      </c>
      <c r="R49" s="234">
        <f t="shared" si="10"/>
        <v>44055.999999999971</v>
      </c>
      <c r="S49" s="235">
        <f t="shared" si="10"/>
        <v>243.00000000000003</v>
      </c>
      <c r="T49" s="235">
        <f t="shared" si="10"/>
        <v>1.9999999999999998</v>
      </c>
      <c r="U49" s="235">
        <f t="shared" si="10"/>
        <v>17</v>
      </c>
      <c r="V49" s="236">
        <f t="shared" si="10"/>
        <v>261.99999999999994</v>
      </c>
    </row>
    <row r="50" spans="10:22" x14ac:dyDescent="0.25">
      <c r="J50" s="231">
        <v>44166</v>
      </c>
      <c r="K50" s="232">
        <v>2020</v>
      </c>
      <c r="L50" s="233" t="s">
        <v>203</v>
      </c>
      <c r="M50" s="228">
        <f t="shared" si="0"/>
        <v>3477</v>
      </c>
      <c r="N50" s="205">
        <f t="shared" si="1"/>
        <v>9</v>
      </c>
      <c r="O50" s="205">
        <f t="shared" si="2"/>
        <v>0</v>
      </c>
      <c r="P50" s="205">
        <f t="shared" si="3"/>
        <v>0</v>
      </c>
      <c r="Q50" s="230">
        <f t="shared" si="6"/>
        <v>9</v>
      </c>
      <c r="R50" s="234">
        <f t="shared" si="10"/>
        <v>45214.999999999971</v>
      </c>
      <c r="S50" s="235">
        <f t="shared" si="10"/>
        <v>246.00000000000003</v>
      </c>
      <c r="T50" s="235">
        <f t="shared" si="10"/>
        <v>1.9999999999999998</v>
      </c>
      <c r="U50" s="235">
        <f t="shared" si="10"/>
        <v>17</v>
      </c>
      <c r="V50" s="236">
        <f t="shared" si="10"/>
        <v>264.99999999999994</v>
      </c>
    </row>
    <row r="51" spans="10:22" x14ac:dyDescent="0.25">
      <c r="J51" s="231">
        <v>44197</v>
      </c>
      <c r="K51" s="232">
        <v>2021</v>
      </c>
      <c r="L51" s="233" t="s">
        <v>204</v>
      </c>
      <c r="M51" s="228">
        <f t="shared" si="0"/>
        <v>3329</v>
      </c>
      <c r="N51" s="205">
        <f t="shared" si="1"/>
        <v>19</v>
      </c>
      <c r="O51" s="205">
        <f t="shared" si="2"/>
        <v>0</v>
      </c>
      <c r="P51" s="205">
        <f t="shared" si="3"/>
        <v>3</v>
      </c>
      <c r="Q51" s="230">
        <f t="shared" si="6"/>
        <v>22</v>
      </c>
      <c r="R51" s="234">
        <f t="shared" si="10"/>
        <v>46324.666666666635</v>
      </c>
      <c r="S51" s="235">
        <f t="shared" si="10"/>
        <v>252.33333333333337</v>
      </c>
      <c r="T51" s="235">
        <f t="shared" si="10"/>
        <v>1.9999999999999998</v>
      </c>
      <c r="U51" s="235">
        <f t="shared" si="10"/>
        <v>18</v>
      </c>
      <c r="V51" s="236">
        <f t="shared" si="10"/>
        <v>272.33333333333326</v>
      </c>
    </row>
    <row r="52" spans="10:22" x14ac:dyDescent="0.25">
      <c r="J52" s="231">
        <v>44228</v>
      </c>
      <c r="K52" s="232">
        <v>2021</v>
      </c>
      <c r="L52" s="233" t="s">
        <v>204</v>
      </c>
      <c r="M52" s="228">
        <f t="shared" si="0"/>
        <v>3329</v>
      </c>
      <c r="N52" s="205">
        <f t="shared" si="1"/>
        <v>19</v>
      </c>
      <c r="O52" s="205">
        <f t="shared" si="2"/>
        <v>0</v>
      </c>
      <c r="P52" s="205">
        <f t="shared" si="3"/>
        <v>3</v>
      </c>
      <c r="Q52" s="230">
        <f t="shared" si="6"/>
        <v>22</v>
      </c>
      <c r="R52" s="234">
        <f t="shared" ref="R52:V67" si="12">M52/3+R51</f>
        <v>47434.333333333299</v>
      </c>
      <c r="S52" s="235">
        <f t="shared" si="12"/>
        <v>258.66666666666669</v>
      </c>
      <c r="T52" s="235">
        <f t="shared" si="12"/>
        <v>1.9999999999999998</v>
      </c>
      <c r="U52" s="235">
        <f t="shared" si="12"/>
        <v>19</v>
      </c>
      <c r="V52" s="236">
        <f t="shared" si="12"/>
        <v>279.66666666666657</v>
      </c>
    </row>
    <row r="53" spans="10:22" x14ac:dyDescent="0.25">
      <c r="J53" s="231">
        <v>44256</v>
      </c>
      <c r="K53" s="232">
        <v>2021</v>
      </c>
      <c r="L53" s="233" t="s">
        <v>204</v>
      </c>
      <c r="M53" s="228">
        <f t="shared" si="0"/>
        <v>3329</v>
      </c>
      <c r="N53" s="205">
        <f t="shared" si="1"/>
        <v>19</v>
      </c>
      <c r="O53" s="205">
        <f t="shared" si="2"/>
        <v>0</v>
      </c>
      <c r="P53" s="205">
        <f t="shared" si="3"/>
        <v>3</v>
      </c>
      <c r="Q53" s="230">
        <f t="shared" si="6"/>
        <v>22</v>
      </c>
      <c r="R53" s="234">
        <f t="shared" si="12"/>
        <v>48543.999999999964</v>
      </c>
      <c r="S53" s="235">
        <f t="shared" si="12"/>
        <v>265</v>
      </c>
      <c r="T53" s="235">
        <f t="shared" si="12"/>
        <v>1.9999999999999998</v>
      </c>
      <c r="U53" s="235">
        <f t="shared" si="12"/>
        <v>20</v>
      </c>
      <c r="V53" s="236">
        <f t="shared" si="12"/>
        <v>286.99999999999989</v>
      </c>
    </row>
    <row r="54" spans="10:22" x14ac:dyDescent="0.25">
      <c r="J54" s="231">
        <v>44287</v>
      </c>
      <c r="K54" s="232">
        <v>2021</v>
      </c>
      <c r="L54" s="233" t="s">
        <v>205</v>
      </c>
      <c r="M54" s="228">
        <f t="shared" si="0"/>
        <v>5096</v>
      </c>
      <c r="N54" s="205">
        <f t="shared" si="1"/>
        <v>26</v>
      </c>
      <c r="O54" s="205">
        <f t="shared" si="2"/>
        <v>0</v>
      </c>
      <c r="P54" s="205">
        <f t="shared" si="3"/>
        <v>2</v>
      </c>
      <c r="Q54" s="230">
        <f t="shared" si="6"/>
        <v>28</v>
      </c>
      <c r="R54" s="234">
        <f t="shared" si="12"/>
        <v>50242.666666666628</v>
      </c>
      <c r="S54" s="235">
        <f t="shared" si="12"/>
        <v>273.66666666666669</v>
      </c>
      <c r="T54" s="235">
        <f t="shared" si="12"/>
        <v>1.9999999999999998</v>
      </c>
      <c r="U54" s="235">
        <f t="shared" si="12"/>
        <v>20.666666666666668</v>
      </c>
      <c r="V54" s="236">
        <f t="shared" si="12"/>
        <v>296.3333333333332</v>
      </c>
    </row>
    <row r="55" spans="10:22" x14ac:dyDescent="0.25">
      <c r="J55" s="231">
        <v>44317</v>
      </c>
      <c r="K55" s="232">
        <v>2021</v>
      </c>
      <c r="L55" s="233" t="s">
        <v>205</v>
      </c>
      <c r="M55" s="228">
        <f t="shared" si="0"/>
        <v>5096</v>
      </c>
      <c r="N55" s="205">
        <f t="shared" si="1"/>
        <v>26</v>
      </c>
      <c r="O55" s="205">
        <f t="shared" si="2"/>
        <v>0</v>
      </c>
      <c r="P55" s="205">
        <f t="shared" si="3"/>
        <v>2</v>
      </c>
      <c r="Q55" s="230">
        <f t="shared" si="6"/>
        <v>28</v>
      </c>
      <c r="R55" s="234">
        <f t="shared" si="12"/>
        <v>51941.333333333292</v>
      </c>
      <c r="S55" s="235">
        <f t="shared" si="12"/>
        <v>282.33333333333337</v>
      </c>
      <c r="T55" s="235">
        <f t="shared" si="12"/>
        <v>1.9999999999999998</v>
      </c>
      <c r="U55" s="235">
        <f t="shared" si="12"/>
        <v>21.333333333333336</v>
      </c>
      <c r="V55" s="236">
        <f t="shared" si="12"/>
        <v>305.66666666666652</v>
      </c>
    </row>
    <row r="56" spans="10:22" x14ac:dyDescent="0.25">
      <c r="J56" s="231">
        <v>44348</v>
      </c>
      <c r="K56" s="232">
        <v>2021</v>
      </c>
      <c r="L56" s="233" t="s">
        <v>205</v>
      </c>
      <c r="M56" s="228">
        <f t="shared" si="0"/>
        <v>5096</v>
      </c>
      <c r="N56" s="205">
        <f t="shared" si="1"/>
        <v>26</v>
      </c>
      <c r="O56" s="205">
        <f t="shared" si="2"/>
        <v>0</v>
      </c>
      <c r="P56" s="205">
        <f t="shared" si="3"/>
        <v>2</v>
      </c>
      <c r="Q56" s="230">
        <f t="shared" si="6"/>
        <v>28</v>
      </c>
      <c r="R56" s="234">
        <f t="shared" si="12"/>
        <v>53639.999999999956</v>
      </c>
      <c r="S56" s="235">
        <f t="shared" si="12"/>
        <v>291.00000000000006</v>
      </c>
      <c r="T56" s="235">
        <f t="shared" si="12"/>
        <v>1.9999999999999998</v>
      </c>
      <c r="U56" s="235">
        <f t="shared" si="12"/>
        <v>22.000000000000004</v>
      </c>
      <c r="V56" s="236">
        <f t="shared" si="12"/>
        <v>314.99999999999983</v>
      </c>
    </row>
    <row r="57" spans="10:22" x14ac:dyDescent="0.25">
      <c r="J57" s="231">
        <v>44378</v>
      </c>
      <c r="K57" s="232">
        <v>2021</v>
      </c>
      <c r="L57" s="233" t="s">
        <v>206</v>
      </c>
      <c r="M57" s="228">
        <f t="shared" si="0"/>
        <v>5162</v>
      </c>
      <c r="N57" s="205">
        <f t="shared" si="1"/>
        <v>26</v>
      </c>
      <c r="O57" s="205">
        <f t="shared" si="2"/>
        <v>2</v>
      </c>
      <c r="P57" s="205">
        <f t="shared" si="3"/>
        <v>2</v>
      </c>
      <c r="Q57" s="230">
        <f t="shared" si="6"/>
        <v>30</v>
      </c>
      <c r="R57" s="234">
        <f t="shared" si="12"/>
        <v>55360.666666666621</v>
      </c>
      <c r="S57" s="235">
        <f t="shared" si="12"/>
        <v>299.66666666666674</v>
      </c>
      <c r="T57" s="235">
        <f t="shared" si="12"/>
        <v>2.6666666666666665</v>
      </c>
      <c r="U57" s="235">
        <f t="shared" si="12"/>
        <v>22.666666666666671</v>
      </c>
      <c r="V57" s="236">
        <f t="shared" si="12"/>
        <v>324.99999999999983</v>
      </c>
    </row>
    <row r="58" spans="10:22" x14ac:dyDescent="0.25">
      <c r="J58" s="231">
        <v>44409</v>
      </c>
      <c r="K58" s="232">
        <v>2021</v>
      </c>
      <c r="L58" s="233" t="s">
        <v>206</v>
      </c>
      <c r="M58" s="228">
        <f t="shared" si="0"/>
        <v>5162</v>
      </c>
      <c r="N58" s="205">
        <f t="shared" si="1"/>
        <v>26</v>
      </c>
      <c r="O58" s="205">
        <f t="shared" si="2"/>
        <v>2</v>
      </c>
      <c r="P58" s="205">
        <f t="shared" si="3"/>
        <v>2</v>
      </c>
      <c r="Q58" s="230">
        <f t="shared" si="6"/>
        <v>30</v>
      </c>
      <c r="R58" s="234">
        <f t="shared" si="12"/>
        <v>57081.333333333285</v>
      </c>
      <c r="S58" s="235">
        <f t="shared" si="12"/>
        <v>308.33333333333343</v>
      </c>
      <c r="T58" s="235">
        <f t="shared" si="12"/>
        <v>3.333333333333333</v>
      </c>
      <c r="U58" s="235">
        <f t="shared" si="12"/>
        <v>23.333333333333339</v>
      </c>
      <c r="V58" s="236">
        <f t="shared" si="12"/>
        <v>334.99999999999983</v>
      </c>
    </row>
    <row r="59" spans="10:22" x14ac:dyDescent="0.25">
      <c r="J59" s="231">
        <v>44440</v>
      </c>
      <c r="K59" s="232">
        <v>2021</v>
      </c>
      <c r="L59" s="233" t="s">
        <v>206</v>
      </c>
      <c r="M59" s="228">
        <f t="shared" si="0"/>
        <v>5162</v>
      </c>
      <c r="N59" s="205">
        <f t="shared" si="1"/>
        <v>26</v>
      </c>
      <c r="O59" s="205">
        <f t="shared" si="2"/>
        <v>2</v>
      </c>
      <c r="P59" s="205">
        <f t="shared" si="3"/>
        <v>2</v>
      </c>
      <c r="Q59" s="230">
        <f t="shared" si="6"/>
        <v>30</v>
      </c>
      <c r="R59" s="234">
        <f t="shared" si="12"/>
        <v>58801.999999999949</v>
      </c>
      <c r="S59" s="235">
        <f t="shared" si="12"/>
        <v>317.00000000000011</v>
      </c>
      <c r="T59" s="235">
        <f t="shared" si="12"/>
        <v>3.9999999999999996</v>
      </c>
      <c r="U59" s="235">
        <f t="shared" si="12"/>
        <v>24.000000000000007</v>
      </c>
      <c r="V59" s="236">
        <f t="shared" si="12"/>
        <v>344.99999999999983</v>
      </c>
    </row>
    <row r="60" spans="10:22" x14ac:dyDescent="0.25">
      <c r="J60" s="231">
        <v>44470</v>
      </c>
      <c r="K60" s="232">
        <v>2021</v>
      </c>
      <c r="L60" s="233" t="s">
        <v>207</v>
      </c>
      <c r="M60" s="228">
        <f t="shared" si="0"/>
        <v>6139</v>
      </c>
      <c r="N60" s="205">
        <f t="shared" si="1"/>
        <v>39</v>
      </c>
      <c r="O60" s="205">
        <f t="shared" si="2"/>
        <v>0</v>
      </c>
      <c r="P60" s="205">
        <f t="shared" si="3"/>
        <v>1</v>
      </c>
      <c r="Q60" s="230">
        <f t="shared" si="6"/>
        <v>40</v>
      </c>
      <c r="R60" s="234">
        <f t="shared" si="12"/>
        <v>60848.333333333285</v>
      </c>
      <c r="S60" s="235">
        <f t="shared" si="12"/>
        <v>330.00000000000011</v>
      </c>
      <c r="T60" s="235">
        <f t="shared" si="12"/>
        <v>3.9999999999999996</v>
      </c>
      <c r="U60" s="235">
        <f t="shared" si="12"/>
        <v>24.333333333333339</v>
      </c>
      <c r="V60" s="236">
        <f t="shared" si="12"/>
        <v>358.33333333333314</v>
      </c>
    </row>
    <row r="61" spans="10:22" x14ac:dyDescent="0.25">
      <c r="J61" s="231">
        <v>44501</v>
      </c>
      <c r="K61" s="232">
        <v>2021</v>
      </c>
      <c r="L61" s="233" t="s">
        <v>207</v>
      </c>
      <c r="M61" s="228">
        <f t="shared" si="0"/>
        <v>6139</v>
      </c>
      <c r="N61" s="205">
        <f t="shared" si="1"/>
        <v>39</v>
      </c>
      <c r="O61" s="205">
        <f t="shared" si="2"/>
        <v>0</v>
      </c>
      <c r="P61" s="205">
        <f t="shared" si="3"/>
        <v>1</v>
      </c>
      <c r="Q61" s="230">
        <f t="shared" si="6"/>
        <v>40</v>
      </c>
      <c r="R61" s="234">
        <f t="shared" si="12"/>
        <v>62894.666666666621</v>
      </c>
      <c r="S61" s="235">
        <f t="shared" si="12"/>
        <v>343.00000000000011</v>
      </c>
      <c r="T61" s="235">
        <f t="shared" si="12"/>
        <v>3.9999999999999996</v>
      </c>
      <c r="U61" s="235">
        <f t="shared" si="12"/>
        <v>24.666666666666671</v>
      </c>
      <c r="V61" s="236">
        <f t="shared" si="12"/>
        <v>371.66666666666646</v>
      </c>
    </row>
    <row r="62" spans="10:22" x14ac:dyDescent="0.25">
      <c r="J62" s="231">
        <v>44531</v>
      </c>
      <c r="K62" s="232">
        <v>2021</v>
      </c>
      <c r="L62" s="233" t="s">
        <v>207</v>
      </c>
      <c r="M62" s="228">
        <f t="shared" si="0"/>
        <v>6139</v>
      </c>
      <c r="N62" s="205">
        <f t="shared" si="1"/>
        <v>39</v>
      </c>
      <c r="O62" s="205">
        <f t="shared" si="2"/>
        <v>0</v>
      </c>
      <c r="P62" s="205">
        <f t="shared" si="3"/>
        <v>1</v>
      </c>
      <c r="Q62" s="230">
        <f t="shared" si="6"/>
        <v>40</v>
      </c>
      <c r="R62" s="234">
        <f t="shared" si="12"/>
        <v>64940.999999999956</v>
      </c>
      <c r="S62" s="235">
        <f t="shared" si="12"/>
        <v>356.00000000000011</v>
      </c>
      <c r="T62" s="235">
        <f t="shared" si="12"/>
        <v>3.9999999999999996</v>
      </c>
      <c r="U62" s="235">
        <f t="shared" si="12"/>
        <v>25.000000000000004</v>
      </c>
      <c r="V62" s="236">
        <f t="shared" si="12"/>
        <v>384.99999999999977</v>
      </c>
    </row>
    <row r="63" spans="10:22" x14ac:dyDescent="0.25">
      <c r="J63" s="231">
        <v>44562</v>
      </c>
      <c r="K63" s="232">
        <v>2022</v>
      </c>
      <c r="L63" s="233" t="s">
        <v>208</v>
      </c>
      <c r="M63" s="228">
        <f t="shared" si="0"/>
        <v>7123</v>
      </c>
      <c r="N63" s="205">
        <f t="shared" si="1"/>
        <v>50</v>
      </c>
      <c r="O63" s="205">
        <f t="shared" si="2"/>
        <v>0</v>
      </c>
      <c r="P63" s="205">
        <f t="shared" si="3"/>
        <v>2</v>
      </c>
      <c r="Q63" s="230">
        <f t="shared" si="6"/>
        <v>52</v>
      </c>
      <c r="R63" s="234">
        <f t="shared" si="12"/>
        <v>67315.333333333285</v>
      </c>
      <c r="S63" s="235">
        <f t="shared" si="12"/>
        <v>372.6666666666668</v>
      </c>
      <c r="T63" s="235">
        <f t="shared" si="12"/>
        <v>3.9999999999999996</v>
      </c>
      <c r="U63" s="235">
        <f t="shared" si="12"/>
        <v>25.666666666666671</v>
      </c>
      <c r="V63" s="236">
        <f t="shared" si="12"/>
        <v>402.33333333333309</v>
      </c>
    </row>
    <row r="64" spans="10:22" x14ac:dyDescent="0.25">
      <c r="J64" s="231">
        <v>44593</v>
      </c>
      <c r="K64" s="232">
        <v>2022</v>
      </c>
      <c r="L64" s="233" t="s">
        <v>208</v>
      </c>
      <c r="M64" s="228">
        <f t="shared" si="0"/>
        <v>7123</v>
      </c>
      <c r="N64" s="205">
        <f t="shared" si="1"/>
        <v>50</v>
      </c>
      <c r="O64" s="205">
        <f t="shared" si="2"/>
        <v>0</v>
      </c>
      <c r="P64" s="205">
        <f t="shared" si="3"/>
        <v>2</v>
      </c>
      <c r="Q64" s="230">
        <f t="shared" si="6"/>
        <v>52</v>
      </c>
      <c r="R64" s="234">
        <f t="shared" si="12"/>
        <v>69689.666666666613</v>
      </c>
      <c r="S64" s="235">
        <f t="shared" si="12"/>
        <v>389.33333333333348</v>
      </c>
      <c r="T64" s="235">
        <f t="shared" si="12"/>
        <v>3.9999999999999996</v>
      </c>
      <c r="U64" s="235">
        <f t="shared" si="12"/>
        <v>26.333333333333339</v>
      </c>
      <c r="V64" s="236">
        <f t="shared" si="12"/>
        <v>419.6666666666664</v>
      </c>
    </row>
    <row r="65" spans="10:22" x14ac:dyDescent="0.25">
      <c r="J65" s="231">
        <v>44621</v>
      </c>
      <c r="K65" s="232">
        <v>2022</v>
      </c>
      <c r="L65" s="233" t="s">
        <v>208</v>
      </c>
      <c r="M65" s="228">
        <f t="shared" si="0"/>
        <v>7123</v>
      </c>
      <c r="N65" s="205">
        <f t="shared" si="1"/>
        <v>50</v>
      </c>
      <c r="O65" s="205">
        <f t="shared" si="2"/>
        <v>0</v>
      </c>
      <c r="P65" s="205">
        <f t="shared" si="3"/>
        <v>2</v>
      </c>
      <c r="Q65" s="230">
        <f t="shared" si="6"/>
        <v>52</v>
      </c>
      <c r="R65" s="234">
        <f t="shared" si="12"/>
        <v>72063.999999999942</v>
      </c>
      <c r="S65" s="235">
        <f t="shared" si="12"/>
        <v>406.00000000000017</v>
      </c>
      <c r="T65" s="235">
        <f t="shared" si="12"/>
        <v>3.9999999999999996</v>
      </c>
      <c r="U65" s="235">
        <f t="shared" si="12"/>
        <v>27.000000000000007</v>
      </c>
      <c r="V65" s="236">
        <f t="shared" si="12"/>
        <v>436.99999999999972</v>
      </c>
    </row>
    <row r="66" spans="10:22" x14ac:dyDescent="0.25">
      <c r="J66" s="231">
        <v>44652</v>
      </c>
      <c r="K66" s="232">
        <v>2022</v>
      </c>
      <c r="L66" s="233" t="s">
        <v>209</v>
      </c>
      <c r="M66" s="228">
        <f t="shared" si="0"/>
        <v>9533</v>
      </c>
      <c r="N66" s="205">
        <f t="shared" si="1"/>
        <v>89</v>
      </c>
      <c r="O66" s="205">
        <f t="shared" si="2"/>
        <v>2</v>
      </c>
      <c r="P66" s="205">
        <f t="shared" si="3"/>
        <v>4</v>
      </c>
      <c r="Q66" s="230">
        <f t="shared" si="6"/>
        <v>95</v>
      </c>
      <c r="R66" s="234">
        <f t="shared" si="12"/>
        <v>75241.666666666613</v>
      </c>
      <c r="S66" s="235">
        <f t="shared" si="12"/>
        <v>435.66666666666686</v>
      </c>
      <c r="T66" s="235">
        <f t="shared" si="12"/>
        <v>4.6666666666666661</v>
      </c>
      <c r="U66" s="235">
        <f t="shared" si="12"/>
        <v>28.333333333333339</v>
      </c>
      <c r="V66" s="236">
        <f t="shared" si="12"/>
        <v>468.6666666666664</v>
      </c>
    </row>
    <row r="67" spans="10:22" x14ac:dyDescent="0.25">
      <c r="J67" s="231">
        <v>44682</v>
      </c>
      <c r="K67" s="232">
        <v>2022</v>
      </c>
      <c r="L67" s="233" t="s">
        <v>209</v>
      </c>
      <c r="M67" s="228">
        <f t="shared" ref="M67:M89" si="13">SUMIFS(D:D,B:B,L67)</f>
        <v>9533</v>
      </c>
      <c r="N67" s="205">
        <f t="shared" ref="N67:N89" si="14">SUMIFS(E:E,B:B,L67)</f>
        <v>89</v>
      </c>
      <c r="O67" s="205">
        <f t="shared" ref="O67:O89" si="15">SUMIFS(F:F,B:B,L67)</f>
        <v>2</v>
      </c>
      <c r="P67" s="205">
        <f t="shared" ref="P67:P89" si="16">SUMIFS(G:G,B:B,L67)</f>
        <v>4</v>
      </c>
      <c r="Q67" s="230">
        <f t="shared" si="6"/>
        <v>95</v>
      </c>
      <c r="R67" s="234">
        <f t="shared" si="12"/>
        <v>78419.333333333285</v>
      </c>
      <c r="S67" s="235">
        <f t="shared" si="12"/>
        <v>465.33333333333354</v>
      </c>
      <c r="T67" s="235">
        <f t="shared" si="12"/>
        <v>5.333333333333333</v>
      </c>
      <c r="U67" s="235">
        <f t="shared" si="12"/>
        <v>29.666666666666671</v>
      </c>
      <c r="V67" s="236">
        <f t="shared" si="12"/>
        <v>500.33333333333309</v>
      </c>
    </row>
    <row r="68" spans="10:22" x14ac:dyDescent="0.25">
      <c r="J68" s="231">
        <v>44713</v>
      </c>
      <c r="K68" s="232">
        <v>2022</v>
      </c>
      <c r="L68" s="233" t="s">
        <v>209</v>
      </c>
      <c r="M68" s="228">
        <f t="shared" si="13"/>
        <v>9533</v>
      </c>
      <c r="N68" s="205">
        <f t="shared" si="14"/>
        <v>89</v>
      </c>
      <c r="O68" s="205">
        <f t="shared" si="15"/>
        <v>2</v>
      </c>
      <c r="P68" s="205">
        <f t="shared" si="16"/>
        <v>4</v>
      </c>
      <c r="Q68" s="230">
        <f t="shared" ref="Q68:Q89" si="17">N68+O68+P68</f>
        <v>95</v>
      </c>
      <c r="R68" s="234">
        <f t="shared" ref="R68:V83" si="18">M68/3+R67</f>
        <v>81596.999999999956</v>
      </c>
      <c r="S68" s="235">
        <f t="shared" si="18"/>
        <v>495.00000000000023</v>
      </c>
      <c r="T68" s="235">
        <f t="shared" si="18"/>
        <v>6</v>
      </c>
      <c r="U68" s="235">
        <f t="shared" si="18"/>
        <v>31.000000000000004</v>
      </c>
      <c r="V68" s="236">
        <f t="shared" si="18"/>
        <v>531.99999999999977</v>
      </c>
    </row>
    <row r="69" spans="10:22" x14ac:dyDescent="0.25">
      <c r="J69" s="231">
        <v>44743</v>
      </c>
      <c r="K69" s="232">
        <v>2022</v>
      </c>
      <c r="L69" s="233" t="s">
        <v>210</v>
      </c>
      <c r="M69" s="228">
        <f t="shared" si="13"/>
        <v>11017</v>
      </c>
      <c r="N69" s="205">
        <f t="shared" si="14"/>
        <v>61</v>
      </c>
      <c r="O69" s="205">
        <f t="shared" si="15"/>
        <v>1</v>
      </c>
      <c r="P69" s="205">
        <f t="shared" si="16"/>
        <v>4</v>
      </c>
      <c r="Q69" s="230">
        <f t="shared" si="17"/>
        <v>66</v>
      </c>
      <c r="R69" s="234">
        <f t="shared" si="18"/>
        <v>85269.333333333285</v>
      </c>
      <c r="S69" s="235">
        <f t="shared" si="18"/>
        <v>515.3333333333336</v>
      </c>
      <c r="T69" s="235">
        <f t="shared" si="18"/>
        <v>6.333333333333333</v>
      </c>
      <c r="U69" s="235">
        <f t="shared" si="18"/>
        <v>32.333333333333336</v>
      </c>
      <c r="V69" s="236">
        <f t="shared" si="18"/>
        <v>553.99999999999977</v>
      </c>
    </row>
    <row r="70" spans="10:22" x14ac:dyDescent="0.25">
      <c r="J70" s="231">
        <v>44774</v>
      </c>
      <c r="K70" s="232">
        <v>2022</v>
      </c>
      <c r="L70" s="233" t="s">
        <v>210</v>
      </c>
      <c r="M70" s="228">
        <f t="shared" si="13"/>
        <v>11017</v>
      </c>
      <c r="N70" s="205">
        <f t="shared" si="14"/>
        <v>61</v>
      </c>
      <c r="O70" s="205">
        <f t="shared" si="15"/>
        <v>1</v>
      </c>
      <c r="P70" s="205">
        <f t="shared" si="16"/>
        <v>4</v>
      </c>
      <c r="Q70" s="230">
        <f t="shared" si="17"/>
        <v>66</v>
      </c>
      <c r="R70" s="234">
        <f t="shared" si="18"/>
        <v>88941.666666666613</v>
      </c>
      <c r="S70" s="235">
        <f t="shared" si="18"/>
        <v>535.66666666666697</v>
      </c>
      <c r="T70" s="235">
        <f t="shared" si="18"/>
        <v>6.6666666666666661</v>
      </c>
      <c r="U70" s="235">
        <f t="shared" si="18"/>
        <v>33.666666666666671</v>
      </c>
      <c r="V70" s="236">
        <f t="shared" si="18"/>
        <v>575.99999999999977</v>
      </c>
    </row>
    <row r="71" spans="10:22" x14ac:dyDescent="0.25">
      <c r="J71" s="231">
        <v>44805</v>
      </c>
      <c r="K71" s="232">
        <v>2022</v>
      </c>
      <c r="L71" s="233" t="s">
        <v>210</v>
      </c>
      <c r="M71" s="228">
        <f t="shared" si="13"/>
        <v>11017</v>
      </c>
      <c r="N71" s="205">
        <f t="shared" si="14"/>
        <v>61</v>
      </c>
      <c r="O71" s="205">
        <f t="shared" si="15"/>
        <v>1</v>
      </c>
      <c r="P71" s="205">
        <f t="shared" si="16"/>
        <v>4</v>
      </c>
      <c r="Q71" s="230">
        <f t="shared" si="17"/>
        <v>66</v>
      </c>
      <c r="R71" s="234">
        <f t="shared" si="18"/>
        <v>92613.999999999942</v>
      </c>
      <c r="S71" s="235">
        <f t="shared" si="18"/>
        <v>556.00000000000034</v>
      </c>
      <c r="T71" s="235">
        <f t="shared" si="18"/>
        <v>6.9999999999999991</v>
      </c>
      <c r="U71" s="235">
        <f t="shared" si="18"/>
        <v>35.000000000000007</v>
      </c>
      <c r="V71" s="236">
        <f t="shared" si="18"/>
        <v>597.99999999999977</v>
      </c>
    </row>
    <row r="72" spans="10:22" x14ac:dyDescent="0.25">
      <c r="J72" s="231">
        <v>44835</v>
      </c>
      <c r="K72" s="232">
        <v>2022</v>
      </c>
      <c r="L72" s="233" t="s">
        <v>211</v>
      </c>
      <c r="M72" s="228">
        <f t="shared" si="13"/>
        <v>10982</v>
      </c>
      <c r="N72" s="205">
        <f t="shared" si="14"/>
        <v>69</v>
      </c>
      <c r="O72" s="205">
        <f t="shared" si="15"/>
        <v>1</v>
      </c>
      <c r="P72" s="205">
        <f t="shared" si="16"/>
        <v>5</v>
      </c>
      <c r="Q72" s="230">
        <f t="shared" si="17"/>
        <v>75</v>
      </c>
      <c r="R72" s="234">
        <f t="shared" si="18"/>
        <v>96274.666666666613</v>
      </c>
      <c r="S72" s="235">
        <f t="shared" si="18"/>
        <v>579.00000000000034</v>
      </c>
      <c r="T72" s="235">
        <f t="shared" si="18"/>
        <v>7.3333333333333321</v>
      </c>
      <c r="U72" s="235">
        <f t="shared" si="18"/>
        <v>36.666666666666671</v>
      </c>
      <c r="V72" s="236">
        <f t="shared" si="18"/>
        <v>622.99999999999977</v>
      </c>
    </row>
    <row r="73" spans="10:22" x14ac:dyDescent="0.25">
      <c r="J73" s="231">
        <v>44866</v>
      </c>
      <c r="K73" s="232">
        <v>2022</v>
      </c>
      <c r="L73" s="233" t="s">
        <v>211</v>
      </c>
      <c r="M73" s="228">
        <f t="shared" si="13"/>
        <v>10982</v>
      </c>
      <c r="N73" s="205">
        <f t="shared" si="14"/>
        <v>69</v>
      </c>
      <c r="O73" s="205">
        <f t="shared" si="15"/>
        <v>1</v>
      </c>
      <c r="P73" s="205">
        <f t="shared" si="16"/>
        <v>5</v>
      </c>
      <c r="Q73" s="230">
        <f t="shared" si="17"/>
        <v>75</v>
      </c>
      <c r="R73" s="234">
        <f t="shared" si="18"/>
        <v>99935.333333333285</v>
      </c>
      <c r="S73" s="235">
        <f t="shared" si="18"/>
        <v>602.00000000000034</v>
      </c>
      <c r="T73" s="235">
        <f t="shared" si="18"/>
        <v>7.6666666666666652</v>
      </c>
      <c r="U73" s="235">
        <f t="shared" si="18"/>
        <v>38.333333333333336</v>
      </c>
      <c r="V73" s="236">
        <f t="shared" si="18"/>
        <v>647.99999999999977</v>
      </c>
    </row>
    <row r="74" spans="10:22" x14ac:dyDescent="0.25">
      <c r="J74" s="231">
        <v>44896</v>
      </c>
      <c r="K74" s="232">
        <v>2022</v>
      </c>
      <c r="L74" s="233" t="s">
        <v>211</v>
      </c>
      <c r="M74" s="228">
        <f t="shared" si="13"/>
        <v>10982</v>
      </c>
      <c r="N74" s="205">
        <f t="shared" si="14"/>
        <v>69</v>
      </c>
      <c r="O74" s="205">
        <f t="shared" si="15"/>
        <v>1</v>
      </c>
      <c r="P74" s="205">
        <f t="shared" si="16"/>
        <v>5</v>
      </c>
      <c r="Q74" s="230">
        <f t="shared" si="17"/>
        <v>75</v>
      </c>
      <c r="R74" s="234">
        <f t="shared" si="18"/>
        <v>103595.99999999996</v>
      </c>
      <c r="S74" s="235">
        <f t="shared" si="18"/>
        <v>625.00000000000034</v>
      </c>
      <c r="T74" s="235">
        <f t="shared" si="18"/>
        <v>7.9999999999999982</v>
      </c>
      <c r="U74" s="235">
        <f t="shared" si="18"/>
        <v>40</v>
      </c>
      <c r="V74" s="236">
        <f t="shared" si="18"/>
        <v>672.99999999999977</v>
      </c>
    </row>
    <row r="75" spans="10:22" x14ac:dyDescent="0.25">
      <c r="J75" s="231">
        <v>44927</v>
      </c>
      <c r="K75" s="232">
        <v>2023</v>
      </c>
      <c r="L75" s="233" t="s">
        <v>212</v>
      </c>
      <c r="M75" s="228">
        <f t="shared" si="13"/>
        <v>8460</v>
      </c>
      <c r="N75" s="205">
        <f t="shared" si="14"/>
        <v>54</v>
      </c>
      <c r="O75" s="205">
        <f t="shared" si="15"/>
        <v>1</v>
      </c>
      <c r="P75" s="205">
        <f t="shared" si="16"/>
        <v>0</v>
      </c>
      <c r="Q75" s="230">
        <f t="shared" si="17"/>
        <v>55</v>
      </c>
      <c r="R75" s="234">
        <f t="shared" si="18"/>
        <v>106415.99999999996</v>
      </c>
      <c r="S75" s="235">
        <f t="shared" si="18"/>
        <v>643.00000000000034</v>
      </c>
      <c r="T75" s="235">
        <f t="shared" si="18"/>
        <v>8.3333333333333321</v>
      </c>
      <c r="U75" s="235">
        <f t="shared" si="18"/>
        <v>40</v>
      </c>
      <c r="V75" s="236">
        <f t="shared" si="18"/>
        <v>691.33333333333314</v>
      </c>
    </row>
    <row r="76" spans="10:22" x14ac:dyDescent="0.25">
      <c r="J76" s="231">
        <v>44958</v>
      </c>
      <c r="K76" s="232">
        <v>2023</v>
      </c>
      <c r="L76" s="233" t="s">
        <v>212</v>
      </c>
      <c r="M76" s="228">
        <f t="shared" si="13"/>
        <v>8460</v>
      </c>
      <c r="N76" s="205">
        <f t="shared" si="14"/>
        <v>54</v>
      </c>
      <c r="O76" s="205">
        <f t="shared" si="15"/>
        <v>1</v>
      </c>
      <c r="P76" s="205">
        <f t="shared" si="16"/>
        <v>0</v>
      </c>
      <c r="Q76" s="230">
        <f t="shared" si="17"/>
        <v>55</v>
      </c>
      <c r="R76" s="234">
        <f t="shared" si="18"/>
        <v>109235.99999999996</v>
      </c>
      <c r="S76" s="235">
        <f t="shared" si="18"/>
        <v>661.00000000000034</v>
      </c>
      <c r="T76" s="235">
        <f t="shared" si="18"/>
        <v>8.6666666666666661</v>
      </c>
      <c r="U76" s="235">
        <f t="shared" si="18"/>
        <v>40</v>
      </c>
      <c r="V76" s="236">
        <f t="shared" si="18"/>
        <v>709.66666666666652</v>
      </c>
    </row>
    <row r="77" spans="10:22" x14ac:dyDescent="0.25">
      <c r="J77" s="231">
        <v>44986</v>
      </c>
      <c r="K77" s="232">
        <v>2023</v>
      </c>
      <c r="L77" s="233" t="s">
        <v>212</v>
      </c>
      <c r="M77" s="228">
        <f t="shared" si="13"/>
        <v>8460</v>
      </c>
      <c r="N77" s="205">
        <f t="shared" si="14"/>
        <v>54</v>
      </c>
      <c r="O77" s="205">
        <f t="shared" si="15"/>
        <v>1</v>
      </c>
      <c r="P77" s="205">
        <f t="shared" si="16"/>
        <v>0</v>
      </c>
      <c r="Q77" s="230">
        <f t="shared" si="17"/>
        <v>55</v>
      </c>
      <c r="R77" s="234">
        <f t="shared" si="18"/>
        <v>112055.99999999996</v>
      </c>
      <c r="S77" s="235">
        <f t="shared" si="18"/>
        <v>679.00000000000034</v>
      </c>
      <c r="T77" s="235">
        <f t="shared" si="18"/>
        <v>9</v>
      </c>
      <c r="U77" s="235">
        <f t="shared" si="18"/>
        <v>40</v>
      </c>
      <c r="V77" s="236">
        <f t="shared" si="18"/>
        <v>727.99999999999989</v>
      </c>
    </row>
    <row r="78" spans="10:22" x14ac:dyDescent="0.25">
      <c r="J78" s="231">
        <v>45017</v>
      </c>
      <c r="K78" s="232">
        <v>2023</v>
      </c>
      <c r="L78" s="233" t="s">
        <v>213</v>
      </c>
      <c r="M78" s="228">
        <f t="shared" si="13"/>
        <v>12751</v>
      </c>
      <c r="N78" s="205">
        <f t="shared" si="14"/>
        <v>134</v>
      </c>
      <c r="O78" s="205">
        <f t="shared" si="15"/>
        <v>0</v>
      </c>
      <c r="P78" s="205">
        <f t="shared" si="16"/>
        <v>4</v>
      </c>
      <c r="Q78" s="230">
        <f t="shared" si="17"/>
        <v>138</v>
      </c>
      <c r="R78" s="234">
        <f t="shared" si="18"/>
        <v>116306.33333333328</v>
      </c>
      <c r="S78" s="235">
        <f t="shared" si="18"/>
        <v>723.66666666666697</v>
      </c>
      <c r="T78" s="235">
        <f t="shared" si="18"/>
        <v>9</v>
      </c>
      <c r="U78" s="235">
        <f t="shared" si="18"/>
        <v>41.333333333333336</v>
      </c>
      <c r="V78" s="236">
        <f t="shared" si="18"/>
        <v>773.99999999999989</v>
      </c>
    </row>
    <row r="79" spans="10:22" x14ac:dyDescent="0.25">
      <c r="J79" s="231">
        <v>45047</v>
      </c>
      <c r="K79" s="232">
        <v>2023</v>
      </c>
      <c r="L79" s="233" t="s">
        <v>213</v>
      </c>
      <c r="M79" s="228">
        <f t="shared" si="13"/>
        <v>12751</v>
      </c>
      <c r="N79" s="205">
        <f t="shared" si="14"/>
        <v>134</v>
      </c>
      <c r="O79" s="205">
        <f t="shared" si="15"/>
        <v>0</v>
      </c>
      <c r="P79" s="205">
        <f t="shared" si="16"/>
        <v>4</v>
      </c>
      <c r="Q79" s="230">
        <f t="shared" si="17"/>
        <v>138</v>
      </c>
      <c r="R79" s="234">
        <f t="shared" si="18"/>
        <v>120556.66666666661</v>
      </c>
      <c r="S79" s="235">
        <f t="shared" si="18"/>
        <v>768.3333333333336</v>
      </c>
      <c r="T79" s="235">
        <f t="shared" si="18"/>
        <v>9</v>
      </c>
      <c r="U79" s="235">
        <f t="shared" si="18"/>
        <v>42.666666666666671</v>
      </c>
      <c r="V79" s="236">
        <f t="shared" si="18"/>
        <v>819.99999999999989</v>
      </c>
    </row>
    <row r="80" spans="10:22" x14ac:dyDescent="0.25">
      <c r="J80" s="231">
        <v>45078</v>
      </c>
      <c r="K80" s="232">
        <v>2023</v>
      </c>
      <c r="L80" s="233" t="s">
        <v>213</v>
      </c>
      <c r="M80" s="228">
        <f t="shared" si="13"/>
        <v>12751</v>
      </c>
      <c r="N80" s="205">
        <f t="shared" si="14"/>
        <v>134</v>
      </c>
      <c r="O80" s="205">
        <f t="shared" si="15"/>
        <v>0</v>
      </c>
      <c r="P80" s="205">
        <f t="shared" si="16"/>
        <v>4</v>
      </c>
      <c r="Q80" s="230">
        <f t="shared" si="17"/>
        <v>138</v>
      </c>
      <c r="R80" s="234">
        <f t="shared" si="18"/>
        <v>124806.99999999994</v>
      </c>
      <c r="S80" s="235">
        <f t="shared" si="18"/>
        <v>813.00000000000023</v>
      </c>
      <c r="T80" s="235">
        <f t="shared" si="18"/>
        <v>9</v>
      </c>
      <c r="U80" s="235">
        <f t="shared" si="18"/>
        <v>44.000000000000007</v>
      </c>
      <c r="V80" s="236">
        <f t="shared" si="18"/>
        <v>865.99999999999989</v>
      </c>
    </row>
    <row r="81" spans="10:22" x14ac:dyDescent="0.25">
      <c r="J81" s="231">
        <v>45108</v>
      </c>
      <c r="K81" s="232">
        <v>2023</v>
      </c>
      <c r="L81" s="233" t="s">
        <v>214</v>
      </c>
      <c r="M81" s="228">
        <f t="shared" si="13"/>
        <v>14624</v>
      </c>
      <c r="N81" s="205">
        <f t="shared" si="14"/>
        <v>127</v>
      </c>
      <c r="O81" s="205">
        <f t="shared" si="15"/>
        <v>0</v>
      </c>
      <c r="P81" s="205">
        <f t="shared" si="16"/>
        <v>4</v>
      </c>
      <c r="Q81" s="230">
        <f t="shared" si="17"/>
        <v>131</v>
      </c>
      <c r="R81" s="234">
        <f t="shared" si="18"/>
        <v>129681.66666666661</v>
      </c>
      <c r="S81" s="235">
        <f t="shared" si="18"/>
        <v>855.3333333333336</v>
      </c>
      <c r="T81" s="235">
        <f t="shared" si="18"/>
        <v>9</v>
      </c>
      <c r="U81" s="235">
        <f t="shared" si="18"/>
        <v>45.333333333333343</v>
      </c>
      <c r="V81" s="236">
        <f t="shared" si="18"/>
        <v>909.66666666666652</v>
      </c>
    </row>
    <row r="82" spans="10:22" x14ac:dyDescent="0.25">
      <c r="J82" s="231">
        <v>45139</v>
      </c>
      <c r="K82" s="232">
        <v>2023</v>
      </c>
      <c r="L82" s="233" t="s">
        <v>214</v>
      </c>
      <c r="M82" s="228">
        <f t="shared" si="13"/>
        <v>14624</v>
      </c>
      <c r="N82" s="205">
        <f t="shared" si="14"/>
        <v>127</v>
      </c>
      <c r="O82" s="205">
        <f t="shared" si="15"/>
        <v>0</v>
      </c>
      <c r="P82" s="205">
        <f t="shared" si="16"/>
        <v>4</v>
      </c>
      <c r="Q82" s="230">
        <f t="shared" si="17"/>
        <v>131</v>
      </c>
      <c r="R82" s="234">
        <f t="shared" si="18"/>
        <v>134556.33333333328</v>
      </c>
      <c r="S82" s="235">
        <f t="shared" si="18"/>
        <v>897.66666666666697</v>
      </c>
      <c r="T82" s="235">
        <f t="shared" si="18"/>
        <v>9</v>
      </c>
      <c r="U82" s="235">
        <f t="shared" si="18"/>
        <v>46.666666666666679</v>
      </c>
      <c r="V82" s="236">
        <f t="shared" si="18"/>
        <v>953.33333333333314</v>
      </c>
    </row>
    <row r="83" spans="10:22" x14ac:dyDescent="0.25">
      <c r="J83" s="231">
        <v>45170</v>
      </c>
      <c r="K83" s="232">
        <v>2023</v>
      </c>
      <c r="L83" s="233" t="s">
        <v>214</v>
      </c>
      <c r="M83" s="228">
        <f t="shared" si="13"/>
        <v>14624</v>
      </c>
      <c r="N83" s="205">
        <f t="shared" si="14"/>
        <v>127</v>
      </c>
      <c r="O83" s="205">
        <f t="shared" si="15"/>
        <v>0</v>
      </c>
      <c r="P83" s="205">
        <f t="shared" si="16"/>
        <v>4</v>
      </c>
      <c r="Q83" s="230">
        <f t="shared" si="17"/>
        <v>131</v>
      </c>
      <c r="R83" s="234">
        <f t="shared" si="18"/>
        <v>139430.99999999994</v>
      </c>
      <c r="S83" s="235">
        <f t="shared" si="18"/>
        <v>940.00000000000034</v>
      </c>
      <c r="T83" s="235">
        <f t="shared" si="18"/>
        <v>9</v>
      </c>
      <c r="U83" s="235">
        <f t="shared" si="18"/>
        <v>48.000000000000014</v>
      </c>
      <c r="V83" s="236">
        <f t="shared" si="18"/>
        <v>996.99999999999977</v>
      </c>
    </row>
    <row r="84" spans="10:22" x14ac:dyDescent="0.25">
      <c r="J84" s="231">
        <v>45200</v>
      </c>
      <c r="K84" s="232">
        <v>2023</v>
      </c>
      <c r="L84" s="233" t="s">
        <v>215</v>
      </c>
      <c r="M84" s="228">
        <f t="shared" si="13"/>
        <v>13975</v>
      </c>
      <c r="N84" s="205">
        <f t="shared" si="14"/>
        <v>131</v>
      </c>
      <c r="O84" s="205">
        <f t="shared" si="15"/>
        <v>0</v>
      </c>
      <c r="P84" s="205">
        <f t="shared" si="16"/>
        <v>5</v>
      </c>
      <c r="Q84" s="230">
        <f t="shared" si="17"/>
        <v>136</v>
      </c>
      <c r="R84" s="234">
        <f t="shared" ref="R84:V89" si="19">M84/3+R83</f>
        <v>144089.33333333328</v>
      </c>
      <c r="S84" s="235">
        <f t="shared" si="19"/>
        <v>983.66666666666697</v>
      </c>
      <c r="T84" s="235">
        <f t="shared" si="19"/>
        <v>9</v>
      </c>
      <c r="U84" s="235">
        <f t="shared" si="19"/>
        <v>49.666666666666679</v>
      </c>
      <c r="V84" s="236">
        <f t="shared" si="19"/>
        <v>1042.333333333333</v>
      </c>
    </row>
    <row r="85" spans="10:22" x14ac:dyDescent="0.25">
      <c r="J85" s="231">
        <v>45231</v>
      </c>
      <c r="K85" s="232">
        <v>2023</v>
      </c>
      <c r="L85" s="233" t="s">
        <v>215</v>
      </c>
      <c r="M85" s="228">
        <f t="shared" si="13"/>
        <v>13975</v>
      </c>
      <c r="N85" s="205">
        <f t="shared" si="14"/>
        <v>131</v>
      </c>
      <c r="O85" s="205">
        <f t="shared" si="15"/>
        <v>0</v>
      </c>
      <c r="P85" s="205">
        <f t="shared" si="16"/>
        <v>5</v>
      </c>
      <c r="Q85" s="230">
        <f t="shared" si="17"/>
        <v>136</v>
      </c>
      <c r="R85" s="234">
        <f t="shared" si="19"/>
        <v>148747.66666666663</v>
      </c>
      <c r="S85" s="235">
        <f t="shared" si="19"/>
        <v>1027.3333333333337</v>
      </c>
      <c r="T85" s="235">
        <f t="shared" si="19"/>
        <v>9</v>
      </c>
      <c r="U85" s="235">
        <f t="shared" si="19"/>
        <v>51.333333333333343</v>
      </c>
      <c r="V85" s="236">
        <f t="shared" si="19"/>
        <v>1087.6666666666663</v>
      </c>
    </row>
    <row r="86" spans="10:22" x14ac:dyDescent="0.25">
      <c r="J86" s="231">
        <v>45261</v>
      </c>
      <c r="K86" s="232">
        <v>2023</v>
      </c>
      <c r="L86" s="233" t="s">
        <v>215</v>
      </c>
      <c r="M86" s="228">
        <f t="shared" si="13"/>
        <v>13975</v>
      </c>
      <c r="N86" s="205">
        <f t="shared" si="14"/>
        <v>131</v>
      </c>
      <c r="O86" s="205">
        <f t="shared" si="15"/>
        <v>0</v>
      </c>
      <c r="P86" s="205">
        <f t="shared" si="16"/>
        <v>5</v>
      </c>
      <c r="Q86" s="230">
        <f t="shared" si="17"/>
        <v>136</v>
      </c>
      <c r="R86" s="234">
        <f t="shared" si="19"/>
        <v>153405.99999999997</v>
      </c>
      <c r="S86" s="235">
        <f t="shared" si="19"/>
        <v>1071.0000000000005</v>
      </c>
      <c r="T86" s="235">
        <f t="shared" si="19"/>
        <v>9</v>
      </c>
      <c r="U86" s="235">
        <f t="shared" si="19"/>
        <v>53.000000000000007</v>
      </c>
      <c r="V86" s="236">
        <f t="shared" si="19"/>
        <v>1132.9999999999995</v>
      </c>
    </row>
    <row r="87" spans="10:22" x14ac:dyDescent="0.25">
      <c r="J87" s="231">
        <v>45292</v>
      </c>
      <c r="K87" s="232">
        <v>2024</v>
      </c>
      <c r="L87" s="233" t="s">
        <v>216</v>
      </c>
      <c r="M87" s="228">
        <f t="shared" si="13"/>
        <v>10910</v>
      </c>
      <c r="N87" s="205">
        <f t="shared" si="14"/>
        <v>65</v>
      </c>
      <c r="O87" s="205">
        <f t="shared" si="15"/>
        <v>1</v>
      </c>
      <c r="P87" s="205">
        <f t="shared" si="16"/>
        <v>2</v>
      </c>
      <c r="Q87" s="230">
        <f t="shared" si="17"/>
        <v>68</v>
      </c>
      <c r="R87" s="234">
        <f t="shared" si="19"/>
        <v>157042.66666666663</v>
      </c>
      <c r="S87" s="235">
        <f t="shared" si="19"/>
        <v>1092.6666666666672</v>
      </c>
      <c r="T87" s="235">
        <f t="shared" si="19"/>
        <v>9.3333333333333339</v>
      </c>
      <c r="U87" s="235">
        <f t="shared" si="19"/>
        <v>53.666666666666671</v>
      </c>
      <c r="V87" s="236">
        <f t="shared" si="19"/>
        <v>1155.6666666666663</v>
      </c>
    </row>
    <row r="88" spans="10:22" x14ac:dyDescent="0.25">
      <c r="J88" s="231">
        <v>45323</v>
      </c>
      <c r="K88" s="232">
        <v>2024</v>
      </c>
      <c r="L88" s="233" t="s">
        <v>216</v>
      </c>
      <c r="M88" s="228">
        <f t="shared" si="13"/>
        <v>10910</v>
      </c>
      <c r="N88" s="205">
        <f t="shared" si="14"/>
        <v>65</v>
      </c>
      <c r="O88" s="205">
        <f t="shared" si="15"/>
        <v>1</v>
      </c>
      <c r="P88" s="205">
        <f t="shared" si="16"/>
        <v>2</v>
      </c>
      <c r="Q88" s="230">
        <f t="shared" si="17"/>
        <v>68</v>
      </c>
      <c r="R88" s="234">
        <f t="shared" si="19"/>
        <v>160679.33333333328</v>
      </c>
      <c r="S88" s="235">
        <f t="shared" si="19"/>
        <v>1114.3333333333339</v>
      </c>
      <c r="T88" s="235">
        <f t="shared" si="19"/>
        <v>9.6666666666666679</v>
      </c>
      <c r="U88" s="235">
        <f t="shared" si="19"/>
        <v>54.333333333333336</v>
      </c>
      <c r="V88" s="236">
        <f t="shared" si="19"/>
        <v>1178.333333333333</v>
      </c>
    </row>
    <row r="89" spans="10:22" x14ac:dyDescent="0.25">
      <c r="J89" s="243">
        <v>45352</v>
      </c>
      <c r="K89" s="244">
        <v>2024</v>
      </c>
      <c r="L89" s="245" t="s">
        <v>216</v>
      </c>
      <c r="M89" s="237">
        <f t="shared" si="13"/>
        <v>10910</v>
      </c>
      <c r="N89" s="238">
        <f t="shared" si="14"/>
        <v>65</v>
      </c>
      <c r="O89" s="238">
        <f t="shared" si="15"/>
        <v>1</v>
      </c>
      <c r="P89" s="238">
        <f t="shared" si="16"/>
        <v>2</v>
      </c>
      <c r="Q89" s="240">
        <f t="shared" si="17"/>
        <v>68</v>
      </c>
      <c r="R89" s="246">
        <f t="shared" si="19"/>
        <v>164315.99999999994</v>
      </c>
      <c r="S89" s="247">
        <f t="shared" si="19"/>
        <v>1136.0000000000007</v>
      </c>
      <c r="T89" s="247">
        <f t="shared" si="19"/>
        <v>10.000000000000002</v>
      </c>
      <c r="U89" s="247">
        <f t="shared" si="19"/>
        <v>55</v>
      </c>
      <c r="V89" s="248">
        <f t="shared" si="19"/>
        <v>1200.9999999999998</v>
      </c>
    </row>
  </sheetData>
  <mergeCells count="6">
    <mergeCell ref="AP2:AT2"/>
    <mergeCell ref="M1:Q1"/>
    <mergeCell ref="R1:V1"/>
    <mergeCell ref="AA2:AE2"/>
    <mergeCell ref="AF2:AJ2"/>
    <mergeCell ref="AK2:AO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4FC6-8CAF-437B-937A-CC751F216CB5}">
  <sheetPr>
    <tabColor theme="3" tint="0.79998168889431442"/>
  </sheetPr>
  <dimension ref="B1:X127"/>
  <sheetViews>
    <sheetView topLeftCell="A88" workbookViewId="0">
      <selection activeCell="G103" sqref="G103:G114"/>
    </sheetView>
  </sheetViews>
  <sheetFormatPr defaultColWidth="8.83203125" defaultRowHeight="14.25" x14ac:dyDescent="0.2"/>
  <cols>
    <col min="1" max="1" width="2.83203125" style="127" customWidth="1"/>
    <col min="2" max="2" width="37.6640625" style="127" customWidth="1"/>
    <col min="3" max="3" width="13.6640625" style="127" customWidth="1"/>
    <col min="4" max="4" width="8.83203125" style="127" customWidth="1"/>
    <col min="5" max="5" width="33.83203125" style="127" customWidth="1"/>
    <col min="6" max="6" width="13" style="127" customWidth="1"/>
    <col min="7" max="7" width="11.83203125" style="127" bestFit="1" customWidth="1"/>
    <col min="8" max="8" width="19" style="127" bestFit="1" customWidth="1"/>
    <col min="9" max="9" width="13.83203125" style="127" customWidth="1"/>
    <col min="10" max="10" width="23.6640625" style="127" customWidth="1"/>
    <col min="11" max="11" width="13.83203125" style="127" bestFit="1" customWidth="1"/>
    <col min="12" max="12" width="16.1640625" style="127" bestFit="1" customWidth="1"/>
    <col min="13" max="13" width="13.33203125" style="127" bestFit="1" customWidth="1"/>
    <col min="14" max="14" width="16" style="127" customWidth="1"/>
    <col min="15" max="17" width="12.33203125" style="127" bestFit="1" customWidth="1"/>
    <col min="18" max="21" width="12.83203125" style="127" bestFit="1" customWidth="1"/>
    <col min="22" max="24" width="13.5" style="127" bestFit="1" customWidth="1"/>
    <col min="25" max="16384" width="8.83203125" style="127"/>
  </cols>
  <sheetData>
    <row r="1" spans="2:24" x14ac:dyDescent="0.2">
      <c r="C1" s="127" t="s">
        <v>217</v>
      </c>
      <c r="D1" s="127" t="s">
        <v>218</v>
      </c>
      <c r="G1" s="470" t="s">
        <v>219</v>
      </c>
      <c r="H1" s="471"/>
      <c r="I1" s="471" t="s">
        <v>220</v>
      </c>
      <c r="J1" s="472"/>
    </row>
    <row r="2" spans="2:24" x14ac:dyDescent="0.2">
      <c r="C2" s="127" t="s">
        <v>221</v>
      </c>
      <c r="D2" s="127" t="s">
        <v>222</v>
      </c>
      <c r="G2" s="264" t="s">
        <v>223</v>
      </c>
      <c r="H2" s="265" t="s">
        <v>224</v>
      </c>
      <c r="I2" s="265" t="s">
        <v>223</v>
      </c>
      <c r="J2" s="266" t="s">
        <v>224</v>
      </c>
    </row>
    <row r="3" spans="2:24" x14ac:dyDescent="0.2">
      <c r="B3" s="127" t="s">
        <v>225</v>
      </c>
      <c r="C3" s="267">
        <f>70*365</f>
        <v>25550</v>
      </c>
      <c r="D3" s="268">
        <f>G3*H3+I3*J3</f>
        <v>18.172359989698997</v>
      </c>
      <c r="E3" s="269">
        <f>C3*D3/100</f>
        <v>4643.0379773680934</v>
      </c>
      <c r="G3" s="152">
        <v>20</v>
      </c>
      <c r="H3" s="270">
        <f>('EV Data'!AG36/('EV Data'!AG36+'EV Data'!AQ36))</f>
        <v>0.77154499871237481</v>
      </c>
      <c r="I3" s="127">
        <f>G3*0.6</f>
        <v>12</v>
      </c>
      <c r="J3" s="271">
        <f>('EV Data'!AQ36/('EV Data'!AG36+'EV Data'!AQ36))</f>
        <v>0.22845500128762516</v>
      </c>
      <c r="Q3" s="195"/>
      <c r="R3" s="195"/>
      <c r="S3" s="195"/>
    </row>
    <row r="4" spans="2:24" x14ac:dyDescent="0.2">
      <c r="B4" s="127" t="s">
        <v>226</v>
      </c>
      <c r="C4" s="267">
        <f>70*365</f>
        <v>25550</v>
      </c>
      <c r="D4" s="268">
        <f>G4*H4+I4*J4</f>
        <v>16.900676027041079</v>
      </c>
      <c r="E4" s="269">
        <f>C4*D4/100</f>
        <v>4318.1227249089961</v>
      </c>
      <c r="F4" s="267"/>
      <c r="G4" s="152">
        <v>25</v>
      </c>
      <c r="H4" s="270">
        <f>('EV Data'!AJ36/('EV Data'!AJ36+'EV Data'!AT36))</f>
        <v>0.19006760270410816</v>
      </c>
      <c r="I4" s="127">
        <f>G4*0.6</f>
        <v>15</v>
      </c>
      <c r="J4" s="271">
        <f>('EV Data'!AT36/('EV Data'!AJ36+'EV Data'!AT36))</f>
        <v>0.80993239729589184</v>
      </c>
    </row>
    <row r="5" spans="2:24" x14ac:dyDescent="0.2">
      <c r="B5" s="127" t="s">
        <v>227</v>
      </c>
      <c r="C5" s="267">
        <f>70*365</f>
        <v>25550</v>
      </c>
      <c r="D5" s="268">
        <f>G5*H5+I5*J5</f>
        <v>30</v>
      </c>
      <c r="E5" s="269">
        <f>C5*D5/100</f>
        <v>7665</v>
      </c>
      <c r="G5" s="183">
        <v>30</v>
      </c>
      <c r="H5" s="272">
        <f>('EV Data'!AH36/('EV Data'!AH36+'EV Data'!AR36))</f>
        <v>1</v>
      </c>
      <c r="I5" s="196">
        <f>G5*0.6</f>
        <v>18</v>
      </c>
      <c r="J5" s="273">
        <f>('EV Data'!AR36/('EV Data'!AH36+'EV Data'!AR36))</f>
        <v>0</v>
      </c>
    </row>
    <row r="6" spans="2:24" x14ac:dyDescent="0.2">
      <c r="C6" s="274" t="s">
        <v>228</v>
      </c>
      <c r="D6" s="268"/>
      <c r="E6" s="269"/>
      <c r="H6" s="275"/>
      <c r="I6" s="275"/>
    </row>
    <row r="7" spans="2:24" x14ac:dyDescent="0.2">
      <c r="E7" s="276"/>
      <c r="F7" s="277">
        <v>2017</v>
      </c>
      <c r="G7" s="277">
        <v>2018</v>
      </c>
      <c r="H7" s="277">
        <v>2019</v>
      </c>
      <c r="I7" s="277">
        <v>2020</v>
      </c>
      <c r="J7" s="277">
        <v>2021</v>
      </c>
      <c r="K7" s="277">
        <v>2022</v>
      </c>
      <c r="L7" s="277">
        <v>2023</v>
      </c>
      <c r="M7" s="277">
        <v>2024</v>
      </c>
      <c r="N7" s="277">
        <v>2025</v>
      </c>
      <c r="O7" s="277">
        <v>2026</v>
      </c>
      <c r="P7" s="277">
        <v>2027</v>
      </c>
      <c r="Q7" s="277">
        <v>2028</v>
      </c>
      <c r="R7" s="277">
        <v>2029</v>
      </c>
      <c r="S7" s="277">
        <v>2030</v>
      </c>
      <c r="T7" s="277">
        <v>2031</v>
      </c>
      <c r="U7" s="277">
        <v>2032</v>
      </c>
      <c r="V7" s="277">
        <v>2033</v>
      </c>
      <c r="W7" s="277">
        <v>2034</v>
      </c>
      <c r="X7" s="277">
        <v>2035</v>
      </c>
    </row>
    <row r="9" spans="2:24" ht="15" x14ac:dyDescent="0.2">
      <c r="C9" s="473" t="s">
        <v>229</v>
      </c>
      <c r="D9" s="279" t="s">
        <v>230</v>
      </c>
      <c r="E9" s="127" t="s">
        <v>231</v>
      </c>
      <c r="F9" s="267">
        <f>SUMIFS('EV Data'!$Q:$Q,'EV Data'!$K:$K,'EV Forecast'!F7)/3</f>
        <v>28</v>
      </c>
      <c r="G9" s="267">
        <f>SUMIFS('EV Data'!$Q:$Q,'EV Data'!$K:$K,'EV Forecast'!G7)/3</f>
        <v>107</v>
      </c>
      <c r="H9" s="267">
        <f>SUMIFS('EV Data'!$Q:$Q,'EV Data'!$K:$K,'EV Forecast'!H7)/3</f>
        <v>64</v>
      </c>
      <c r="I9" s="267">
        <f>SUMIFS('EV Data'!$Q:$Q,'EV Data'!$K:$K,'EV Forecast'!I7)/3</f>
        <v>66</v>
      </c>
      <c r="J9" s="267">
        <f>SUMIFS('EV Data'!$Q:$Q,'EV Data'!$K:$K,'EV Forecast'!J7)/3</f>
        <v>120</v>
      </c>
      <c r="K9" s="280">
        <f>SUMIFS('EV Data'!$Q:$Q,'EV Data'!$K:$K,'EV Forecast'!K7)/3</f>
        <v>288</v>
      </c>
      <c r="L9" s="280">
        <f>SUMIFS('EV Data'!$Q:$Q,'EV Data'!$K:$K,'EV Forecast'!L7)/3</f>
        <v>460</v>
      </c>
      <c r="M9" s="281">
        <f>M12+M17+M22</f>
        <v>747.21655546083832</v>
      </c>
      <c r="N9" s="281">
        <f t="shared" ref="N9:X9" si="0">N12+N17+N22</f>
        <v>1019.351737515167</v>
      </c>
      <c r="O9" s="281">
        <f>O12+O17+O22</f>
        <v>1291.4869195694953</v>
      </c>
      <c r="P9" s="282">
        <f t="shared" si="0"/>
        <v>1485.2099575049199</v>
      </c>
      <c r="Q9" s="282">
        <f t="shared" si="0"/>
        <v>2195.5277632681423</v>
      </c>
      <c r="R9" s="282">
        <f>R12+R17+R22</f>
        <v>2776.6968770744156</v>
      </c>
      <c r="S9" s="282">
        <f t="shared" si="0"/>
        <v>3874.4607587084861</v>
      </c>
      <c r="T9" s="282">
        <f t="shared" si="0"/>
        <v>4391.0555265362837</v>
      </c>
      <c r="U9" s="282">
        <f t="shared" si="0"/>
        <v>4907.6502943640826</v>
      </c>
      <c r="V9" s="282">
        <f t="shared" si="0"/>
        <v>5424.2450621918806</v>
      </c>
      <c r="W9" s="282">
        <f t="shared" si="0"/>
        <v>5940.8398300196786</v>
      </c>
      <c r="X9" s="282">
        <f t="shared" si="0"/>
        <v>6457.4345978474776</v>
      </c>
    </row>
    <row r="10" spans="2:24" ht="15" x14ac:dyDescent="0.2">
      <c r="C10" s="473"/>
      <c r="D10" s="279" t="s">
        <v>230</v>
      </c>
      <c r="E10" s="127" t="s">
        <v>167</v>
      </c>
      <c r="F10" s="267">
        <f>F9</f>
        <v>28</v>
      </c>
      <c r="G10" s="267">
        <f>F10+G9</f>
        <v>135</v>
      </c>
      <c r="H10" s="267">
        <f t="shared" ref="H10:Q10" si="1">G10+H9</f>
        <v>199</v>
      </c>
      <c r="I10" s="267">
        <f t="shared" si="1"/>
        <v>265</v>
      </c>
      <c r="J10" s="267">
        <f t="shared" si="1"/>
        <v>385</v>
      </c>
      <c r="K10" s="267">
        <f t="shared" si="1"/>
        <v>673</v>
      </c>
      <c r="L10" s="267">
        <f t="shared" si="1"/>
        <v>1133</v>
      </c>
      <c r="M10" s="282">
        <f t="shared" si="1"/>
        <v>1880.2165554608382</v>
      </c>
      <c r="N10" s="282">
        <f t="shared" si="1"/>
        <v>2899.5682929760051</v>
      </c>
      <c r="O10" s="282">
        <f t="shared" si="1"/>
        <v>4191.0552125455006</v>
      </c>
      <c r="P10" s="282">
        <f t="shared" si="1"/>
        <v>5676.2651700504202</v>
      </c>
      <c r="Q10" s="282">
        <f t="shared" si="1"/>
        <v>7871.7929333185621</v>
      </c>
      <c r="R10" s="282">
        <f>Q10+R9</f>
        <v>10648.489810392977</v>
      </c>
      <c r="S10" s="282">
        <f t="shared" ref="S10:X10" si="2">R10+S9</f>
        <v>14522.950569101464</v>
      </c>
      <c r="T10" s="282">
        <f t="shared" si="2"/>
        <v>18914.006095637749</v>
      </c>
      <c r="U10" s="282">
        <f t="shared" si="2"/>
        <v>23821.65639000183</v>
      </c>
      <c r="V10" s="282">
        <f t="shared" si="2"/>
        <v>29245.90145219371</v>
      </c>
      <c r="W10" s="282">
        <f t="shared" si="2"/>
        <v>35186.741282213392</v>
      </c>
      <c r="X10" s="282">
        <f t="shared" si="2"/>
        <v>41644.175880060866</v>
      </c>
    </row>
    <row r="11" spans="2:24" ht="15" x14ac:dyDescent="0.2">
      <c r="B11" s="283"/>
      <c r="D11" s="279"/>
      <c r="G11" s="284"/>
    </row>
    <row r="12" spans="2:24" ht="15" x14ac:dyDescent="0.2">
      <c r="B12" s="136"/>
      <c r="C12" s="474" t="s">
        <v>232</v>
      </c>
      <c r="D12" s="285" t="s">
        <v>230</v>
      </c>
      <c r="E12" s="149" t="s">
        <v>231</v>
      </c>
      <c r="F12" s="286">
        <f t="shared" ref="F12:L12" si="3">F9*(F44+F45)</f>
        <v>26.213202933985333</v>
      </c>
      <c r="G12" s="286">
        <f t="shared" si="3"/>
        <v>101.41311612364244</v>
      </c>
      <c r="H12" s="286">
        <f t="shared" si="3"/>
        <v>63.396844908830154</v>
      </c>
      <c r="I12" s="286">
        <f t="shared" si="3"/>
        <v>65.152639087018557</v>
      </c>
      <c r="J12" s="286">
        <f t="shared" si="3"/>
        <v>118.29058095914023</v>
      </c>
      <c r="K12" s="287">
        <f t="shared" si="3"/>
        <v>276.31757857974384</v>
      </c>
      <c r="L12" s="287">
        <f t="shared" si="3"/>
        <v>432.83959044368606</v>
      </c>
      <c r="M12" s="288">
        <f>M42*M35*(M44+M45)*$M$41</f>
        <v>703.19644876601876</v>
      </c>
      <c r="N12" s="288">
        <f t="shared" ref="N12:O12" si="4">N42*N35*(N44+N45)*$M$41</f>
        <v>959.2995720257486</v>
      </c>
      <c r="O12" s="288">
        <f t="shared" si="4"/>
        <v>1215.4026952854783</v>
      </c>
      <c r="P12" s="288">
        <f t="shared" ref="P12:X12" si="5">P42*P35*(P44+P45)*$M$41</f>
        <v>1397.7130995783002</v>
      </c>
      <c r="Q12" s="288">
        <f t="shared" si="5"/>
        <v>2066.1845819853133</v>
      </c>
      <c r="R12" s="288">
        <f t="shared" si="5"/>
        <v>2613.1157948637788</v>
      </c>
      <c r="S12" s="288">
        <f t="shared" si="5"/>
        <v>3646.208085856435</v>
      </c>
      <c r="T12" s="288">
        <f t="shared" si="5"/>
        <v>4132.3691639706258</v>
      </c>
      <c r="U12" s="288">
        <f t="shared" si="5"/>
        <v>4618.5302420848175</v>
      </c>
      <c r="V12" s="288">
        <f t="shared" si="5"/>
        <v>5104.6913201990092</v>
      </c>
      <c r="W12" s="288">
        <f t="shared" si="5"/>
        <v>5590.8523983132</v>
      </c>
      <c r="X12" s="289">
        <f t="shared" si="5"/>
        <v>6077.0134764273926</v>
      </c>
    </row>
    <row r="13" spans="2:24" ht="15" x14ac:dyDescent="0.2">
      <c r="B13" s="136"/>
      <c r="C13" s="475"/>
      <c r="D13" s="279" t="s">
        <v>230</v>
      </c>
      <c r="E13" s="127" t="s">
        <v>167</v>
      </c>
      <c r="F13" s="290">
        <f>F12</f>
        <v>26.213202933985333</v>
      </c>
      <c r="G13" s="290">
        <f t="shared" ref="G13:X13" si="6">F13+G12</f>
        <v>127.62631905762777</v>
      </c>
      <c r="H13" s="290">
        <f t="shared" si="6"/>
        <v>191.02316396645793</v>
      </c>
      <c r="I13" s="290">
        <f t="shared" si="6"/>
        <v>256.1758030534765</v>
      </c>
      <c r="J13" s="290">
        <f t="shared" si="6"/>
        <v>374.46638401261674</v>
      </c>
      <c r="K13" s="290">
        <f t="shared" si="6"/>
        <v>650.78396259236058</v>
      </c>
      <c r="L13" s="290">
        <f t="shared" si="6"/>
        <v>1083.6235530360466</v>
      </c>
      <c r="M13" s="291">
        <f t="shared" si="6"/>
        <v>1786.8200018020652</v>
      </c>
      <c r="N13" s="291">
        <f t="shared" si="6"/>
        <v>2746.1195738278138</v>
      </c>
      <c r="O13" s="291">
        <f t="shared" si="6"/>
        <v>3961.5222691132922</v>
      </c>
      <c r="P13" s="291">
        <f t="shared" si="6"/>
        <v>5359.2353686915922</v>
      </c>
      <c r="Q13" s="291">
        <f t="shared" si="6"/>
        <v>7425.4199506769055</v>
      </c>
      <c r="R13" s="291">
        <f t="shared" si="6"/>
        <v>10038.535745540685</v>
      </c>
      <c r="S13" s="291">
        <f t="shared" si="6"/>
        <v>13684.74383139712</v>
      </c>
      <c r="T13" s="291">
        <f t="shared" si="6"/>
        <v>17817.112995367745</v>
      </c>
      <c r="U13" s="291">
        <f t="shared" si="6"/>
        <v>22435.643237452561</v>
      </c>
      <c r="V13" s="291">
        <f t="shared" si="6"/>
        <v>27540.334557651571</v>
      </c>
      <c r="W13" s="291">
        <f t="shared" si="6"/>
        <v>33131.186955964775</v>
      </c>
      <c r="X13" s="292">
        <f t="shared" si="6"/>
        <v>39208.200432392165</v>
      </c>
    </row>
    <row r="14" spans="2:24" ht="15" x14ac:dyDescent="0.2">
      <c r="C14" s="475"/>
      <c r="D14" s="279" t="s">
        <v>230</v>
      </c>
      <c r="E14" s="127" t="s">
        <v>233</v>
      </c>
      <c r="F14" s="290">
        <f>E3</f>
        <v>4643.0379773680934</v>
      </c>
      <c r="G14" s="290">
        <f>F14</f>
        <v>4643.0379773680934</v>
      </c>
      <c r="H14" s="290">
        <f t="shared" ref="H14:X14" si="7">G14</f>
        <v>4643.0379773680934</v>
      </c>
      <c r="I14" s="290">
        <f t="shared" si="7"/>
        <v>4643.0379773680934</v>
      </c>
      <c r="J14" s="290">
        <f t="shared" si="7"/>
        <v>4643.0379773680934</v>
      </c>
      <c r="K14" s="290">
        <f t="shared" si="7"/>
        <v>4643.0379773680934</v>
      </c>
      <c r="L14" s="290">
        <f t="shared" si="7"/>
        <v>4643.0379773680934</v>
      </c>
      <c r="M14" s="290">
        <f t="shared" si="7"/>
        <v>4643.0379773680934</v>
      </c>
      <c r="N14" s="290">
        <f t="shared" si="7"/>
        <v>4643.0379773680934</v>
      </c>
      <c r="O14" s="290">
        <f t="shared" si="7"/>
        <v>4643.0379773680934</v>
      </c>
      <c r="P14" s="290">
        <f t="shared" si="7"/>
        <v>4643.0379773680934</v>
      </c>
      <c r="Q14" s="290">
        <f t="shared" si="7"/>
        <v>4643.0379773680934</v>
      </c>
      <c r="R14" s="290">
        <f>Q14</f>
        <v>4643.0379773680934</v>
      </c>
      <c r="S14" s="290">
        <f t="shared" si="7"/>
        <v>4643.0379773680934</v>
      </c>
      <c r="T14" s="290">
        <f t="shared" si="7"/>
        <v>4643.0379773680934</v>
      </c>
      <c r="U14" s="290">
        <f t="shared" si="7"/>
        <v>4643.0379773680934</v>
      </c>
      <c r="V14" s="290">
        <f t="shared" si="7"/>
        <v>4643.0379773680934</v>
      </c>
      <c r="W14" s="290">
        <f t="shared" si="7"/>
        <v>4643.0379773680934</v>
      </c>
      <c r="X14" s="293">
        <f t="shared" si="7"/>
        <v>4643.0379773680934</v>
      </c>
    </row>
    <row r="15" spans="2:24" ht="15" x14ac:dyDescent="0.2">
      <c r="C15" s="475"/>
      <c r="D15" s="279" t="s">
        <v>230</v>
      </c>
      <c r="E15" s="127" t="s">
        <v>234</v>
      </c>
      <c r="F15" s="290">
        <f>F12*F14</f>
        <v>121708.89673095063</v>
      </c>
      <c r="G15" s="290">
        <f t="shared" ref="G15:X15" si="8">G12*G14</f>
        <v>470864.94956531236</v>
      </c>
      <c r="H15" s="290">
        <f t="shared" si="8"/>
        <v>294353.95855701348</v>
      </c>
      <c r="I15" s="290">
        <f t="shared" si="8"/>
        <v>302506.17760678404</v>
      </c>
      <c r="J15" s="290">
        <f t="shared" si="8"/>
        <v>549227.6597582231</v>
      </c>
      <c r="K15" s="290">
        <f t="shared" si="8"/>
        <v>1282953.011160143</v>
      </c>
      <c r="L15" s="290">
        <f t="shared" si="8"/>
        <v>2009690.656538486</v>
      </c>
      <c r="M15" s="290">
        <f t="shared" si="8"/>
        <v>3264967.8171710018</v>
      </c>
      <c r="N15" s="290">
        <f t="shared" si="8"/>
        <v>4454064.3445885098</v>
      </c>
      <c r="O15" s="290">
        <f t="shared" si="8"/>
        <v>5643160.8720060168</v>
      </c>
      <c r="P15" s="290">
        <f t="shared" si="8"/>
        <v>6489635.0028069196</v>
      </c>
      <c r="Q15" s="290">
        <f t="shared" si="8"/>
        <v>9593373.4824102279</v>
      </c>
      <c r="R15" s="290">
        <f t="shared" si="8"/>
        <v>12132795.874812936</v>
      </c>
      <c r="S15" s="290">
        <f t="shared" si="8"/>
        <v>16929482.616018049</v>
      </c>
      <c r="T15" s="290">
        <f t="shared" si="8"/>
        <v>19186746.964820452</v>
      </c>
      <c r="U15" s="290">
        <f t="shared" si="8"/>
        <v>21444011.313622862</v>
      </c>
      <c r="V15" s="290">
        <f t="shared" si="8"/>
        <v>23701275.662425268</v>
      </c>
      <c r="W15" s="290">
        <f t="shared" si="8"/>
        <v>25958540.011227675</v>
      </c>
      <c r="X15" s="293">
        <f t="shared" si="8"/>
        <v>28215804.360030085</v>
      </c>
    </row>
    <row r="16" spans="2:24" ht="15" x14ac:dyDescent="0.2">
      <c r="C16" s="476"/>
      <c r="D16" s="294" t="s">
        <v>230</v>
      </c>
      <c r="E16" s="196" t="s">
        <v>235</v>
      </c>
      <c r="F16" s="295">
        <f>F13*F14-F12*F14/2</f>
        <v>60854.448365475313</v>
      </c>
      <c r="G16" s="295">
        <f>G13*G14-G12*G14/2</f>
        <v>357141.37151360675</v>
      </c>
      <c r="H16" s="295">
        <f>H13*H14-H12*H14/2</f>
        <v>739750.82557476975</v>
      </c>
      <c r="I16" s="295">
        <f>I13*I14-I12*I14/2</f>
        <v>1038180.8936566686</v>
      </c>
      <c r="J16" s="295">
        <f>J13*J14-J12*J14/2</f>
        <v>1464047.8123391722</v>
      </c>
      <c r="K16" s="295">
        <f t="shared" ref="K16:X16" si="9">K13*K14-K12*K14/2</f>
        <v>2380138.1477983557</v>
      </c>
      <c r="L16" s="295">
        <f t="shared" si="9"/>
        <v>4026459.9816476693</v>
      </c>
      <c r="M16" s="295">
        <f t="shared" si="9"/>
        <v>6663789.2185024135</v>
      </c>
      <c r="N16" s="295">
        <f t="shared" si="9"/>
        <v>10523305.299382169</v>
      </c>
      <c r="O16" s="295">
        <f t="shared" si="9"/>
        <v>15571917.907679429</v>
      </c>
      <c r="P16" s="295">
        <f t="shared" si="9"/>
        <v>21638315.8450859</v>
      </c>
      <c r="Q16" s="295">
        <f t="shared" si="9"/>
        <v>29679820.08769447</v>
      </c>
      <c r="R16" s="295">
        <f t="shared" si="9"/>
        <v>40542904.766306058</v>
      </c>
      <c r="S16" s="295">
        <f t="shared" si="9"/>
        <v>55074044.011721551</v>
      </c>
      <c r="T16" s="295">
        <f t="shared" si="9"/>
        <v>73132158.802140802</v>
      </c>
      <c r="U16" s="295">
        <f t="shared" si="9"/>
        <v>93447537.941362455</v>
      </c>
      <c r="V16" s="295">
        <f t="shared" si="9"/>
        <v>116020181.42938651</v>
      </c>
      <c r="W16" s="295">
        <f t="shared" si="9"/>
        <v>140850089.266213</v>
      </c>
      <c r="X16" s="296">
        <f t="shared" si="9"/>
        <v>167937261.45184189</v>
      </c>
    </row>
    <row r="17" spans="2:24" ht="15" x14ac:dyDescent="0.2">
      <c r="C17" s="475" t="s">
        <v>236</v>
      </c>
      <c r="D17" s="279" t="s">
        <v>230</v>
      </c>
      <c r="E17" s="127" t="s">
        <v>231</v>
      </c>
      <c r="F17" s="297">
        <f t="shared" ref="F17:K17" si="10">F9*F46</f>
        <v>1.7867970660146699</v>
      </c>
      <c r="G17" s="297">
        <f t="shared" si="10"/>
        <v>5.5868838763575601</v>
      </c>
      <c r="H17" s="297">
        <f t="shared" si="10"/>
        <v>0.60315509116984223</v>
      </c>
      <c r="I17" s="297">
        <f t="shared" si="10"/>
        <v>0.84736091298145499</v>
      </c>
      <c r="J17" s="297">
        <f t="shared" si="10"/>
        <v>1.7094190408597789</v>
      </c>
      <c r="K17" s="298">
        <f t="shared" si="10"/>
        <v>5.1781140861466817</v>
      </c>
      <c r="L17" s="298">
        <f>L9*L46</f>
        <v>10.398715117446296</v>
      </c>
      <c r="M17" s="288">
        <f>M41*M35*M46*M42</f>
        <v>16.893878711099816</v>
      </c>
      <c r="N17" s="288">
        <f t="shared" ref="N17:X17" si="11">N41*N35*N46*N42</f>
        <v>23.046604751562718</v>
      </c>
      <c r="O17" s="288">
        <f t="shared" si="11"/>
        <v>29.19933079202562</v>
      </c>
      <c r="P17" s="288">
        <f t="shared" si="11"/>
        <v>33.579230410829467</v>
      </c>
      <c r="Q17" s="288">
        <f t="shared" si="11"/>
        <v>49.63886234644356</v>
      </c>
      <c r="R17" s="288">
        <f t="shared" si="11"/>
        <v>62.77856120285508</v>
      </c>
      <c r="S17" s="288">
        <f t="shared" si="11"/>
        <v>87.59799237607686</v>
      </c>
      <c r="T17" s="288">
        <f t="shared" si="11"/>
        <v>99.277724692887105</v>
      </c>
      <c r="U17" s="288">
        <f t="shared" si="11"/>
        <v>110.95745700969734</v>
      </c>
      <c r="V17" s="288">
        <f t="shared" si="11"/>
        <v>122.63718932650758</v>
      </c>
      <c r="W17" s="288">
        <f t="shared" si="11"/>
        <v>134.31692164331781</v>
      </c>
      <c r="X17" s="288">
        <f t="shared" si="11"/>
        <v>145.9966539601281</v>
      </c>
    </row>
    <row r="18" spans="2:24" ht="15" x14ac:dyDescent="0.2">
      <c r="B18" s="299"/>
      <c r="C18" s="475"/>
      <c r="D18" s="279" t="s">
        <v>230</v>
      </c>
      <c r="E18" s="127" t="s">
        <v>167</v>
      </c>
      <c r="F18" s="297">
        <f>F17</f>
        <v>1.7867970660146699</v>
      </c>
      <c r="G18" s="297">
        <f t="shared" ref="G18:X18" si="12">F18+G17</f>
        <v>7.3736809423722303</v>
      </c>
      <c r="H18" s="297">
        <f t="shared" si="12"/>
        <v>7.9768360335420727</v>
      </c>
      <c r="I18" s="297">
        <f t="shared" si="12"/>
        <v>8.8241969465235286</v>
      </c>
      <c r="J18" s="297">
        <f t="shared" si="12"/>
        <v>10.533615987383307</v>
      </c>
      <c r="K18" s="297">
        <f t="shared" si="12"/>
        <v>15.711730073529989</v>
      </c>
      <c r="L18" s="297">
        <f t="shared" si="12"/>
        <v>26.110445190976286</v>
      </c>
      <c r="M18" s="297">
        <f>L18+M17</f>
        <v>43.004323902076102</v>
      </c>
      <c r="N18" s="297">
        <f t="shared" si="12"/>
        <v>66.05092865363882</v>
      </c>
      <c r="O18" s="297">
        <f t="shared" si="12"/>
        <v>95.25025944566444</v>
      </c>
      <c r="P18" s="297">
        <f t="shared" si="12"/>
        <v>128.82948985649392</v>
      </c>
      <c r="Q18" s="297">
        <f t="shared" si="12"/>
        <v>178.46835220293747</v>
      </c>
      <c r="R18" s="297">
        <f t="shared" si="12"/>
        <v>241.24691340579255</v>
      </c>
      <c r="S18" s="297">
        <f t="shared" si="12"/>
        <v>328.84490578186944</v>
      </c>
      <c r="T18" s="297">
        <f t="shared" si="12"/>
        <v>428.12263047475653</v>
      </c>
      <c r="U18" s="297">
        <f t="shared" si="12"/>
        <v>539.08008748445388</v>
      </c>
      <c r="V18" s="297">
        <f t="shared" si="12"/>
        <v>661.71727681096149</v>
      </c>
      <c r="W18" s="297">
        <f t="shared" si="12"/>
        <v>796.03419845427925</v>
      </c>
      <c r="X18" s="300">
        <f t="shared" si="12"/>
        <v>942.03085241440738</v>
      </c>
    </row>
    <row r="19" spans="2:24" ht="15" x14ac:dyDescent="0.2">
      <c r="C19" s="475"/>
      <c r="D19" s="279" t="s">
        <v>230</v>
      </c>
      <c r="E19" s="127" t="s">
        <v>233</v>
      </c>
      <c r="F19" s="290">
        <f>E4</f>
        <v>4318.1227249089961</v>
      </c>
      <c r="G19" s="290">
        <f t="shared" ref="G19:X19" si="13">F19</f>
        <v>4318.1227249089961</v>
      </c>
      <c r="H19" s="290">
        <f t="shared" si="13"/>
        <v>4318.1227249089961</v>
      </c>
      <c r="I19" s="290">
        <f t="shared" si="13"/>
        <v>4318.1227249089961</v>
      </c>
      <c r="J19" s="290">
        <f t="shared" si="13"/>
        <v>4318.1227249089961</v>
      </c>
      <c r="K19" s="290">
        <f t="shared" si="13"/>
        <v>4318.1227249089961</v>
      </c>
      <c r="L19" s="290">
        <f t="shared" si="13"/>
        <v>4318.1227249089961</v>
      </c>
      <c r="M19" s="290">
        <f t="shared" si="13"/>
        <v>4318.1227249089961</v>
      </c>
      <c r="N19" s="290">
        <f t="shared" si="13"/>
        <v>4318.1227249089961</v>
      </c>
      <c r="O19" s="290">
        <f t="shared" si="13"/>
        <v>4318.1227249089961</v>
      </c>
      <c r="P19" s="290">
        <f t="shared" si="13"/>
        <v>4318.1227249089961</v>
      </c>
      <c r="Q19" s="290">
        <f t="shared" si="13"/>
        <v>4318.1227249089961</v>
      </c>
      <c r="R19" s="290">
        <f t="shared" si="13"/>
        <v>4318.1227249089961</v>
      </c>
      <c r="S19" s="290">
        <f t="shared" si="13"/>
        <v>4318.1227249089961</v>
      </c>
      <c r="T19" s="290">
        <f t="shared" si="13"/>
        <v>4318.1227249089961</v>
      </c>
      <c r="U19" s="290">
        <f t="shared" si="13"/>
        <v>4318.1227249089961</v>
      </c>
      <c r="V19" s="290">
        <f t="shared" si="13"/>
        <v>4318.1227249089961</v>
      </c>
      <c r="W19" s="290">
        <f t="shared" si="13"/>
        <v>4318.1227249089961</v>
      </c>
      <c r="X19" s="293">
        <f t="shared" si="13"/>
        <v>4318.1227249089961</v>
      </c>
    </row>
    <row r="20" spans="2:24" ht="15" x14ac:dyDescent="0.2">
      <c r="C20" s="475"/>
      <c r="D20" s="279" t="s">
        <v>230</v>
      </c>
      <c r="E20" s="127" t="s">
        <v>234</v>
      </c>
      <c r="F20" s="290">
        <f>F17*F19</f>
        <v>7715.6090155586662</v>
      </c>
      <c r="G20" s="290">
        <f t="shared" ref="G20:X20" si="14">G17*G19</f>
        <v>24124.850227927243</v>
      </c>
      <c r="H20" s="290">
        <f t="shared" si="14"/>
        <v>2604.4977058250529</v>
      </c>
      <c r="I20" s="290">
        <f t="shared" si="14"/>
        <v>3659.008414544855</v>
      </c>
      <c r="J20" s="290">
        <f t="shared" si="14"/>
        <v>7381.4812067287512</v>
      </c>
      <c r="K20" s="290">
        <f t="shared" si="14"/>
        <v>22359.732107561365</v>
      </c>
      <c r="L20" s="290">
        <f t="shared" si="14"/>
        <v>44902.928058499572</v>
      </c>
      <c r="M20" s="290">
        <f t="shared" si="14"/>
        <v>72949.841574256425</v>
      </c>
      <c r="N20" s="290">
        <f t="shared" si="14"/>
        <v>99518.067709718627</v>
      </c>
      <c r="O20" s="290">
        <f t="shared" si="14"/>
        <v>126086.29384518083</v>
      </c>
      <c r="P20" s="290">
        <f t="shared" si="14"/>
        <v>144999.23792195797</v>
      </c>
      <c r="Q20" s="290">
        <f t="shared" si="14"/>
        <v>214346.69953680743</v>
      </c>
      <c r="R20" s="290">
        <f t="shared" si="14"/>
        <v>271085.53176713875</v>
      </c>
      <c r="S20" s="290">
        <f t="shared" si="14"/>
        <v>378258.88153554249</v>
      </c>
      <c r="T20" s="290">
        <f t="shared" si="14"/>
        <v>428693.3990736148</v>
      </c>
      <c r="U20" s="290">
        <f t="shared" si="14"/>
        <v>479127.91661168705</v>
      </c>
      <c r="V20" s="290">
        <f t="shared" si="14"/>
        <v>529562.43414975936</v>
      </c>
      <c r="W20" s="290">
        <f t="shared" si="14"/>
        <v>579996.95168783166</v>
      </c>
      <c r="X20" s="293">
        <f t="shared" si="14"/>
        <v>630431.46922590409</v>
      </c>
    </row>
    <row r="21" spans="2:24" ht="15" x14ac:dyDescent="0.2">
      <c r="C21" s="475"/>
      <c r="D21" s="279" t="s">
        <v>230</v>
      </c>
      <c r="E21" s="127" t="s">
        <v>235</v>
      </c>
      <c r="F21" s="295">
        <f>F18*F19-F17*F19/2</f>
        <v>3857.8045077793331</v>
      </c>
      <c r="G21" s="295">
        <f>G18*G19-G17*G19/2</f>
        <v>19778.034129522286</v>
      </c>
      <c r="H21" s="295">
        <f>H18*H19-H17*H19/2</f>
        <v>33142.708096398441</v>
      </c>
      <c r="I21" s="295">
        <f>I18*I19-I17*I19/2</f>
        <v>36274.461156583398</v>
      </c>
      <c r="J21" s="295">
        <f>J18*J19-J17*J19/2</f>
        <v>41794.705967220194</v>
      </c>
      <c r="K21" s="295">
        <f t="shared" ref="K21:X21" si="15">K18*K19-K17*K19/2</f>
        <v>56665.312624365251</v>
      </c>
      <c r="L21" s="295">
        <f t="shared" si="15"/>
        <v>90296.642707395717</v>
      </c>
      <c r="M21" s="295">
        <f t="shared" si="15"/>
        <v>149223.02752377372</v>
      </c>
      <c r="N21" s="295">
        <f t="shared" si="15"/>
        <v>235456.98216576123</v>
      </c>
      <c r="O21" s="295">
        <f t="shared" si="15"/>
        <v>348259.16294321092</v>
      </c>
      <c r="P21" s="295">
        <f t="shared" si="15"/>
        <v>483801.92882678047</v>
      </c>
      <c r="Q21" s="295">
        <f t="shared" si="15"/>
        <v>663474.89755616314</v>
      </c>
      <c r="R21" s="295">
        <f t="shared" si="15"/>
        <v>906191.0132081362</v>
      </c>
      <c r="S21" s="295">
        <f t="shared" si="15"/>
        <v>1230863.2198594769</v>
      </c>
      <c r="T21" s="295">
        <f t="shared" si="15"/>
        <v>1634339.3601640556</v>
      </c>
      <c r="U21" s="295">
        <f t="shared" si="15"/>
        <v>2088250.0180067066</v>
      </c>
      <c r="V21" s="295">
        <f t="shared" si="15"/>
        <v>2592595.1933874302</v>
      </c>
      <c r="W21" s="295">
        <f t="shared" si="15"/>
        <v>3147374.8863062253</v>
      </c>
      <c r="X21" s="296">
        <f t="shared" si="15"/>
        <v>3752589.096763093</v>
      </c>
    </row>
    <row r="22" spans="2:24" ht="15" x14ac:dyDescent="0.2">
      <c r="C22" s="474" t="s">
        <v>237</v>
      </c>
      <c r="D22" s="285" t="s">
        <v>230</v>
      </c>
      <c r="E22" s="149" t="s">
        <v>231</v>
      </c>
      <c r="F22" s="301">
        <f t="shared" ref="F22:L22" si="16">F9*F47</f>
        <v>0</v>
      </c>
      <c r="G22" s="301">
        <f t="shared" si="16"/>
        <v>0</v>
      </c>
      <c r="H22" s="301">
        <f t="shared" si="16"/>
        <v>0</v>
      </c>
      <c r="I22" s="301">
        <f t="shared" si="16"/>
        <v>0</v>
      </c>
      <c r="J22" s="301">
        <f t="shared" si="16"/>
        <v>0</v>
      </c>
      <c r="K22" s="302">
        <f t="shared" si="16"/>
        <v>6.5043073341094297</v>
      </c>
      <c r="L22" s="302">
        <f t="shared" si="16"/>
        <v>16.69704878538446</v>
      </c>
      <c r="M22" s="288">
        <f>M41*M35*M47*M42</f>
        <v>27.126227983719772</v>
      </c>
      <c r="N22" s="288">
        <f t="shared" ref="N22:X22" si="17">N41*N35*N47*N42</f>
        <v>37.005560737855582</v>
      </c>
      <c r="O22" s="288">
        <f t="shared" si="17"/>
        <v>46.884893491991399</v>
      </c>
      <c r="P22" s="288">
        <f t="shared" si="17"/>
        <v>53.917627515790109</v>
      </c>
      <c r="Q22" s="288">
        <f t="shared" si="17"/>
        <v>79.704318936385377</v>
      </c>
      <c r="R22" s="288">
        <f t="shared" si="17"/>
        <v>100.80252100778151</v>
      </c>
      <c r="S22" s="288">
        <f t="shared" si="17"/>
        <v>140.65468047597417</v>
      </c>
      <c r="T22" s="288">
        <f t="shared" si="17"/>
        <v>159.40863787277073</v>
      </c>
      <c r="U22" s="288">
        <f t="shared" si="17"/>
        <v>178.16259526956728</v>
      </c>
      <c r="V22" s="288">
        <f t="shared" si="17"/>
        <v>196.91655266636383</v>
      </c>
      <c r="W22" s="288">
        <f t="shared" si="17"/>
        <v>215.67051006316038</v>
      </c>
      <c r="X22" s="288">
        <f t="shared" si="17"/>
        <v>234.42446745995699</v>
      </c>
    </row>
    <row r="23" spans="2:24" ht="15" x14ac:dyDescent="0.2">
      <c r="C23" s="475"/>
      <c r="D23" s="279" t="s">
        <v>230</v>
      </c>
      <c r="E23" s="127" t="s">
        <v>167</v>
      </c>
      <c r="F23" s="297">
        <f>F22</f>
        <v>0</v>
      </c>
      <c r="G23" s="297">
        <f t="shared" ref="G23:X23" si="18">F23+G22</f>
        <v>0</v>
      </c>
      <c r="H23" s="297">
        <f t="shared" si="18"/>
        <v>0</v>
      </c>
      <c r="I23" s="297">
        <f t="shared" si="18"/>
        <v>0</v>
      </c>
      <c r="J23" s="297">
        <f t="shared" si="18"/>
        <v>0</v>
      </c>
      <c r="K23" s="297">
        <f t="shared" si="18"/>
        <v>6.5043073341094297</v>
      </c>
      <c r="L23" s="297">
        <f t="shared" si="18"/>
        <v>23.201356119493891</v>
      </c>
      <c r="M23" s="297">
        <f t="shared" si="18"/>
        <v>50.327584103213667</v>
      </c>
      <c r="N23" s="297">
        <f t="shared" si="18"/>
        <v>87.333144841069242</v>
      </c>
      <c r="O23" s="297">
        <f t="shared" si="18"/>
        <v>134.21803833306063</v>
      </c>
      <c r="P23" s="297">
        <f>O23+P22</f>
        <v>188.13566584885075</v>
      </c>
      <c r="Q23" s="297">
        <f t="shared" si="18"/>
        <v>267.83998478523614</v>
      </c>
      <c r="R23" s="297">
        <f t="shared" si="18"/>
        <v>368.64250579301768</v>
      </c>
      <c r="S23" s="297">
        <f t="shared" si="18"/>
        <v>509.29718626899182</v>
      </c>
      <c r="T23" s="297">
        <f t="shared" si="18"/>
        <v>668.7058241417626</v>
      </c>
      <c r="U23" s="297">
        <f t="shared" si="18"/>
        <v>846.86841941132991</v>
      </c>
      <c r="V23" s="297">
        <f t="shared" si="18"/>
        <v>1043.7849720776937</v>
      </c>
      <c r="W23" s="297">
        <f t="shared" si="18"/>
        <v>1259.4554821408542</v>
      </c>
      <c r="X23" s="300">
        <f t="shared" si="18"/>
        <v>1493.8799496008112</v>
      </c>
    </row>
    <row r="24" spans="2:24" ht="15" x14ac:dyDescent="0.2">
      <c r="C24" s="475"/>
      <c r="D24" s="279" t="s">
        <v>230</v>
      </c>
      <c r="E24" s="127" t="s">
        <v>233</v>
      </c>
      <c r="F24" s="290">
        <f>E5</f>
        <v>7665</v>
      </c>
      <c r="G24" s="290">
        <f>F24</f>
        <v>7665</v>
      </c>
      <c r="H24" s="290">
        <f t="shared" ref="H24:X24" si="19">G24</f>
        <v>7665</v>
      </c>
      <c r="I24" s="290">
        <f t="shared" si="19"/>
        <v>7665</v>
      </c>
      <c r="J24" s="290">
        <f t="shared" si="19"/>
        <v>7665</v>
      </c>
      <c r="K24" s="290">
        <f t="shared" si="19"/>
        <v>7665</v>
      </c>
      <c r="L24" s="290">
        <f t="shared" si="19"/>
        <v>7665</v>
      </c>
      <c r="M24" s="290">
        <f t="shared" si="19"/>
        <v>7665</v>
      </c>
      <c r="N24" s="290">
        <f t="shared" si="19"/>
        <v>7665</v>
      </c>
      <c r="O24" s="290">
        <f t="shared" si="19"/>
        <v>7665</v>
      </c>
      <c r="P24" s="290">
        <f t="shared" si="19"/>
        <v>7665</v>
      </c>
      <c r="Q24" s="290">
        <f t="shared" si="19"/>
        <v>7665</v>
      </c>
      <c r="R24" s="290">
        <f t="shared" si="19"/>
        <v>7665</v>
      </c>
      <c r="S24" s="290">
        <f t="shared" si="19"/>
        <v>7665</v>
      </c>
      <c r="T24" s="290">
        <f t="shared" si="19"/>
        <v>7665</v>
      </c>
      <c r="U24" s="290">
        <f t="shared" si="19"/>
        <v>7665</v>
      </c>
      <c r="V24" s="290">
        <f t="shared" si="19"/>
        <v>7665</v>
      </c>
      <c r="W24" s="290">
        <f t="shared" si="19"/>
        <v>7665</v>
      </c>
      <c r="X24" s="293">
        <f t="shared" si="19"/>
        <v>7665</v>
      </c>
    </row>
    <row r="25" spans="2:24" ht="15" x14ac:dyDescent="0.2">
      <c r="C25" s="475"/>
      <c r="D25" s="279" t="s">
        <v>230</v>
      </c>
      <c r="E25" s="127" t="s">
        <v>234</v>
      </c>
      <c r="F25" s="290">
        <f>F22*F24</f>
        <v>0</v>
      </c>
      <c r="G25" s="290">
        <f t="shared" ref="G25:X25" si="20">G22*G24</f>
        <v>0</v>
      </c>
      <c r="H25" s="290">
        <f t="shared" si="20"/>
        <v>0</v>
      </c>
      <c r="I25" s="290">
        <f t="shared" si="20"/>
        <v>0</v>
      </c>
      <c r="J25" s="290">
        <f t="shared" si="20"/>
        <v>0</v>
      </c>
      <c r="K25" s="290">
        <f t="shared" si="20"/>
        <v>49855.515715948779</v>
      </c>
      <c r="L25" s="290">
        <f t="shared" si="20"/>
        <v>127982.87893997188</v>
      </c>
      <c r="M25" s="290">
        <f t="shared" si="20"/>
        <v>207922.53749521205</v>
      </c>
      <c r="N25" s="290">
        <f t="shared" si="20"/>
        <v>283647.62305566302</v>
      </c>
      <c r="O25" s="290">
        <f t="shared" si="20"/>
        <v>359372.70861611405</v>
      </c>
      <c r="P25" s="290">
        <f t="shared" si="20"/>
        <v>413278.61490853119</v>
      </c>
      <c r="Q25" s="290">
        <f t="shared" si="20"/>
        <v>610933.60464739392</v>
      </c>
      <c r="R25" s="290">
        <f t="shared" si="20"/>
        <v>772651.3235246453</v>
      </c>
      <c r="S25" s="290">
        <f t="shared" si="20"/>
        <v>1078118.125848342</v>
      </c>
      <c r="T25" s="290">
        <f t="shared" si="20"/>
        <v>1221867.2092947876</v>
      </c>
      <c r="U25" s="290">
        <f t="shared" si="20"/>
        <v>1365616.2927412333</v>
      </c>
      <c r="V25" s="290">
        <f t="shared" si="20"/>
        <v>1509365.3761876787</v>
      </c>
      <c r="W25" s="290">
        <f t="shared" si="20"/>
        <v>1653114.4596341243</v>
      </c>
      <c r="X25" s="293">
        <f t="shared" si="20"/>
        <v>1796863.5430805704</v>
      </c>
    </row>
    <row r="26" spans="2:24" ht="15" x14ac:dyDescent="0.2">
      <c r="C26" s="476"/>
      <c r="D26" s="294" t="s">
        <v>230</v>
      </c>
      <c r="E26" s="196" t="s">
        <v>235</v>
      </c>
      <c r="F26" s="295">
        <f>F23*F24-F22*F24/2</f>
        <v>0</v>
      </c>
      <c r="G26" s="295">
        <f>G23*G24-G22*G24/2</f>
        <v>0</v>
      </c>
      <c r="H26" s="295">
        <f>H23*H24-H22*H24/2</f>
        <v>0</v>
      </c>
      <c r="I26" s="295">
        <f>I23*I24-I22*I24/2</f>
        <v>0</v>
      </c>
      <c r="J26" s="295">
        <f>J23*J24-J22*J24/2</f>
        <v>0</v>
      </c>
      <c r="K26" s="295">
        <f t="shared" ref="K26:X26" si="21">K23*K24-K22*K24/2</f>
        <v>24927.757857974389</v>
      </c>
      <c r="L26" s="295">
        <f t="shared" si="21"/>
        <v>113846.95518593474</v>
      </c>
      <c r="M26" s="295">
        <f t="shared" si="21"/>
        <v>281799.66340352671</v>
      </c>
      <c r="N26" s="295">
        <f t="shared" si="21"/>
        <v>527584.74367896421</v>
      </c>
      <c r="O26" s="295">
        <f t="shared" si="21"/>
        <v>849094.9095148528</v>
      </c>
      <c r="P26" s="295">
        <f t="shared" si="21"/>
        <v>1235420.5712771753</v>
      </c>
      <c r="Q26" s="295">
        <f t="shared" si="21"/>
        <v>1747526.6810551381</v>
      </c>
      <c r="R26" s="295">
        <f t="shared" si="21"/>
        <v>2439319.1451411578</v>
      </c>
      <c r="S26" s="295">
        <f t="shared" si="21"/>
        <v>3364703.8698276514</v>
      </c>
      <c r="T26" s="295">
        <f t="shared" si="21"/>
        <v>4514696.5373992175</v>
      </c>
      <c r="U26" s="295">
        <f t="shared" si="21"/>
        <v>5808438.2884172266</v>
      </c>
      <c r="V26" s="295">
        <f t="shared" si="21"/>
        <v>7245929.1228816835</v>
      </c>
      <c r="W26" s="295">
        <f t="shared" si="21"/>
        <v>8827169.0407925844</v>
      </c>
      <c r="X26" s="296">
        <f t="shared" si="21"/>
        <v>10552158.042149931</v>
      </c>
    </row>
    <row r="28" spans="2:24" ht="15" x14ac:dyDescent="0.2">
      <c r="D28" s="279" t="s">
        <v>230</v>
      </c>
      <c r="E28" s="127" t="s">
        <v>238</v>
      </c>
      <c r="F28" s="127">
        <f>SUMIFS('EV Data'!$H:$H,'EV Data'!$C:$C,'EV Forecast'!F7)</f>
        <v>28</v>
      </c>
      <c r="G28" s="127">
        <f>SUMIFS('EV Data'!$H:$H,'EV Data'!$C:$C,'EV Forecast'!G7)</f>
        <v>107</v>
      </c>
      <c r="H28" s="127">
        <f>SUMIFS('EV Data'!$H:$H,'EV Data'!$C:$C,'EV Forecast'!H7)</f>
        <v>64</v>
      </c>
      <c r="I28" s="127">
        <f>SUMIFS('EV Data'!$H:$H,'EV Data'!$C:$C,'EV Forecast'!I7)</f>
        <v>66</v>
      </c>
      <c r="J28" s="127">
        <f>SUMIFS('EV Data'!$H:$H,'EV Data'!$C:$C,'EV Forecast'!J7)</f>
        <v>120</v>
      </c>
      <c r="K28" s="127">
        <f>SUMIFS('EV Data'!$H:$H,'EV Data'!$C:$C,'EV Forecast'!K7)</f>
        <v>288</v>
      </c>
      <c r="L28" s="127">
        <f>SUMIFS('EV Data'!$H:$H,'EV Data'!$C:$C,'EV Forecast'!L7)</f>
        <v>460</v>
      </c>
    </row>
    <row r="29" spans="2:24" ht="15" x14ac:dyDescent="0.25">
      <c r="D29" s="177" t="s">
        <v>170</v>
      </c>
      <c r="E29" s="127" t="s">
        <v>238</v>
      </c>
      <c r="F29" s="267">
        <f>SUMIFS('EV Data'!$D:$D,'EV Data'!$C:$C,'EV Forecast'!F7)</f>
        <v>8180</v>
      </c>
      <c r="G29" s="267">
        <f>SUMIFS('EV Data'!$D:$D,'EV Data'!$C:$C,'EV Forecast'!G7)</f>
        <v>16758</v>
      </c>
      <c r="H29" s="267">
        <f>SUMIFS('EV Data'!$D:$D,'EV Data'!$C:$C,'EV Forecast'!H7)</f>
        <v>9762</v>
      </c>
      <c r="I29" s="267">
        <f>SUMIFS('EV Data'!$D:$D,'EV Data'!$C:$C,'EV Forecast'!I7)</f>
        <v>10515</v>
      </c>
      <c r="J29" s="267">
        <f>SUMIFS('EV Data'!$D:$D,'EV Data'!$C:$C,'EV Forecast'!J7)</f>
        <v>19726</v>
      </c>
      <c r="K29" s="267">
        <f>SUMIFS('EV Data'!$D:$D,'EV Data'!$C:$C,'EV Forecast'!K7)</f>
        <v>38655</v>
      </c>
      <c r="L29" s="267">
        <f>SUMIFS('EV Data'!$D:$D,'EV Data'!$C:$C,'EV Forecast'!L7)</f>
        <v>49810</v>
      </c>
      <c r="M29" s="175"/>
      <c r="N29" s="175"/>
      <c r="O29" s="175"/>
      <c r="P29" s="175"/>
      <c r="Q29" s="175"/>
      <c r="R29" s="175"/>
      <c r="S29" s="175"/>
      <c r="T29" s="175"/>
      <c r="U29" s="175"/>
      <c r="V29" s="175"/>
      <c r="W29" s="175"/>
      <c r="X29" s="175"/>
    </row>
    <row r="30" spans="2:24" ht="15" x14ac:dyDescent="0.25">
      <c r="D30" s="177" t="s">
        <v>170</v>
      </c>
      <c r="E30" s="127" t="s">
        <v>239</v>
      </c>
      <c r="F30" s="267">
        <f>SUMIFS('EV Data'!$AG:$AG,'EV Data'!$Z:$Z,'EV Forecast'!F7)+SUMIFS('EV Data'!$AQ:$AQ,'EV Data'!$Z:$Z,'EV Forecast'!F7)</f>
        <v>6191</v>
      </c>
      <c r="G30" s="267">
        <f>SUMIFS('EV Data'!$AG:$AG,'EV Data'!$Z:$Z,'EV Forecast'!G7)+SUMIFS('EV Data'!$AQ:$AQ,'EV Data'!$Z:$Z,'EV Forecast'!G7)</f>
        <v>12828</v>
      </c>
      <c r="H30" s="267">
        <f>SUMIFS('EV Data'!$AG:$AG,'EV Data'!$Z:$Z,'EV Forecast'!H7)+SUMIFS('EV Data'!$AQ:$AQ,'EV Data'!$Z:$Z,'EV Forecast'!H7)</f>
        <v>7124</v>
      </c>
      <c r="I30" s="267">
        <f>SUMIFS('EV Data'!$AG:$AG,'EV Data'!$Z:$Z,'EV Forecast'!I7)+SUMIFS('EV Data'!$AQ:$AQ,'EV Data'!$Z:$Z,'EV Forecast'!I7)</f>
        <v>5699</v>
      </c>
      <c r="J30" s="267">
        <f>SUMIFS('EV Data'!$AG:$AG,'EV Data'!$Z:$Z,'EV Forecast'!J7)+SUMIFS('EV Data'!$AQ:$AQ,'EV Data'!$Z:$Z,'EV Forecast'!J7)</f>
        <v>8035</v>
      </c>
      <c r="K30" s="267">
        <f>SUMIFS('EV Data'!$AG:$AG,'EV Data'!$Z:$Z,'EV Forecast'!K7)+SUMIFS('EV Data'!$AQ:$AQ,'EV Data'!$Z:$Z,'EV Forecast'!K7)</f>
        <v>13160</v>
      </c>
      <c r="L30" s="267">
        <f>SUMIFS('EV Data'!$AG:$AG,'EV Data'!$Z:$Z,'EV Forecast'!L7)+SUMIFS('EV Data'!$AQ:$AQ,'EV Data'!$Z:$Z,'EV Forecast'!L7)</f>
        <v>10992</v>
      </c>
      <c r="M30" s="267"/>
      <c r="N30" s="267"/>
      <c r="O30" s="267"/>
      <c r="P30" s="267"/>
      <c r="Q30" s="267"/>
      <c r="R30" s="267"/>
      <c r="S30" s="267"/>
      <c r="T30" s="267"/>
      <c r="U30" s="267"/>
      <c r="V30" s="267"/>
      <c r="W30" s="267"/>
      <c r="X30" s="267"/>
    </row>
    <row r="31" spans="2:24" ht="15" x14ac:dyDescent="0.25">
      <c r="D31" s="177" t="s">
        <v>170</v>
      </c>
      <c r="E31" s="127" t="s">
        <v>240</v>
      </c>
      <c r="F31" s="267">
        <f>SUMIFS('EV Data'!$AI:$AI,'EV Data'!$Z:$Z,'EV Forecast'!F7)+SUMIFS('EV Data'!$AS:$AS,'EV Data'!$Z:$Z,'EV Forecast'!F7)</f>
        <v>1467</v>
      </c>
      <c r="G31" s="267">
        <f>SUMIFS('EV Data'!$AI:$AI,'EV Data'!$Z:$Z,'EV Forecast'!G7)+SUMIFS('EV Data'!$AS:$AS,'EV Data'!$Z:$Z,'EV Forecast'!G7)</f>
        <v>3055</v>
      </c>
      <c r="H31" s="267">
        <f>SUMIFS('EV Data'!$AI:$AI,'EV Data'!$Z:$Z,'EV Forecast'!H7)+SUMIFS('EV Data'!$AS:$AS,'EV Data'!$Z:$Z,'EV Forecast'!H7)</f>
        <v>2546</v>
      </c>
      <c r="I31" s="267">
        <f>SUMIFS('EV Data'!$AI:$AI,'EV Data'!$Z:$Z,'EV Forecast'!I7)+SUMIFS('EV Data'!$AS:$AS,'EV Data'!$Z:$Z,'EV Forecast'!I7)</f>
        <v>4681</v>
      </c>
      <c r="J31" s="267">
        <f>SUMIFS('EV Data'!$AI:$AI,'EV Data'!$Z:$Z,'EV Forecast'!J7)+SUMIFS('EV Data'!$AS:$AS,'EV Data'!$Z:$Z,'EV Forecast'!J7)</f>
        <v>11410</v>
      </c>
      <c r="K31" s="267">
        <f>SUMIFS('EV Data'!$AI:$AI,'EV Data'!$Z:$Z,'EV Forecast'!K7)+SUMIFS('EV Data'!$AS:$AS,'EV Data'!$Z:$Z,'EV Forecast'!K7)</f>
        <v>23927</v>
      </c>
      <c r="L31" s="267">
        <f>SUMIFS('EV Data'!$AI:$AI,'EV Data'!$Z:$Z,'EV Forecast'!L7)+SUMIFS('EV Data'!$AS:$AS,'EV Data'!$Z:$Z,'EV Forecast'!L7)</f>
        <v>35877</v>
      </c>
      <c r="M31" s="267"/>
      <c r="N31" s="267"/>
      <c r="O31" s="267"/>
      <c r="P31" s="267"/>
      <c r="Q31" s="267"/>
      <c r="R31" s="267"/>
      <c r="S31" s="267"/>
      <c r="T31" s="267"/>
      <c r="U31" s="267"/>
      <c r="V31" s="267"/>
      <c r="W31" s="267"/>
      <c r="X31" s="267"/>
    </row>
    <row r="32" spans="2:24" ht="15" x14ac:dyDescent="0.25">
      <c r="D32" s="177" t="s">
        <v>170</v>
      </c>
      <c r="E32" s="127" t="s">
        <v>241</v>
      </c>
      <c r="F32" s="267">
        <f>SUMIFS('EV Data'!$AJ:$AJ,'EV Data'!$Z:$Z,'EV Forecast'!F7)+SUMIFS('EV Data'!$AT:$AT,'EV Data'!$Z:$Z,'EV Forecast'!F7)</f>
        <v>522</v>
      </c>
      <c r="G32" s="267">
        <f>SUMIFS('EV Data'!$AJ:$AJ,'EV Data'!$Z:$Z,'EV Forecast'!G7)+SUMIFS('EV Data'!$AT:$AT,'EV Data'!$Z:$Z,'EV Forecast'!G7)</f>
        <v>875</v>
      </c>
      <c r="H32" s="267">
        <f>SUMIFS('EV Data'!$AJ:$AJ,'EV Data'!$Z:$Z,'EV Forecast'!H7)+SUMIFS('EV Data'!$AT:$AT,'EV Data'!$Z:$Z,'EV Forecast'!H7)</f>
        <v>92</v>
      </c>
      <c r="I32" s="267">
        <f>SUMIFS('EV Data'!$AJ:$AJ,'EV Data'!$Z:$Z,'EV Forecast'!I7)+SUMIFS('EV Data'!$AT:$AT,'EV Data'!$Z:$Z,'EV Forecast'!I7)</f>
        <v>135</v>
      </c>
      <c r="J32" s="267">
        <f>SUMIFS('EV Data'!$AJ:$AJ,'EV Data'!$Z:$Z,'EV Forecast'!J7)+SUMIFS('EV Data'!$AT:$AT,'EV Data'!$Z:$Z,'EV Forecast'!J7)</f>
        <v>281</v>
      </c>
      <c r="K32" s="267">
        <f>SUMIFS('EV Data'!$AJ:$AJ,'EV Data'!$Z:$Z,'EV Forecast'!K7)+SUMIFS('EV Data'!$AT:$AT,'EV Data'!$Z:$Z,'EV Forecast'!K7)</f>
        <v>695</v>
      </c>
      <c r="L32" s="267">
        <f>SUMIFS('EV Data'!$AJ:$AJ,'EV Data'!$Z:$Z,'EV Forecast'!L7)+SUMIFS('EV Data'!$AT:$AT,'EV Data'!$Z:$Z,'EV Forecast'!L7)</f>
        <v>1126</v>
      </c>
      <c r="M32" s="267"/>
      <c r="N32" s="267"/>
      <c r="O32" s="267"/>
      <c r="P32" s="267"/>
      <c r="Q32" s="267"/>
      <c r="R32" s="267"/>
      <c r="S32" s="267"/>
      <c r="T32" s="267"/>
      <c r="U32" s="267"/>
      <c r="V32" s="267"/>
      <c r="W32" s="267"/>
      <c r="X32" s="267"/>
    </row>
    <row r="33" spans="4:24" ht="15" x14ac:dyDescent="0.25">
      <c r="D33" s="177" t="s">
        <v>170</v>
      </c>
      <c r="E33" s="127" t="s">
        <v>242</v>
      </c>
      <c r="F33" s="267">
        <f>SUMIFS('EV Data'!$AH:$AH,'EV Data'!$Z:$Z,'EV Forecast'!F7)+SUMIFS('EV Data'!$AR:$AR,'EV Data'!$Z:$Z,'EV Forecast'!F7)</f>
        <v>0</v>
      </c>
      <c r="G33" s="267">
        <f>SUMIFS('EV Data'!$AH:$AH,'EV Data'!$Z:$Z,'EV Forecast'!G7)+SUMIFS('EV Data'!$AR:$AR,'EV Data'!$Z:$Z,'EV Forecast'!G7)</f>
        <v>0</v>
      </c>
      <c r="H33" s="267">
        <f>SUMIFS('EV Data'!$AH:$AH,'EV Data'!$Z:$Z,'EV Forecast'!H7)+SUMIFS('EV Data'!$AR:$AR,'EV Data'!$Z:$Z,'EV Forecast'!H7)</f>
        <v>0</v>
      </c>
      <c r="I33" s="267">
        <f>SUMIFS('EV Data'!$AH:$AH,'EV Data'!$Z:$Z,'EV Forecast'!I7)+SUMIFS('EV Data'!$AR:$AR,'EV Data'!$Z:$Z,'EV Forecast'!I7)</f>
        <v>0</v>
      </c>
      <c r="J33" s="267">
        <f>SUMIFS('EV Data'!$AH:$AH,'EV Data'!$Z:$Z,'EV Forecast'!J7)+SUMIFS('EV Data'!$AR:$AR,'EV Data'!$Z:$Z,'EV Forecast'!J7)</f>
        <v>0</v>
      </c>
      <c r="K33" s="267">
        <f>SUMIFS('EV Data'!$AH:$AH,'EV Data'!$Z:$Z,'EV Forecast'!K7)+SUMIFS('EV Data'!$AR:$AR,'EV Data'!$Z:$Z,'EV Forecast'!K7)</f>
        <v>873</v>
      </c>
      <c r="L33" s="267">
        <f>SUMIFS('EV Data'!$AH:$AH,'EV Data'!$Z:$Z,'EV Forecast'!L7)+SUMIFS('EV Data'!$AR:$AR,'EV Data'!$Z:$Z,'EV Forecast'!L7)</f>
        <v>1808</v>
      </c>
      <c r="M33" s="267"/>
      <c r="N33" s="267"/>
      <c r="O33" s="267"/>
      <c r="P33" s="267"/>
      <c r="Q33" s="267"/>
      <c r="R33" s="267"/>
      <c r="S33" s="267"/>
      <c r="T33" s="267"/>
      <c r="U33" s="267"/>
      <c r="V33" s="267"/>
      <c r="W33" s="267"/>
      <c r="X33" s="267"/>
    </row>
    <row r="34" spans="4:24" ht="15" x14ac:dyDescent="0.25">
      <c r="D34" s="177"/>
      <c r="F34" s="267"/>
      <c r="G34" s="267"/>
      <c r="H34" s="267"/>
      <c r="I34" s="267"/>
      <c r="J34" s="267"/>
      <c r="K34" s="267"/>
      <c r="L34" s="267"/>
      <c r="M34" s="267"/>
      <c r="N34" s="267"/>
      <c r="O34" s="267"/>
      <c r="P34" s="267"/>
      <c r="Q34" s="267"/>
      <c r="R34" s="267"/>
      <c r="S34" s="267"/>
      <c r="T34" s="267"/>
      <c r="U34" s="267"/>
      <c r="V34" s="267"/>
      <c r="W34" s="267"/>
      <c r="X34" s="267"/>
    </row>
    <row r="35" spans="4:24" ht="15" x14ac:dyDescent="0.25">
      <c r="D35" s="177" t="s">
        <v>170</v>
      </c>
      <c r="E35" s="127" t="s">
        <v>243</v>
      </c>
      <c r="F35" s="267">
        <f>SUMIFS('EV Data'!$AA:$AA,'EV Data'!$Z:$Z,'EV Forecast'!F7)</f>
        <v>801432</v>
      </c>
      <c r="G35" s="267">
        <f>SUMIFS('EV Data'!$AA:$AA,'EV Data'!$Z:$Z,'EV Forecast'!G7)</f>
        <v>798566</v>
      </c>
      <c r="H35" s="267">
        <f>SUMIFS('EV Data'!$AA:$AA,'EV Data'!$Z:$Z,'EV Forecast'!H7)</f>
        <v>796079</v>
      </c>
      <c r="I35" s="267">
        <f>SUMIFS('EV Data'!$AA:$AA,'EV Data'!$Z:$Z,'EV Forecast'!I7)</f>
        <v>600626</v>
      </c>
      <c r="J35" s="267">
        <f>SUMIFS('EV Data'!$AA:$AA,'EV Data'!$Z:$Z,'EV Forecast'!J7)</f>
        <v>627134</v>
      </c>
      <c r="K35" s="267">
        <f>SUMIFS('EV Data'!$AA:$AA,'EV Data'!$Z:$Z,'EV Forecast'!K7)</f>
        <v>594415</v>
      </c>
      <c r="L35" s="267">
        <f>SUMIFS('EV Data'!$AA:$AA,'EV Data'!$Z:$Z,'EV Forecast'!L7)</f>
        <v>677031</v>
      </c>
      <c r="M35" s="175">
        <f>AVERAGE($F$35:$L$35)</f>
        <v>699326.14285714284</v>
      </c>
      <c r="N35" s="175">
        <f>M35</f>
        <v>699326.14285714284</v>
      </c>
      <c r="O35" s="175">
        <f t="shared" ref="O35:X35" si="22">N35</f>
        <v>699326.14285714284</v>
      </c>
      <c r="P35" s="175">
        <f t="shared" si="22"/>
        <v>699326.14285714284</v>
      </c>
      <c r="Q35" s="175">
        <f t="shared" si="22"/>
        <v>699326.14285714284</v>
      </c>
      <c r="R35" s="175">
        <f t="shared" si="22"/>
        <v>699326.14285714284</v>
      </c>
      <c r="S35" s="175">
        <f t="shared" si="22"/>
        <v>699326.14285714284</v>
      </c>
      <c r="T35" s="175">
        <f t="shared" si="22"/>
        <v>699326.14285714284</v>
      </c>
      <c r="U35" s="175">
        <f t="shared" si="22"/>
        <v>699326.14285714284</v>
      </c>
      <c r="V35" s="175">
        <f t="shared" si="22"/>
        <v>699326.14285714284</v>
      </c>
      <c r="W35" s="175">
        <f t="shared" si="22"/>
        <v>699326.14285714284</v>
      </c>
      <c r="X35" s="175">
        <f t="shared" si="22"/>
        <v>699326.14285714284</v>
      </c>
    </row>
    <row r="36" spans="4:24" ht="15" x14ac:dyDescent="0.25">
      <c r="D36" s="177" t="s">
        <v>170</v>
      </c>
      <c r="E36" s="127" t="s">
        <v>244</v>
      </c>
      <c r="F36" s="267">
        <f>SUMIFS('EV Data'!$AB:$AB,'EV Data'!$Z:$Z,'EV Forecast'!F7)</f>
        <v>253252</v>
      </c>
      <c r="G36" s="267">
        <f>SUMIFS('EV Data'!$AB:$AB,'EV Data'!$Z:$Z,'EV Forecast'!G7)</f>
        <v>240525</v>
      </c>
      <c r="H36" s="267">
        <f>SUMIFS('EV Data'!$AB:$AB,'EV Data'!$Z:$Z,'EV Forecast'!H7)</f>
        <v>205764</v>
      </c>
      <c r="I36" s="267">
        <f>SUMIFS('EV Data'!$AB:$AB,'EV Data'!$Z:$Z,'EV Forecast'!I7)</f>
        <v>124652</v>
      </c>
      <c r="J36" s="267">
        <f>SUMIFS('EV Data'!$AB:$AB,'EV Data'!$Z:$Z,'EV Forecast'!J7)</f>
        <v>128833</v>
      </c>
      <c r="K36" s="267">
        <f>SUMIFS('EV Data'!$AB:$AB,'EV Data'!$Z:$Z,'EV Forecast'!K7)</f>
        <v>109954</v>
      </c>
      <c r="L36" s="267">
        <f>SUMIFS('EV Data'!$AB:$AB,'EV Data'!$Z:$Z,'EV Forecast'!L7)</f>
        <v>110553</v>
      </c>
    </row>
    <row r="37" spans="4:24" ht="15" x14ac:dyDescent="0.25">
      <c r="D37" s="177" t="s">
        <v>170</v>
      </c>
      <c r="E37" s="127" t="s">
        <v>245</v>
      </c>
      <c r="F37" s="267">
        <f>SUMIFS('EV Data'!$AD:$AD,'EV Data'!$Z:$Z,'EV Forecast'!F7)</f>
        <v>345265</v>
      </c>
      <c r="G37" s="267">
        <f>SUMIFS('EV Data'!$AD:$AD,'EV Data'!$Z:$Z,'EV Forecast'!G7)</f>
        <v>368224</v>
      </c>
      <c r="H37" s="267">
        <f>SUMIFS('EV Data'!$AD:$AD,'EV Data'!$Z:$Z,'EV Forecast'!H7)</f>
        <v>395962</v>
      </c>
      <c r="I37" s="267">
        <f>SUMIFS('EV Data'!$AD:$AD,'EV Data'!$Z:$Z,'EV Forecast'!I7)</f>
        <v>312969</v>
      </c>
      <c r="J37" s="267">
        <f>SUMIFS('EV Data'!$AD:$AD,'EV Data'!$Z:$Z,'EV Forecast'!J7)</f>
        <v>352418</v>
      </c>
      <c r="K37" s="267">
        <f>SUMIFS('EV Data'!$AD:$AD,'EV Data'!$Z:$Z,'EV Forecast'!K7)</f>
        <v>341487</v>
      </c>
      <c r="L37" s="267">
        <f>SUMIFS('EV Data'!$AD:$AD,'EV Data'!$Z:$Z,'EV Forecast'!L7)</f>
        <v>412104</v>
      </c>
      <c r="M37" s="267"/>
      <c r="N37" s="267"/>
      <c r="O37" s="267"/>
      <c r="P37" s="267"/>
      <c r="Q37" s="267"/>
      <c r="R37" s="267"/>
      <c r="S37" s="267"/>
      <c r="T37" s="267"/>
      <c r="U37" s="267"/>
      <c r="V37" s="267"/>
      <c r="W37" s="267"/>
      <c r="X37" s="267"/>
    </row>
    <row r="38" spans="4:24" ht="15" x14ac:dyDescent="0.25">
      <c r="D38" s="177" t="s">
        <v>170</v>
      </c>
      <c r="E38" s="127" t="s">
        <v>246</v>
      </c>
      <c r="F38" s="267">
        <f>SUMIFS('EV Data'!$AE:$AE,'EV Data'!$Z:$Z,'EV Forecast'!F7)</f>
        <v>58851</v>
      </c>
      <c r="G38" s="267">
        <f>SUMIFS('EV Data'!$AE:$AE,'EV Data'!$Z:$Z,'EV Forecast'!G7)</f>
        <v>54456</v>
      </c>
      <c r="H38" s="267">
        <f>SUMIFS('EV Data'!$AE:$AE,'EV Data'!$Z:$Z,'EV Forecast'!H7)</f>
        <v>49692</v>
      </c>
      <c r="I38" s="267">
        <f>SUMIFS('EV Data'!$AE:$AE,'EV Data'!$Z:$Z,'EV Forecast'!I7)</f>
        <v>35235</v>
      </c>
      <c r="J38" s="267">
        <f>SUMIFS('EV Data'!$AE:$AE,'EV Data'!$Z:$Z,'EV Forecast'!J7)</f>
        <v>27989</v>
      </c>
      <c r="K38" s="267">
        <f>SUMIFS('EV Data'!$AE:$AE,'EV Data'!$Z:$Z,'EV Forecast'!K7)</f>
        <v>20207</v>
      </c>
      <c r="L38" s="267">
        <f>SUMIFS('EV Data'!$AE:$AE,'EV Data'!$Z:$Z,'EV Forecast'!L7)</f>
        <v>26725</v>
      </c>
      <c r="M38" s="267"/>
      <c r="N38" s="267"/>
      <c r="O38" s="267"/>
      <c r="P38" s="267"/>
      <c r="Q38" s="267"/>
      <c r="R38" s="267"/>
      <c r="S38" s="267"/>
      <c r="T38" s="267"/>
      <c r="U38" s="267"/>
      <c r="V38" s="267"/>
      <c r="W38" s="267"/>
      <c r="X38" s="267"/>
    </row>
    <row r="39" spans="4:24" ht="15" x14ac:dyDescent="0.25">
      <c r="D39" s="177" t="s">
        <v>170</v>
      </c>
      <c r="E39" s="127" t="s">
        <v>247</v>
      </c>
      <c r="F39" s="267">
        <f>SUMIFS('EV Data'!$AC:$AC,'EV Data'!$Z:$Z,'EV Forecast'!F7)</f>
        <v>144064</v>
      </c>
      <c r="G39" s="267">
        <f>SUMIFS('EV Data'!$AC:$AC,'EV Data'!$Z:$Z,'EV Forecast'!G7)</f>
        <v>135361</v>
      </c>
      <c r="H39" s="267">
        <f>SUMIFS('EV Data'!$AC:$AC,'EV Data'!$Z:$Z,'EV Forecast'!H7)</f>
        <v>144661</v>
      </c>
      <c r="I39" s="267">
        <f>SUMIFS('EV Data'!$AC:$AC,'EV Data'!$Z:$Z,'EV Forecast'!I7)</f>
        <v>127770</v>
      </c>
      <c r="J39" s="267">
        <f>SUMIFS('EV Data'!$AC:$AC,'EV Data'!$Z:$Z,'EV Forecast'!J7)</f>
        <v>117894</v>
      </c>
      <c r="K39" s="267">
        <f>SUMIFS('EV Data'!$AC:$AC,'EV Data'!$Z:$Z,'EV Forecast'!K7)</f>
        <v>122767</v>
      </c>
      <c r="L39" s="267">
        <f>SUMIFS('EV Data'!$AC:$AC,'EV Data'!$Z:$Z,'EV Forecast'!L7)</f>
        <v>127649</v>
      </c>
    </row>
    <row r="41" spans="4:24" x14ac:dyDescent="0.2">
      <c r="D41" s="127" t="s">
        <v>248</v>
      </c>
      <c r="F41" s="275">
        <f t="shared" ref="F41:K41" si="23">F28/F29</f>
        <v>3.4229828850855745E-3</v>
      </c>
      <c r="G41" s="275">
        <f t="shared" si="23"/>
        <v>6.3850101444086404E-3</v>
      </c>
      <c r="H41" s="275">
        <f t="shared" si="23"/>
        <v>6.5560335996721984E-3</v>
      </c>
      <c r="I41" s="275">
        <f t="shared" si="23"/>
        <v>6.2767475035663337E-3</v>
      </c>
      <c r="J41" s="275">
        <f t="shared" si="23"/>
        <v>6.0833417824191424E-3</v>
      </c>
      <c r="K41" s="275">
        <f t="shared" si="23"/>
        <v>7.450523864959255E-3</v>
      </c>
      <c r="L41" s="275">
        <f>L28/L29</f>
        <v>9.2350933547480432E-3</v>
      </c>
      <c r="M41" s="275">
        <f>L41</f>
        <v>9.2350933547480432E-3</v>
      </c>
      <c r="N41" s="275">
        <f>M41</f>
        <v>9.2350933547480432E-3</v>
      </c>
      <c r="O41" s="275">
        <f>N41</f>
        <v>9.2350933547480432E-3</v>
      </c>
      <c r="P41" s="275">
        <f t="shared" ref="P41:X41" si="24">O41</f>
        <v>9.2350933547480432E-3</v>
      </c>
      <c r="Q41" s="275">
        <f t="shared" si="24"/>
        <v>9.2350933547480432E-3</v>
      </c>
      <c r="R41" s="275">
        <f t="shared" si="24"/>
        <v>9.2350933547480432E-3</v>
      </c>
      <c r="S41" s="275">
        <f t="shared" si="24"/>
        <v>9.2350933547480432E-3</v>
      </c>
      <c r="T41" s="275">
        <f t="shared" si="24"/>
        <v>9.2350933547480432E-3</v>
      </c>
      <c r="U41" s="275">
        <f t="shared" si="24"/>
        <v>9.2350933547480432E-3</v>
      </c>
      <c r="V41" s="275">
        <f t="shared" si="24"/>
        <v>9.2350933547480432E-3</v>
      </c>
      <c r="W41" s="275">
        <f t="shared" si="24"/>
        <v>9.2350933547480432E-3</v>
      </c>
      <c r="X41" s="275">
        <f t="shared" si="24"/>
        <v>9.2350933547480432E-3</v>
      </c>
    </row>
    <row r="42" spans="4:24" ht="15" x14ac:dyDescent="0.25">
      <c r="D42" s="177" t="s">
        <v>249</v>
      </c>
      <c r="F42" s="303">
        <f t="shared" ref="F42:L42" si="25">F29/F35</f>
        <v>1.0206729953383443E-2</v>
      </c>
      <c r="G42" s="303">
        <f t="shared" si="25"/>
        <v>2.0985115820107543E-2</v>
      </c>
      <c r="H42" s="303">
        <f t="shared" si="25"/>
        <v>1.2262602078436938E-2</v>
      </c>
      <c r="I42" s="303">
        <f t="shared" si="25"/>
        <v>1.7506734640192066E-2</v>
      </c>
      <c r="J42" s="303">
        <f t="shared" si="25"/>
        <v>3.1454202770061904E-2</v>
      </c>
      <c r="K42" s="303">
        <f t="shared" si="25"/>
        <v>6.5030323931933073E-2</v>
      </c>
      <c r="L42" s="303">
        <f t="shared" si="25"/>
        <v>7.35712249512947E-2</v>
      </c>
      <c r="M42" s="304">
        <f>($O$42-$L$42)/3+L42</f>
        <v>0.11571414996752979</v>
      </c>
      <c r="N42" s="304">
        <f>($O$42-$L$42)/3+M42</f>
        <v>0.15785707498376489</v>
      </c>
      <c r="O42" s="304">
        <v>0.2</v>
      </c>
      <c r="P42" s="304">
        <v>0.23</v>
      </c>
      <c r="Q42" s="304">
        <v>0.34</v>
      </c>
      <c r="R42" s="304">
        <v>0.43</v>
      </c>
      <c r="S42" s="304">
        <v>0.6</v>
      </c>
      <c r="T42" s="304">
        <v>0.67999999999999994</v>
      </c>
      <c r="U42" s="304">
        <v>0.7599999999999999</v>
      </c>
      <c r="V42" s="304">
        <v>0.83999999999999986</v>
      </c>
      <c r="W42" s="304">
        <v>0.91999999999999982</v>
      </c>
      <c r="X42" s="304">
        <v>1</v>
      </c>
    </row>
    <row r="43" spans="4:24" x14ac:dyDescent="0.2">
      <c r="F43" s="303"/>
      <c r="G43" s="303"/>
      <c r="H43" s="303"/>
      <c r="I43" s="303"/>
      <c r="J43" s="303"/>
      <c r="K43" s="303"/>
      <c r="L43" s="303"/>
      <c r="M43" s="305"/>
      <c r="N43" s="305"/>
      <c r="O43" s="305"/>
    </row>
    <row r="44" spans="4:24" ht="15" x14ac:dyDescent="0.25">
      <c r="D44" s="177" t="s">
        <v>170</v>
      </c>
      <c r="E44" s="127" t="s">
        <v>250</v>
      </c>
      <c r="F44" s="303">
        <f t="shared" ref="F44:L47" si="26">F30/F$29</f>
        <v>0.75684596577017116</v>
      </c>
      <c r="G44" s="303">
        <f t="shared" si="26"/>
        <v>0.76548514142499102</v>
      </c>
      <c r="H44" s="303">
        <f t="shared" si="26"/>
        <v>0.72976849006351152</v>
      </c>
      <c r="I44" s="303">
        <f t="shared" si="26"/>
        <v>0.54198763670946271</v>
      </c>
      <c r="J44" s="303">
        <f t="shared" si="26"/>
        <v>0.40733042684781506</v>
      </c>
      <c r="K44" s="303">
        <f t="shared" si="26"/>
        <v>0.34044754882938816</v>
      </c>
      <c r="L44" s="303">
        <f t="shared" si="26"/>
        <v>0.22067857859867496</v>
      </c>
      <c r="M44" s="305">
        <f t="shared" ref="M44:X47" si="27">L44</f>
        <v>0.22067857859867496</v>
      </c>
      <c r="N44" s="305">
        <f t="shared" si="27"/>
        <v>0.22067857859867496</v>
      </c>
      <c r="O44" s="305">
        <f t="shared" si="27"/>
        <v>0.22067857859867496</v>
      </c>
      <c r="P44" s="305">
        <f t="shared" si="27"/>
        <v>0.22067857859867496</v>
      </c>
      <c r="Q44" s="305">
        <f t="shared" si="27"/>
        <v>0.22067857859867496</v>
      </c>
      <c r="R44" s="305">
        <f t="shared" si="27"/>
        <v>0.22067857859867496</v>
      </c>
      <c r="S44" s="305">
        <f t="shared" si="27"/>
        <v>0.22067857859867496</v>
      </c>
      <c r="T44" s="305">
        <f t="shared" si="27"/>
        <v>0.22067857859867496</v>
      </c>
      <c r="U44" s="305">
        <f t="shared" si="27"/>
        <v>0.22067857859867496</v>
      </c>
      <c r="V44" s="305">
        <f t="shared" si="27"/>
        <v>0.22067857859867496</v>
      </c>
      <c r="W44" s="305">
        <f t="shared" si="27"/>
        <v>0.22067857859867496</v>
      </c>
      <c r="X44" s="305">
        <f t="shared" si="27"/>
        <v>0.22067857859867496</v>
      </c>
    </row>
    <row r="45" spans="4:24" ht="15" x14ac:dyDescent="0.25">
      <c r="D45" s="177" t="s">
        <v>170</v>
      </c>
      <c r="E45" s="127" t="s">
        <v>251</v>
      </c>
      <c r="F45" s="303">
        <f t="shared" si="26"/>
        <v>0.17933985330073349</v>
      </c>
      <c r="G45" s="303">
        <f t="shared" si="26"/>
        <v>0.18230099057166727</v>
      </c>
      <c r="H45" s="303">
        <f t="shared" si="26"/>
        <v>0.26080721163695963</v>
      </c>
      <c r="I45" s="303">
        <f t="shared" si="26"/>
        <v>0.44517356157869709</v>
      </c>
      <c r="J45" s="303">
        <f t="shared" si="26"/>
        <v>0.57842441447835347</v>
      </c>
      <c r="K45" s="303">
        <f t="shared" si="26"/>
        <v>0.61898848790583361</v>
      </c>
      <c r="L45" s="303">
        <f t="shared" si="26"/>
        <v>0.72027705280064247</v>
      </c>
      <c r="M45" s="305">
        <f t="shared" si="27"/>
        <v>0.72027705280064247</v>
      </c>
      <c r="N45" s="305">
        <f t="shared" si="27"/>
        <v>0.72027705280064247</v>
      </c>
      <c r="O45" s="305">
        <f t="shared" si="27"/>
        <v>0.72027705280064247</v>
      </c>
      <c r="P45" s="305">
        <f t="shared" si="27"/>
        <v>0.72027705280064247</v>
      </c>
      <c r="Q45" s="305">
        <f t="shared" si="27"/>
        <v>0.72027705280064247</v>
      </c>
      <c r="R45" s="305">
        <f t="shared" si="27"/>
        <v>0.72027705280064247</v>
      </c>
      <c r="S45" s="305">
        <f t="shared" si="27"/>
        <v>0.72027705280064247</v>
      </c>
      <c r="T45" s="305">
        <f t="shared" si="27"/>
        <v>0.72027705280064247</v>
      </c>
      <c r="U45" s="305">
        <f t="shared" si="27"/>
        <v>0.72027705280064247</v>
      </c>
      <c r="V45" s="305">
        <f t="shared" si="27"/>
        <v>0.72027705280064247</v>
      </c>
      <c r="W45" s="305">
        <f t="shared" si="27"/>
        <v>0.72027705280064247</v>
      </c>
      <c r="X45" s="305">
        <f t="shared" si="27"/>
        <v>0.72027705280064247</v>
      </c>
    </row>
    <row r="46" spans="4:24" ht="15" x14ac:dyDescent="0.25">
      <c r="D46" s="177" t="s">
        <v>170</v>
      </c>
      <c r="E46" s="127" t="s">
        <v>252</v>
      </c>
      <c r="F46" s="303">
        <f t="shared" si="26"/>
        <v>6.3814180929095354E-2</v>
      </c>
      <c r="G46" s="303">
        <f t="shared" si="26"/>
        <v>5.2213868003341685E-2</v>
      </c>
      <c r="H46" s="303">
        <f t="shared" si="26"/>
        <v>9.4242982995287848E-3</v>
      </c>
      <c r="I46" s="303">
        <f t="shared" si="26"/>
        <v>1.2838801711840228E-2</v>
      </c>
      <c r="J46" s="303">
        <f t="shared" si="26"/>
        <v>1.4245158673831491E-2</v>
      </c>
      <c r="K46" s="303">
        <f t="shared" si="26"/>
        <v>1.7979562799120424E-2</v>
      </c>
      <c r="L46" s="303">
        <f t="shared" si="26"/>
        <v>2.2605902429231078E-2</v>
      </c>
      <c r="M46" s="305">
        <f t="shared" si="27"/>
        <v>2.2605902429231078E-2</v>
      </c>
      <c r="N46" s="305">
        <f t="shared" si="27"/>
        <v>2.2605902429231078E-2</v>
      </c>
      <c r="O46" s="305">
        <f t="shared" si="27"/>
        <v>2.2605902429231078E-2</v>
      </c>
      <c r="P46" s="305">
        <f t="shared" si="27"/>
        <v>2.2605902429231078E-2</v>
      </c>
      <c r="Q46" s="305">
        <f t="shared" si="27"/>
        <v>2.2605902429231078E-2</v>
      </c>
      <c r="R46" s="305">
        <f t="shared" si="27"/>
        <v>2.2605902429231078E-2</v>
      </c>
      <c r="S46" s="305">
        <f t="shared" si="27"/>
        <v>2.2605902429231078E-2</v>
      </c>
      <c r="T46" s="305">
        <f t="shared" si="27"/>
        <v>2.2605902429231078E-2</v>
      </c>
      <c r="U46" s="305">
        <f t="shared" si="27"/>
        <v>2.2605902429231078E-2</v>
      </c>
      <c r="V46" s="305">
        <f t="shared" si="27"/>
        <v>2.2605902429231078E-2</v>
      </c>
      <c r="W46" s="305">
        <f t="shared" si="27"/>
        <v>2.2605902429231078E-2</v>
      </c>
      <c r="X46" s="305">
        <f t="shared" si="27"/>
        <v>2.2605902429231078E-2</v>
      </c>
    </row>
    <row r="47" spans="4:24" ht="15" x14ac:dyDescent="0.25">
      <c r="D47" s="177" t="s">
        <v>170</v>
      </c>
      <c r="E47" s="127" t="s">
        <v>253</v>
      </c>
      <c r="F47" s="303">
        <f t="shared" si="26"/>
        <v>0</v>
      </c>
      <c r="G47" s="303">
        <f t="shared" si="26"/>
        <v>0</v>
      </c>
      <c r="H47" s="303">
        <f t="shared" si="26"/>
        <v>0</v>
      </c>
      <c r="I47" s="303">
        <f t="shared" si="26"/>
        <v>0</v>
      </c>
      <c r="J47" s="303">
        <f t="shared" si="26"/>
        <v>0</v>
      </c>
      <c r="K47" s="303">
        <f t="shared" si="26"/>
        <v>2.2584400465657743E-2</v>
      </c>
      <c r="L47" s="303">
        <f t="shared" si="26"/>
        <v>3.6297932142140131E-2</v>
      </c>
      <c r="M47" s="305">
        <f t="shared" si="27"/>
        <v>3.6297932142140131E-2</v>
      </c>
      <c r="N47" s="305">
        <f t="shared" si="27"/>
        <v>3.6297932142140131E-2</v>
      </c>
      <c r="O47" s="305">
        <f t="shared" si="27"/>
        <v>3.6297932142140131E-2</v>
      </c>
      <c r="P47" s="305">
        <f t="shared" si="27"/>
        <v>3.6297932142140131E-2</v>
      </c>
      <c r="Q47" s="305">
        <f t="shared" si="27"/>
        <v>3.6297932142140131E-2</v>
      </c>
      <c r="R47" s="305">
        <f t="shared" si="27"/>
        <v>3.6297932142140131E-2</v>
      </c>
      <c r="S47" s="305">
        <f t="shared" si="27"/>
        <v>3.6297932142140131E-2</v>
      </c>
      <c r="T47" s="305">
        <f t="shared" si="27"/>
        <v>3.6297932142140131E-2</v>
      </c>
      <c r="U47" s="305">
        <f t="shared" si="27"/>
        <v>3.6297932142140131E-2</v>
      </c>
      <c r="V47" s="305">
        <f t="shared" si="27"/>
        <v>3.6297932142140131E-2</v>
      </c>
      <c r="W47" s="305">
        <f t="shared" si="27"/>
        <v>3.6297932142140131E-2</v>
      </c>
      <c r="X47" s="305">
        <f t="shared" si="27"/>
        <v>3.6297932142140131E-2</v>
      </c>
    </row>
    <row r="48" spans="4:24" x14ac:dyDescent="0.2">
      <c r="F48" s="303"/>
      <c r="G48" s="303"/>
      <c r="H48" s="303"/>
      <c r="I48" s="303"/>
      <c r="J48" s="303"/>
      <c r="K48" s="303"/>
      <c r="L48" s="303"/>
    </row>
    <row r="49" spans="3:21" x14ac:dyDescent="0.2">
      <c r="F49" s="303"/>
      <c r="G49" s="303"/>
      <c r="H49" s="303"/>
      <c r="I49" s="303"/>
      <c r="J49" s="303"/>
      <c r="K49" s="303"/>
      <c r="L49" s="303"/>
    </row>
    <row r="50" spans="3:21" x14ac:dyDescent="0.2">
      <c r="F50" s="303"/>
      <c r="G50" s="303"/>
      <c r="H50" s="303"/>
      <c r="I50" s="303"/>
      <c r="J50" s="303"/>
      <c r="K50" s="303"/>
      <c r="L50" s="303"/>
    </row>
    <row r="52" spans="3:21" x14ac:dyDescent="0.2">
      <c r="C52" s="127" t="s">
        <v>254</v>
      </c>
      <c r="S52" s="306" t="s">
        <v>255</v>
      </c>
      <c r="T52" s="278" t="s">
        <v>226</v>
      </c>
      <c r="U52" s="278" t="s">
        <v>256</v>
      </c>
    </row>
    <row r="53" spans="3:21" x14ac:dyDescent="0.2">
      <c r="C53" s="467" t="s">
        <v>257</v>
      </c>
      <c r="D53" s="127" t="s">
        <v>91</v>
      </c>
      <c r="F53" s="175">
        <f>F$16*$S53+F$21*$T53+F$26*$U53</f>
        <v>43369.67475738858</v>
      </c>
      <c r="G53" s="175">
        <f t="shared" ref="G53:N55" si="28">(G$16-F$16)*$S53+(G$21-F$21)*$T53+(G$26-F$26)*$U53</f>
        <v>210584.89212804061</v>
      </c>
      <c r="H53" s="175">
        <f t="shared" si="28"/>
        <v>270499.55263618933</v>
      </c>
      <c r="I53" s="175">
        <f t="shared" si="28"/>
        <v>209527.39826936618</v>
      </c>
      <c r="J53" s="175">
        <f>(J$16-I$16)*$S53+(J$21-I$21)*$T53+(J$26-I$26)*$U53</f>
        <v>299210.89203987987</v>
      </c>
      <c r="K53" s="175">
        <f>(K$16-J$16)*$S53+(K$21-J$21)*$T53+(K$26-J$26)*$U53</f>
        <v>652546.60877218214</v>
      </c>
      <c r="L53" s="175">
        <f>(L$16-K$16)*$S53+(L$21-K$21)*$T53+(L$26-K$26)*$U53</f>
        <v>1188791.2821537789</v>
      </c>
      <c r="M53" s="175">
        <f>(M$16-L$16)*$S53+(M$21-L$21)*$T53+(M$26-L$26)*$U53</f>
        <v>1913899.9788341271</v>
      </c>
      <c r="N53" s="175">
        <f>(N$16-M$16)*$S53+(N$21-M$21)*$T53+(N$26-M$26)*$U53</f>
        <v>2800836.4076360385</v>
      </c>
      <c r="O53" s="175"/>
      <c r="P53" s="175"/>
      <c r="Q53" s="175"/>
      <c r="R53" s="278" t="s">
        <v>91</v>
      </c>
      <c r="S53" s="303">
        <v>0.7</v>
      </c>
      <c r="T53" s="303">
        <v>0.2</v>
      </c>
      <c r="U53" s="303">
        <v>0.33333333333333337</v>
      </c>
    </row>
    <row r="54" spans="3:21" x14ac:dyDescent="0.2">
      <c r="C54" s="467"/>
      <c r="D54" s="127" t="s">
        <v>131</v>
      </c>
      <c r="F54" s="175">
        <f>F$16*$S54+F$21*$T54+F$26*$U54</f>
        <v>11057.069508710963</v>
      </c>
      <c r="G54" s="175">
        <f t="shared" si="28"/>
        <v>52403.153283091196</v>
      </c>
      <c r="H54" s="175">
        <f t="shared" si="28"/>
        <v>64073.755092612526</v>
      </c>
      <c r="I54" s="175">
        <f t="shared" si="28"/>
        <v>46330.386742377304</v>
      </c>
      <c r="J54" s="175">
        <f t="shared" si="28"/>
        <v>66640.160207693931</v>
      </c>
      <c r="K54" s="175">
        <f t="shared" si="28"/>
        <v>153158.10626677485</v>
      </c>
      <c r="L54" s="175">
        <f t="shared" si="28"/>
        <v>293403.67256156571</v>
      </c>
      <c r="M54" s="175">
        <f t="shared" si="28"/>
        <v>481046.81400893128</v>
      </c>
      <c r="N54" s="175">
        <f t="shared" si="28"/>
        <v>703972.74954476964</v>
      </c>
      <c r="O54" s="175"/>
      <c r="P54" s="175"/>
      <c r="Q54" s="175"/>
      <c r="R54" s="278" t="s">
        <v>131</v>
      </c>
      <c r="S54" s="303">
        <v>0.15</v>
      </c>
      <c r="T54" s="303">
        <v>0.5</v>
      </c>
      <c r="U54" s="303">
        <v>0.33333333333333337</v>
      </c>
    </row>
    <row r="55" spans="3:21" x14ac:dyDescent="0.2">
      <c r="C55" s="467"/>
      <c r="D55" s="127" t="s">
        <v>132</v>
      </c>
      <c r="F55" s="175">
        <f>F$16*$S55+F$21*$T55+F$26*$U55</f>
        <v>10285.508607155098</v>
      </c>
      <c r="G55" s="175">
        <f t="shared" si="28"/>
        <v>49219.107358742607</v>
      </c>
      <c r="H55" s="175">
        <f t="shared" si="28"/>
        <v>61400.82029923729</v>
      </c>
      <c r="I55" s="175">
        <f t="shared" si="28"/>
        <v>45704.036130340312</v>
      </c>
      <c r="J55" s="175">
        <f t="shared" si="28"/>
        <v>65536.111245566572</v>
      </c>
      <c r="K55" s="175">
        <f t="shared" si="28"/>
        <v>150183.9849353458</v>
      </c>
      <c r="L55" s="175">
        <f t="shared" si="28"/>
        <v>286677.40654495958</v>
      </c>
      <c r="M55" s="175">
        <f t="shared" si="28"/>
        <v>469261.5370456556</v>
      </c>
      <c r="N55" s="175">
        <f t="shared" si="28"/>
        <v>686725.95861637197</v>
      </c>
      <c r="O55" s="175"/>
      <c r="P55" s="175"/>
      <c r="Q55" s="175"/>
      <c r="R55" s="278" t="s">
        <v>132</v>
      </c>
      <c r="S55" s="303">
        <v>0.15</v>
      </c>
      <c r="T55" s="303">
        <v>0.3</v>
      </c>
      <c r="U55" s="303">
        <v>0.33333333333333298</v>
      </c>
    </row>
    <row r="56" spans="3:21" ht="15" x14ac:dyDescent="0.25">
      <c r="K56" s="307">
        <f>SUM(K53:K55)</f>
        <v>955888.69997430278</v>
      </c>
      <c r="L56" s="307">
        <f>SUM(L53:L55)</f>
        <v>1768872.3612603042</v>
      </c>
      <c r="M56" s="307">
        <f>SUM(M53:M55)</f>
        <v>2864208.329888714</v>
      </c>
      <c r="N56" s="307">
        <f>SUM(N53:N55)</f>
        <v>4191535.1157971798</v>
      </c>
      <c r="O56" s="175"/>
    </row>
    <row r="58" spans="3:21" x14ac:dyDescent="0.2">
      <c r="C58" s="127" t="s">
        <v>258</v>
      </c>
    </row>
    <row r="59" spans="3:21" x14ac:dyDescent="0.2">
      <c r="D59" s="127" t="s">
        <v>259</v>
      </c>
      <c r="F59" s="308">
        <v>0.2</v>
      </c>
      <c r="G59" s="308">
        <f>F59</f>
        <v>0.2</v>
      </c>
      <c r="H59" s="308">
        <f t="shared" ref="H59:N59" si="29">G59</f>
        <v>0.2</v>
      </c>
      <c r="I59" s="308">
        <f t="shared" si="29"/>
        <v>0.2</v>
      </c>
      <c r="J59" s="308">
        <f t="shared" si="29"/>
        <v>0.2</v>
      </c>
      <c r="K59" s="308">
        <f t="shared" si="29"/>
        <v>0.2</v>
      </c>
      <c r="L59" s="308">
        <f t="shared" si="29"/>
        <v>0.2</v>
      </c>
      <c r="M59" s="308">
        <f t="shared" si="29"/>
        <v>0.2</v>
      </c>
      <c r="N59" s="308">
        <f t="shared" si="29"/>
        <v>0.2</v>
      </c>
    </row>
    <row r="60" spans="3:21" x14ac:dyDescent="0.2">
      <c r="D60" s="127" t="s">
        <v>132</v>
      </c>
      <c r="F60" s="298">
        <f>((F55/F59)/8760)*12</f>
        <v>70.448689090103414</v>
      </c>
      <c r="G60" s="298">
        <f t="shared" ref="G60:N60" si="30">G55/G59/8760*12</f>
        <v>337.11717369001781</v>
      </c>
      <c r="H60" s="298">
        <f t="shared" si="30"/>
        <v>420.55356369340609</v>
      </c>
      <c r="I60" s="298">
        <f t="shared" si="30"/>
        <v>313.04134335849528</v>
      </c>
      <c r="J60" s="298">
        <f t="shared" si="30"/>
        <v>448.87747428470254</v>
      </c>
      <c r="K60" s="298">
        <f t="shared" si="30"/>
        <v>1028.6574310640121</v>
      </c>
      <c r="L60" s="175">
        <f t="shared" si="30"/>
        <v>1963.5438804449286</v>
      </c>
      <c r="M60" s="175">
        <f t="shared" si="30"/>
        <v>3214.1201167510658</v>
      </c>
      <c r="N60" s="175">
        <f t="shared" si="30"/>
        <v>4703.6024562765197</v>
      </c>
    </row>
    <row r="62" spans="3:21" x14ac:dyDescent="0.2">
      <c r="F62" s="298"/>
    </row>
    <row r="64" spans="3:21" x14ac:dyDescent="0.2">
      <c r="E64" s="309"/>
      <c r="F64" s="277">
        <f t="shared" ref="F64:L64" si="31">F79</f>
        <v>2017</v>
      </c>
      <c r="G64" s="277">
        <f t="shared" si="31"/>
        <v>2018</v>
      </c>
      <c r="H64" s="277">
        <f t="shared" si="31"/>
        <v>2019</v>
      </c>
      <c r="I64" s="277">
        <f t="shared" si="31"/>
        <v>2020</v>
      </c>
      <c r="J64" s="277">
        <f t="shared" si="31"/>
        <v>2021</v>
      </c>
      <c r="K64" s="277">
        <f t="shared" si="31"/>
        <v>2022</v>
      </c>
      <c r="L64" s="277">
        <f t="shared" si="31"/>
        <v>2023</v>
      </c>
      <c r="M64" s="310"/>
    </row>
    <row r="65" spans="5:13" x14ac:dyDescent="0.2">
      <c r="E65" s="152" t="s">
        <v>260</v>
      </c>
      <c r="F65" s="152">
        <f t="shared" ref="F65:L66" si="32">F28</f>
        <v>28</v>
      </c>
      <c r="G65" s="127">
        <f t="shared" si="32"/>
        <v>107</v>
      </c>
      <c r="H65" s="127">
        <f t="shared" si="32"/>
        <v>64</v>
      </c>
      <c r="I65" s="127">
        <f t="shared" si="32"/>
        <v>66</v>
      </c>
      <c r="J65" s="127">
        <f t="shared" si="32"/>
        <v>120</v>
      </c>
      <c r="K65" s="127">
        <f t="shared" si="32"/>
        <v>288</v>
      </c>
      <c r="L65" s="170">
        <f t="shared" si="32"/>
        <v>460</v>
      </c>
      <c r="M65" s="170" t="s">
        <v>261</v>
      </c>
    </row>
    <row r="66" spans="5:13" x14ac:dyDescent="0.2">
      <c r="E66" s="152" t="s">
        <v>262</v>
      </c>
      <c r="F66" s="311">
        <f t="shared" si="32"/>
        <v>8180</v>
      </c>
      <c r="G66" s="175">
        <f t="shared" si="32"/>
        <v>16758</v>
      </c>
      <c r="H66" s="175">
        <f t="shared" si="32"/>
        <v>9762</v>
      </c>
      <c r="I66" s="175">
        <f t="shared" si="32"/>
        <v>10515</v>
      </c>
      <c r="J66" s="175">
        <f t="shared" si="32"/>
        <v>19726</v>
      </c>
      <c r="K66" s="175">
        <f t="shared" si="32"/>
        <v>38655</v>
      </c>
      <c r="L66" s="176">
        <f t="shared" si="32"/>
        <v>49810</v>
      </c>
      <c r="M66" s="170" t="s">
        <v>263</v>
      </c>
    </row>
    <row r="67" spans="5:13" x14ac:dyDescent="0.2">
      <c r="E67" s="309" t="s">
        <v>248</v>
      </c>
      <c r="F67" s="312">
        <f t="shared" ref="F67:L67" si="33">F41</f>
        <v>3.4229828850855745E-3</v>
      </c>
      <c r="G67" s="312">
        <f t="shared" si="33"/>
        <v>6.3850101444086404E-3</v>
      </c>
      <c r="H67" s="312">
        <f t="shared" si="33"/>
        <v>6.5560335996721984E-3</v>
      </c>
      <c r="I67" s="312">
        <f t="shared" si="33"/>
        <v>6.2767475035663337E-3</v>
      </c>
      <c r="J67" s="312">
        <f t="shared" si="33"/>
        <v>6.0833417824191424E-3</v>
      </c>
      <c r="K67" s="312">
        <f t="shared" si="33"/>
        <v>7.450523864959255E-3</v>
      </c>
      <c r="L67" s="312">
        <f t="shared" si="33"/>
        <v>9.2350933547480432E-3</v>
      </c>
      <c r="M67" s="170" t="s">
        <v>264</v>
      </c>
    </row>
    <row r="68" spans="5:13" x14ac:dyDescent="0.2">
      <c r="E68" s="152" t="s">
        <v>265</v>
      </c>
      <c r="F68" s="311">
        <f>F30</f>
        <v>6191</v>
      </c>
      <c r="G68" s="175">
        <f t="shared" ref="G68:L68" si="34">G30</f>
        <v>12828</v>
      </c>
      <c r="H68" s="175">
        <f t="shared" si="34"/>
        <v>7124</v>
      </c>
      <c r="I68" s="175">
        <f t="shared" si="34"/>
        <v>5699</v>
      </c>
      <c r="J68" s="175">
        <f t="shared" si="34"/>
        <v>8035</v>
      </c>
      <c r="K68" s="175">
        <f t="shared" si="34"/>
        <v>13160</v>
      </c>
      <c r="L68" s="176">
        <f t="shared" si="34"/>
        <v>10992</v>
      </c>
      <c r="M68" s="170" t="s">
        <v>266</v>
      </c>
    </row>
    <row r="69" spans="5:13" x14ac:dyDescent="0.2">
      <c r="E69" s="152" t="s">
        <v>267</v>
      </c>
      <c r="F69" s="311">
        <f t="shared" ref="F69:L71" si="35">F31</f>
        <v>1467</v>
      </c>
      <c r="G69" s="175">
        <f t="shared" si="35"/>
        <v>3055</v>
      </c>
      <c r="H69" s="175">
        <f t="shared" si="35"/>
        <v>2546</v>
      </c>
      <c r="I69" s="175">
        <f t="shared" si="35"/>
        <v>4681</v>
      </c>
      <c r="J69" s="175">
        <f t="shared" si="35"/>
        <v>11410</v>
      </c>
      <c r="K69" s="175">
        <f t="shared" si="35"/>
        <v>23927</v>
      </c>
      <c r="L69" s="176">
        <f t="shared" si="35"/>
        <v>35877</v>
      </c>
      <c r="M69" s="170" t="s">
        <v>268</v>
      </c>
    </row>
    <row r="70" spans="5:13" x14ac:dyDescent="0.2">
      <c r="E70" s="152" t="s">
        <v>269</v>
      </c>
      <c r="F70" s="311">
        <f t="shared" si="35"/>
        <v>522</v>
      </c>
      <c r="G70" s="175">
        <f t="shared" si="35"/>
        <v>875</v>
      </c>
      <c r="H70" s="175">
        <f t="shared" si="35"/>
        <v>92</v>
      </c>
      <c r="I70" s="175">
        <f t="shared" si="35"/>
        <v>135</v>
      </c>
      <c r="J70" s="175">
        <f t="shared" si="35"/>
        <v>281</v>
      </c>
      <c r="K70" s="175">
        <f t="shared" si="35"/>
        <v>695</v>
      </c>
      <c r="L70" s="176">
        <f t="shared" si="35"/>
        <v>1126</v>
      </c>
      <c r="M70" s="170" t="s">
        <v>270</v>
      </c>
    </row>
    <row r="71" spans="5:13" x14ac:dyDescent="0.2">
      <c r="E71" s="183" t="s">
        <v>271</v>
      </c>
      <c r="F71" s="313">
        <f t="shared" si="35"/>
        <v>0</v>
      </c>
      <c r="G71" s="200">
        <f t="shared" si="35"/>
        <v>0</v>
      </c>
      <c r="H71" s="200">
        <f t="shared" si="35"/>
        <v>0</v>
      </c>
      <c r="I71" s="200">
        <f t="shared" si="35"/>
        <v>0</v>
      </c>
      <c r="J71" s="200">
        <f t="shared" si="35"/>
        <v>0</v>
      </c>
      <c r="K71" s="200">
        <f t="shared" si="35"/>
        <v>873</v>
      </c>
      <c r="L71" s="314">
        <f t="shared" si="35"/>
        <v>1808</v>
      </c>
      <c r="M71" s="170" t="s">
        <v>272</v>
      </c>
    </row>
    <row r="72" spans="5:13" x14ac:dyDescent="0.2">
      <c r="E72" s="148" t="str">
        <f>E44</f>
        <v>Passenger EV as % of EV</v>
      </c>
      <c r="F72" s="315">
        <f t="shared" ref="F72:L75" si="36">F44</f>
        <v>0.75684596577017116</v>
      </c>
      <c r="G72" s="316">
        <f t="shared" si="36"/>
        <v>0.76548514142499102</v>
      </c>
      <c r="H72" s="316">
        <f t="shared" si="36"/>
        <v>0.72976849006351152</v>
      </c>
      <c r="I72" s="316">
        <f t="shared" si="36"/>
        <v>0.54198763670946271</v>
      </c>
      <c r="J72" s="316">
        <f t="shared" si="36"/>
        <v>0.40733042684781506</v>
      </c>
      <c r="K72" s="316">
        <f t="shared" si="36"/>
        <v>0.34044754882938816</v>
      </c>
      <c r="L72" s="317">
        <f t="shared" si="36"/>
        <v>0.22067857859867496</v>
      </c>
      <c r="M72" s="170" t="s">
        <v>273</v>
      </c>
    </row>
    <row r="73" spans="5:13" x14ac:dyDescent="0.2">
      <c r="E73" s="152" t="str">
        <f t="shared" ref="E73:H75" si="37">E45</f>
        <v>Multi-Purpose EV as % of EV</v>
      </c>
      <c r="F73" s="318">
        <f t="shared" si="37"/>
        <v>0.17933985330073349</v>
      </c>
      <c r="G73" s="270">
        <f t="shared" si="37"/>
        <v>0.18230099057166727</v>
      </c>
      <c r="H73" s="270">
        <f t="shared" si="37"/>
        <v>0.26080721163695963</v>
      </c>
      <c r="I73" s="270">
        <f t="shared" si="36"/>
        <v>0.44517356157869709</v>
      </c>
      <c r="J73" s="270">
        <f t="shared" si="36"/>
        <v>0.57842441447835347</v>
      </c>
      <c r="K73" s="270">
        <f t="shared" si="36"/>
        <v>0.61898848790583361</v>
      </c>
      <c r="L73" s="271">
        <f t="shared" si="36"/>
        <v>0.72027705280064247</v>
      </c>
      <c r="M73" s="170" t="s">
        <v>274</v>
      </c>
    </row>
    <row r="74" spans="5:13" x14ac:dyDescent="0.2">
      <c r="E74" s="152" t="str">
        <f t="shared" si="37"/>
        <v>Van EV as % of EV</v>
      </c>
      <c r="F74" s="318">
        <f t="shared" si="37"/>
        <v>6.3814180929095354E-2</v>
      </c>
      <c r="G74" s="270">
        <f t="shared" si="37"/>
        <v>5.2213868003341685E-2</v>
      </c>
      <c r="H74" s="270">
        <f t="shared" si="37"/>
        <v>9.4242982995287848E-3</v>
      </c>
      <c r="I74" s="270">
        <f t="shared" si="36"/>
        <v>1.2838801711840228E-2</v>
      </c>
      <c r="J74" s="270">
        <f t="shared" si="36"/>
        <v>1.4245158673831491E-2</v>
      </c>
      <c r="K74" s="270">
        <f t="shared" si="36"/>
        <v>1.7979562799120424E-2</v>
      </c>
      <c r="L74" s="271">
        <f t="shared" si="36"/>
        <v>2.2605902429231078E-2</v>
      </c>
      <c r="M74" s="170" t="s">
        <v>275</v>
      </c>
    </row>
    <row r="75" spans="5:13" x14ac:dyDescent="0.2">
      <c r="E75" s="183" t="str">
        <f t="shared" si="37"/>
        <v>Pickup Truck EV as % of EV</v>
      </c>
      <c r="F75" s="319">
        <f t="shared" si="37"/>
        <v>0</v>
      </c>
      <c r="G75" s="272">
        <f t="shared" si="37"/>
        <v>0</v>
      </c>
      <c r="H75" s="272">
        <f t="shared" si="37"/>
        <v>0</v>
      </c>
      <c r="I75" s="272">
        <f t="shared" si="36"/>
        <v>0</v>
      </c>
      <c r="J75" s="272">
        <f t="shared" si="36"/>
        <v>0</v>
      </c>
      <c r="K75" s="272">
        <f t="shared" si="36"/>
        <v>2.2584400465657743E-2</v>
      </c>
      <c r="L75" s="273">
        <f t="shared" si="36"/>
        <v>3.6297932142140131E-2</v>
      </c>
      <c r="M75" s="197" t="s">
        <v>276</v>
      </c>
    </row>
    <row r="79" spans="5:13" x14ac:dyDescent="0.2">
      <c r="E79" s="320"/>
      <c r="F79" s="277">
        <f t="shared" ref="F79:L79" si="38">F7</f>
        <v>2017</v>
      </c>
      <c r="G79" s="277">
        <f t="shared" si="38"/>
        <v>2018</v>
      </c>
      <c r="H79" s="277">
        <f t="shared" si="38"/>
        <v>2019</v>
      </c>
      <c r="I79" s="277">
        <f t="shared" si="38"/>
        <v>2020</v>
      </c>
      <c r="J79" s="277">
        <f t="shared" si="38"/>
        <v>2021</v>
      </c>
      <c r="K79" s="277">
        <f t="shared" si="38"/>
        <v>2022</v>
      </c>
      <c r="L79" s="277">
        <f t="shared" si="38"/>
        <v>2023</v>
      </c>
    </row>
    <row r="80" spans="5:13" ht="15" x14ac:dyDescent="0.25">
      <c r="E80" s="468" t="s">
        <v>277</v>
      </c>
      <c r="F80" s="469"/>
      <c r="G80" s="469"/>
      <c r="H80" s="469"/>
      <c r="I80" s="469"/>
      <c r="J80" s="469"/>
      <c r="K80" s="469"/>
      <c r="L80" s="469"/>
      <c r="M80" s="469"/>
    </row>
    <row r="81" spans="5:13" ht="15" x14ac:dyDescent="0.25">
      <c r="E81" s="321" t="s">
        <v>97</v>
      </c>
      <c r="F81" s="322">
        <f t="shared" ref="F81:L81" si="39">F9</f>
        <v>28</v>
      </c>
      <c r="G81" s="322">
        <f t="shared" si="39"/>
        <v>107</v>
      </c>
      <c r="H81" s="322">
        <f t="shared" si="39"/>
        <v>64</v>
      </c>
      <c r="I81" s="322">
        <f t="shared" si="39"/>
        <v>66</v>
      </c>
      <c r="J81" s="322">
        <f t="shared" si="39"/>
        <v>120</v>
      </c>
      <c r="K81" s="322">
        <f t="shared" si="39"/>
        <v>288</v>
      </c>
      <c r="L81" s="322">
        <f t="shared" si="39"/>
        <v>460</v>
      </c>
      <c r="M81" s="127" t="s">
        <v>278</v>
      </c>
    </row>
    <row r="82" spans="5:13" x14ac:dyDescent="0.2">
      <c r="E82" s="277" t="s">
        <v>279</v>
      </c>
      <c r="F82" s="320">
        <f t="shared" ref="F82:L82" si="40">F12</f>
        <v>26.213202933985333</v>
      </c>
      <c r="G82" s="320">
        <f t="shared" si="40"/>
        <v>101.41311612364244</v>
      </c>
      <c r="H82" s="320">
        <f t="shared" si="40"/>
        <v>63.396844908830154</v>
      </c>
      <c r="I82" s="320">
        <f t="shared" si="40"/>
        <v>65.152639087018557</v>
      </c>
      <c r="J82" s="320">
        <f t="shared" si="40"/>
        <v>118.29058095914023</v>
      </c>
      <c r="K82" s="320">
        <f t="shared" si="40"/>
        <v>276.31757857974384</v>
      </c>
      <c r="L82" s="320">
        <f t="shared" si="40"/>
        <v>432.83959044368606</v>
      </c>
      <c r="M82" s="127" t="s">
        <v>280</v>
      </c>
    </row>
    <row r="83" spans="5:13" x14ac:dyDescent="0.2">
      <c r="E83" s="277" t="s">
        <v>236</v>
      </c>
      <c r="F83" s="320">
        <f>F17</f>
        <v>1.7867970660146699</v>
      </c>
      <c r="G83" s="320">
        <f t="shared" ref="G83:L83" si="41">G17</f>
        <v>5.5868838763575601</v>
      </c>
      <c r="H83" s="320">
        <f t="shared" si="41"/>
        <v>0.60315509116984223</v>
      </c>
      <c r="I83" s="320">
        <f t="shared" si="41"/>
        <v>0.84736091298145499</v>
      </c>
      <c r="J83" s="320">
        <f t="shared" si="41"/>
        <v>1.7094190408597789</v>
      </c>
      <c r="K83" s="323">
        <f t="shared" si="41"/>
        <v>5.1781140861466817</v>
      </c>
      <c r="L83" s="323">
        <f t="shared" si="41"/>
        <v>10.398715117446296</v>
      </c>
      <c r="M83" s="127" t="s">
        <v>281</v>
      </c>
    </row>
    <row r="84" spans="5:13" x14ac:dyDescent="0.2">
      <c r="E84" s="277" t="s">
        <v>282</v>
      </c>
      <c r="F84" s="324">
        <f>F22</f>
        <v>0</v>
      </c>
      <c r="G84" s="324">
        <f t="shared" ref="G84:L84" si="42">G22</f>
        <v>0</v>
      </c>
      <c r="H84" s="324">
        <f t="shared" si="42"/>
        <v>0</v>
      </c>
      <c r="I84" s="324">
        <f t="shared" si="42"/>
        <v>0</v>
      </c>
      <c r="J84" s="324">
        <f t="shared" si="42"/>
        <v>0</v>
      </c>
      <c r="K84" s="323">
        <f t="shared" si="42"/>
        <v>6.5043073341094297</v>
      </c>
      <c r="L84" s="323">
        <f t="shared" si="42"/>
        <v>16.69704878538446</v>
      </c>
      <c r="M84" s="127" t="s">
        <v>283</v>
      </c>
    </row>
    <row r="86" spans="5:13" x14ac:dyDescent="0.2">
      <c r="E86" s="320"/>
      <c r="F86" s="325">
        <f>L7</f>
        <v>2023</v>
      </c>
      <c r="G86" s="277">
        <f>M7</f>
        <v>2024</v>
      </c>
      <c r="H86" s="277">
        <f>N7</f>
        <v>2025</v>
      </c>
      <c r="I86" s="325">
        <f>O7</f>
        <v>2026</v>
      </c>
      <c r="K86" s="127" t="s">
        <v>284</v>
      </c>
    </row>
    <row r="87" spans="5:13" x14ac:dyDescent="0.2">
      <c r="E87" s="320" t="s">
        <v>285</v>
      </c>
      <c r="F87" s="326">
        <f>L35</f>
        <v>677031</v>
      </c>
      <c r="G87" s="326">
        <f>M35</f>
        <v>699326.14285714284</v>
      </c>
      <c r="H87" s="326">
        <f>N35</f>
        <v>699326.14285714284</v>
      </c>
      <c r="I87" s="326">
        <f>O35</f>
        <v>699326.14285714284</v>
      </c>
      <c r="J87" s="127" t="s">
        <v>286</v>
      </c>
      <c r="K87" s="127" t="s">
        <v>287</v>
      </c>
    </row>
    <row r="88" spans="5:13" x14ac:dyDescent="0.2">
      <c r="E88" s="320" t="s">
        <v>288</v>
      </c>
      <c r="F88" s="327">
        <f>L42</f>
        <v>7.35712249512947E-2</v>
      </c>
      <c r="G88" s="328">
        <f>M42</f>
        <v>0.11571414996752979</v>
      </c>
      <c r="H88" s="328">
        <f>N42</f>
        <v>0.15785707498376489</v>
      </c>
      <c r="I88" s="327">
        <f>O42</f>
        <v>0.2</v>
      </c>
      <c r="J88" s="127" t="s">
        <v>289</v>
      </c>
      <c r="K88" s="127" t="s">
        <v>290</v>
      </c>
    </row>
    <row r="89" spans="5:13" x14ac:dyDescent="0.2">
      <c r="E89" s="320" t="str">
        <f>D41</f>
        <v>GSH % of ON EVs</v>
      </c>
      <c r="F89" s="329">
        <f>L41</f>
        <v>9.2350933547480432E-3</v>
      </c>
      <c r="G89" s="312">
        <f>M41</f>
        <v>9.2350933547480432E-3</v>
      </c>
      <c r="H89" s="312">
        <f>N41</f>
        <v>9.2350933547480432E-3</v>
      </c>
      <c r="I89" s="329">
        <f>O41</f>
        <v>9.2350933547480432E-3</v>
      </c>
      <c r="J89" s="127" t="s">
        <v>291</v>
      </c>
      <c r="K89" s="127" t="s">
        <v>292</v>
      </c>
    </row>
    <row r="90" spans="5:13" x14ac:dyDescent="0.2">
      <c r="E90" s="277" t="s">
        <v>293</v>
      </c>
      <c r="F90" s="330">
        <f>F87*F88*F89</f>
        <v>460.00000000000006</v>
      </c>
      <c r="G90" s="330">
        <f>G87*G88*G89</f>
        <v>747.32157957360721</v>
      </c>
      <c r="H90" s="330">
        <f>H87*H88*H89</f>
        <v>1019.4950112569616</v>
      </c>
      <c r="I90" s="330">
        <f>I87*I88*I89</f>
        <v>1291.668442940316</v>
      </c>
      <c r="J90" s="127" t="s">
        <v>294</v>
      </c>
      <c r="K90" s="127" t="s">
        <v>295</v>
      </c>
    </row>
    <row r="91" spans="5:13" x14ac:dyDescent="0.2">
      <c r="E91" s="277" t="s">
        <v>279</v>
      </c>
      <c r="F91" s="331">
        <f>F95*($L$72+$L$73)</f>
        <v>432.77876175199555</v>
      </c>
      <c r="G91" s="331">
        <f>G90*($L$72+$L$73)</f>
        <v>703.19644876601888</v>
      </c>
      <c r="H91" s="331">
        <f t="shared" ref="H91:I91" si="43">H90*($L$72+$L$73)</f>
        <v>959.2995720257486</v>
      </c>
      <c r="I91" s="331">
        <f t="shared" si="43"/>
        <v>1215.4026952854783</v>
      </c>
      <c r="J91" s="127" t="s">
        <v>296</v>
      </c>
      <c r="K91" s="127" t="s">
        <v>297</v>
      </c>
    </row>
    <row r="92" spans="5:13" x14ac:dyDescent="0.2">
      <c r="E92" s="277" t="s">
        <v>236</v>
      </c>
      <c r="F92" s="331">
        <f>F95*($L$74)</f>
        <v>10.397253744111181</v>
      </c>
      <c r="G92" s="331">
        <f>G90*($L$74)</f>
        <v>16.893878711099813</v>
      </c>
      <c r="H92" s="331">
        <f t="shared" ref="H92:I92" si="44">H90*($L$74)</f>
        <v>23.046604751562715</v>
      </c>
      <c r="I92" s="331">
        <f t="shared" si="44"/>
        <v>29.199330792025613</v>
      </c>
      <c r="J92" s="127" t="s">
        <v>298</v>
      </c>
      <c r="K92" s="127" t="s">
        <v>297</v>
      </c>
    </row>
    <row r="93" spans="5:13" x14ac:dyDescent="0.2">
      <c r="E93" s="277" t="s">
        <v>299</v>
      </c>
      <c r="F93" s="331">
        <f>F95*$L$75</f>
        <v>16.694702281841042</v>
      </c>
      <c r="G93" s="331">
        <f>G90*$L$75</f>
        <v>27.126227983719772</v>
      </c>
      <c r="H93" s="331">
        <f t="shared" ref="H93:I93" si="45">H90*$L$75</f>
        <v>37.005560737855582</v>
      </c>
      <c r="I93" s="331">
        <f t="shared" si="45"/>
        <v>46.884893491991392</v>
      </c>
      <c r="J93" s="127" t="s">
        <v>300</v>
      </c>
      <c r="K93" s="127" t="s">
        <v>297</v>
      </c>
    </row>
    <row r="95" spans="5:13" ht="15" x14ac:dyDescent="0.25">
      <c r="E95" s="277" t="s">
        <v>293</v>
      </c>
      <c r="F95" s="332">
        <f>SUM(F96:F98)</f>
        <v>459.93535434651682</v>
      </c>
      <c r="G95" s="322">
        <f>SUM(G96:G98)</f>
        <v>747.21655546083832</v>
      </c>
      <c r="H95" s="322">
        <f>SUM(H96:H98)</f>
        <v>1019.351737515167</v>
      </c>
      <c r="I95" s="332">
        <f>SUM(I96:I98)</f>
        <v>1291.4869195694953</v>
      </c>
    </row>
    <row r="96" spans="5:13" x14ac:dyDescent="0.2">
      <c r="E96" s="277" t="s">
        <v>279</v>
      </c>
      <c r="F96" s="326">
        <f>L12</f>
        <v>432.83959044368606</v>
      </c>
      <c r="G96" s="320">
        <f>M12</f>
        <v>703.19644876601876</v>
      </c>
      <c r="H96" s="320">
        <f>N12</f>
        <v>959.2995720257486</v>
      </c>
      <c r="I96" s="326">
        <f>O12</f>
        <v>1215.4026952854783</v>
      </c>
    </row>
    <row r="97" spans="5:12" x14ac:dyDescent="0.2">
      <c r="E97" s="277" t="s">
        <v>236</v>
      </c>
      <c r="F97" s="333">
        <f>L17</f>
        <v>10.398715117446296</v>
      </c>
      <c r="G97" s="333">
        <f>M17</f>
        <v>16.893878711099816</v>
      </c>
      <c r="H97" s="333">
        <f>N17</f>
        <v>23.046604751562718</v>
      </c>
      <c r="I97" s="333">
        <f>O17</f>
        <v>29.19933079202562</v>
      </c>
    </row>
    <row r="98" spans="5:12" x14ac:dyDescent="0.2">
      <c r="E98" s="277" t="s">
        <v>299</v>
      </c>
      <c r="F98" s="333">
        <f>L22</f>
        <v>16.69704878538446</v>
      </c>
      <c r="G98" s="333">
        <f>M22</f>
        <v>27.126227983719772</v>
      </c>
      <c r="H98" s="333">
        <f>N22</f>
        <v>37.005560737855582</v>
      </c>
      <c r="I98" s="333">
        <f>O22</f>
        <v>46.884893491991399</v>
      </c>
    </row>
    <row r="101" spans="5:12" x14ac:dyDescent="0.2">
      <c r="F101" s="127">
        <v>2023</v>
      </c>
      <c r="G101" s="127">
        <v>2024</v>
      </c>
      <c r="H101" s="127">
        <v>2025</v>
      </c>
      <c r="I101" s="127">
        <v>2026</v>
      </c>
    </row>
    <row r="102" spans="5:12" x14ac:dyDescent="0.2">
      <c r="E102" s="127" t="str">
        <f>E91</f>
        <v>Passenger &amp; Multi-Purpose EVs</v>
      </c>
      <c r="F102" s="175">
        <f t="shared" ref="F102:I103" si="46">L12</f>
        <v>432.83959044368606</v>
      </c>
      <c r="G102" s="175">
        <f t="shared" si="46"/>
        <v>703.19644876601876</v>
      </c>
      <c r="H102" s="175">
        <f t="shared" si="46"/>
        <v>959.2995720257486</v>
      </c>
      <c r="I102" s="175">
        <f t="shared" si="46"/>
        <v>1215.4026952854783</v>
      </c>
      <c r="J102" s="127" t="s">
        <v>261</v>
      </c>
    </row>
    <row r="103" spans="5:12" x14ac:dyDescent="0.2">
      <c r="E103" s="127" t="s">
        <v>301</v>
      </c>
      <c r="F103" s="175">
        <f t="shared" si="46"/>
        <v>1083.6235530360466</v>
      </c>
      <c r="G103" s="175">
        <f t="shared" si="46"/>
        <v>1786.8200018020652</v>
      </c>
      <c r="H103" s="175">
        <f t="shared" si="46"/>
        <v>2746.1195738278138</v>
      </c>
      <c r="I103" s="175">
        <f t="shared" si="46"/>
        <v>3961.5222691132922</v>
      </c>
      <c r="J103" s="127" t="s">
        <v>263</v>
      </c>
      <c r="K103" s="284"/>
    </row>
    <row r="104" spans="5:12" x14ac:dyDescent="0.2">
      <c r="E104" s="127" t="s">
        <v>302</v>
      </c>
      <c r="F104" s="175">
        <f>L16</f>
        <v>4026459.9816476693</v>
      </c>
      <c r="G104" s="175">
        <f>M16</f>
        <v>6663789.2185024135</v>
      </c>
      <c r="H104" s="175">
        <f>N16</f>
        <v>10523305.299382169</v>
      </c>
      <c r="I104" s="175">
        <f>O16</f>
        <v>15571917.907679429</v>
      </c>
      <c r="J104" s="284" t="s">
        <v>303</v>
      </c>
      <c r="K104" s="284"/>
      <c r="L104" s="334">
        <f>(H103+I102/2)*4000</f>
        <v>13415283.685882213</v>
      </c>
    </row>
    <row r="105" spans="5:12" x14ac:dyDescent="0.2">
      <c r="E105" s="127" t="s">
        <v>304</v>
      </c>
      <c r="G105" s="175">
        <f>(G104-F104)</f>
        <v>2637329.2368547441</v>
      </c>
      <c r="H105" s="175">
        <f>H104-G104</f>
        <v>3859516.0808797553</v>
      </c>
      <c r="I105" s="175">
        <f>I104-H104</f>
        <v>5048612.6082972605</v>
      </c>
      <c r="J105" s="127" t="s">
        <v>305</v>
      </c>
      <c r="L105" s="334"/>
    </row>
    <row r="106" spans="5:12" x14ac:dyDescent="0.2">
      <c r="E106" s="127" t="str">
        <f>E92</f>
        <v>Van EVs</v>
      </c>
      <c r="F106" s="175">
        <f>F97</f>
        <v>10.398715117446296</v>
      </c>
      <c r="G106" s="175">
        <f>G97</f>
        <v>16.893878711099816</v>
      </c>
      <c r="H106" s="175">
        <f>H97</f>
        <v>23.046604751562718</v>
      </c>
      <c r="I106" s="175">
        <f>I97</f>
        <v>29.19933079202562</v>
      </c>
      <c r="J106" s="127" t="s">
        <v>268</v>
      </c>
      <c r="L106" s="334"/>
    </row>
    <row r="107" spans="5:12" x14ac:dyDescent="0.2">
      <c r="E107" s="127" t="s">
        <v>301</v>
      </c>
      <c r="F107" s="297">
        <f>L18</f>
        <v>26.110445190976286</v>
      </c>
      <c r="G107" s="297">
        <f>M18</f>
        <v>43.004323902076102</v>
      </c>
      <c r="H107" s="297">
        <f>N18</f>
        <v>66.05092865363882</v>
      </c>
      <c r="I107" s="297">
        <f>O18</f>
        <v>95.25025944566444</v>
      </c>
      <c r="J107" s="127" t="s">
        <v>270</v>
      </c>
      <c r="L107" s="334"/>
    </row>
    <row r="108" spans="5:12" x14ac:dyDescent="0.2">
      <c r="E108" s="127" t="s">
        <v>302</v>
      </c>
      <c r="F108" s="175">
        <f>L21</f>
        <v>90296.642707395717</v>
      </c>
      <c r="G108" s="175">
        <f>M21</f>
        <v>149223.02752377372</v>
      </c>
      <c r="H108" s="175">
        <f>N21</f>
        <v>235456.98216576123</v>
      </c>
      <c r="I108" s="175">
        <f>O21</f>
        <v>348259.16294321092</v>
      </c>
      <c r="J108" s="284" t="s">
        <v>306</v>
      </c>
      <c r="L108" s="335">
        <f>(H107+I106/2)*5000</f>
        <v>403252.97024825815</v>
      </c>
    </row>
    <row r="109" spans="5:12" x14ac:dyDescent="0.2">
      <c r="E109" s="127" t="s">
        <v>304</v>
      </c>
      <c r="F109" s="175"/>
      <c r="G109" s="175">
        <f>(G108-F108)</f>
        <v>58926.384816378006</v>
      </c>
      <c r="H109" s="175">
        <f>H108-G108</f>
        <v>86233.954641987511</v>
      </c>
      <c r="I109" s="175">
        <f>I108-H108</f>
        <v>112802.18077744968</v>
      </c>
      <c r="J109" s="127" t="s">
        <v>307</v>
      </c>
      <c r="L109" s="334"/>
    </row>
    <row r="110" spans="5:12" x14ac:dyDescent="0.2">
      <c r="E110" s="127" t="str">
        <f>E93</f>
        <v>Pickup Truck EVs</v>
      </c>
      <c r="F110" s="175">
        <f>F98</f>
        <v>16.69704878538446</v>
      </c>
      <c r="G110" s="175">
        <f>G98</f>
        <v>27.126227983719772</v>
      </c>
      <c r="H110" s="175">
        <f>H98</f>
        <v>37.005560737855582</v>
      </c>
      <c r="I110" s="175">
        <f>I98</f>
        <v>46.884893491991399</v>
      </c>
      <c r="J110" s="127" t="s">
        <v>308</v>
      </c>
      <c r="L110" s="334"/>
    </row>
    <row r="111" spans="5:12" x14ac:dyDescent="0.2">
      <c r="E111" s="127" t="s">
        <v>301</v>
      </c>
      <c r="F111" s="175">
        <f>L23</f>
        <v>23.201356119493891</v>
      </c>
      <c r="G111" s="175">
        <f>M23</f>
        <v>50.327584103213667</v>
      </c>
      <c r="H111" s="175">
        <f>N23</f>
        <v>87.333144841069242</v>
      </c>
      <c r="I111" s="175">
        <f>O23</f>
        <v>134.21803833306063</v>
      </c>
      <c r="J111" s="127" t="s">
        <v>309</v>
      </c>
      <c r="L111" s="334"/>
    </row>
    <row r="112" spans="5:12" x14ac:dyDescent="0.2">
      <c r="E112" s="127" t="s">
        <v>302</v>
      </c>
      <c r="F112" s="175">
        <f>L26</f>
        <v>113846.95518593474</v>
      </c>
      <c r="G112" s="175">
        <f>M26</f>
        <v>281799.66340352671</v>
      </c>
      <c r="H112" s="175">
        <f>N26</f>
        <v>527584.74367896421</v>
      </c>
      <c r="I112" s="175">
        <f>O26</f>
        <v>849094.9095148528</v>
      </c>
      <c r="J112" s="127" t="s">
        <v>310</v>
      </c>
      <c r="L112" s="335">
        <f>(H111+I110/2)*6000</f>
        <v>664653.54952238966</v>
      </c>
    </row>
    <row r="113" spans="5:14" x14ac:dyDescent="0.2">
      <c r="E113" s="127" t="s">
        <v>304</v>
      </c>
      <c r="G113" s="175">
        <f>(G112-F112)</f>
        <v>167952.70821759198</v>
      </c>
      <c r="H113" s="175">
        <f>H112-G112</f>
        <v>245785.0802754375</v>
      </c>
      <c r="I113" s="175">
        <f>I112-H112</f>
        <v>321510.16583588859</v>
      </c>
      <c r="J113" s="127" t="s">
        <v>311</v>
      </c>
    </row>
    <row r="114" spans="5:14" x14ac:dyDescent="0.2">
      <c r="L114" s="267"/>
    </row>
    <row r="115" spans="5:14" x14ac:dyDescent="0.2">
      <c r="J115" s="127">
        <v>2024</v>
      </c>
      <c r="M115" s="127">
        <v>2025</v>
      </c>
    </row>
    <row r="116" spans="5:14" x14ac:dyDescent="0.2">
      <c r="F116" s="278" t="str">
        <f t="shared" ref="F116:H119" si="47">S52</f>
        <v>Passenger/SUV</v>
      </c>
      <c r="G116" s="278" t="str">
        <f t="shared" si="47"/>
        <v>Van</v>
      </c>
      <c r="H116" s="278" t="str">
        <f t="shared" si="47"/>
        <v>Pick-up Truck</v>
      </c>
      <c r="I116" s="127" t="str">
        <f t="shared" ref="I116:N116" si="48">F116</f>
        <v>Passenger/SUV</v>
      </c>
      <c r="J116" s="127" t="str">
        <f t="shared" si="48"/>
        <v>Van</v>
      </c>
      <c r="K116" s="127" t="str">
        <f t="shared" si="48"/>
        <v>Pick-up Truck</v>
      </c>
      <c r="L116" s="127" t="str">
        <f t="shared" si="48"/>
        <v>Passenger/SUV</v>
      </c>
      <c r="M116" s="127" t="str">
        <f t="shared" si="48"/>
        <v>Van</v>
      </c>
      <c r="N116" s="127" t="str">
        <f t="shared" si="48"/>
        <v>Pick-up Truck</v>
      </c>
    </row>
    <row r="117" spans="5:14" x14ac:dyDescent="0.2">
      <c r="E117" s="127" t="str">
        <f>R53</f>
        <v>Residential</v>
      </c>
      <c r="F117" s="336">
        <f t="shared" si="47"/>
        <v>0.7</v>
      </c>
      <c r="G117" s="336">
        <f t="shared" si="47"/>
        <v>0.2</v>
      </c>
      <c r="H117" s="336">
        <f t="shared" si="47"/>
        <v>0.33333333333333337</v>
      </c>
      <c r="I117" s="334">
        <f>F117*I$120</f>
        <v>1846130.4657983207</v>
      </c>
      <c r="J117" s="334">
        <f>G117*J$120</f>
        <v>11785.276963275603</v>
      </c>
      <c r="K117" s="334">
        <f>H117*K$120</f>
        <v>55984.236072530664</v>
      </c>
      <c r="L117" s="334">
        <f>F117*L$120</f>
        <v>2701661.2566158287</v>
      </c>
      <c r="M117" s="334">
        <f>G117*M$120</f>
        <v>17246.790928397502</v>
      </c>
      <c r="N117" s="334">
        <f>H117*N$120</f>
        <v>81928.360091812516</v>
      </c>
    </row>
    <row r="118" spans="5:14" x14ac:dyDescent="0.2">
      <c r="E118" s="127" t="str">
        <f>R54</f>
        <v>GS&lt;50</v>
      </c>
      <c r="F118" s="336">
        <f t="shared" si="47"/>
        <v>0.15</v>
      </c>
      <c r="G118" s="336">
        <f t="shared" si="47"/>
        <v>0.5</v>
      </c>
      <c r="H118" s="336">
        <f t="shared" si="47"/>
        <v>0.33333333333333337</v>
      </c>
      <c r="I118" s="334">
        <f t="shared" ref="I118:K119" si="49">F118*I$120</f>
        <v>395599.3855282116</v>
      </c>
      <c r="J118" s="334">
        <f t="shared" si="49"/>
        <v>29463.192408189003</v>
      </c>
      <c r="K118" s="334">
        <f t="shared" si="49"/>
        <v>55984.236072530664</v>
      </c>
      <c r="L118" s="334">
        <f t="shared" ref="L118:N119" si="50">F118*L$120</f>
        <v>578927.4121319633</v>
      </c>
      <c r="M118" s="334">
        <f t="shared" si="50"/>
        <v>43116.977320993756</v>
      </c>
      <c r="N118" s="334">
        <f t="shared" si="50"/>
        <v>81928.360091812516</v>
      </c>
    </row>
    <row r="119" spans="5:14" x14ac:dyDescent="0.2">
      <c r="E119" s="127" t="str">
        <f>R55</f>
        <v>GS&gt;50</v>
      </c>
      <c r="F119" s="336">
        <f t="shared" si="47"/>
        <v>0.15</v>
      </c>
      <c r="G119" s="336">
        <f t="shared" si="47"/>
        <v>0.3</v>
      </c>
      <c r="H119" s="336">
        <f t="shared" si="47"/>
        <v>0.33333333333333298</v>
      </c>
      <c r="I119" s="334">
        <f t="shared" si="49"/>
        <v>395599.3855282116</v>
      </c>
      <c r="J119" s="334">
        <f t="shared" si="49"/>
        <v>17677.9154449134</v>
      </c>
      <c r="K119" s="334">
        <f t="shared" si="49"/>
        <v>55984.236072530599</v>
      </c>
      <c r="L119" s="334">
        <f t="shared" si="50"/>
        <v>578927.4121319633</v>
      </c>
      <c r="M119" s="334">
        <f t="shared" si="50"/>
        <v>25870.186392596253</v>
      </c>
      <c r="N119" s="334">
        <f>H119*N$120</f>
        <v>81928.360091812414</v>
      </c>
    </row>
    <row r="120" spans="5:14" x14ac:dyDescent="0.2">
      <c r="F120" s="338">
        <f>SUM(F117:F119)</f>
        <v>1</v>
      </c>
      <c r="G120" s="338">
        <f t="shared" ref="G120:H120" si="51">SUM(G117:G119)</f>
        <v>1</v>
      </c>
      <c r="H120" s="338">
        <f t="shared" si="51"/>
        <v>0.99999999999999978</v>
      </c>
      <c r="I120" s="175">
        <f>G105</f>
        <v>2637329.2368547441</v>
      </c>
      <c r="J120" s="175">
        <f>G109</f>
        <v>58926.384816378006</v>
      </c>
      <c r="K120" s="175">
        <f>G113</f>
        <v>167952.70821759198</v>
      </c>
      <c r="L120" s="175">
        <f>H105</f>
        <v>3859516.0808797553</v>
      </c>
      <c r="M120" s="175">
        <f>H109</f>
        <v>86233.954641987511</v>
      </c>
      <c r="N120" s="175">
        <f>H113</f>
        <v>245785.0802754375</v>
      </c>
    </row>
    <row r="123" spans="5:14" x14ac:dyDescent="0.2">
      <c r="F123" s="127" t="s">
        <v>312</v>
      </c>
      <c r="G123" s="127" t="s">
        <v>313</v>
      </c>
      <c r="H123" s="278" t="s">
        <v>314</v>
      </c>
    </row>
    <row r="124" spans="5:14" x14ac:dyDescent="0.2">
      <c r="E124" s="127" t="str">
        <f>E117</f>
        <v>Residential</v>
      </c>
      <c r="F124" s="334">
        <f>SUM(I117:K117)</f>
        <v>1913899.9788341271</v>
      </c>
      <c r="G124" s="334">
        <f>SUM(L117:N117)</f>
        <v>2800836.4076360385</v>
      </c>
      <c r="H124" s="334">
        <f>F124*2+G124</f>
        <v>6628636.3653042931</v>
      </c>
    </row>
    <row r="125" spans="5:14" x14ac:dyDescent="0.2">
      <c r="E125" s="127" t="str">
        <f>E118</f>
        <v>GS&lt;50</v>
      </c>
      <c r="F125" s="334">
        <f>SUM(I118:K118)</f>
        <v>481046.81400893128</v>
      </c>
      <c r="G125" s="334">
        <f>SUM(L118:N118)</f>
        <v>703972.74954476964</v>
      </c>
      <c r="H125" s="334">
        <f>F125*2+G125</f>
        <v>1666066.3775626323</v>
      </c>
    </row>
    <row r="126" spans="5:14" x14ac:dyDescent="0.2">
      <c r="E126" s="127" t="str">
        <f>E119</f>
        <v>GS&gt;50</v>
      </c>
      <c r="F126" s="334">
        <f>SUM(I119:K119)</f>
        <v>469261.5370456556</v>
      </c>
      <c r="G126" s="334">
        <f>SUM(L119:N119)</f>
        <v>686725.95861637197</v>
      </c>
      <c r="H126" s="334">
        <f>F126*2+G126</f>
        <v>1625249.0327076833</v>
      </c>
    </row>
    <row r="127" spans="5:14" ht="15" x14ac:dyDescent="0.25">
      <c r="E127" s="127" t="s">
        <v>97</v>
      </c>
      <c r="F127" s="337">
        <f>SUM(F124:F126)</f>
        <v>2864208.329888714</v>
      </c>
      <c r="G127" s="337">
        <f>SUM(G124:G126)</f>
        <v>4191535.1157971798</v>
      </c>
      <c r="H127" s="337">
        <f>F127*2+G127</f>
        <v>9919951.7755746078</v>
      </c>
    </row>
  </sheetData>
  <mergeCells count="8">
    <mergeCell ref="C53:C55"/>
    <mergeCell ref="E80:M80"/>
    <mergeCell ref="G1:H1"/>
    <mergeCell ref="I1:J1"/>
    <mergeCell ref="C9:C10"/>
    <mergeCell ref="C12:C16"/>
    <mergeCell ref="C17:C21"/>
    <mergeCell ref="C22:C26"/>
  </mergeCells>
  <hyperlinks>
    <hyperlink ref="C6" r:id="rId1" display="https://council.cleanairpartnership.org/wp-content/uploads/2021/11/2-21-050-EV-Charging-Performance-Requirements-in-GTHA.pdf" xr:uid="{18FB488D-671E-4699-BE44-51486546390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005F-2637-45A6-9C1D-9E361FBF2AE2}">
  <sheetPr>
    <tabColor theme="3" tint="0.79998168889431442"/>
  </sheetPr>
  <dimension ref="B1:W48"/>
  <sheetViews>
    <sheetView workbookViewId="0">
      <selection activeCell="I19" sqref="I19"/>
    </sheetView>
  </sheetViews>
  <sheetFormatPr defaultColWidth="8.83203125" defaultRowHeight="14.25" x14ac:dyDescent="0.2"/>
  <cols>
    <col min="1" max="1" width="8.83203125" style="127"/>
    <col min="2" max="3" width="27" style="127" customWidth="1"/>
    <col min="4" max="4" width="13.83203125" style="127" bestFit="1" customWidth="1"/>
    <col min="5" max="5" width="21.83203125" style="127" customWidth="1"/>
    <col min="6" max="6" width="13.33203125" style="127" customWidth="1"/>
    <col min="7" max="7" width="14.83203125" style="127" bestFit="1" customWidth="1"/>
    <col min="8" max="8" width="11.5" style="127" customWidth="1"/>
    <col min="9" max="9" width="14.83203125" style="127" customWidth="1"/>
    <col min="10" max="10" width="14.6640625" style="127" bestFit="1" customWidth="1"/>
    <col min="11" max="14" width="8.83203125" style="127"/>
    <col min="15" max="15" width="15.1640625" style="127" customWidth="1"/>
    <col min="16" max="17" width="11.6640625" style="127" customWidth="1"/>
    <col min="18" max="18" width="13.6640625" style="127" customWidth="1"/>
    <col min="19" max="20" width="8.83203125" style="127"/>
    <col min="21" max="21" width="13.6640625" style="127" customWidth="1"/>
    <col min="22" max="22" width="10.5" style="127" bestFit="1" customWidth="1"/>
    <col min="23" max="16384" width="8.83203125" style="127"/>
  </cols>
  <sheetData>
    <row r="1" spans="2:23" x14ac:dyDescent="0.2">
      <c r="C1" s="278" t="s">
        <v>91</v>
      </c>
      <c r="D1" s="278" t="s">
        <v>131</v>
      </c>
      <c r="T1" s="127" t="s">
        <v>91</v>
      </c>
      <c r="V1" s="127" t="s">
        <v>315</v>
      </c>
    </row>
    <row r="2" spans="2:23" x14ac:dyDescent="0.2">
      <c r="B2" s="127" t="s">
        <v>316</v>
      </c>
      <c r="C2" s="267">
        <f>U15</f>
        <v>1788</v>
      </c>
      <c r="D2" s="175">
        <f>W15</f>
        <v>6955</v>
      </c>
      <c r="E2" s="127" t="s">
        <v>317</v>
      </c>
      <c r="F2" s="127" t="s">
        <v>318</v>
      </c>
      <c r="O2" s="473" t="s">
        <v>319</v>
      </c>
      <c r="P2" s="473"/>
      <c r="Q2" s="473"/>
      <c r="T2" s="339" t="s">
        <v>320</v>
      </c>
      <c r="U2" s="127" t="s">
        <v>321</v>
      </c>
      <c r="V2" s="339" t="s">
        <v>320</v>
      </c>
      <c r="W2" s="127" t="s">
        <v>321</v>
      </c>
    </row>
    <row r="3" spans="2:23" x14ac:dyDescent="0.2">
      <c r="B3" s="127" t="s">
        <v>322</v>
      </c>
      <c r="C3" s="127">
        <v>3.4299999999999997E-2</v>
      </c>
      <c r="D3" s="127">
        <f>C3</f>
        <v>3.4299999999999997E-2</v>
      </c>
      <c r="E3" s="127" t="s">
        <v>323</v>
      </c>
      <c r="F3" s="127" t="s">
        <v>324</v>
      </c>
      <c r="O3" s="127" t="s">
        <v>110</v>
      </c>
      <c r="P3" s="340">
        <f ca="1">Weather!AL36</f>
        <v>914.68367523535164</v>
      </c>
      <c r="Q3" s="303">
        <f t="shared" ref="Q3:Q14" ca="1" si="0">P3/$P$15</f>
        <v>0.18054728360707734</v>
      </c>
      <c r="R3" s="477">
        <f ca="1">SUM(Q3:Q9)</f>
        <v>0.6358743286113252</v>
      </c>
      <c r="T3" s="341">
        <v>419</v>
      </c>
      <c r="U3" s="175">
        <f t="shared" ref="U3:U14" si="1">MAX(T3-$T$9,0)</f>
        <v>368</v>
      </c>
      <c r="V3" s="267">
        <v>1640</v>
      </c>
      <c r="W3" s="175">
        <f t="shared" ref="W3:W14" si="2">MAX(V3-$V$9,0)</f>
        <v>1491</v>
      </c>
    </row>
    <row r="4" spans="2:23" x14ac:dyDescent="0.2">
      <c r="B4" s="127" t="s">
        <v>325</v>
      </c>
      <c r="C4" s="127">
        <v>277</v>
      </c>
      <c r="D4" s="127">
        <f>C4</f>
        <v>277</v>
      </c>
      <c r="E4" s="127" t="s">
        <v>326</v>
      </c>
      <c r="F4" s="127" t="s">
        <v>324</v>
      </c>
      <c r="O4" s="127" t="s">
        <v>111</v>
      </c>
      <c r="P4" s="340">
        <f ca="1">Weather!AL37</f>
        <v>824.95083333333332</v>
      </c>
      <c r="Q4" s="303">
        <f t="shared" ca="1" si="0"/>
        <v>0.16283512661292945</v>
      </c>
      <c r="R4" s="477"/>
      <c r="T4" s="341">
        <v>404</v>
      </c>
      <c r="U4" s="175">
        <f t="shared" si="1"/>
        <v>353</v>
      </c>
      <c r="V4" s="267">
        <v>1463</v>
      </c>
      <c r="W4" s="175">
        <f t="shared" si="2"/>
        <v>1314</v>
      </c>
    </row>
    <row r="5" spans="2:23" x14ac:dyDescent="0.2">
      <c r="B5" s="127" t="s">
        <v>327</v>
      </c>
      <c r="C5" s="127">
        <f>C3*C4</f>
        <v>9.5010999999999992</v>
      </c>
      <c r="D5" s="127">
        <f>D3*D4</f>
        <v>9.5010999999999992</v>
      </c>
      <c r="E5" s="127" t="s">
        <v>328</v>
      </c>
      <c r="O5" s="127" t="s">
        <v>112</v>
      </c>
      <c r="P5" s="340">
        <f ca="1">Weather!AL38</f>
        <v>717.11853767651348</v>
      </c>
      <c r="Q5" s="303">
        <f t="shared" ca="1" si="0"/>
        <v>0.14155036053142628</v>
      </c>
      <c r="R5" s="477"/>
      <c r="T5" s="341">
        <v>354</v>
      </c>
      <c r="U5" s="175">
        <f t="shared" si="1"/>
        <v>303</v>
      </c>
      <c r="V5" s="267">
        <v>1262</v>
      </c>
      <c r="W5" s="175">
        <f t="shared" si="2"/>
        <v>1113</v>
      </c>
    </row>
    <row r="6" spans="2:23" ht="15" x14ac:dyDescent="0.25">
      <c r="B6" s="127" t="s">
        <v>329</v>
      </c>
      <c r="C6" s="342">
        <f>C2*C5</f>
        <v>16987.966799999998</v>
      </c>
      <c r="D6" s="342">
        <f>D2*D5</f>
        <v>66080.150499999989</v>
      </c>
      <c r="E6" s="127" t="s">
        <v>330</v>
      </c>
      <c r="J6" s="175"/>
      <c r="O6" s="127" t="s">
        <v>113</v>
      </c>
      <c r="P6" s="340">
        <f ca="1">Weather!AL39</f>
        <v>469.21610845100895</v>
      </c>
      <c r="Q6" s="303">
        <f t="shared" ca="1" si="0"/>
        <v>9.2617476510352931E-2</v>
      </c>
      <c r="R6" s="477"/>
      <c r="T6" s="341">
        <v>252</v>
      </c>
      <c r="U6" s="175">
        <f t="shared" si="1"/>
        <v>201</v>
      </c>
      <c r="V6" s="267">
        <v>679</v>
      </c>
      <c r="W6" s="175">
        <f t="shared" si="2"/>
        <v>530</v>
      </c>
    </row>
    <row r="7" spans="2:23" x14ac:dyDescent="0.2">
      <c r="B7" s="127" t="s">
        <v>331</v>
      </c>
      <c r="C7" s="127">
        <v>2.5819999999999999</v>
      </c>
      <c r="D7" s="127">
        <f>C7</f>
        <v>2.5819999999999999</v>
      </c>
      <c r="E7" s="127" t="s">
        <v>332</v>
      </c>
      <c r="F7" s="274" t="s">
        <v>333</v>
      </c>
      <c r="J7" s="175"/>
      <c r="O7" s="127" t="s">
        <v>52</v>
      </c>
      <c r="P7" s="340">
        <f ca="1">Weather!AL40</f>
        <v>211.51659589217115</v>
      </c>
      <c r="Q7" s="303">
        <f t="shared" ca="1" si="0"/>
        <v>4.1750768992702622E-2</v>
      </c>
      <c r="R7" s="477"/>
      <c r="T7" s="341">
        <v>158</v>
      </c>
      <c r="U7" s="175">
        <f t="shared" si="1"/>
        <v>107</v>
      </c>
      <c r="V7" s="267">
        <v>331</v>
      </c>
      <c r="W7" s="175">
        <f t="shared" si="2"/>
        <v>182</v>
      </c>
    </row>
    <row r="8" spans="2:23" ht="15" x14ac:dyDescent="0.25">
      <c r="B8" s="127" t="s">
        <v>334</v>
      </c>
      <c r="C8" s="343">
        <f>C6/C7</f>
        <v>6579.3829589465531</v>
      </c>
      <c r="D8" s="343">
        <f>D6/D7</f>
        <v>25592.622192099145</v>
      </c>
      <c r="E8" s="127" t="s">
        <v>330</v>
      </c>
      <c r="O8" s="127" t="s">
        <v>114</v>
      </c>
      <c r="P8" s="340">
        <f ca="1">Weather!AL41</f>
        <v>63.753398122599151</v>
      </c>
      <c r="Q8" s="303">
        <f t="shared" ca="1" si="0"/>
        <v>1.2584135000325795E-2</v>
      </c>
      <c r="R8" s="477"/>
      <c r="T8" s="341">
        <v>69</v>
      </c>
      <c r="U8" s="175">
        <f t="shared" si="1"/>
        <v>18</v>
      </c>
      <c r="V8" s="267">
        <v>82</v>
      </c>
      <c r="W8" s="175">
        <f t="shared" si="2"/>
        <v>0</v>
      </c>
    </row>
    <row r="9" spans="2:23" x14ac:dyDescent="0.2">
      <c r="O9" s="127" t="s">
        <v>115</v>
      </c>
      <c r="P9" s="340">
        <f ca="1">Weather!AL42</f>
        <v>20.209860446085592</v>
      </c>
      <c r="Q9" s="303">
        <f t="shared" ca="1" si="0"/>
        <v>3.9891773565107203E-3</v>
      </c>
      <c r="R9" s="477"/>
      <c r="T9" s="341">
        <v>51</v>
      </c>
      <c r="U9" s="175">
        <f t="shared" si="1"/>
        <v>0</v>
      </c>
      <c r="V9" s="267">
        <v>149</v>
      </c>
      <c r="W9" s="175">
        <f t="shared" si="2"/>
        <v>0</v>
      </c>
    </row>
    <row r="10" spans="2:23" ht="15" x14ac:dyDescent="0.25">
      <c r="B10" s="177" t="s">
        <v>91</v>
      </c>
      <c r="C10" s="177"/>
      <c r="D10" s="127">
        <v>2022</v>
      </c>
      <c r="E10" s="127">
        <v>2023</v>
      </c>
      <c r="F10" s="127">
        <v>2024</v>
      </c>
      <c r="G10" s="127">
        <v>2025</v>
      </c>
      <c r="O10" s="127" t="s">
        <v>116</v>
      </c>
      <c r="P10" s="340">
        <f ca="1">Weather!AL43</f>
        <v>36.844095892171183</v>
      </c>
      <c r="Q10" s="303">
        <f t="shared" ca="1" si="0"/>
        <v>7.2725704091948203E-3</v>
      </c>
      <c r="R10" s="477">
        <f ca="1">SUM(Q10:Q14)</f>
        <v>0.36412567138867485</v>
      </c>
      <c r="T10" s="341">
        <v>54</v>
      </c>
      <c r="U10" s="175">
        <f t="shared" si="1"/>
        <v>3</v>
      </c>
      <c r="V10" s="267">
        <v>166</v>
      </c>
      <c r="W10" s="175">
        <f t="shared" si="2"/>
        <v>17</v>
      </c>
    </row>
    <row r="11" spans="2:23" x14ac:dyDescent="0.2">
      <c r="B11" s="127" t="s">
        <v>335</v>
      </c>
      <c r="C11" s="204">
        <f>'Customer Count'!C11</f>
        <v>43112.5</v>
      </c>
      <c r="D11" s="267">
        <f>'Customer Count'!C12</f>
        <v>43131.25</v>
      </c>
      <c r="E11" s="267">
        <f>'Customer Count'!C13</f>
        <v>43277.75</v>
      </c>
      <c r="F11" s="267">
        <f>'Customer Count'!C14</f>
        <v>43407.333333333336</v>
      </c>
      <c r="G11" s="267">
        <f>'Customer Count'!C15</f>
        <v>43485.255520673287</v>
      </c>
      <c r="O11" s="127" t="s">
        <v>117</v>
      </c>
      <c r="P11" s="340">
        <f ca="1">Weather!AL44</f>
        <v>133.12465011767569</v>
      </c>
      <c r="Q11" s="303">
        <f t="shared" ca="1" si="0"/>
        <v>2.6277165112523256E-2</v>
      </c>
      <c r="R11" s="477"/>
      <c r="T11" s="341">
        <v>58</v>
      </c>
      <c r="U11" s="175">
        <f t="shared" si="1"/>
        <v>7</v>
      </c>
      <c r="V11" s="267">
        <v>193</v>
      </c>
      <c r="W11" s="175">
        <f t="shared" si="2"/>
        <v>44</v>
      </c>
    </row>
    <row r="12" spans="2:23" x14ac:dyDescent="0.2">
      <c r="B12" s="127" t="s">
        <v>336</v>
      </c>
      <c r="D12" s="267">
        <f>MAX(D11-C11,0)</f>
        <v>18.75</v>
      </c>
      <c r="E12" s="267">
        <f>MAX(E11-D11,0)</f>
        <v>146.5</v>
      </c>
      <c r="F12" s="267">
        <f>MAX(F11-E11,0)</f>
        <v>129.58333333333576</v>
      </c>
      <c r="G12" s="267">
        <f>MAX(G11-F11,0)</f>
        <v>77.922187339951051</v>
      </c>
      <c r="H12" s="267"/>
      <c r="O12" s="127" t="s">
        <v>118</v>
      </c>
      <c r="P12" s="340">
        <f ca="1">Weather!AL45</f>
        <v>348.15950657360816</v>
      </c>
      <c r="Q12" s="303">
        <f t="shared" ca="1" si="0"/>
        <v>6.8722395376381251E-2</v>
      </c>
      <c r="R12" s="477"/>
      <c r="T12" s="341">
        <v>91</v>
      </c>
      <c r="U12" s="175">
        <f t="shared" si="1"/>
        <v>40</v>
      </c>
      <c r="V12" s="267">
        <v>407</v>
      </c>
      <c r="W12" s="175">
        <f t="shared" si="2"/>
        <v>258</v>
      </c>
    </row>
    <row r="13" spans="2:23" x14ac:dyDescent="0.2">
      <c r="B13" s="127" t="s">
        <v>337</v>
      </c>
      <c r="D13" s="305">
        <v>1E-3</v>
      </c>
      <c r="E13" s="305">
        <f t="shared" ref="E13:G14" si="3">D13</f>
        <v>1E-3</v>
      </c>
      <c r="F13" s="305">
        <f t="shared" si="3"/>
        <v>1E-3</v>
      </c>
      <c r="G13" s="305">
        <f t="shared" si="3"/>
        <v>1E-3</v>
      </c>
      <c r="O13" s="127" t="s">
        <v>119</v>
      </c>
      <c r="P13" s="340">
        <f ca="1">Weather!AL46</f>
        <v>569.96582934318008</v>
      </c>
      <c r="Q13" s="303">
        <f t="shared" ca="1" si="0"/>
        <v>0.11250422962920828</v>
      </c>
      <c r="R13" s="477"/>
      <c r="T13" s="341">
        <v>174</v>
      </c>
      <c r="U13" s="175">
        <f t="shared" si="1"/>
        <v>123</v>
      </c>
      <c r="V13" s="267">
        <v>919</v>
      </c>
      <c r="W13" s="175">
        <f t="shared" si="2"/>
        <v>770</v>
      </c>
    </row>
    <row r="14" spans="2:23" x14ac:dyDescent="0.2">
      <c r="B14" s="127" t="s">
        <v>338</v>
      </c>
      <c r="D14" s="308">
        <v>0.05</v>
      </c>
      <c r="E14" s="308">
        <f t="shared" si="3"/>
        <v>0.05</v>
      </c>
      <c r="F14" s="308">
        <f t="shared" si="3"/>
        <v>0.05</v>
      </c>
      <c r="G14" s="308">
        <f t="shared" si="3"/>
        <v>0.05</v>
      </c>
      <c r="O14" s="127" t="s">
        <v>120</v>
      </c>
      <c r="P14" s="340">
        <f ca="1">Weather!AL47</f>
        <v>756.62936502461719</v>
      </c>
      <c r="Q14" s="303">
        <f t="shared" ca="1" si="0"/>
        <v>0.14934931086136724</v>
      </c>
      <c r="R14" s="477"/>
      <c r="T14" s="341">
        <v>316</v>
      </c>
      <c r="U14" s="175">
        <f t="shared" si="1"/>
        <v>265</v>
      </c>
      <c r="V14" s="267">
        <v>1385</v>
      </c>
      <c r="W14" s="175">
        <f t="shared" si="2"/>
        <v>1236</v>
      </c>
    </row>
    <row r="15" spans="2:23" ht="15" x14ac:dyDescent="0.25">
      <c r="B15" s="127" t="s">
        <v>339</v>
      </c>
      <c r="D15" s="267">
        <f>D13*(D11-D12)</f>
        <v>43.112500000000004</v>
      </c>
      <c r="E15" s="267">
        <f>E13*(E11-E12)</f>
        <v>43.131250000000001</v>
      </c>
      <c r="F15" s="267">
        <f>F13*(F11-F12)</f>
        <v>43.277749999999997</v>
      </c>
      <c r="G15" s="267">
        <f>G13*(G11-G12)</f>
        <v>43.407333333333334</v>
      </c>
      <c r="O15" s="127" t="s">
        <v>97</v>
      </c>
      <c r="P15" s="344">
        <f ca="1">SUM(P3:P14)</f>
        <v>5066.1724561083156</v>
      </c>
      <c r="Q15" s="345">
        <f ca="1">SUM(Q3:Q14)</f>
        <v>1</v>
      </c>
      <c r="R15" s="477"/>
      <c r="T15" s="267">
        <f>SUM(T3:T14)</f>
        <v>2400</v>
      </c>
      <c r="U15" s="267">
        <f>SUM(U3:U14)</f>
        <v>1788</v>
      </c>
      <c r="V15" s="267">
        <f>SUM(V3:V14)</f>
        <v>8676</v>
      </c>
      <c r="W15" s="267">
        <f>SUM(W3:W14)</f>
        <v>6955</v>
      </c>
    </row>
    <row r="16" spans="2:23" x14ac:dyDescent="0.2">
      <c r="B16" s="127" t="s">
        <v>340</v>
      </c>
      <c r="D16" s="267">
        <f>D14*D12</f>
        <v>0.9375</v>
      </c>
      <c r="E16" s="267">
        <f>E14*E12</f>
        <v>7.3250000000000002</v>
      </c>
      <c r="F16" s="267">
        <f>F14*F12</f>
        <v>6.4791666666667886</v>
      </c>
      <c r="G16" s="267">
        <f>G14*G12</f>
        <v>3.8961093669975528</v>
      </c>
    </row>
    <row r="17" spans="2:10" x14ac:dyDescent="0.2">
      <c r="B17" s="127" t="s">
        <v>341</v>
      </c>
      <c r="D17" s="267">
        <f>D15+D16</f>
        <v>44.050000000000004</v>
      </c>
      <c r="E17" s="267">
        <f>E15+E16</f>
        <v>50.456250000000004</v>
      </c>
      <c r="F17" s="267">
        <f>F15+F16</f>
        <v>49.756916666666783</v>
      </c>
      <c r="G17" s="267">
        <f>G15+G16</f>
        <v>47.303442700330883</v>
      </c>
      <c r="I17" s="127" t="s">
        <v>342</v>
      </c>
    </row>
    <row r="18" spans="2:10" x14ac:dyDescent="0.2">
      <c r="B18" s="127" t="s">
        <v>330</v>
      </c>
      <c r="D18" s="346">
        <f>$C$8*0.8+$C$6*0.2</f>
        <v>8661.0997271572414</v>
      </c>
      <c r="E18" s="346">
        <f>$C$8*0.8+$C$6*0.2</f>
        <v>8661.0997271572414</v>
      </c>
      <c r="F18" s="346">
        <f>$C$8*0.8+$C$6*0.2</f>
        <v>8661.0997271572414</v>
      </c>
      <c r="G18" s="346">
        <f>$C$8*0.8+$C$6*0.2</f>
        <v>8661.0997271572414</v>
      </c>
      <c r="I18" s="127">
        <v>2024</v>
      </c>
      <c r="J18" s="127">
        <v>2025</v>
      </c>
    </row>
    <row r="19" spans="2:10" x14ac:dyDescent="0.2">
      <c r="B19" s="127" t="s">
        <v>343</v>
      </c>
      <c r="D19" s="267">
        <f>D17*D18</f>
        <v>381521.44298127654</v>
      </c>
      <c r="E19" s="267">
        <f>E17*E18</f>
        <v>437006.61310837761</v>
      </c>
      <c r="F19" s="267">
        <f>F17*F18</f>
        <v>430949.61736585328</v>
      </c>
      <c r="G19" s="267">
        <f>G17*G18</f>
        <v>409699.83466543403</v>
      </c>
      <c r="I19" s="457">
        <f ca="1">F19*$Q$14</f>
        <v>64362.028369560088</v>
      </c>
      <c r="J19" s="267">
        <f ca="1">F19*$R$3+G19*$R$10</f>
        <v>423212.02597319963</v>
      </c>
    </row>
    <row r="20" spans="2:10" x14ac:dyDescent="0.2">
      <c r="D20" s="267"/>
      <c r="E20" s="267"/>
      <c r="F20" s="267"/>
      <c r="G20" s="267"/>
    </row>
    <row r="21" spans="2:10" ht="15" x14ac:dyDescent="0.25">
      <c r="B21" s="177" t="s">
        <v>131</v>
      </c>
      <c r="C21" s="177"/>
      <c r="D21" s="347">
        <f>D10</f>
        <v>2022</v>
      </c>
      <c r="E21" s="347">
        <f t="shared" ref="E21:G21" si="4">E10</f>
        <v>2023</v>
      </c>
      <c r="F21" s="347">
        <f t="shared" si="4"/>
        <v>2024</v>
      </c>
      <c r="G21" s="347">
        <f t="shared" si="4"/>
        <v>2025</v>
      </c>
    </row>
    <row r="22" spans="2:10" x14ac:dyDescent="0.2">
      <c r="B22" s="127" t="s">
        <v>335</v>
      </c>
      <c r="C22" s="267">
        <f>'Customer Count'!G11</f>
        <v>4258.5</v>
      </c>
      <c r="D22" s="267">
        <f>'Customer Count'!G12</f>
        <v>4272.916666666667</v>
      </c>
      <c r="E22" s="267">
        <f>'Customer Count'!G13</f>
        <v>4325.666666666667</v>
      </c>
      <c r="F22" s="267">
        <f>'Customer Count'!G14</f>
        <v>4331.5</v>
      </c>
      <c r="G22" s="267">
        <f>'Customer Count'!G15</f>
        <v>4367.3821119341483</v>
      </c>
    </row>
    <row r="23" spans="2:10" x14ac:dyDescent="0.2">
      <c r="B23" s="127" t="s">
        <v>336</v>
      </c>
      <c r="D23" s="267">
        <f>MAX(D22-C22,0)</f>
        <v>14.41666666666697</v>
      </c>
      <c r="E23" s="267">
        <f>MAX(E22-D22,0)</f>
        <v>52.75</v>
      </c>
      <c r="F23" s="267">
        <f>MAX(F22-E22,0)</f>
        <v>5.8333333333330302</v>
      </c>
      <c r="G23" s="267">
        <f>MAX(G22-F22,0)</f>
        <v>35.88211193414827</v>
      </c>
    </row>
    <row r="24" spans="2:10" x14ac:dyDescent="0.2">
      <c r="B24" s="127" t="s">
        <v>337</v>
      </c>
      <c r="D24" s="136">
        <f>D13</f>
        <v>1E-3</v>
      </c>
      <c r="E24" s="136">
        <f t="shared" ref="E24:G25" si="5">D24</f>
        <v>1E-3</v>
      </c>
      <c r="F24" s="136">
        <f t="shared" si="5"/>
        <v>1E-3</v>
      </c>
      <c r="G24" s="136">
        <f t="shared" si="5"/>
        <v>1E-3</v>
      </c>
    </row>
    <row r="25" spans="2:10" x14ac:dyDescent="0.2">
      <c r="B25" s="127" t="s">
        <v>338</v>
      </c>
      <c r="D25" s="308">
        <f>D14</f>
        <v>0.05</v>
      </c>
      <c r="E25" s="308">
        <f t="shared" si="5"/>
        <v>0.05</v>
      </c>
      <c r="F25" s="308">
        <f t="shared" si="5"/>
        <v>0.05</v>
      </c>
      <c r="G25" s="308">
        <f t="shared" si="5"/>
        <v>0.05</v>
      </c>
    </row>
    <row r="26" spans="2:10" x14ac:dyDescent="0.2">
      <c r="B26" s="127" t="s">
        <v>339</v>
      </c>
      <c r="D26" s="267">
        <f>D24*(D22-D23)</f>
        <v>4.2584999999999997</v>
      </c>
      <c r="E26" s="267">
        <f>E24*(E22-E23)</f>
        <v>4.2729166666666671</v>
      </c>
      <c r="F26" s="267">
        <f>F24*(F22-F23)</f>
        <v>4.3256666666666668</v>
      </c>
      <c r="G26" s="267">
        <f>G24*(G22-G23)</f>
        <v>4.3315000000000001</v>
      </c>
    </row>
    <row r="27" spans="2:10" x14ac:dyDescent="0.2">
      <c r="B27" s="127" t="s">
        <v>340</v>
      </c>
      <c r="D27" s="267">
        <f>MAX(D25*D23,0)</f>
        <v>0.72083333333334854</v>
      </c>
      <c r="E27" s="267">
        <f>MAX(E25*E23,0)</f>
        <v>2.6375000000000002</v>
      </c>
      <c r="F27" s="267">
        <f>MAX(F25*F23,0)</f>
        <v>0.29166666666665153</v>
      </c>
      <c r="G27" s="267">
        <f>MAX(G25*G23,0)</f>
        <v>1.7941055967074135</v>
      </c>
    </row>
    <row r="28" spans="2:10" x14ac:dyDescent="0.2">
      <c r="B28" s="127" t="s">
        <v>341</v>
      </c>
      <c r="D28" s="267">
        <f>D26+D27</f>
        <v>4.979333333333348</v>
      </c>
      <c r="E28" s="267">
        <f>E26+E27</f>
        <v>6.9104166666666673</v>
      </c>
      <c r="F28" s="267">
        <f>F26+F27</f>
        <v>4.6173333333333186</v>
      </c>
      <c r="G28" s="267">
        <f>G26+G27</f>
        <v>6.1256055967074134</v>
      </c>
      <c r="I28" s="127" t="s">
        <v>342</v>
      </c>
    </row>
    <row r="29" spans="2:10" x14ac:dyDescent="0.2">
      <c r="B29" s="127" t="s">
        <v>330</v>
      </c>
      <c r="D29" s="346">
        <f>$D$8*0.8+$D$6*0.2</f>
        <v>33690.127853679318</v>
      </c>
      <c r="E29" s="346">
        <f>$D$8*0.8+$D$6*0.2</f>
        <v>33690.127853679318</v>
      </c>
      <c r="F29" s="346">
        <f>$D$8*0.8+$D$6*0.2</f>
        <v>33690.127853679318</v>
      </c>
      <c r="G29" s="346">
        <f>$D$8*0.8+$D$6*0.2</f>
        <v>33690.127853679318</v>
      </c>
      <c r="I29" s="127">
        <v>2024</v>
      </c>
      <c r="J29" s="127">
        <v>2025</v>
      </c>
    </row>
    <row r="30" spans="2:10" x14ac:dyDescent="0.2">
      <c r="B30" s="127" t="s">
        <v>343</v>
      </c>
      <c r="D30" s="267">
        <f>D28*D29</f>
        <v>167754.3766260877</v>
      </c>
      <c r="E30" s="267">
        <f>E28*E29</f>
        <v>232812.82102219647</v>
      </c>
      <c r="F30" s="267">
        <f>F28*F29</f>
        <v>155558.55034305481</v>
      </c>
      <c r="G30" s="267">
        <f>G28*G29</f>
        <v>206372.43573428635</v>
      </c>
      <c r="I30" s="457">
        <f ca="1">F30*$Q$14</f>
        <v>23232.562292328537</v>
      </c>
      <c r="J30" s="267">
        <f ca="1">F30*$R$3+G30*$R$10</f>
        <v>174061.19047700416</v>
      </c>
    </row>
    <row r="31" spans="2:10" x14ac:dyDescent="0.2">
      <c r="D31" s="267"/>
      <c r="E31" s="308"/>
      <c r="F31" s="308"/>
      <c r="G31" s="308"/>
    </row>
    <row r="33" spans="2:14" x14ac:dyDescent="0.2">
      <c r="D33" s="127">
        <v>2022</v>
      </c>
      <c r="E33" s="127">
        <v>2023</v>
      </c>
      <c r="F33" s="127">
        <v>2024</v>
      </c>
      <c r="G33" s="127">
        <v>2025</v>
      </c>
      <c r="H33" s="127">
        <v>2026</v>
      </c>
      <c r="N33" s="348"/>
    </row>
    <row r="34" spans="2:14" x14ac:dyDescent="0.2">
      <c r="B34" s="127" t="s">
        <v>344</v>
      </c>
      <c r="D34" s="175">
        <f>D19</f>
        <v>381521.44298127654</v>
      </c>
      <c r="E34" s="175">
        <f>E19</f>
        <v>437006.61310837761</v>
      </c>
      <c r="F34" s="175">
        <f>F19</f>
        <v>430949.61736585328</v>
      </c>
      <c r="G34" s="175">
        <f>G19</f>
        <v>409699.83466543403</v>
      </c>
      <c r="N34" s="348"/>
    </row>
    <row r="35" spans="2:14" x14ac:dyDescent="0.2">
      <c r="B35" s="127" t="s">
        <v>345</v>
      </c>
      <c r="D35" s="267">
        <f ca="1">C34*$R$3</f>
        <v>0</v>
      </c>
      <c r="E35" s="267">
        <f ca="1">D34*$R$3</f>
        <v>242599.69140654322</v>
      </c>
      <c r="F35" s="457"/>
      <c r="G35" s="267">
        <f ca="1">F34*$R$3</f>
        <v>274029.79860781942</v>
      </c>
      <c r="H35" s="267">
        <f ca="1">G34*$R$3</f>
        <v>260517.60730005379</v>
      </c>
      <c r="N35" s="348"/>
    </row>
    <row r="36" spans="2:14" x14ac:dyDescent="0.2">
      <c r="B36" s="127" t="s">
        <v>346</v>
      </c>
      <c r="D36" s="267">
        <f ca="1">D34*$R$10</f>
        <v>138921.75157473335</v>
      </c>
      <c r="E36" s="267">
        <f ca="1">E34*$R$10</f>
        <v>159125.32639937889</v>
      </c>
      <c r="F36" s="457">
        <f ca="1">F34*$Q$14</f>
        <v>64362.028369560088</v>
      </c>
      <c r="G36" s="267">
        <f ca="1">G34*$R$10</f>
        <v>149182.22736538024</v>
      </c>
      <c r="N36" s="348"/>
    </row>
    <row r="37" spans="2:14" ht="15" x14ac:dyDescent="0.25">
      <c r="B37" s="177" t="s">
        <v>347</v>
      </c>
      <c r="C37" s="177"/>
      <c r="D37" s="307">
        <f ca="1">D35+D36</f>
        <v>138921.75157473335</v>
      </c>
      <c r="E37" s="307">
        <f ca="1">E35+E36</f>
        <v>401725.01780592208</v>
      </c>
      <c r="F37" s="307">
        <f ca="1">F35+F36</f>
        <v>64362.028369560088</v>
      </c>
      <c r="G37" s="307">
        <f ca="1">G35+G36</f>
        <v>423212.02597319963</v>
      </c>
      <c r="H37" s="175"/>
    </row>
    <row r="38" spans="2:14" x14ac:dyDescent="0.2">
      <c r="B38" s="127" t="s">
        <v>348</v>
      </c>
      <c r="D38" s="175">
        <f>D30</f>
        <v>167754.3766260877</v>
      </c>
      <c r="E38" s="175">
        <f>E30</f>
        <v>232812.82102219647</v>
      </c>
      <c r="F38" s="175">
        <f>F30</f>
        <v>155558.55034305481</v>
      </c>
      <c r="G38" s="175">
        <f>G30</f>
        <v>206372.43573428635</v>
      </c>
    </row>
    <row r="39" spans="2:14" x14ac:dyDescent="0.2">
      <c r="B39" s="127" t="s">
        <v>345</v>
      </c>
      <c r="D39" s="267">
        <f ca="1">C38*$R$3</f>
        <v>0</v>
      </c>
      <c r="E39" s="267">
        <f ca="1">D38*$R$3</f>
        <v>106670.70160872491</v>
      </c>
      <c r="F39" s="457"/>
      <c r="G39" s="267">
        <f ca="1">F38*$R$3</f>
        <v>98915.688759141005</v>
      </c>
      <c r="H39" s="267">
        <f ca="1">G38*$R$3</f>
        <v>131226.93401642318</v>
      </c>
    </row>
    <row r="40" spans="2:14" x14ac:dyDescent="0.2">
      <c r="B40" s="127" t="s">
        <v>346</v>
      </c>
      <c r="D40" s="267">
        <f ca="1">D38*$R$10</f>
        <v>61083.67501736281</v>
      </c>
      <c r="E40" s="267">
        <f ca="1">E38*$R$10</f>
        <v>84773.124762598687</v>
      </c>
      <c r="F40" s="457">
        <f ca="1">F38*$Q$14</f>
        <v>23232.562292328537</v>
      </c>
      <c r="G40" s="267">
        <f ca="1">G38*$R$10</f>
        <v>75145.501717863168</v>
      </c>
    </row>
    <row r="41" spans="2:14" ht="15" x14ac:dyDescent="0.25">
      <c r="B41" s="177" t="s">
        <v>347</v>
      </c>
      <c r="C41" s="177"/>
      <c r="D41" s="307">
        <f ca="1">D39+D40</f>
        <v>61083.67501736281</v>
      </c>
      <c r="E41" s="307">
        <f ca="1">E39+E40</f>
        <v>191443.82637132361</v>
      </c>
      <c r="F41" s="307">
        <f ca="1">F39+F40</f>
        <v>23232.562292328537</v>
      </c>
      <c r="G41" s="307">
        <f ca="1">G39+G40</f>
        <v>174061.19047700416</v>
      </c>
    </row>
    <row r="45" spans="2:14" x14ac:dyDescent="0.2">
      <c r="D45" s="127" t="s">
        <v>312</v>
      </c>
      <c r="E45" s="127" t="s">
        <v>313</v>
      </c>
      <c r="F45" s="278" t="s">
        <v>314</v>
      </c>
    </row>
    <row r="46" spans="2:14" x14ac:dyDescent="0.2">
      <c r="C46" s="127" t="s">
        <v>91</v>
      </c>
      <c r="D46" s="334">
        <f ca="1">F37</f>
        <v>64362.028369560088</v>
      </c>
      <c r="E46" s="334">
        <f ca="1">G37</f>
        <v>423212.02597319963</v>
      </c>
      <c r="F46" s="334">
        <f ca="1">D46+E46</f>
        <v>487574.05434275971</v>
      </c>
    </row>
    <row r="47" spans="2:14" x14ac:dyDescent="0.2">
      <c r="C47" s="127" t="s">
        <v>349</v>
      </c>
      <c r="D47" s="334">
        <f ca="1">F41</f>
        <v>23232.562292328537</v>
      </c>
      <c r="E47" s="334">
        <f ca="1">G41</f>
        <v>174061.19047700416</v>
      </c>
      <c r="F47" s="334">
        <f ca="1">D47+E47</f>
        <v>197293.7527693327</v>
      </c>
    </row>
    <row r="48" spans="2:14" ht="15" x14ac:dyDescent="0.25">
      <c r="C48" s="127" t="s">
        <v>97</v>
      </c>
      <c r="D48" s="337">
        <f ca="1">SUM(D46:D47)</f>
        <v>87594.590661888622</v>
      </c>
      <c r="E48" s="337">
        <f ca="1">SUM(E46:E47)</f>
        <v>597273.21645020379</v>
      </c>
      <c r="F48" s="337">
        <f ca="1">D48*2+E48</f>
        <v>772462.39777398109</v>
      </c>
    </row>
  </sheetData>
  <mergeCells count="3">
    <mergeCell ref="O2:Q2"/>
    <mergeCell ref="R3:R9"/>
    <mergeCell ref="R10:R15"/>
  </mergeCells>
  <hyperlinks>
    <hyperlink ref="F7" r:id="rId1" xr:uid="{61D86BFA-C3E2-4DFD-A092-D68CEEBB83E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262D-79D1-4138-A0F0-847445E39E8F}">
  <sheetPr>
    <tabColor theme="3" tint="0.79998168889431442"/>
  </sheetPr>
  <dimension ref="B2:J15"/>
  <sheetViews>
    <sheetView workbookViewId="0">
      <selection activeCell="D6" sqref="D6"/>
    </sheetView>
  </sheetViews>
  <sheetFormatPr defaultColWidth="10.1640625" defaultRowHeight="14.25" x14ac:dyDescent="0.2"/>
  <cols>
    <col min="1" max="1" width="10.1640625" style="349"/>
    <col min="2" max="2" width="16.1640625" style="349" customWidth="1"/>
    <col min="3" max="3" width="13.33203125" style="349" customWidth="1"/>
    <col min="4" max="4" width="14.83203125" style="349" bestFit="1" customWidth="1"/>
    <col min="5" max="5" width="15.6640625" style="349" bestFit="1" customWidth="1"/>
    <col min="6" max="6" width="1.33203125" style="349" customWidth="1"/>
    <col min="7" max="7" width="11.83203125" style="349" bestFit="1" customWidth="1"/>
    <col min="8" max="8" width="14.6640625" style="349" bestFit="1" customWidth="1"/>
    <col min="9" max="16384" width="10.1640625" style="349"/>
  </cols>
  <sheetData>
    <row r="2" spans="2:10" x14ac:dyDescent="0.2">
      <c r="D2" s="478" t="s">
        <v>127</v>
      </c>
      <c r="E2" s="479"/>
      <c r="G2" s="478" t="s">
        <v>130</v>
      </c>
      <c r="H2" s="479"/>
    </row>
    <row r="3" spans="2:10" x14ac:dyDescent="0.2">
      <c r="D3" s="350">
        <v>2024</v>
      </c>
      <c r="E3" s="351">
        <v>2025</v>
      </c>
      <c r="G3" s="350">
        <v>2024</v>
      </c>
      <c r="H3" s="351">
        <v>2025</v>
      </c>
    </row>
    <row r="4" spans="2:10" x14ac:dyDescent="0.2">
      <c r="B4" s="352"/>
      <c r="C4" s="353" t="s">
        <v>91</v>
      </c>
      <c r="D4" s="458">
        <f>'EV Forecast'!M53*(1/12)</f>
        <v>159491.66490284391</v>
      </c>
      <c r="E4" s="355">
        <f>'EV Forecast'!N53+D4*2</f>
        <v>3119819.7374417265</v>
      </c>
      <c r="F4" s="356"/>
      <c r="G4" s="354"/>
      <c r="H4" s="355"/>
    </row>
    <row r="5" spans="2:10" x14ac:dyDescent="0.2">
      <c r="B5" s="350" t="s">
        <v>238</v>
      </c>
      <c r="C5" s="349" t="s">
        <v>131</v>
      </c>
      <c r="D5" s="459">
        <f>'EV Forecast'!M54*(1/12)</f>
        <v>40087.234500744271</v>
      </c>
      <c r="E5" s="358">
        <f>'EV Forecast'!N54+D5*2</f>
        <v>784147.21854625817</v>
      </c>
      <c r="F5" s="356"/>
      <c r="G5" s="357"/>
      <c r="H5" s="358"/>
    </row>
    <row r="6" spans="2:10" x14ac:dyDescent="0.2">
      <c r="B6" s="350"/>
      <c r="C6" s="349" t="s">
        <v>132</v>
      </c>
      <c r="D6" s="459">
        <f>'EV Forecast'!M55*(1/12)</f>
        <v>39105.128087137964</v>
      </c>
      <c r="E6" s="358">
        <f>'EV Forecast'!N55+D6*2</f>
        <v>764936.21479064785</v>
      </c>
      <c r="F6" s="356"/>
      <c r="G6" s="459">
        <f>'EV Forecast'!M60*(1/12)</f>
        <v>267.84334306258881</v>
      </c>
      <c r="H6" s="358">
        <f>'EV Forecast'!N60+G6*2</f>
        <v>5239.2891424016971</v>
      </c>
    </row>
    <row r="7" spans="2:10" ht="15" x14ac:dyDescent="0.25">
      <c r="B7" s="359"/>
      <c r="C7" s="360" t="s">
        <v>97</v>
      </c>
      <c r="D7" s="361">
        <f>SUM(D4:D6)</f>
        <v>238684.02749072615</v>
      </c>
      <c r="E7" s="362">
        <f>SUM(E4:E6)</f>
        <v>4668903.1707786322</v>
      </c>
      <c r="F7" s="363"/>
      <c r="G7" s="361">
        <f>SUM(G4:G6)</f>
        <v>267.84334306258881</v>
      </c>
      <c r="H7" s="362">
        <f>SUM(H4:H6)</f>
        <v>5239.2891424016971</v>
      </c>
    </row>
    <row r="8" spans="2:10" x14ac:dyDescent="0.2">
      <c r="B8" s="352"/>
      <c r="C8" s="353" t="s">
        <v>91</v>
      </c>
      <c r="D8" s="354">
        <f ca="1">+Heating!I19</f>
        <v>64362.028369560088</v>
      </c>
      <c r="E8" s="355">
        <f ca="1">+Heating!J19+D8</f>
        <v>487574.05434275971</v>
      </c>
      <c r="F8" s="356"/>
      <c r="G8" s="354"/>
      <c r="H8" s="355"/>
    </row>
    <row r="9" spans="2:10" x14ac:dyDescent="0.2">
      <c r="B9" s="350" t="s">
        <v>350</v>
      </c>
      <c r="C9" s="349" t="s">
        <v>131</v>
      </c>
      <c r="D9" s="357">
        <f ca="1">+Heating!I30</f>
        <v>23232.562292328537</v>
      </c>
      <c r="E9" s="358">
        <f ca="1">+Heating!J30+D9</f>
        <v>197293.7527693327</v>
      </c>
      <c r="F9" s="356"/>
      <c r="G9" s="357"/>
      <c r="H9" s="358"/>
    </row>
    <row r="10" spans="2:10" x14ac:dyDescent="0.2">
      <c r="B10" s="350"/>
      <c r="C10" s="349" t="s">
        <v>132</v>
      </c>
      <c r="D10" s="357"/>
      <c r="E10" s="358"/>
      <c r="F10" s="356"/>
      <c r="G10" s="357"/>
      <c r="H10" s="358"/>
      <c r="J10" s="349" t="s">
        <v>351</v>
      </c>
    </row>
    <row r="11" spans="2:10" ht="15" x14ac:dyDescent="0.25">
      <c r="B11" s="359"/>
      <c r="C11" s="360" t="s">
        <v>97</v>
      </c>
      <c r="D11" s="361">
        <f ca="1">SUM(D8:D10)</f>
        <v>87594.590661888622</v>
      </c>
      <c r="E11" s="362">
        <f ca="1">SUM(E8:E10)</f>
        <v>684867.80711209239</v>
      </c>
      <c r="F11" s="363"/>
      <c r="G11" s="361">
        <f>SUM(G8:G10)</f>
        <v>0</v>
      </c>
      <c r="H11" s="362">
        <f>SUM(H8:H10)</f>
        <v>0</v>
      </c>
      <c r="J11" s="349" t="s">
        <v>352</v>
      </c>
    </row>
    <row r="12" spans="2:10" x14ac:dyDescent="0.2">
      <c r="B12" s="352"/>
      <c r="C12" s="353" t="s">
        <v>91</v>
      </c>
      <c r="D12" s="354">
        <f t="shared" ref="D12:E14" ca="1" si="0">D4+D8</f>
        <v>223853.69327240399</v>
      </c>
      <c r="E12" s="355">
        <f t="shared" ca="1" si="0"/>
        <v>3607393.7917844863</v>
      </c>
      <c r="F12" s="356"/>
      <c r="G12" s="354"/>
      <c r="H12" s="355"/>
    </row>
    <row r="13" spans="2:10" ht="15" x14ac:dyDescent="0.25">
      <c r="B13" s="364" t="s">
        <v>97</v>
      </c>
      <c r="C13" s="349" t="s">
        <v>131</v>
      </c>
      <c r="D13" s="357">
        <f t="shared" ca="1" si="0"/>
        <v>63319.796793072805</v>
      </c>
      <c r="E13" s="358">
        <f t="shared" ca="1" si="0"/>
        <v>981440.9713155909</v>
      </c>
      <c r="F13" s="356"/>
      <c r="G13" s="357"/>
      <c r="H13" s="358"/>
    </row>
    <row r="14" spans="2:10" x14ac:dyDescent="0.2">
      <c r="B14" s="350"/>
      <c r="C14" s="349" t="s">
        <v>132</v>
      </c>
      <c r="D14" s="357">
        <f t="shared" si="0"/>
        <v>39105.128087137964</v>
      </c>
      <c r="E14" s="358">
        <f t="shared" si="0"/>
        <v>764936.21479064785</v>
      </c>
      <c r="F14" s="356"/>
      <c r="G14" s="357">
        <f>G6+G10</f>
        <v>267.84334306258881</v>
      </c>
      <c r="H14" s="358">
        <f>H6+H10</f>
        <v>5239.2891424016971</v>
      </c>
    </row>
    <row r="15" spans="2:10" ht="15" x14ac:dyDescent="0.25">
      <c r="B15" s="359"/>
      <c r="C15" s="360" t="s">
        <v>97</v>
      </c>
      <c r="D15" s="361">
        <f ca="1">SUM(D12:D14)</f>
        <v>326278.61815261474</v>
      </c>
      <c r="E15" s="362">
        <f ca="1">SUM(E12:E14)</f>
        <v>5353770.9778907252</v>
      </c>
      <c r="F15" s="363"/>
      <c r="G15" s="361">
        <f>SUM(G12:G14)</f>
        <v>267.84334306258881</v>
      </c>
      <c r="H15" s="362">
        <f>SUM(H12:H14)</f>
        <v>5239.2891424016971</v>
      </c>
    </row>
  </sheetData>
  <mergeCells count="2">
    <mergeCell ref="D2:E2"/>
    <mergeCell ref="G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514A-A098-40A5-8393-8EFF172C76EF}">
  <sheetPr codeName="Sheet18">
    <tabColor rgb="FFFF0000"/>
  </sheetPr>
  <dimension ref="A2:BA60"/>
  <sheetViews>
    <sheetView topLeftCell="AC1" workbookViewId="0">
      <selection activeCell="H14" sqref="H14"/>
    </sheetView>
  </sheetViews>
  <sheetFormatPr defaultRowHeight="12.75" x14ac:dyDescent="0.2"/>
  <cols>
    <col min="3" max="3" width="13.33203125" customWidth="1"/>
    <col min="4" max="4" width="11.83203125" bestFit="1" customWidth="1"/>
    <col min="5" max="5" width="13" bestFit="1" customWidth="1"/>
    <col min="6" max="6" width="1.83203125" customWidth="1"/>
    <col min="7" max="7" width="14.5" customWidth="1"/>
    <col min="8" max="8" width="11.83203125" bestFit="1" customWidth="1"/>
    <col min="9" max="9" width="13" bestFit="1" customWidth="1"/>
    <col min="10" max="11" width="13" customWidth="1"/>
    <col min="14" max="16" width="13" bestFit="1" customWidth="1"/>
    <col min="17" max="17" width="5" customWidth="1"/>
    <col min="18" max="20" width="13" bestFit="1" customWidth="1"/>
    <col min="21" max="22" width="13" customWidth="1"/>
    <col min="24" max="24" width="5.83203125" bestFit="1" customWidth="1"/>
    <col min="25" max="25" width="13" customWidth="1"/>
    <col min="26" max="26" width="11.6640625" bestFit="1" customWidth="1"/>
    <col min="27" max="27" width="13" bestFit="1" customWidth="1"/>
    <col min="28" max="28" width="3.6640625" customWidth="1"/>
    <col min="29" max="29" width="13" bestFit="1" customWidth="1"/>
    <col min="30" max="30" width="11.5" customWidth="1"/>
    <col min="31" max="31" width="13" bestFit="1" customWidth="1"/>
    <col min="32" max="33" width="13" customWidth="1"/>
    <col min="35" max="35" width="5.83203125" bestFit="1" customWidth="1"/>
    <col min="36" max="36" width="13" bestFit="1" customWidth="1"/>
    <col min="37" max="37" width="8.83203125" customWidth="1"/>
    <col min="38" max="38" width="11" customWidth="1"/>
    <col min="39" max="39" width="12.1640625" customWidth="1"/>
    <col min="41" max="41" width="7.1640625" bestFit="1" customWidth="1"/>
    <col min="42" max="42" width="12.1640625" customWidth="1"/>
    <col min="43" max="43" width="9" bestFit="1" customWidth="1"/>
    <col min="44" max="44" width="12.5" bestFit="1" customWidth="1"/>
    <col min="45" max="45" width="12.1640625" customWidth="1"/>
    <col min="47" max="47" width="5.83203125" bestFit="1" customWidth="1"/>
    <col min="48" max="48" width="10.6640625" bestFit="1" customWidth="1"/>
    <col min="49" max="49" width="13.5" customWidth="1"/>
    <col min="50" max="50" width="12.1640625" customWidth="1"/>
    <col min="51" max="51" width="10.83203125" customWidth="1"/>
  </cols>
  <sheetData>
    <row r="2" spans="2:53" x14ac:dyDescent="0.2">
      <c r="B2" s="480" t="s">
        <v>344</v>
      </c>
      <c r="C2" s="480"/>
      <c r="D2" s="480"/>
      <c r="E2" s="480"/>
      <c r="F2" s="480"/>
      <c r="G2" s="480"/>
      <c r="H2" s="480"/>
      <c r="I2" s="480"/>
      <c r="J2" s="97"/>
      <c r="K2" s="97"/>
      <c r="M2" s="480" t="s">
        <v>348</v>
      </c>
      <c r="N2" s="480"/>
      <c r="O2" s="480"/>
      <c r="P2" s="480"/>
      <c r="Q2" s="480"/>
      <c r="R2" s="480"/>
      <c r="S2" s="480"/>
      <c r="T2" s="480"/>
      <c r="U2" s="97"/>
      <c r="V2" s="97"/>
      <c r="X2" s="480" t="s">
        <v>348</v>
      </c>
      <c r="Y2" s="480"/>
      <c r="Z2" s="480"/>
      <c r="AA2" s="480"/>
      <c r="AB2" s="480"/>
      <c r="AC2" s="480"/>
      <c r="AD2" s="480"/>
      <c r="AE2" s="480"/>
      <c r="AF2" s="97"/>
      <c r="AG2" s="97"/>
      <c r="AI2" s="480" t="s">
        <v>353</v>
      </c>
      <c r="AJ2" s="480"/>
      <c r="AK2" s="480"/>
      <c r="AL2" s="480"/>
      <c r="AM2" s="480"/>
      <c r="AO2" s="480" t="s">
        <v>354</v>
      </c>
      <c r="AP2" s="480"/>
      <c r="AQ2" s="480"/>
      <c r="AR2" s="480"/>
      <c r="AS2" s="480"/>
      <c r="AU2" s="480" t="s">
        <v>94</v>
      </c>
      <c r="AV2" s="480"/>
      <c r="AW2" s="480"/>
      <c r="AX2" s="480"/>
      <c r="AY2" s="480"/>
    </row>
    <row r="3" spans="2:53" ht="51" x14ac:dyDescent="0.2">
      <c r="B3" s="34" t="s">
        <v>1</v>
      </c>
      <c r="C3" s="34" t="s">
        <v>355</v>
      </c>
      <c r="D3" s="34" t="s">
        <v>356</v>
      </c>
      <c r="E3" s="34" t="s">
        <v>357</v>
      </c>
      <c r="F3" s="34"/>
      <c r="G3" s="34" t="s">
        <v>358</v>
      </c>
      <c r="H3" s="34" t="s">
        <v>356</v>
      </c>
      <c r="I3" s="34" t="s">
        <v>164</v>
      </c>
      <c r="J3" s="249" t="s">
        <v>359</v>
      </c>
      <c r="K3" s="249" t="s">
        <v>360</v>
      </c>
      <c r="M3" s="34" t="s">
        <v>1</v>
      </c>
      <c r="N3" s="34" t="s">
        <v>355</v>
      </c>
      <c r="O3" s="34" t="s">
        <v>356</v>
      </c>
      <c r="P3" s="34" t="s">
        <v>357</v>
      </c>
      <c r="Q3" s="34"/>
      <c r="R3" s="34" t="s">
        <v>358</v>
      </c>
      <c r="S3" s="34" t="s">
        <v>356</v>
      </c>
      <c r="T3" s="34" t="s">
        <v>164</v>
      </c>
      <c r="U3" s="249" t="s">
        <v>359</v>
      </c>
      <c r="V3" s="249" t="s">
        <v>360</v>
      </c>
      <c r="X3" s="34" t="s">
        <v>1</v>
      </c>
      <c r="Y3" s="34" t="s">
        <v>355</v>
      </c>
      <c r="Z3" s="34" t="s">
        <v>356</v>
      </c>
      <c r="AA3" s="34" t="s">
        <v>357</v>
      </c>
      <c r="AB3" s="34"/>
      <c r="AC3" s="34" t="s">
        <v>358</v>
      </c>
      <c r="AD3" s="34" t="s">
        <v>356</v>
      </c>
      <c r="AE3" s="34" t="s">
        <v>164</v>
      </c>
      <c r="AF3" s="249" t="s">
        <v>359</v>
      </c>
      <c r="AG3" s="249" t="s">
        <v>360</v>
      </c>
      <c r="AI3" s="35" t="s">
        <v>1</v>
      </c>
      <c r="AJ3" s="34" t="s">
        <v>355</v>
      </c>
      <c r="AK3" s="34" t="s">
        <v>361</v>
      </c>
      <c r="AL3" s="34" t="s">
        <v>362</v>
      </c>
      <c r="AM3" s="34" t="s">
        <v>363</v>
      </c>
      <c r="AO3" s="35" t="s">
        <v>1</v>
      </c>
      <c r="AP3" s="34" t="s">
        <v>355</v>
      </c>
      <c r="AQ3" s="34" t="s">
        <v>361</v>
      </c>
      <c r="AR3" s="34" t="s">
        <v>362</v>
      </c>
      <c r="AS3" s="34" t="s">
        <v>363</v>
      </c>
      <c r="AU3" s="35" t="s">
        <v>1</v>
      </c>
      <c r="AV3" s="35" t="s">
        <v>355</v>
      </c>
      <c r="AW3" s="35" t="s">
        <v>364</v>
      </c>
      <c r="AX3" s="34" t="s">
        <v>365</v>
      </c>
      <c r="AY3" s="34" t="s">
        <v>363</v>
      </c>
    </row>
    <row r="4" spans="2:53" x14ac:dyDescent="0.2">
      <c r="B4" s="35"/>
      <c r="C4" s="35" t="s">
        <v>261</v>
      </c>
      <c r="D4" s="35" t="s">
        <v>263</v>
      </c>
      <c r="E4" s="35" t="s">
        <v>366</v>
      </c>
      <c r="F4" s="35"/>
      <c r="G4" s="35" t="s">
        <v>266</v>
      </c>
      <c r="H4" s="35" t="s">
        <v>367</v>
      </c>
      <c r="I4" s="35" t="s">
        <v>368</v>
      </c>
      <c r="J4" s="97" t="s">
        <v>369</v>
      </c>
      <c r="K4" s="97" t="s">
        <v>370</v>
      </c>
      <c r="M4" s="35"/>
      <c r="N4" s="35" t="s">
        <v>261</v>
      </c>
      <c r="O4" s="35" t="s">
        <v>263</v>
      </c>
      <c r="P4" s="35" t="s">
        <v>366</v>
      </c>
      <c r="Q4" s="35"/>
      <c r="R4" s="35" t="s">
        <v>266</v>
      </c>
      <c r="S4" s="35" t="s">
        <v>367</v>
      </c>
      <c r="T4" s="35" t="s">
        <v>368</v>
      </c>
      <c r="U4" s="97" t="s">
        <v>369</v>
      </c>
      <c r="V4" s="97" t="s">
        <v>370</v>
      </c>
      <c r="X4" s="35"/>
      <c r="Y4" s="35" t="s">
        <v>261</v>
      </c>
      <c r="Z4" s="35" t="s">
        <v>263</v>
      </c>
      <c r="AA4" s="35" t="s">
        <v>366</v>
      </c>
      <c r="AB4" s="35"/>
      <c r="AC4" s="35" t="s">
        <v>266</v>
      </c>
      <c r="AD4" s="35" t="s">
        <v>367</v>
      </c>
      <c r="AE4" s="35" t="s">
        <v>368</v>
      </c>
      <c r="AF4" s="97" t="s">
        <v>369</v>
      </c>
      <c r="AG4" s="97" t="s">
        <v>370</v>
      </c>
      <c r="AI4" s="35"/>
      <c r="AJ4" s="35" t="s">
        <v>261</v>
      </c>
      <c r="AK4" s="35" t="s">
        <v>263</v>
      </c>
      <c r="AL4" s="35" t="s">
        <v>264</v>
      </c>
      <c r="AM4" s="35" t="s">
        <v>371</v>
      </c>
      <c r="AO4" s="35"/>
      <c r="AP4" s="35" t="s">
        <v>261</v>
      </c>
      <c r="AQ4" s="35" t="s">
        <v>263</v>
      </c>
      <c r="AR4" s="35" t="s">
        <v>264</v>
      </c>
      <c r="AS4" s="35" t="s">
        <v>371</v>
      </c>
      <c r="AU4" s="35"/>
      <c r="AV4" s="35" t="s">
        <v>261</v>
      </c>
      <c r="AW4" s="35" t="s">
        <v>263</v>
      </c>
      <c r="AX4" s="35" t="s">
        <v>264</v>
      </c>
      <c r="AY4" s="35" t="s">
        <v>371</v>
      </c>
    </row>
    <row r="5" spans="2:53" x14ac:dyDescent="0.2">
      <c r="B5" s="36">
        <v>2014</v>
      </c>
      <c r="C5" s="37">
        <f>SUMIF('Monthly Data'!$B:$B,B5,'Monthly Data'!D:D)</f>
        <v>401059651.72946942</v>
      </c>
      <c r="D5" s="37">
        <f>SUMIF('Monthly Data'!$B:$B,B5,'Monthly Data'!E:E)</f>
        <v>2072386.5504232105</v>
      </c>
      <c r="E5" s="37">
        <f>SUMIF('Monthly Data'!$B:$B,B5,'Monthly Data'!F:F)</f>
        <v>403132038.27989262</v>
      </c>
      <c r="F5" s="37"/>
      <c r="G5" s="37">
        <f ca="1">SUMIF('Res Normalized'!$C:$C,B5,'Res Normalized'!$Q:$Q)</f>
        <v>386037441.37857193</v>
      </c>
      <c r="H5" s="37">
        <f t="shared" ref="H5:H13" si="0">D5</f>
        <v>2072386.5504232105</v>
      </c>
      <c r="I5" s="37">
        <f t="shared" ref="I5:I14" ca="1" si="1">G5-H5</f>
        <v>383965054.82814872</v>
      </c>
      <c r="J5" s="37"/>
      <c r="K5" s="38">
        <f t="shared" ref="K5:K14" ca="1" si="2">I5+J5</f>
        <v>383965054.82814872</v>
      </c>
      <c r="M5" s="36">
        <v>2014</v>
      </c>
      <c r="N5" s="37">
        <f>SUMIF('Monthly Data'!$B:$B,M5,'Monthly Data'!H:H)</f>
        <v>144307855.4645004</v>
      </c>
      <c r="O5" s="37">
        <f>SUMIF('Monthly Data'!$B:$B,M5,'Monthly Data'!I:I)</f>
        <v>467660.43998650002</v>
      </c>
      <c r="P5" s="37">
        <f>SUMIF('Monthly Data'!$B:$B,M5,'Monthly Data'!J:J)</f>
        <v>144775515.90448689</v>
      </c>
      <c r="Q5" s="37"/>
      <c r="R5" s="37">
        <f ca="1">SUMIF('GS&lt;50 Normalized'!$C:$C,M5,'GS&lt;50 Normalized'!$S:$S)</f>
        <v>139470203.56493002</v>
      </c>
      <c r="S5" s="37">
        <f t="shared" ref="S5:S13" si="3">O5</f>
        <v>467660.43998650002</v>
      </c>
      <c r="T5" s="37">
        <f t="shared" ref="T5:T14" ca="1" si="4">R5-S5</f>
        <v>139002543.12494352</v>
      </c>
      <c r="U5" s="37"/>
      <c r="V5" s="38">
        <f t="shared" ref="V5:V14" ca="1" si="5">T5+U5</f>
        <v>139002543.12494352</v>
      </c>
      <c r="X5" s="36">
        <v>2014</v>
      </c>
      <c r="Y5" s="37">
        <f>SUMIF('Monthly Data'!$B:$B,X5,'Monthly Data'!L:L)</f>
        <v>378009413.04113448</v>
      </c>
      <c r="Z5" s="37">
        <f>SUMIF('Monthly Data'!$B:$B,X5,'Monthly Data'!M:M)</f>
        <v>1836290.6736215001</v>
      </c>
      <c r="AA5" s="37">
        <f>SUMIF('Monthly Data'!$B:$B,X5,'Monthly Data'!N:N)</f>
        <v>379845703.71475601</v>
      </c>
      <c r="AB5" s="37"/>
      <c r="AC5" s="37">
        <f ca="1">SUMIF('GS&gt;50 Normalized'!$C:$C,X5,'GS&gt;50 Normalized'!$U:$U)</f>
        <v>372603638.17324567</v>
      </c>
      <c r="AD5" s="37">
        <f t="shared" ref="AD5:AD14" si="6">Z5</f>
        <v>1836290.6736215001</v>
      </c>
      <c r="AE5" s="37">
        <f t="shared" ref="AE5:AE14" ca="1" si="7">AC5-AD5</f>
        <v>370767347.49962419</v>
      </c>
      <c r="AF5" s="37"/>
      <c r="AG5" s="38">
        <f t="shared" ref="AG5:AG14" ca="1" si="8">AE5+AF5</f>
        <v>370767347.49962419</v>
      </c>
      <c r="AI5" s="36">
        <f t="shared" ref="AI5:AI16" si="9">B5</f>
        <v>2014</v>
      </c>
      <c r="AJ5" s="37">
        <f>SUMIF('Monthly Data'!$B:$B,X5,'Monthly Data'!Q:Q)</f>
        <v>7654362.5332068307</v>
      </c>
      <c r="AK5" s="37">
        <f>'Customer Count'!O4</f>
        <v>9736</v>
      </c>
      <c r="AL5" s="37">
        <f>AJ5/AK5</f>
        <v>786.19171458574681</v>
      </c>
      <c r="AM5" s="37">
        <f t="shared" ref="AM5:AM14" si="10">AL5*AK5</f>
        <v>7654362.5332068307</v>
      </c>
      <c r="AO5" s="36">
        <v>2014</v>
      </c>
      <c r="AP5" s="37">
        <f>SUMIF('Monthly Data'!$B:$B,X5,'Monthly Data'!T:T)</f>
        <v>438853.51043643302</v>
      </c>
      <c r="AQ5" s="37">
        <f>'Customer Count'!S4</f>
        <v>413</v>
      </c>
      <c r="AR5" s="37">
        <f>AP5/AQ5</f>
        <v>1062.5992988775618</v>
      </c>
      <c r="AS5" s="37">
        <f t="shared" ref="AS5:AS10" si="11">AR5*AQ5</f>
        <v>438853.51043643302</v>
      </c>
      <c r="AU5" s="36">
        <v>2014</v>
      </c>
      <c r="AV5" s="37">
        <f>SUMIF('Monthly Data'!$B:$B,X5,'Monthly Data'!W:W)</f>
        <v>1346882.7112660531</v>
      </c>
      <c r="AW5" s="37">
        <f>'Customer Count'!W4</f>
        <v>332.25</v>
      </c>
      <c r="AX5" s="37">
        <f t="shared" ref="AX5:AX14" si="12">AV5/AW5</f>
        <v>4053.8230587390613</v>
      </c>
      <c r="AY5" s="37">
        <f t="shared" ref="AY5:AY12" si="13">AX5*AW5</f>
        <v>1346882.7112660531</v>
      </c>
    </row>
    <row r="6" spans="2:53" x14ac:dyDescent="0.2">
      <c r="B6" s="36">
        <f t="shared" ref="B6:B16" si="14">B5+1</f>
        <v>2015</v>
      </c>
      <c r="C6" s="37">
        <f>SUMIF('Monthly Data'!$B:$B,B6,'Monthly Data'!D:D)</f>
        <v>378767130.92564416</v>
      </c>
      <c r="D6" s="37">
        <f>SUMIF('Monthly Data'!$B:$B,B6,'Monthly Data'!E:E)</f>
        <v>4628474.2808464207</v>
      </c>
      <c r="E6" s="37">
        <f>SUMIF('Monthly Data'!$B:$B,B6,'Monthly Data'!F:F)</f>
        <v>383395605.20649058</v>
      </c>
      <c r="F6" s="37"/>
      <c r="G6" s="37">
        <f ca="1">SUMIF('Res Normalized'!$C:$C,B6,'Res Normalized'!$Q:$Q)</f>
        <v>386037441.37857193</v>
      </c>
      <c r="H6" s="37">
        <f t="shared" si="0"/>
        <v>4628474.2808464207</v>
      </c>
      <c r="I6" s="37">
        <f t="shared" ca="1" si="1"/>
        <v>381408967.09772551</v>
      </c>
      <c r="J6" s="37"/>
      <c r="K6" s="38">
        <f t="shared" ca="1" si="2"/>
        <v>381408967.09772551</v>
      </c>
      <c r="M6" s="36">
        <f t="shared" ref="M6:M16" si="15">M5+1</f>
        <v>2015</v>
      </c>
      <c r="N6" s="37">
        <f>SUMIF('Monthly Data'!$B:$B,M6,'Monthly Data'!H:H)</f>
        <v>138792580.30899632</v>
      </c>
      <c r="O6" s="37">
        <f>SUMIF('Monthly Data'!$B:$B,M6,'Monthly Data'!I:I)</f>
        <v>1429686.3800130005</v>
      </c>
      <c r="P6" s="37">
        <f>SUMIF('Monthly Data'!$B:$B,M6,'Monthly Data'!J:J)</f>
        <v>140222266.68900934</v>
      </c>
      <c r="Q6" s="37"/>
      <c r="R6" s="37">
        <f ca="1">SUMIF('GS&lt;50 Normalized'!$C:$C,M6,'GS&lt;50 Normalized'!$S:$S)</f>
        <v>139776552.7096214</v>
      </c>
      <c r="S6" s="37">
        <f t="shared" si="3"/>
        <v>1429686.3800130005</v>
      </c>
      <c r="T6" s="37">
        <f t="shared" ca="1" si="4"/>
        <v>138346866.32960841</v>
      </c>
      <c r="U6" s="37"/>
      <c r="V6" s="38">
        <f t="shared" ca="1" si="5"/>
        <v>138346866.32960841</v>
      </c>
      <c r="X6" s="36">
        <f t="shared" ref="X6:X16" si="16">X5+1</f>
        <v>2015</v>
      </c>
      <c r="Y6" s="37">
        <f>SUMIF('Monthly Data'!$B:$B,X6,'Monthly Data'!L:L)</f>
        <v>362799633.31332147</v>
      </c>
      <c r="Z6" s="37">
        <f>SUMIF('Monthly Data'!$B:$B,X6,'Monthly Data'!M:M)</f>
        <v>6448544.3171229996</v>
      </c>
      <c r="AA6" s="37">
        <f>SUMIF('Monthly Data'!$B:$B,X6,'Monthly Data'!N:N)</f>
        <v>369248177.63044453</v>
      </c>
      <c r="AB6" s="37"/>
      <c r="AC6" s="37">
        <f ca="1">SUMIF('GS&gt;50 Normalized'!$C:$C,X6,'GS&gt;50 Normalized'!$U:$U)</f>
        <v>371282603.25204527</v>
      </c>
      <c r="AD6" s="37">
        <f t="shared" si="6"/>
        <v>6448544.3171229996</v>
      </c>
      <c r="AE6" s="37">
        <f t="shared" ca="1" si="7"/>
        <v>364834058.93492228</v>
      </c>
      <c r="AF6" s="37"/>
      <c r="AG6" s="38">
        <f t="shared" ca="1" si="8"/>
        <v>364834058.93492228</v>
      </c>
      <c r="AI6" s="36">
        <f t="shared" si="9"/>
        <v>2015</v>
      </c>
      <c r="AJ6" s="37">
        <f>SUMIF('Monthly Data'!$B:$B,X6,'Monthly Data'!Q:Q)</f>
        <v>7541643.8330170782</v>
      </c>
      <c r="AK6" s="37">
        <f>'Customer Count'!O5</f>
        <v>9753.25</v>
      </c>
      <c r="AL6" s="37">
        <f t="shared" ref="AL6:AL14" si="17">AJ6/AK6</f>
        <v>773.24418353031842</v>
      </c>
      <c r="AM6" s="37">
        <f t="shared" si="10"/>
        <v>7541643.8330170782</v>
      </c>
      <c r="AO6" s="36">
        <f>AO5+1</f>
        <v>2015</v>
      </c>
      <c r="AP6" s="37">
        <f>SUMIF('Monthly Data'!$B:$B,X6,'Monthly Data'!T:T)</f>
        <v>428604.18406072113</v>
      </c>
      <c r="AQ6" s="37">
        <f>'Customer Count'!S5</f>
        <v>404.5</v>
      </c>
      <c r="AR6" s="37">
        <f t="shared" ref="AR6:AR14" si="18">AP6/AQ6</f>
        <v>1059.5900718435628</v>
      </c>
      <c r="AS6" s="37">
        <f t="shared" si="11"/>
        <v>428604.18406072113</v>
      </c>
      <c r="AU6" s="36">
        <f>AU5+1</f>
        <v>2015</v>
      </c>
      <c r="AV6" s="37">
        <f>SUMIF('Monthly Data'!$B:$B,X6,'Monthly Data'!W:W)</f>
        <v>1276037.528046373</v>
      </c>
      <c r="AW6" s="37">
        <f>'Customer Count'!W5</f>
        <v>321.75</v>
      </c>
      <c r="AX6" s="37">
        <f t="shared" si="12"/>
        <v>3965.9286030967305</v>
      </c>
      <c r="AY6" s="37">
        <f t="shared" si="13"/>
        <v>1276037.528046373</v>
      </c>
      <c r="BA6" s="48"/>
    </row>
    <row r="7" spans="2:53" x14ac:dyDescent="0.2">
      <c r="B7" s="36">
        <f t="shared" si="14"/>
        <v>2016</v>
      </c>
      <c r="C7" s="37">
        <f>SUMIF('Monthly Data'!$B:$B,B7,'Monthly Data'!D:D)</f>
        <v>363718802.67397815</v>
      </c>
      <c r="D7" s="37">
        <f>SUMIF('Monthly Data'!$B:$B,B7,'Monthly Data'!E:E)</f>
        <v>8962158.1465464216</v>
      </c>
      <c r="E7" s="37">
        <f>SUMIF('Monthly Data'!$B:$B,B7,'Monthly Data'!F:F)</f>
        <v>372680960.82052457</v>
      </c>
      <c r="F7" s="37"/>
      <c r="G7" s="37">
        <f ca="1">SUMIF('Res Normalized'!$C:$C,B7,'Res Normalized'!$Q:$Q)</f>
        <v>386922130.10438496</v>
      </c>
      <c r="H7" s="37">
        <f t="shared" si="0"/>
        <v>8962158.1465464216</v>
      </c>
      <c r="I7" s="37">
        <f t="shared" ca="1" si="1"/>
        <v>377959971.95783854</v>
      </c>
      <c r="J7" s="37"/>
      <c r="K7" s="38">
        <f t="shared" ca="1" si="2"/>
        <v>377959971.95783854</v>
      </c>
      <c r="M7" s="36">
        <f t="shared" si="15"/>
        <v>2016</v>
      </c>
      <c r="N7" s="37">
        <f>SUMIF('Monthly Data'!$B:$B,M7,'Monthly Data'!H:H)</f>
        <v>135472796.74455184</v>
      </c>
      <c r="O7" s="37">
        <f>SUMIF('Monthly Data'!$B:$B,M7,'Monthly Data'!I:I)</f>
        <v>2503508.9160301299</v>
      </c>
      <c r="P7" s="37">
        <f>SUMIF('Monthly Data'!$B:$B,M7,'Monthly Data'!J:J)</f>
        <v>137976305.66058198</v>
      </c>
      <c r="Q7" s="37"/>
      <c r="R7" s="37">
        <f ca="1">SUMIF('GS&lt;50 Normalized'!$C:$C,M7,'GS&lt;50 Normalized'!$S:$S)</f>
        <v>140505265.57709521</v>
      </c>
      <c r="S7" s="37">
        <f t="shared" si="3"/>
        <v>2503508.9160301299</v>
      </c>
      <c r="T7" s="37">
        <f t="shared" ca="1" si="4"/>
        <v>138001756.66106507</v>
      </c>
      <c r="U7" s="37"/>
      <c r="V7" s="38">
        <f t="shared" ca="1" si="5"/>
        <v>138001756.66106507</v>
      </c>
      <c r="X7" s="36">
        <f t="shared" si="16"/>
        <v>2016</v>
      </c>
      <c r="Y7" s="37">
        <f>SUMIF('Monthly Data'!$B:$B,X7,'Monthly Data'!L:L)</f>
        <v>350224516.35218138</v>
      </c>
      <c r="Z7" s="37">
        <f>SUMIF('Monthly Data'!$B:$B,X7,'Monthly Data'!M:M)</f>
        <v>11575330.19679961</v>
      </c>
      <c r="AA7" s="37">
        <f>SUMIF('Monthly Data'!$B:$B,X7,'Monthly Data'!N:N)</f>
        <v>361799846.54898095</v>
      </c>
      <c r="AB7" s="37"/>
      <c r="AC7" s="37">
        <f ca="1">SUMIF('GS&gt;50 Normalized'!$C:$C,X7,'GS&gt;50 Normalized'!$U:$U)</f>
        <v>370286237.53958553</v>
      </c>
      <c r="AD7" s="37">
        <f t="shared" si="6"/>
        <v>11575330.19679961</v>
      </c>
      <c r="AE7" s="37">
        <f t="shared" ca="1" si="7"/>
        <v>358710907.34278589</v>
      </c>
      <c r="AF7" s="37"/>
      <c r="AG7" s="38">
        <f t="shared" ca="1" si="8"/>
        <v>358710907.34278589</v>
      </c>
      <c r="AI7" s="36">
        <f t="shared" si="9"/>
        <v>2016</v>
      </c>
      <c r="AJ7" s="37">
        <f>SUMIF('Monthly Data'!$B:$B,X7,'Monthly Data'!Q:Q)</f>
        <v>7520842.1252371911</v>
      </c>
      <c r="AK7" s="37">
        <f>'Customer Count'!O6</f>
        <v>9747.5</v>
      </c>
      <c r="AL7" s="37">
        <f t="shared" si="17"/>
        <v>771.56626060396934</v>
      </c>
      <c r="AM7" s="37">
        <f t="shared" si="10"/>
        <v>7520842.1252371911</v>
      </c>
      <c r="AO7" s="36">
        <f t="shared" ref="AO7:AO16" si="19">AO6+1</f>
        <v>2016</v>
      </c>
      <c r="AP7" s="37">
        <f>SUMIF('Monthly Data'!$B:$B,X7,'Monthly Data'!T:T)</f>
        <v>426192.62808349164</v>
      </c>
      <c r="AQ7" s="37">
        <f>'Customer Count'!S6</f>
        <v>398.25</v>
      </c>
      <c r="AR7" s="37">
        <f t="shared" si="18"/>
        <v>1070.1635356773174</v>
      </c>
      <c r="AS7" s="37">
        <f t="shared" si="11"/>
        <v>426192.6280834917</v>
      </c>
      <c r="AU7" s="36">
        <f t="shared" ref="AU7:AU16" si="20">AU6+1</f>
        <v>2016</v>
      </c>
      <c r="AV7" s="37">
        <f>SUMIF('Monthly Data'!$B:$B,X7,'Monthly Data'!W:W)</f>
        <v>1219818.0434200256</v>
      </c>
      <c r="AW7" s="37">
        <f>'Customer Count'!W6</f>
        <v>311</v>
      </c>
      <c r="AX7" s="37">
        <f t="shared" si="12"/>
        <v>3922.2445126045841</v>
      </c>
      <c r="AY7" s="37">
        <f t="shared" si="13"/>
        <v>1219818.0434200256</v>
      </c>
      <c r="BA7" s="48"/>
    </row>
    <row r="8" spans="2:53" x14ac:dyDescent="0.2">
      <c r="B8" s="36">
        <f t="shared" si="14"/>
        <v>2017</v>
      </c>
      <c r="C8" s="37">
        <f>SUMIF('Monthly Data'!$B:$B,B8,'Monthly Data'!D:D)</f>
        <v>354425140.91571283</v>
      </c>
      <c r="D8" s="37">
        <f>SUMIF('Monthly Data'!$B:$B,B8,'Monthly Data'!E:E)</f>
        <v>15404658.902526423</v>
      </c>
      <c r="E8" s="37">
        <f>SUMIF('Monthly Data'!$B:$B,B8,'Monthly Data'!F:F)</f>
        <v>369829799.81823927</v>
      </c>
      <c r="F8" s="37"/>
      <c r="G8" s="37">
        <f ca="1">SUMIF('Res Normalized'!$C:$C,B8,'Res Normalized'!$Q:$Q)</f>
        <v>386037441.37857193</v>
      </c>
      <c r="H8" s="37">
        <f t="shared" si="0"/>
        <v>15404658.902526423</v>
      </c>
      <c r="I8" s="37">
        <f t="shared" ca="1" si="1"/>
        <v>370632782.47604549</v>
      </c>
      <c r="J8" s="37"/>
      <c r="K8" s="38">
        <f t="shared" ca="1" si="2"/>
        <v>370632782.47604549</v>
      </c>
      <c r="M8" s="36">
        <f t="shared" si="15"/>
        <v>2017</v>
      </c>
      <c r="N8" s="37">
        <f>SUMIF('Monthly Data'!$B:$B,M8,'Monthly Data'!H:H)</f>
        <v>132427313.43009868</v>
      </c>
      <c r="O8" s="37">
        <f>SUMIF('Monthly Data'!$B:$B,M8,'Monthly Data'!I:I)</f>
        <v>3766085.3025654461</v>
      </c>
      <c r="P8" s="37">
        <f>SUMIF('Monthly Data'!$B:$B,M8,'Monthly Data'!J:J)</f>
        <v>136193398.73266414</v>
      </c>
      <c r="Q8" s="37"/>
      <c r="R8" s="37">
        <f ca="1">SUMIF('GS&lt;50 Normalized'!$C:$C,M8,'GS&lt;50 Normalized'!$S:$S)</f>
        <v>141208198.71255073</v>
      </c>
      <c r="S8" s="37">
        <f t="shared" si="3"/>
        <v>3766085.3025654461</v>
      </c>
      <c r="T8" s="37">
        <f t="shared" ca="1" si="4"/>
        <v>137442113.40998527</v>
      </c>
      <c r="U8" s="37"/>
      <c r="V8" s="38">
        <f t="shared" ca="1" si="5"/>
        <v>137442113.40998527</v>
      </c>
      <c r="X8" s="36">
        <f t="shared" si="16"/>
        <v>2017</v>
      </c>
      <c r="Y8" s="37">
        <f>SUMIF('Monthly Data'!$B:$B,X8,'Monthly Data'!L:L)</f>
        <v>352367386.90814096</v>
      </c>
      <c r="Z8" s="37">
        <f>SUMIF('Monthly Data'!$B:$B,X8,'Monthly Data'!M:M)</f>
        <v>15773603.45312877</v>
      </c>
      <c r="AA8" s="37">
        <f>SUMIF('Monthly Data'!$B:$B,X8,'Monthly Data'!N:N)</f>
        <v>368140990.36126989</v>
      </c>
      <c r="AB8" s="37"/>
      <c r="AC8" s="37">
        <f ca="1">SUMIF('GS&gt;50 Normalized'!$C:$C,X8,'GS&gt;50 Normalized'!$U:$U)</f>
        <v>368479251.17050189</v>
      </c>
      <c r="AD8" s="37">
        <f t="shared" si="6"/>
        <v>15773603.45312877</v>
      </c>
      <c r="AE8" s="37">
        <f t="shared" ca="1" si="7"/>
        <v>352705647.71737313</v>
      </c>
      <c r="AF8" s="37"/>
      <c r="AG8" s="38">
        <f t="shared" ca="1" si="8"/>
        <v>352705647.71737313</v>
      </c>
      <c r="AI8" s="36">
        <f t="shared" si="9"/>
        <v>2017</v>
      </c>
      <c r="AJ8" s="37">
        <f>SUMIF('Monthly Data'!$B:$B,X8,'Monthly Data'!Q:Q)</f>
        <v>7471832.7229601499</v>
      </c>
      <c r="AK8" s="37">
        <f>'Customer Count'!O7</f>
        <v>9785.75</v>
      </c>
      <c r="AL8" s="37">
        <f t="shared" si="17"/>
        <v>763.5421631413177</v>
      </c>
      <c r="AM8" s="37">
        <f t="shared" si="10"/>
        <v>7471832.7229601499</v>
      </c>
      <c r="AO8" s="36">
        <f t="shared" si="19"/>
        <v>2017</v>
      </c>
      <c r="AP8" s="37">
        <f>SUMIF('Monthly Data'!$B:$B,X8,'Monthly Data'!T:T)</f>
        <v>412947.67552182189</v>
      </c>
      <c r="AQ8" s="37">
        <f>'Customer Count'!S7</f>
        <v>383.5</v>
      </c>
      <c r="AR8" s="37">
        <f t="shared" si="18"/>
        <v>1076.7866376057937</v>
      </c>
      <c r="AS8" s="37">
        <f t="shared" si="11"/>
        <v>412947.67552182189</v>
      </c>
      <c r="AU8" s="36">
        <f t="shared" si="20"/>
        <v>2017</v>
      </c>
      <c r="AV8" s="37">
        <f>SUMIF('Monthly Data'!$B:$B,X8,'Monthly Data'!W:W)</f>
        <v>1179514.8156682041</v>
      </c>
      <c r="AW8" s="37">
        <f>'Customer Count'!W7</f>
        <v>302.5</v>
      </c>
      <c r="AX8" s="37">
        <f t="shared" si="12"/>
        <v>3899.2225311345592</v>
      </c>
      <c r="AY8" s="37">
        <f t="shared" si="13"/>
        <v>1179514.8156682041</v>
      </c>
      <c r="BA8" s="48"/>
    </row>
    <row r="9" spans="2:53" x14ac:dyDescent="0.2">
      <c r="B9" s="36">
        <f t="shared" si="14"/>
        <v>2018</v>
      </c>
      <c r="C9" s="37">
        <f>SUMIF('Monthly Data'!$B:$B,B9,'Monthly Data'!D:D)</f>
        <v>375861349.42745566</v>
      </c>
      <c r="D9" s="37">
        <f>SUMIF('Monthly Data'!$B:$B,B9,'Monthly Data'!E:E)</f>
        <v>18767363.073913783</v>
      </c>
      <c r="E9" s="37">
        <f>SUMIF('Monthly Data'!$B:$B,B9,'Monthly Data'!F:F)</f>
        <v>394628712.50136942</v>
      </c>
      <c r="F9" s="37"/>
      <c r="G9" s="37">
        <f ca="1">SUMIF('Res Normalized'!$C:$C,B9,'Res Normalized'!$Q:$Q)</f>
        <v>386037441.37857193</v>
      </c>
      <c r="H9" s="37">
        <f t="shared" si="0"/>
        <v>18767363.073913783</v>
      </c>
      <c r="I9" s="37">
        <f t="shared" ca="1" si="1"/>
        <v>367270078.30465817</v>
      </c>
      <c r="J9" s="37"/>
      <c r="K9" s="38">
        <f t="shared" ca="1" si="2"/>
        <v>367270078.30465817</v>
      </c>
      <c r="M9" s="36">
        <f t="shared" si="15"/>
        <v>2018</v>
      </c>
      <c r="N9" s="37">
        <f>SUMIF('Monthly Data'!$B:$B,M9,'Monthly Data'!H:H)</f>
        <v>138106021.99227589</v>
      </c>
      <c r="O9" s="37">
        <f>SUMIF('Monthly Data'!$B:$B,M9,'Monthly Data'!I:I)</f>
        <v>5327708.1792599503</v>
      </c>
      <c r="P9" s="37">
        <f>SUMIF('Monthly Data'!$B:$B,M9,'Monthly Data'!J:J)</f>
        <v>143433730.17153588</v>
      </c>
      <c r="Q9" s="37"/>
      <c r="R9" s="37">
        <f ca="1">SUMIF('GS&lt;50 Normalized'!$C:$C,M9,'GS&lt;50 Normalized'!$S:$S)</f>
        <v>142114651.18178925</v>
      </c>
      <c r="S9" s="37">
        <f t="shared" si="3"/>
        <v>5327708.1792599503</v>
      </c>
      <c r="T9" s="37">
        <f t="shared" ca="1" si="4"/>
        <v>136786943.00252929</v>
      </c>
      <c r="U9" s="37"/>
      <c r="V9" s="38">
        <f t="shared" ca="1" si="5"/>
        <v>136786943.00252929</v>
      </c>
      <c r="X9" s="36">
        <f t="shared" si="16"/>
        <v>2018</v>
      </c>
      <c r="Y9" s="37">
        <f>SUMIF('Monthly Data'!$B:$B,X9,'Monthly Data'!L:L)</f>
        <v>360554579.57290572</v>
      </c>
      <c r="Z9" s="37">
        <f>SUMIF('Monthly Data'!$B:$B,X9,'Monthly Data'!M:M)</f>
        <v>18876444.99476368</v>
      </c>
      <c r="AA9" s="37">
        <f>SUMIF('Monthly Data'!$B:$B,X9,'Monthly Data'!N:N)</f>
        <v>379431024.56766933</v>
      </c>
      <c r="AB9" s="37"/>
      <c r="AC9" s="37">
        <f ca="1">SUMIF('GS&gt;50 Normalized'!$C:$C,X9,'GS&gt;50 Normalized'!$U:$U)</f>
        <v>368436044.22774088</v>
      </c>
      <c r="AD9" s="37">
        <f t="shared" si="6"/>
        <v>18876444.99476368</v>
      </c>
      <c r="AE9" s="37">
        <f t="shared" ca="1" si="7"/>
        <v>349559599.23297721</v>
      </c>
      <c r="AF9" s="37"/>
      <c r="AG9" s="38">
        <f t="shared" ca="1" si="8"/>
        <v>349559599.23297721</v>
      </c>
      <c r="AI9" s="36">
        <f t="shared" si="9"/>
        <v>2018</v>
      </c>
      <c r="AJ9" s="37">
        <f>SUMIF('Monthly Data'!$B:$B,X9,'Monthly Data'!Q:Q)</f>
        <v>7471085.0094876662</v>
      </c>
      <c r="AK9" s="37">
        <f>'Customer Count'!O8</f>
        <v>9861.75</v>
      </c>
      <c r="AL9" s="37">
        <f t="shared" si="17"/>
        <v>757.58207310950559</v>
      </c>
      <c r="AM9" s="37">
        <f t="shared" si="10"/>
        <v>7471085.0094876671</v>
      </c>
      <c r="AO9" s="36">
        <f t="shared" si="19"/>
        <v>2018</v>
      </c>
      <c r="AP9" s="37">
        <f>SUMIF('Monthly Data'!$B:$B,X9,'Monthly Data'!T:T)</f>
        <v>403671.29981024703</v>
      </c>
      <c r="AQ9" s="37">
        <f>'Customer Count'!S8</f>
        <v>380.75</v>
      </c>
      <c r="AR9" s="37">
        <f t="shared" si="18"/>
        <v>1060.2003934609245</v>
      </c>
      <c r="AS9" s="37">
        <f t="shared" si="11"/>
        <v>403671.29981024697</v>
      </c>
      <c r="AU9" s="36">
        <f t="shared" si="20"/>
        <v>2018</v>
      </c>
      <c r="AV9" s="37">
        <f>SUMIF('Monthly Data'!$B:$B,X9,'Monthly Data'!W:W)</f>
        <v>1134622.2146923307</v>
      </c>
      <c r="AW9" s="37">
        <f>'Customer Count'!W8</f>
        <v>292</v>
      </c>
      <c r="AX9" s="37">
        <f t="shared" si="12"/>
        <v>3885.6925160696255</v>
      </c>
      <c r="AY9" s="37">
        <f t="shared" si="13"/>
        <v>1134622.2146923307</v>
      </c>
      <c r="BA9" s="48"/>
    </row>
    <row r="10" spans="2:53" x14ac:dyDescent="0.2">
      <c r="B10" s="36">
        <f t="shared" si="14"/>
        <v>2019</v>
      </c>
      <c r="C10" s="37">
        <f>SUMIF('Monthly Data'!$B:$B,B10,'Monthly Data'!D:D)</f>
        <v>375135884.99000001</v>
      </c>
      <c r="D10" s="37">
        <f>SUMIF('Monthly Data'!$B:$B,B10,'Monthly Data'!E:E)</f>
        <v>19572205.071524668</v>
      </c>
      <c r="E10" s="37">
        <f>SUMIF('Monthly Data'!$B:$B,B10,'Monthly Data'!F:F)</f>
        <v>394708090.06152463</v>
      </c>
      <c r="F10" s="37"/>
      <c r="G10" s="37">
        <f ca="1">SUMIF('Res Normalized'!$C:$C,B10,'Res Normalized'!$Q:$Q)</f>
        <v>386037441.37857193</v>
      </c>
      <c r="H10" s="37">
        <f t="shared" si="0"/>
        <v>19572205.071524668</v>
      </c>
      <c r="I10" s="37">
        <f t="shared" ca="1" si="1"/>
        <v>366465236.30704725</v>
      </c>
      <c r="J10" s="37"/>
      <c r="K10" s="38">
        <f t="shared" ca="1" si="2"/>
        <v>366465236.30704725</v>
      </c>
      <c r="M10" s="36">
        <f t="shared" si="15"/>
        <v>2019</v>
      </c>
      <c r="N10" s="37">
        <f>SUMIF('Monthly Data'!$B:$B,M10,'Monthly Data'!H:H)</f>
        <v>135948289.22999999</v>
      </c>
      <c r="O10" s="37">
        <f>SUMIF('Monthly Data'!$B:$B,M10,'Monthly Data'!I:I)</f>
        <v>6206275.1949800886</v>
      </c>
      <c r="P10" s="37">
        <f>SUMIF('Monthly Data'!$B:$B,M10,'Monthly Data'!J:J)</f>
        <v>142154564.4249801</v>
      </c>
      <c r="Q10" s="37"/>
      <c r="R10" s="37">
        <f ca="1">SUMIF('GS&lt;50 Normalized'!$C:$C,M10,'GS&lt;50 Normalized'!$S:$S)</f>
        <v>143283287.91902483</v>
      </c>
      <c r="S10" s="37">
        <f t="shared" si="3"/>
        <v>6206275.1949800886</v>
      </c>
      <c r="T10" s="37">
        <f t="shared" ca="1" si="4"/>
        <v>137077012.72404474</v>
      </c>
      <c r="U10" s="37"/>
      <c r="V10" s="38">
        <f t="shared" ca="1" si="5"/>
        <v>137077012.72404474</v>
      </c>
      <c r="X10" s="36">
        <f t="shared" si="16"/>
        <v>2019</v>
      </c>
      <c r="Y10" s="37">
        <f>SUMIF('Monthly Data'!$B:$B,X10,'Monthly Data'!L:L)</f>
        <v>347530976.20000005</v>
      </c>
      <c r="Z10" s="37">
        <f>SUMIF('Monthly Data'!$B:$B,X10,'Monthly Data'!M:M)</f>
        <v>20448333.731774807</v>
      </c>
      <c r="AA10" s="37">
        <f>SUMIF('Monthly Data'!$B:$B,X10,'Monthly Data'!N:N)</f>
        <v>367979309.9317748</v>
      </c>
      <c r="AB10" s="37"/>
      <c r="AC10" s="37">
        <f ca="1">SUMIF('GS&gt;50 Normalized'!$C:$C,X10,'GS&gt;50 Normalized'!$U:$U)</f>
        <v>366894237.297616</v>
      </c>
      <c r="AD10" s="37">
        <f t="shared" si="6"/>
        <v>20448333.731774807</v>
      </c>
      <c r="AE10" s="37">
        <f t="shared" ca="1" si="7"/>
        <v>346445903.5658412</v>
      </c>
      <c r="AF10" s="37"/>
      <c r="AG10" s="38">
        <f t="shared" ca="1" si="8"/>
        <v>346445903.5658412</v>
      </c>
      <c r="AI10" s="36">
        <f t="shared" si="9"/>
        <v>2019</v>
      </c>
      <c r="AJ10" s="37">
        <f>SUMIF('Monthly Data'!$B:$B,X10,'Monthly Data'!Q:Q)</f>
        <v>7481251.9100000011</v>
      </c>
      <c r="AK10" s="37">
        <f>'Customer Count'!O9</f>
        <v>9916.75</v>
      </c>
      <c r="AL10" s="37">
        <f t="shared" si="17"/>
        <v>754.40561776791799</v>
      </c>
      <c r="AM10" s="37">
        <f t="shared" si="10"/>
        <v>7481251.9100000011</v>
      </c>
      <c r="AO10" s="36">
        <f t="shared" si="19"/>
        <v>2019</v>
      </c>
      <c r="AP10" s="37">
        <f>SUMIF('Monthly Data'!$B:$B,X10,'Monthly Data'!T:T)</f>
        <v>372541.78</v>
      </c>
      <c r="AQ10" s="37">
        <f>'Customer Count'!S9</f>
        <v>366.25</v>
      </c>
      <c r="AR10" s="37">
        <f t="shared" si="18"/>
        <v>1017.1789215017066</v>
      </c>
      <c r="AS10" s="37">
        <f t="shared" si="11"/>
        <v>372541.78</v>
      </c>
      <c r="AU10" s="36">
        <f t="shared" si="20"/>
        <v>2019</v>
      </c>
      <c r="AV10" s="37">
        <f>SUMIF('Monthly Data'!$B:$B,X10,'Monthly Data'!W:W)</f>
        <v>1133887</v>
      </c>
      <c r="AW10" s="37">
        <f>'Customer Count'!W9</f>
        <v>293.5</v>
      </c>
      <c r="AX10" s="37">
        <f t="shared" si="12"/>
        <v>3863.3287904599661</v>
      </c>
      <c r="AY10" s="37">
        <f t="shared" si="13"/>
        <v>1133887</v>
      </c>
      <c r="BA10" s="48"/>
    </row>
    <row r="11" spans="2:53" x14ac:dyDescent="0.2">
      <c r="B11" s="36">
        <f t="shared" si="14"/>
        <v>2020</v>
      </c>
      <c r="C11" s="37">
        <f>SUMIF('Monthly Data'!$B:$B,B11,'Monthly Data'!D:D)</f>
        <v>381987925.02999997</v>
      </c>
      <c r="D11" s="37">
        <f>SUMIF('Monthly Data'!$B:$B,B11,'Monthly Data'!E:E)</f>
        <v>19236682.633857999</v>
      </c>
      <c r="E11" s="37">
        <f>SUMIF('Monthly Data'!$B:$B,B11,'Monthly Data'!F:F)</f>
        <v>401224607.66385794</v>
      </c>
      <c r="F11" s="37"/>
      <c r="G11" s="37">
        <f ca="1">SUMIF('Res Normalized'!$C:$C,B11,'Res Normalized'!$Q:$Q)</f>
        <v>406908730.7414465</v>
      </c>
      <c r="H11" s="37">
        <f t="shared" si="0"/>
        <v>19236682.633857999</v>
      </c>
      <c r="I11" s="37">
        <f t="shared" ca="1" si="1"/>
        <v>387672048.10758847</v>
      </c>
      <c r="J11" s="37"/>
      <c r="K11" s="38">
        <f t="shared" ca="1" si="2"/>
        <v>387672048.10758847</v>
      </c>
      <c r="M11" s="36">
        <f t="shared" si="15"/>
        <v>2020</v>
      </c>
      <c r="N11" s="37">
        <f>SUMIF('Monthly Data'!$B:$B,M11,'Monthly Data'!H:H)</f>
        <v>128684916.41</v>
      </c>
      <c r="O11" s="37">
        <f>SUMIF('Monthly Data'!$B:$B,M11,'Monthly Data'!I:I)</f>
        <v>6567975.9832504056</v>
      </c>
      <c r="P11" s="37">
        <f>SUMIF('Monthly Data'!$B:$B,M11,'Monthly Data'!J:J)</f>
        <v>135252892.39325041</v>
      </c>
      <c r="Q11" s="37"/>
      <c r="R11" s="37">
        <f ca="1">SUMIF('GS&lt;50 Normalized'!$C:$C,M11,'GS&lt;50 Normalized'!$S:$S)</f>
        <v>134024751.06753452</v>
      </c>
      <c r="S11" s="37">
        <f t="shared" si="3"/>
        <v>6567975.9832504056</v>
      </c>
      <c r="T11" s="37">
        <f t="shared" ca="1" si="4"/>
        <v>127456775.08428411</v>
      </c>
      <c r="U11" s="37"/>
      <c r="V11" s="38">
        <f t="shared" ca="1" si="5"/>
        <v>127456775.08428411</v>
      </c>
      <c r="X11" s="36">
        <f t="shared" si="16"/>
        <v>2020</v>
      </c>
      <c r="Y11" s="37">
        <f>SUMIF('Monthly Data'!$B:$B,X11,'Monthly Data'!L:L)</f>
        <v>319951981.80900002</v>
      </c>
      <c r="Z11" s="37">
        <f>SUMIF('Monthly Data'!$B:$B,X11,'Monthly Data'!M:M)</f>
        <v>21993326.031297691</v>
      </c>
      <c r="AA11" s="37">
        <f>SUMIF('Monthly Data'!$B:$B,X11,'Monthly Data'!N:N)</f>
        <v>341945307.8402977</v>
      </c>
      <c r="AB11" s="37"/>
      <c r="AC11" s="37">
        <f ca="1">SUMIF('GS&gt;50 Normalized'!$C:$C,X11,'GS&gt;50 Normalized'!$U:$U)</f>
        <v>343317995.45939595</v>
      </c>
      <c r="AD11" s="37">
        <f t="shared" si="6"/>
        <v>21993326.031297691</v>
      </c>
      <c r="AE11" s="37">
        <f t="shared" ca="1" si="7"/>
        <v>321324669.42809826</v>
      </c>
      <c r="AF11" s="37"/>
      <c r="AG11" s="38">
        <f t="shared" ca="1" si="8"/>
        <v>321324669.42809826</v>
      </c>
      <c r="AI11" s="36">
        <f t="shared" si="9"/>
        <v>2020</v>
      </c>
      <c r="AJ11" s="37">
        <f>SUMIF('Monthly Data'!$B:$B,X11,'Monthly Data'!Q:Q)</f>
        <v>6391575.9499999993</v>
      </c>
      <c r="AK11" s="37">
        <f>'Customer Count'!O10</f>
        <v>10029.583333333334</v>
      </c>
      <c r="AL11" s="37">
        <f t="shared" si="17"/>
        <v>637.27233102073023</v>
      </c>
      <c r="AM11" s="37">
        <f t="shared" si="10"/>
        <v>6391575.9499999993</v>
      </c>
      <c r="AO11" s="36">
        <f t="shared" si="19"/>
        <v>2020</v>
      </c>
      <c r="AP11" s="37">
        <f>SUMIF('Monthly Data'!$B:$B,X11,'Monthly Data'!T:T)</f>
        <v>363324.2</v>
      </c>
      <c r="AQ11" s="37">
        <f>'Customer Count'!S10</f>
        <v>354.08333333333331</v>
      </c>
      <c r="AR11" s="37">
        <f t="shared" si="18"/>
        <v>1026.0979995293012</v>
      </c>
      <c r="AS11" s="37">
        <f>AR11*AQ11</f>
        <v>363324.20000000007</v>
      </c>
      <c r="AU11" s="36">
        <f t="shared" si="20"/>
        <v>2020</v>
      </c>
      <c r="AV11" s="37">
        <f>SUMIF('Monthly Data'!$B:$B,X11,'Monthly Data'!W:W)</f>
        <v>1032903</v>
      </c>
      <c r="AW11" s="37">
        <f>'Customer Count'!W10</f>
        <v>279.33333333333331</v>
      </c>
      <c r="AX11" s="37">
        <f t="shared" si="12"/>
        <v>3697.7434367541769</v>
      </c>
      <c r="AY11" s="37">
        <f t="shared" si="13"/>
        <v>1032903</v>
      </c>
      <c r="BA11" s="48"/>
    </row>
    <row r="12" spans="2:53" x14ac:dyDescent="0.2">
      <c r="B12" s="36">
        <f t="shared" si="14"/>
        <v>2021</v>
      </c>
      <c r="C12" s="37">
        <f>SUMIF('Monthly Data'!$B:$B,B12,'Monthly Data'!D:D)</f>
        <v>374588272.57000005</v>
      </c>
      <c r="D12" s="37">
        <f>SUMIF('Monthly Data'!$B:$B,B12,'Monthly Data'!E:E)</f>
        <v>19259030.969801612</v>
      </c>
      <c r="E12" s="37">
        <f>SUMIF('Monthly Data'!$B:$B,B12,'Monthly Data'!F:F)</f>
        <v>393847303.53980166</v>
      </c>
      <c r="F12" s="37"/>
      <c r="G12" s="37">
        <f ca="1">SUMIF('Res Normalized'!$C:$C,B12,'Res Normalized'!$Q:$Q)</f>
        <v>404972115.6663143</v>
      </c>
      <c r="H12" s="37">
        <f t="shared" si="0"/>
        <v>19259030.969801612</v>
      </c>
      <c r="I12" s="37">
        <f t="shared" ca="1" si="1"/>
        <v>385713084.6965127</v>
      </c>
      <c r="J12" s="37"/>
      <c r="K12" s="38">
        <f t="shared" ca="1" si="2"/>
        <v>385713084.6965127</v>
      </c>
      <c r="M12" s="36">
        <f t="shared" si="15"/>
        <v>2021</v>
      </c>
      <c r="N12" s="37">
        <f>SUMIF('Monthly Data'!$B:$B,M12,'Monthly Data'!H:H)</f>
        <v>128128422.44000001</v>
      </c>
      <c r="O12" s="37">
        <f>SUMIF('Monthly Data'!$B:$B,M12,'Monthly Data'!I:I)</f>
        <v>6987402.902313591</v>
      </c>
      <c r="P12" s="37">
        <f>SUMIF('Monthly Data'!$B:$B,M12,'Monthly Data'!J:J)</f>
        <v>135115825.34231359</v>
      </c>
      <c r="Q12" s="37"/>
      <c r="R12" s="37">
        <f ca="1">SUMIF('GS&lt;50 Normalized'!$C:$C,M12,'GS&lt;50 Normalized'!$S:$S)</f>
        <v>135797926.21493787</v>
      </c>
      <c r="S12" s="37">
        <f t="shared" si="3"/>
        <v>6987402.902313591</v>
      </c>
      <c r="T12" s="37">
        <f t="shared" ca="1" si="4"/>
        <v>128810523.31262428</v>
      </c>
      <c r="U12" s="37"/>
      <c r="V12" s="38">
        <f t="shared" ca="1" si="5"/>
        <v>128810523.31262428</v>
      </c>
      <c r="X12" s="36">
        <f t="shared" si="16"/>
        <v>2021</v>
      </c>
      <c r="Y12" s="37">
        <f>SUMIF('Monthly Data'!$B:$B,X12,'Monthly Data'!L:L)</f>
        <v>317045880.71200007</v>
      </c>
      <c r="Z12" s="37">
        <f>SUMIF('Monthly Data'!$B:$B,X12,'Monthly Data'!M:M)</f>
        <v>24270097.109470859</v>
      </c>
      <c r="AA12" s="37">
        <f>SUMIF('Monthly Data'!$B:$B,X12,'Monthly Data'!N:N)</f>
        <v>341315977.82147092</v>
      </c>
      <c r="AB12" s="37"/>
      <c r="AC12" s="37">
        <f ca="1">SUMIF('GS&gt;50 Normalized'!$C:$C,X12,'GS&gt;50 Normalized'!$U:$U)</f>
        <v>347001664.19642037</v>
      </c>
      <c r="AD12" s="37">
        <f t="shared" si="6"/>
        <v>24270097.109470859</v>
      </c>
      <c r="AE12" s="37">
        <f t="shared" ca="1" si="7"/>
        <v>322731567.08694953</v>
      </c>
      <c r="AF12" s="37"/>
      <c r="AG12" s="38">
        <f t="shared" ca="1" si="8"/>
        <v>322731567.08694953</v>
      </c>
      <c r="AI12" s="36">
        <f t="shared" si="9"/>
        <v>2021</v>
      </c>
      <c r="AJ12" s="37">
        <f>SUMIF('Monthly Data'!$B:$B,X12,'Monthly Data'!Q:Q)</f>
        <v>3586468.2300000004</v>
      </c>
      <c r="AK12" s="37">
        <f>'Customer Count'!O11</f>
        <v>10091.916666666666</v>
      </c>
      <c r="AL12" s="37">
        <f t="shared" si="17"/>
        <v>355.38028587235664</v>
      </c>
      <c r="AM12" s="37">
        <f t="shared" si="10"/>
        <v>3586468.2300000004</v>
      </c>
      <c r="AO12" s="36">
        <f t="shared" si="19"/>
        <v>2021</v>
      </c>
      <c r="AP12" s="37">
        <f>SUMIF('Monthly Data'!$B:$B,X12,'Monthly Data'!T:T)</f>
        <v>360262.31</v>
      </c>
      <c r="AQ12" s="37">
        <f>'Customer Count'!S11</f>
        <v>352.16666666666669</v>
      </c>
      <c r="AR12" s="37">
        <f t="shared" si="18"/>
        <v>1022.9881022243255</v>
      </c>
      <c r="AS12" s="37">
        <f>AR12*AQ12</f>
        <v>360262.31</v>
      </c>
      <c r="AU12" s="36">
        <f t="shared" si="20"/>
        <v>2021</v>
      </c>
      <c r="AV12" s="37">
        <f>SUMIF('Monthly Data'!$B:$B,X12,'Monthly Data'!W:W)</f>
        <v>987840</v>
      </c>
      <c r="AW12" s="37">
        <f>'Customer Count'!W11</f>
        <v>268</v>
      </c>
      <c r="AX12" s="37">
        <f t="shared" si="12"/>
        <v>3685.9701492537315</v>
      </c>
      <c r="AY12" s="37">
        <f t="shared" si="13"/>
        <v>987840</v>
      </c>
      <c r="BA12" s="48"/>
    </row>
    <row r="13" spans="2:53" x14ac:dyDescent="0.2">
      <c r="B13" s="36">
        <f t="shared" si="14"/>
        <v>2022</v>
      </c>
      <c r="C13" s="37">
        <f>SUMIF('Monthly Data'!$B:$B,B13,'Monthly Data'!D:D)</f>
        <v>380676140.48999995</v>
      </c>
      <c r="D13" s="37">
        <f>SUMIF('Monthly Data'!$B:$B,B13,'Monthly Data'!E:E)</f>
        <v>19271024.082775772</v>
      </c>
      <c r="E13" s="37">
        <f>SUMIF('Monthly Data'!$B:$B,B13,'Monthly Data'!F:F)</f>
        <v>399947164.57277584</v>
      </c>
      <c r="F13" s="37"/>
      <c r="G13" s="37">
        <f ca="1">SUMIF('Res Normalized'!$C:$C,B13,'Res Normalized'!$Q:$Q)</f>
        <v>398660557.57040018</v>
      </c>
      <c r="H13" s="37">
        <f t="shared" si="0"/>
        <v>19271024.082775772</v>
      </c>
      <c r="I13" s="37">
        <f t="shared" ca="1" si="1"/>
        <v>379389533.48762441</v>
      </c>
      <c r="J13" s="37"/>
      <c r="K13" s="38">
        <f t="shared" ca="1" si="2"/>
        <v>379389533.48762441</v>
      </c>
      <c r="M13" s="36">
        <f t="shared" si="15"/>
        <v>2022</v>
      </c>
      <c r="N13" s="37">
        <f>SUMIF('Monthly Data'!$B:$B,M13,'Monthly Data'!H:H)</f>
        <v>132582254.64</v>
      </c>
      <c r="O13" s="37">
        <f>SUMIF('Monthly Data'!$B:$B,M13,'Monthly Data'!I:I)</f>
        <v>7486150.1014995957</v>
      </c>
      <c r="P13" s="37">
        <f>SUMIF('Monthly Data'!$B:$B,M13,'Monthly Data'!J:J)</f>
        <v>140068404.7414996</v>
      </c>
      <c r="Q13" s="37"/>
      <c r="R13" s="37">
        <f ca="1">SUMIF('GS&lt;50 Normalized'!$C:$C,M13,'GS&lt;50 Normalized'!$S:$S)</f>
        <v>141758228.3755143</v>
      </c>
      <c r="S13" s="37">
        <f t="shared" si="3"/>
        <v>7486150.1014995957</v>
      </c>
      <c r="T13" s="37">
        <f t="shared" ca="1" si="4"/>
        <v>134272078.27401471</v>
      </c>
      <c r="U13" s="37"/>
      <c r="V13" s="38">
        <f t="shared" ca="1" si="5"/>
        <v>134272078.27401471</v>
      </c>
      <c r="X13" s="36">
        <f t="shared" si="16"/>
        <v>2022</v>
      </c>
      <c r="Y13" s="37">
        <f>SUMIF('Monthly Data'!$B:$B,X13,'Monthly Data'!L:L)</f>
        <v>331557996.88900006</v>
      </c>
      <c r="Z13" s="37">
        <f>SUMIF('Monthly Data'!$B:$B,X13,'Monthly Data'!M:M)</f>
        <v>25847368.336983956</v>
      </c>
      <c r="AA13" s="37">
        <f>SUMIF('Monthly Data'!$B:$B,X13,'Monthly Data'!N:N)</f>
        <v>357405365.22598392</v>
      </c>
      <c r="AB13" s="37"/>
      <c r="AC13" s="37">
        <f ca="1">SUMIF('GS&gt;50 Normalized'!$C:$C,X13,'GS&gt;50 Normalized'!$U:$U)</f>
        <v>354418031.65289515</v>
      </c>
      <c r="AD13" s="37">
        <f t="shared" si="6"/>
        <v>25847368.336983956</v>
      </c>
      <c r="AE13" s="37">
        <f t="shared" ca="1" si="7"/>
        <v>328570663.31591117</v>
      </c>
      <c r="AF13" s="37"/>
      <c r="AG13" s="38">
        <f t="shared" ca="1" si="8"/>
        <v>328570663.31591117</v>
      </c>
      <c r="AI13" s="36">
        <f t="shared" si="9"/>
        <v>2022</v>
      </c>
      <c r="AJ13" s="37">
        <f>SUMIF('Monthly Data'!$B:$B,X13,'Monthly Data'!Q:Q)</f>
        <v>3599100.4</v>
      </c>
      <c r="AK13" s="37">
        <f>'Customer Count'!O12</f>
        <v>10154.833333333334</v>
      </c>
      <c r="AL13" s="37">
        <f t="shared" si="17"/>
        <v>354.42239984243952</v>
      </c>
      <c r="AM13" s="37">
        <f t="shared" si="10"/>
        <v>3599100.4</v>
      </c>
      <c r="AO13" s="36">
        <f t="shared" si="19"/>
        <v>2022</v>
      </c>
      <c r="AP13" s="37">
        <f>SUMIF('Monthly Data'!$B:$B,X13,'Monthly Data'!T:T)</f>
        <v>348723.78</v>
      </c>
      <c r="AQ13" s="37">
        <f>'Customer Count'!S12</f>
        <v>350.5</v>
      </c>
      <c r="AR13" s="37">
        <f t="shared" si="18"/>
        <v>994.93232524964344</v>
      </c>
      <c r="AS13" s="37">
        <f>AR13*AQ13</f>
        <v>348723.78</v>
      </c>
      <c r="AU13" s="36">
        <f t="shared" si="20"/>
        <v>2022</v>
      </c>
      <c r="AV13" s="37">
        <f>SUMIF('Monthly Data'!$B:$B,X13,'Monthly Data'!W:W)</f>
        <v>947504</v>
      </c>
      <c r="AW13" s="37">
        <f>'Customer Count'!W12</f>
        <v>261.33333333333331</v>
      </c>
      <c r="AX13" s="37">
        <f t="shared" si="12"/>
        <v>3625.6530612244901</v>
      </c>
      <c r="AY13" s="37">
        <f>AX13*AW13</f>
        <v>947504</v>
      </c>
      <c r="BA13" s="48"/>
    </row>
    <row r="14" spans="2:53" x14ac:dyDescent="0.2">
      <c r="B14" s="36">
        <f t="shared" si="14"/>
        <v>2023</v>
      </c>
      <c r="C14" s="37">
        <f>SUMIF('Monthly Data'!$B:$B,B14,'Monthly Data'!D:D)</f>
        <v>372340611.97000003</v>
      </c>
      <c r="D14" s="37">
        <f>SUMIF('Monthly Data'!$B:$B,B14,'Monthly Data'!E:E)</f>
        <v>19382946.360809188</v>
      </c>
      <c r="E14" s="37">
        <f>SUMIF('Monthly Data'!$B:$B,B14,'Monthly Data'!F:F)</f>
        <v>391723558.33080918</v>
      </c>
      <c r="F14" s="38"/>
      <c r="G14" s="37">
        <f ca="1">SUMIF('Res Normalized'!$C:$C,B14,'Res Normalized'!$Q:$Q)</f>
        <v>392348999.47448605</v>
      </c>
      <c r="H14" s="37">
        <f>CDM!M19</f>
        <v>19624045.63752925</v>
      </c>
      <c r="I14" s="37">
        <f t="shared" ca="1" si="1"/>
        <v>372724953.8369568</v>
      </c>
      <c r="J14" s="37"/>
      <c r="K14" s="38">
        <f t="shared" ca="1" si="2"/>
        <v>372724953.8369568</v>
      </c>
      <c r="M14" s="36">
        <f t="shared" si="15"/>
        <v>2023</v>
      </c>
      <c r="N14" s="37">
        <f>SUMIF('Monthly Data'!$B:$B,M14,'Monthly Data'!H:H)</f>
        <v>136911221.69</v>
      </c>
      <c r="O14" s="37">
        <f>SUMIF('Monthly Data'!$B:$B,M14,'Monthly Data'!I:I)</f>
        <v>8203172.7584595811</v>
      </c>
      <c r="P14" s="37">
        <f>SUMIF('Monthly Data'!$B:$B,M14,'Monthly Data'!J:J)</f>
        <v>145114394.44845957</v>
      </c>
      <c r="Q14" s="38"/>
      <c r="R14" s="37">
        <f ca="1">SUMIF('GS&lt;50 Normalized'!$C:$C,M14,'GS&lt;50 Normalized'!$S:$S)</f>
        <v>146514033.89897379</v>
      </c>
      <c r="S14" s="37">
        <f>CDM!N19</f>
        <v>8563168.3978897929</v>
      </c>
      <c r="T14" s="37">
        <f t="shared" ca="1" si="4"/>
        <v>137950865.501084</v>
      </c>
      <c r="U14" s="37"/>
      <c r="V14" s="38">
        <f t="shared" ca="1" si="5"/>
        <v>137950865.501084</v>
      </c>
      <c r="X14" s="36">
        <f t="shared" si="16"/>
        <v>2023</v>
      </c>
      <c r="Y14" s="37">
        <f>SUMIF('Monthly Data'!$B:$B,X14,'Monthly Data'!L:L)</f>
        <v>323871927.91100001</v>
      </c>
      <c r="Z14" s="37">
        <f>SUMIF('Monthly Data'!$B:$B,X14,'Monthly Data'!M:M)</f>
        <v>27705879.5724811</v>
      </c>
      <c r="AA14" s="37">
        <f>SUMIF('Monthly Data'!$B:$B,X14,'Monthly Data'!N:N)</f>
        <v>351577807.48348111</v>
      </c>
      <c r="AB14" s="38"/>
      <c r="AC14" s="37">
        <f ca="1">SUMIF('GS&gt;50 Normalized'!$C:$C,X14,'GS&gt;50 Normalized'!$U:$U)</f>
        <v>358192735.15400237</v>
      </c>
      <c r="AD14" s="37">
        <f t="shared" si="6"/>
        <v>27705879.5724811</v>
      </c>
      <c r="AE14" s="37">
        <f t="shared" ca="1" si="7"/>
        <v>330486855.58152127</v>
      </c>
      <c r="AF14" s="37"/>
      <c r="AG14" s="38">
        <f t="shared" ca="1" si="8"/>
        <v>330486855.58152127</v>
      </c>
      <c r="AI14" s="36">
        <f t="shared" si="9"/>
        <v>2023</v>
      </c>
      <c r="AJ14" s="37">
        <f>SUMIF('Monthly Data'!$B:$B,X14,'Monthly Data'!Q:Q)</f>
        <v>3626510.8</v>
      </c>
      <c r="AK14" s="37">
        <f>'Customer Count'!O13</f>
        <v>10197.5</v>
      </c>
      <c r="AL14" s="37">
        <f t="shared" si="17"/>
        <v>355.62743809757291</v>
      </c>
      <c r="AM14" s="37">
        <f t="shared" si="10"/>
        <v>3626510.8</v>
      </c>
      <c r="AO14" s="36">
        <f t="shared" si="19"/>
        <v>2023</v>
      </c>
      <c r="AP14" s="37">
        <f>SUMIF('Monthly Data'!$B:$B,X14,'Monthly Data'!T:T)</f>
        <v>324715.26</v>
      </c>
      <c r="AQ14" s="37">
        <f>'Customer Count'!S13</f>
        <v>348.83333333333331</v>
      </c>
      <c r="AR14" s="37">
        <f t="shared" si="18"/>
        <v>930.86075489727671</v>
      </c>
      <c r="AS14" s="37">
        <f>AR14*AQ14</f>
        <v>324715.26</v>
      </c>
      <c r="AU14" s="36">
        <f t="shared" si="20"/>
        <v>2023</v>
      </c>
      <c r="AV14" s="37">
        <f>SUMIF('Monthly Data'!$B:$B,X14,'Monthly Data'!W:W)</f>
        <v>921828.41</v>
      </c>
      <c r="AW14" s="37">
        <f>'Customer Count'!W13</f>
        <v>259.58333333333331</v>
      </c>
      <c r="AX14" s="37">
        <f t="shared" si="12"/>
        <v>3551.1848860353134</v>
      </c>
      <c r="AY14" s="37">
        <f>AX14*AW14</f>
        <v>921828.41</v>
      </c>
      <c r="BA14" s="48"/>
    </row>
    <row r="15" spans="2:53" s="68" customFormat="1" x14ac:dyDescent="0.2">
      <c r="B15" s="39">
        <f t="shared" si="14"/>
        <v>2024</v>
      </c>
      <c r="C15" s="37"/>
      <c r="D15" s="37"/>
      <c r="E15" s="37"/>
      <c r="F15" s="38"/>
      <c r="G15" s="38">
        <f ca="1">SUMIF('Res Normalized'!$C:$C,B15,'Res Normalized'!$Q:$Q)</f>
        <v>393233688.20029908</v>
      </c>
      <c r="H15" s="38">
        <f>CDM!M20</f>
        <v>19870643.207563054</v>
      </c>
      <c r="I15" s="38">
        <f t="shared" ref="I15" ca="1" si="21">G15-H15</f>
        <v>373363044.99273604</v>
      </c>
      <c r="J15" s="38">
        <f ca="1">'Total Additional Loads'!D12</f>
        <v>223853.69327240399</v>
      </c>
      <c r="K15" s="38">
        <f ca="1">I15+J15</f>
        <v>373586898.68600845</v>
      </c>
      <c r="M15" s="39">
        <f t="shared" si="15"/>
        <v>2024</v>
      </c>
      <c r="N15" s="38"/>
      <c r="O15" s="38"/>
      <c r="P15" s="38"/>
      <c r="Q15" s="38"/>
      <c r="R15" s="38">
        <f ca="1">SUMIF('GS&lt;50 Normalized'!$C:$C,M15,'GS&lt;50 Normalized'!$S:$S)</f>
        <v>147661790.59650213</v>
      </c>
      <c r="S15" s="38">
        <f>CDM!N20</f>
        <v>8729317.3536544573</v>
      </c>
      <c r="T15" s="38">
        <f t="shared" ref="T15" ca="1" si="22">R15-S15</f>
        <v>138932473.24284768</v>
      </c>
      <c r="U15" s="38">
        <f ca="1">'Total Additional Loads'!D13</f>
        <v>63319.796793072805</v>
      </c>
      <c r="V15" s="38">
        <f ca="1">T15+U15</f>
        <v>138995793.03964075</v>
      </c>
      <c r="X15" s="39">
        <f t="shared" si="16"/>
        <v>2024</v>
      </c>
      <c r="Y15" s="38"/>
      <c r="Z15" s="38"/>
      <c r="AA15" s="38"/>
      <c r="AB15" s="38"/>
      <c r="AC15" s="38">
        <f ca="1">SUMIF('GS&gt;50 Normalized'!$C:$C,X15,'GS&gt;50 Normalized'!$U:$U)</f>
        <v>355665543.69754696</v>
      </c>
      <c r="AD15" s="38">
        <f>CDM!O20</f>
        <v>28787801.157245848</v>
      </c>
      <c r="AE15" s="38">
        <f t="shared" ref="AE15" ca="1" si="23">AC15-AD15</f>
        <v>326877742.54030108</v>
      </c>
      <c r="AF15" s="38">
        <f>'Total Additional Loads'!D14</f>
        <v>39105.128087137964</v>
      </c>
      <c r="AG15" s="38">
        <f ca="1">AE15+AF15</f>
        <v>326916847.66838825</v>
      </c>
      <c r="AI15" s="39">
        <f t="shared" ref="AI15" si="24">B15</f>
        <v>2024</v>
      </c>
      <c r="AJ15" s="38"/>
      <c r="AK15" s="38">
        <f>'Customer Count'!O14</f>
        <v>10252.916666666666</v>
      </c>
      <c r="AL15" s="38">
        <f>AVERAGE(AL12:AL14)</f>
        <v>355.14337460412298</v>
      </c>
      <c r="AM15" s="38">
        <f>AL15*AK15</f>
        <v>3641255.4245348559</v>
      </c>
      <c r="AO15" s="39">
        <f t="shared" si="19"/>
        <v>2024</v>
      </c>
      <c r="AP15" s="38"/>
      <c r="AQ15" s="38">
        <f>'Customer Count'!S14</f>
        <v>346</v>
      </c>
      <c r="AR15" s="38">
        <f>AR14</f>
        <v>930.86075489727671</v>
      </c>
      <c r="AS15" s="38">
        <f>AR15*AQ15</f>
        <v>322077.82119445776</v>
      </c>
      <c r="AU15" s="39">
        <f t="shared" si="20"/>
        <v>2024</v>
      </c>
      <c r="AV15" s="38"/>
      <c r="AW15" s="38">
        <f>'Customer Count'!W14</f>
        <v>253.83333333333334</v>
      </c>
      <c r="AX15" s="38">
        <f ca="1">TREND($AX$11:$AX$15,$AU$11:$AU$15,AU15)</f>
        <v>3515.1396982705046</v>
      </c>
      <c r="AY15" s="38">
        <f ca="1">AX15*AW15</f>
        <v>892259.62674432981</v>
      </c>
    </row>
    <row r="16" spans="2:53" x14ac:dyDescent="0.2">
      <c r="B16" s="39">
        <f t="shared" si="14"/>
        <v>2025</v>
      </c>
      <c r="C16" s="36"/>
      <c r="D16" s="36"/>
      <c r="E16" s="36"/>
      <c r="F16" s="36"/>
      <c r="G16" s="38">
        <f ca="1">SUMIF('Res Normalized'!$C:$C,B16,'Res Normalized'!$Q:$Q)</f>
        <v>386037441.37857193</v>
      </c>
      <c r="H16" s="38">
        <f>CDM!M21</f>
        <v>19312053.436354231</v>
      </c>
      <c r="I16" s="38">
        <f ca="1">G16-H16</f>
        <v>366725387.94221771</v>
      </c>
      <c r="J16" s="38">
        <f ca="1">'Total Additional Loads'!E12</f>
        <v>3607393.7917844863</v>
      </c>
      <c r="K16" s="38">
        <f ca="1">I16+J16</f>
        <v>370332781.73400217</v>
      </c>
      <c r="M16" s="39">
        <f t="shared" si="15"/>
        <v>2025</v>
      </c>
      <c r="N16" s="36"/>
      <c r="O16" s="36"/>
      <c r="P16" s="36"/>
      <c r="Q16" s="36"/>
      <c r="R16" s="38">
        <f ca="1">SUMIF('GS&lt;50 Normalized'!$C:$C,M16,'GS&lt;50 Normalized'!$S:$S)</f>
        <v>148065253.17056164</v>
      </c>
      <c r="S16" s="38">
        <f>CDM!N21</f>
        <v>8168385.4362205165</v>
      </c>
      <c r="T16" s="38">
        <f ca="1">R16-S16</f>
        <v>139896867.73434111</v>
      </c>
      <c r="U16" s="38">
        <f ca="1">'Total Additional Loads'!E13</f>
        <v>981440.9713155909</v>
      </c>
      <c r="V16" s="38">
        <f ca="1">T16+U16</f>
        <v>140878308.70565671</v>
      </c>
      <c r="X16" s="39">
        <f t="shared" si="16"/>
        <v>2025</v>
      </c>
      <c r="Y16" s="36"/>
      <c r="Z16" s="36"/>
      <c r="AA16" s="36"/>
      <c r="AB16" s="36"/>
      <c r="AC16" s="38">
        <f ca="1">SUMIF('GS&gt;50 Normalized'!$C:$C,X16,'GS&gt;50 Normalized'!$U:$U)</f>
        <v>349666446.75862938</v>
      </c>
      <c r="AD16" s="38">
        <f>CDM!O21</f>
        <v>25440829.667416029</v>
      </c>
      <c r="AE16" s="38">
        <f ca="1">AC16-AD16</f>
        <v>324225617.09121335</v>
      </c>
      <c r="AF16" s="38">
        <f>'Total Additional Loads'!E14</f>
        <v>764936.21479064785</v>
      </c>
      <c r="AG16" s="38">
        <f ca="1">AE16+AF16</f>
        <v>324990553.30600399</v>
      </c>
      <c r="AI16" s="39">
        <f t="shared" si="9"/>
        <v>2025</v>
      </c>
      <c r="AJ16" s="36"/>
      <c r="AK16" s="38">
        <f>'Customer Count'!O15</f>
        <v>10306.094344370955</v>
      </c>
      <c r="AL16" s="38">
        <f>AL15</f>
        <v>355.14337460412298</v>
      </c>
      <c r="AM16" s="38">
        <f>AL16*AK16</f>
        <v>3660141.1244483674</v>
      </c>
      <c r="AO16" s="39">
        <f t="shared" si="19"/>
        <v>2025</v>
      </c>
      <c r="AP16" s="38"/>
      <c r="AQ16" s="38">
        <f>'Customer Count'!S15</f>
        <v>339.92938105833389</v>
      </c>
      <c r="AR16" s="38">
        <f t="shared" ref="AR16" si="25">AR15</f>
        <v>930.86075489727671</v>
      </c>
      <c r="AS16" s="38">
        <f t="shared" ref="AS16" si="26">AR16*AQ16</f>
        <v>316426.92026372469</v>
      </c>
      <c r="AU16" s="39">
        <f t="shared" si="20"/>
        <v>2025</v>
      </c>
      <c r="AV16" s="36"/>
      <c r="AW16" s="38">
        <f>'Customer Count'!W15</f>
        <v>247.09105249306646</v>
      </c>
      <c r="AX16" s="38">
        <f ca="1">TREND($AX$11:$AX$15,$AU$11:$AU$15,AU16)</f>
        <v>3465.1404242519202</v>
      </c>
      <c r="AY16" s="38">
        <f ca="1">AX16*AW16</f>
        <v>856205.19446467783</v>
      </c>
    </row>
    <row r="17" spans="30:51" x14ac:dyDescent="0.2">
      <c r="AD17" s="48"/>
      <c r="AI17" s="39"/>
      <c r="AJ17" s="36"/>
      <c r="AK17" s="38"/>
      <c r="AL17" s="38"/>
      <c r="AM17" s="38"/>
      <c r="AO17" s="36"/>
      <c r="AP17" s="36"/>
      <c r="AQ17" s="38"/>
      <c r="AR17" s="38"/>
      <c r="AS17" s="38"/>
      <c r="AU17" s="38"/>
      <c r="AV17" s="36"/>
      <c r="AW17" s="38"/>
      <c r="AX17" s="38"/>
      <c r="AY17" s="38"/>
    </row>
    <row r="44" spans="2:51" x14ac:dyDescent="0.2">
      <c r="B44" s="19"/>
      <c r="C44" s="19"/>
      <c r="D44" s="19"/>
      <c r="E44" s="19"/>
      <c r="F44" s="19"/>
      <c r="G44" s="19"/>
      <c r="H44" s="19"/>
      <c r="I44" s="19"/>
      <c r="J44" s="19"/>
      <c r="K44" s="19"/>
      <c r="M44" s="19"/>
      <c r="N44" s="19"/>
      <c r="O44" s="19"/>
      <c r="P44" s="19"/>
      <c r="Q44" s="19"/>
      <c r="R44" s="19"/>
      <c r="S44" s="19"/>
      <c r="T44" s="19"/>
      <c r="U44" s="19"/>
      <c r="V44" s="19"/>
      <c r="X44" s="19"/>
      <c r="Y44" s="19"/>
      <c r="Z44" s="19"/>
      <c r="AA44" s="19"/>
      <c r="AB44" s="19"/>
      <c r="AC44" s="19"/>
      <c r="AD44" s="19"/>
      <c r="AE44" s="19"/>
      <c r="AF44" s="19"/>
      <c r="AG44" s="19"/>
    </row>
    <row r="45" spans="2:51" x14ac:dyDescent="0.2">
      <c r="B45" s="480" t="s">
        <v>344</v>
      </c>
      <c r="C45" s="480"/>
      <c r="D45" s="480"/>
      <c r="E45" s="480"/>
      <c r="F45" s="480"/>
      <c r="G45" s="480"/>
      <c r="H45" s="480"/>
      <c r="I45" s="480"/>
      <c r="J45" s="97"/>
      <c r="K45" s="97"/>
      <c r="M45" s="480" t="s">
        <v>348</v>
      </c>
      <c r="N45" s="480"/>
      <c r="O45" s="480"/>
      <c r="P45" s="480"/>
      <c r="Q45" s="480"/>
      <c r="R45" s="480"/>
      <c r="S45" s="480"/>
      <c r="T45" s="480"/>
      <c r="U45" s="97"/>
      <c r="V45" s="97"/>
      <c r="X45" s="480" t="s">
        <v>348</v>
      </c>
      <c r="Y45" s="480"/>
      <c r="Z45" s="480"/>
      <c r="AA45" s="480"/>
      <c r="AB45" s="480"/>
      <c r="AC45" s="480"/>
      <c r="AD45" s="480"/>
      <c r="AE45" s="480"/>
      <c r="AF45" s="97"/>
      <c r="AG45" s="97"/>
      <c r="AI45" s="480"/>
      <c r="AJ45" s="480"/>
      <c r="AK45" s="480"/>
      <c r="AL45" s="480"/>
      <c r="AM45" s="480"/>
      <c r="AO45" s="480"/>
      <c r="AP45" s="480"/>
      <c r="AQ45" s="480"/>
      <c r="AR45" s="480"/>
      <c r="AS45" s="480"/>
      <c r="AU45" s="480"/>
      <c r="AV45" s="480"/>
      <c r="AW45" s="480"/>
      <c r="AX45" s="480"/>
      <c r="AY45" s="480"/>
    </row>
    <row r="46" spans="2:51" ht="51" x14ac:dyDescent="0.2">
      <c r="B46" s="34" t="s">
        <v>1</v>
      </c>
      <c r="C46" s="34" t="s">
        <v>355</v>
      </c>
      <c r="D46" s="34" t="s">
        <v>356</v>
      </c>
      <c r="E46" s="34" t="s">
        <v>357</v>
      </c>
      <c r="F46" s="34"/>
      <c r="G46" s="34" t="s">
        <v>358</v>
      </c>
      <c r="H46" s="34" t="s">
        <v>356</v>
      </c>
      <c r="I46" s="34" t="s">
        <v>164</v>
      </c>
      <c r="J46" s="249" t="s">
        <v>359</v>
      </c>
      <c r="K46" s="249" t="s">
        <v>360</v>
      </c>
      <c r="M46" s="34" t="s">
        <v>1</v>
      </c>
      <c r="N46" s="34" t="s">
        <v>355</v>
      </c>
      <c r="O46" s="34" t="s">
        <v>356</v>
      </c>
      <c r="P46" s="34" t="s">
        <v>357</v>
      </c>
      <c r="Q46" s="34"/>
      <c r="R46" s="34" t="s">
        <v>358</v>
      </c>
      <c r="S46" s="34" t="s">
        <v>356</v>
      </c>
      <c r="T46" s="34" t="s">
        <v>164</v>
      </c>
      <c r="U46" s="249" t="s">
        <v>359</v>
      </c>
      <c r="V46" s="249" t="s">
        <v>360</v>
      </c>
      <c r="X46" s="34" t="s">
        <v>1</v>
      </c>
      <c r="Y46" s="34" t="s">
        <v>355</v>
      </c>
      <c r="Z46" s="34" t="s">
        <v>356</v>
      </c>
      <c r="AA46" s="34" t="s">
        <v>357</v>
      </c>
      <c r="AB46" s="34"/>
      <c r="AC46" s="34" t="s">
        <v>358</v>
      </c>
      <c r="AD46" s="34" t="s">
        <v>356</v>
      </c>
      <c r="AE46" s="34" t="s">
        <v>164</v>
      </c>
      <c r="AF46" s="249" t="s">
        <v>359</v>
      </c>
      <c r="AG46" s="249" t="s">
        <v>360</v>
      </c>
      <c r="AI46" s="35"/>
      <c r="AJ46" s="34"/>
      <c r="AK46" s="34"/>
      <c r="AL46" s="34"/>
      <c r="AM46" s="34"/>
      <c r="AO46" s="35"/>
      <c r="AP46" s="34"/>
      <c r="AQ46" s="34"/>
      <c r="AR46" s="34"/>
      <c r="AS46" s="34"/>
      <c r="AU46" s="35"/>
      <c r="AV46" s="35"/>
      <c r="AW46" s="35"/>
      <c r="AX46" s="34"/>
      <c r="AY46" s="34"/>
    </row>
    <row r="47" spans="2:51" x14ac:dyDescent="0.2">
      <c r="B47" s="35"/>
      <c r="C47" s="35" t="s">
        <v>261</v>
      </c>
      <c r="D47" s="35" t="s">
        <v>263</v>
      </c>
      <c r="E47" s="35" t="s">
        <v>366</v>
      </c>
      <c r="F47" s="35"/>
      <c r="G47" s="35" t="s">
        <v>266</v>
      </c>
      <c r="H47" s="35" t="s">
        <v>367</v>
      </c>
      <c r="I47" s="35" t="s">
        <v>368</v>
      </c>
      <c r="J47" s="97" t="s">
        <v>369</v>
      </c>
      <c r="K47" s="97" t="s">
        <v>370</v>
      </c>
      <c r="M47" s="35"/>
      <c r="N47" s="35" t="s">
        <v>261</v>
      </c>
      <c r="O47" s="35" t="s">
        <v>263</v>
      </c>
      <c r="P47" s="35" t="s">
        <v>366</v>
      </c>
      <c r="Q47" s="35"/>
      <c r="R47" s="35" t="s">
        <v>266</v>
      </c>
      <c r="S47" s="35" t="s">
        <v>367</v>
      </c>
      <c r="T47" s="35" t="s">
        <v>368</v>
      </c>
      <c r="U47" s="97" t="s">
        <v>369</v>
      </c>
      <c r="V47" s="97" t="s">
        <v>370</v>
      </c>
      <c r="X47" s="35"/>
      <c r="Y47" s="35" t="s">
        <v>261</v>
      </c>
      <c r="Z47" s="35" t="s">
        <v>263</v>
      </c>
      <c r="AA47" s="35" t="s">
        <v>366</v>
      </c>
      <c r="AB47" s="35"/>
      <c r="AC47" s="35" t="s">
        <v>266</v>
      </c>
      <c r="AD47" s="35" t="s">
        <v>367</v>
      </c>
      <c r="AE47" s="35" t="s">
        <v>368</v>
      </c>
      <c r="AF47" s="97" t="s">
        <v>369</v>
      </c>
      <c r="AG47" s="97" t="s">
        <v>370</v>
      </c>
      <c r="AI47" s="35"/>
      <c r="AJ47" s="35"/>
      <c r="AK47" s="35"/>
      <c r="AL47" s="35"/>
      <c r="AM47" s="35"/>
      <c r="AO47" s="35"/>
      <c r="AP47" s="35"/>
      <c r="AQ47" s="35"/>
      <c r="AR47" s="35"/>
      <c r="AS47" s="35"/>
      <c r="AU47" s="35"/>
      <c r="AV47" s="35"/>
      <c r="AW47" s="35"/>
      <c r="AX47" s="35"/>
      <c r="AY47" s="35"/>
    </row>
    <row r="48" spans="2:51" x14ac:dyDescent="0.2">
      <c r="B48" s="36">
        <v>2014</v>
      </c>
      <c r="C48" s="37">
        <f>SUMIF('Monthly Data'!$B:$B,B48,'Monthly Data'!D:D)</f>
        <v>401059651.72946942</v>
      </c>
      <c r="D48" s="37">
        <f>SUMIF('Monthly Data'!$B:$B,B48,'Monthly Data'!E:E)</f>
        <v>2072386.5504232105</v>
      </c>
      <c r="E48" s="37">
        <f>SUMIF('Monthly Data'!$B:$B,B48,'Monthly Data'!F:F)</f>
        <v>403132038.27989262</v>
      </c>
      <c r="F48" s="37"/>
      <c r="G48" s="37">
        <f ca="1">SUMIF('Res Weather Normalized'!$C:$C,B48,'Res Weather Normalized'!$S:$S)</f>
        <v>395632898.49260581</v>
      </c>
      <c r="H48" s="37">
        <f t="shared" ref="H48:H57" si="27">D48</f>
        <v>2072386.5504232105</v>
      </c>
      <c r="I48" s="37">
        <f t="shared" ref="I48:I58" ca="1" si="28">G48-H48</f>
        <v>393560511.9421826</v>
      </c>
      <c r="J48" s="37"/>
      <c r="K48" s="38">
        <f t="shared" ref="K48:K57" ca="1" si="29">I48+J48</f>
        <v>393560511.9421826</v>
      </c>
      <c r="M48" s="36">
        <v>2014</v>
      </c>
      <c r="N48" s="37">
        <f>SUMIF('Monthly Data'!$B:$B,M48,'Monthly Data'!H:H)</f>
        <v>144307855.4645004</v>
      </c>
      <c r="O48" s="37">
        <f>SUMIF('Monthly Data'!$B:$B,M48,'Monthly Data'!I:I)</f>
        <v>467660.43998650002</v>
      </c>
      <c r="P48" s="37">
        <f>SUMIF('Monthly Data'!$B:$B,M48,'Monthly Data'!J:J)</f>
        <v>144775515.90448689</v>
      </c>
      <c r="Q48" s="37"/>
      <c r="R48" s="37">
        <f ca="1">SUMIF('GS&lt;50 Weather Normalized'!$C:$C,M48,'GS&lt;50 Weather Normalized'!$U:$U)</f>
        <v>143450154.27306327</v>
      </c>
      <c r="S48" s="37">
        <f t="shared" ref="S48:S57" si="30">O48</f>
        <v>467660.43998650002</v>
      </c>
      <c r="T48" s="37">
        <f t="shared" ref="T48:T58" ca="1" si="31">R48-S48</f>
        <v>142982493.83307678</v>
      </c>
      <c r="U48" s="37"/>
      <c r="V48" s="38">
        <f t="shared" ref="V48:V57" ca="1" si="32">T48+U48</f>
        <v>142982493.83307678</v>
      </c>
      <c r="X48" s="36">
        <v>2014</v>
      </c>
      <c r="Y48" s="37">
        <f>SUMIF('Monthly Data'!$B:$B,X48,'Monthly Data'!L:L)</f>
        <v>378009413.04113448</v>
      </c>
      <c r="Z48" s="37">
        <f>SUMIF('Monthly Data'!$B:$B,X48,'Monthly Data'!M:M)</f>
        <v>1836290.6736215001</v>
      </c>
      <c r="AA48" s="37">
        <f>SUMIF('Monthly Data'!$B:$B,X48,'Monthly Data'!N:N)</f>
        <v>379845703.71475601</v>
      </c>
      <c r="AB48" s="37"/>
      <c r="AC48" s="37">
        <f ca="1">SUMIF('GS&gt;50 Weather Normalized'!$C:$C,X48,'GS&gt;50 Weather Normalized'!$W:$W)</f>
        <v>376876136.46720487</v>
      </c>
      <c r="AD48" s="37">
        <f t="shared" ref="AD48:AD57" si="33">Z48</f>
        <v>1836290.6736215001</v>
      </c>
      <c r="AE48" s="37">
        <f t="shared" ref="AE48:AE58" ca="1" si="34">AC48-AD48</f>
        <v>375039845.79358339</v>
      </c>
      <c r="AF48" s="37"/>
      <c r="AG48" s="38">
        <f t="shared" ref="AG48:AG57" ca="1" si="35">AE48+AF48</f>
        <v>375039845.79358339</v>
      </c>
      <c r="AI48" s="36"/>
      <c r="AJ48" s="37"/>
      <c r="AK48" s="37"/>
      <c r="AL48" s="37"/>
      <c r="AM48" s="37"/>
      <c r="AO48" s="36"/>
      <c r="AP48" s="37"/>
      <c r="AQ48" s="37"/>
      <c r="AR48" s="37"/>
      <c r="AS48" s="37"/>
      <c r="AU48" s="36"/>
      <c r="AV48" s="37"/>
      <c r="AW48" s="37"/>
      <c r="AX48" s="37"/>
      <c r="AY48" s="37"/>
    </row>
    <row r="49" spans="1:53" x14ac:dyDescent="0.2">
      <c r="B49" s="36">
        <f t="shared" ref="B49:B59" si="36">B48+1</f>
        <v>2015</v>
      </c>
      <c r="C49" s="37">
        <f>SUMIF('Monthly Data'!$B:$B,B49,'Monthly Data'!D:D)</f>
        <v>378767130.92564416</v>
      </c>
      <c r="D49" s="37">
        <f>SUMIF('Monthly Data'!$B:$B,B49,'Monthly Data'!E:E)</f>
        <v>4628474.2808464207</v>
      </c>
      <c r="E49" s="37">
        <f>SUMIF('Monthly Data'!$B:$B,B49,'Monthly Data'!F:F)</f>
        <v>383395605.20649058</v>
      </c>
      <c r="F49" s="37"/>
      <c r="G49" s="37">
        <f ca="1">SUMIF('Res Weather Normalized'!$C:$C,B49,'Res Weather Normalized'!$S:$S)</f>
        <v>382904073.29315656</v>
      </c>
      <c r="H49" s="37">
        <f t="shared" si="27"/>
        <v>4628474.2808464207</v>
      </c>
      <c r="I49" s="37">
        <f t="shared" ca="1" si="28"/>
        <v>378275599.01231015</v>
      </c>
      <c r="J49" s="37"/>
      <c r="K49" s="38">
        <f t="shared" ca="1" si="29"/>
        <v>378275599.01231015</v>
      </c>
      <c r="M49" s="36">
        <f t="shared" ref="M49:M59" si="37">M48+1</f>
        <v>2015</v>
      </c>
      <c r="N49" s="37">
        <f>SUMIF('Monthly Data'!$B:$B,M49,'Monthly Data'!H:H)</f>
        <v>138792580.30899632</v>
      </c>
      <c r="O49" s="37">
        <f>SUMIF('Monthly Data'!$B:$B,M49,'Monthly Data'!I:I)</f>
        <v>1429686.3800130005</v>
      </c>
      <c r="P49" s="37">
        <f>SUMIF('Monthly Data'!$B:$B,M49,'Monthly Data'!J:J)</f>
        <v>140222266.68900934</v>
      </c>
      <c r="Q49" s="37"/>
      <c r="R49" s="37">
        <f ca="1">SUMIF('GS&lt;50 Weather Normalized'!$C:$C,M49,'GS&lt;50 Weather Normalized'!$U:$U)</f>
        <v>140105267.13827893</v>
      </c>
      <c r="S49" s="37">
        <f t="shared" si="30"/>
        <v>1429686.3800130005</v>
      </c>
      <c r="T49" s="37">
        <f t="shared" ca="1" si="31"/>
        <v>138675580.75826594</v>
      </c>
      <c r="U49" s="37"/>
      <c r="V49" s="38">
        <f t="shared" ca="1" si="32"/>
        <v>138675580.75826594</v>
      </c>
      <c r="X49" s="36">
        <f t="shared" ref="X49:X59" si="38">X48+1</f>
        <v>2015</v>
      </c>
      <c r="Y49" s="37">
        <f>SUMIF('Monthly Data'!$B:$B,X49,'Monthly Data'!L:L)</f>
        <v>362799633.31332147</v>
      </c>
      <c r="Z49" s="37">
        <f>SUMIF('Monthly Data'!$B:$B,X49,'Monthly Data'!M:M)</f>
        <v>6448544.3171229996</v>
      </c>
      <c r="AA49" s="37">
        <f>SUMIF('Monthly Data'!$B:$B,X49,'Monthly Data'!N:N)</f>
        <v>369248177.63044453</v>
      </c>
      <c r="AB49" s="37"/>
      <c r="AC49" s="37">
        <f ca="1">SUMIF('GS&gt;50 Weather Normalized'!$C:$C,X49,'GS&gt;50 Weather Normalized'!$W:$W)</f>
        <v>368837766.69328815</v>
      </c>
      <c r="AD49" s="37">
        <f t="shared" si="33"/>
        <v>6448544.3171229996</v>
      </c>
      <c r="AE49" s="37">
        <f t="shared" ca="1" si="34"/>
        <v>362389222.37616515</v>
      </c>
      <c r="AF49" s="37"/>
      <c r="AG49" s="38">
        <f t="shared" ca="1" si="35"/>
        <v>362389222.37616515</v>
      </c>
      <c r="AI49" s="36"/>
      <c r="AJ49" s="37"/>
      <c r="AK49" s="37"/>
      <c r="AL49" s="37"/>
      <c r="AM49" s="37"/>
      <c r="AO49" s="36"/>
      <c r="AP49" s="37"/>
      <c r="AQ49" s="37"/>
      <c r="AR49" s="37"/>
      <c r="AS49" s="37"/>
      <c r="AU49" s="36"/>
      <c r="AV49" s="37"/>
      <c r="AW49" s="37"/>
      <c r="AX49" s="37"/>
      <c r="AY49" s="37"/>
      <c r="BA49" s="48"/>
    </row>
    <row r="50" spans="1:53" x14ac:dyDescent="0.2">
      <c r="A50" t="s">
        <v>372</v>
      </c>
      <c r="B50" s="36">
        <f t="shared" si="36"/>
        <v>2016</v>
      </c>
      <c r="C50" s="37">
        <f>SUMIF('Monthly Data'!$B:$B,B50,'Monthly Data'!D:D)</f>
        <v>363718802.67397815</v>
      </c>
      <c r="D50" s="37">
        <f>SUMIF('Monthly Data'!$B:$B,B50,'Monthly Data'!E:E)</f>
        <v>8962158.1465464216</v>
      </c>
      <c r="E50" s="37">
        <f>SUMIF('Monthly Data'!$B:$B,B50,'Monthly Data'!F:F)</f>
        <v>372680960.82052457</v>
      </c>
      <c r="F50" s="37"/>
      <c r="G50" s="37">
        <f ca="1">SUMIF('Res Weather Normalized'!$C:$C,B50,'Res Weather Normalized'!$S:$S)</f>
        <v>374471075.57663125</v>
      </c>
      <c r="H50" s="37">
        <f t="shared" si="27"/>
        <v>8962158.1465464216</v>
      </c>
      <c r="I50" s="37">
        <f t="shared" ca="1" si="28"/>
        <v>365508917.43008482</v>
      </c>
      <c r="J50" s="37"/>
      <c r="K50" s="38">
        <f t="shared" ca="1" si="29"/>
        <v>365508917.43008482</v>
      </c>
      <c r="M50" s="36">
        <f t="shared" si="37"/>
        <v>2016</v>
      </c>
      <c r="N50" s="37">
        <f>SUMIF('Monthly Data'!$B:$B,M50,'Monthly Data'!H:H)</f>
        <v>135472796.74455184</v>
      </c>
      <c r="O50" s="37">
        <f>SUMIF('Monthly Data'!$B:$B,M50,'Monthly Data'!I:I)</f>
        <v>2503508.9160301299</v>
      </c>
      <c r="P50" s="37">
        <f>SUMIF('Monthly Data'!$B:$B,M50,'Monthly Data'!J:J)</f>
        <v>137976305.66058198</v>
      </c>
      <c r="Q50" s="37"/>
      <c r="R50" s="37">
        <f ca="1">SUMIF('GS&lt;50 Weather Normalized'!$C:$C,M50,'GS&lt;50 Weather Normalized'!$U:$U)</f>
        <v>138176987.70121798</v>
      </c>
      <c r="S50" s="37">
        <f t="shared" si="30"/>
        <v>2503508.9160301299</v>
      </c>
      <c r="T50" s="37">
        <f t="shared" ca="1" si="31"/>
        <v>135673478.78518784</v>
      </c>
      <c r="U50" s="37"/>
      <c r="V50" s="38">
        <f t="shared" ca="1" si="32"/>
        <v>135673478.78518784</v>
      </c>
      <c r="X50" s="36">
        <f t="shared" si="38"/>
        <v>2016</v>
      </c>
      <c r="Y50" s="37">
        <f>SUMIF('Monthly Data'!$B:$B,X50,'Monthly Data'!L:L)</f>
        <v>350224516.35218138</v>
      </c>
      <c r="Z50" s="37">
        <f>SUMIF('Monthly Data'!$B:$B,X50,'Monthly Data'!M:M)</f>
        <v>11575330.19679961</v>
      </c>
      <c r="AA50" s="37">
        <f>SUMIF('Monthly Data'!$B:$B,X50,'Monthly Data'!N:N)</f>
        <v>361799846.54898095</v>
      </c>
      <c r="AB50" s="37"/>
      <c r="AC50" s="37">
        <f ca="1">SUMIF('GS&gt;50 Weather Normalized'!$C:$C,X50,'GS&gt;50 Weather Normalized'!$W:$W)</f>
        <v>362073211.51609075</v>
      </c>
      <c r="AD50" s="37">
        <f t="shared" si="33"/>
        <v>11575330.19679961</v>
      </c>
      <c r="AE50" s="37">
        <f t="shared" ca="1" si="34"/>
        <v>350497881.31929111</v>
      </c>
      <c r="AF50" s="37"/>
      <c r="AG50" s="38">
        <f t="shared" ca="1" si="35"/>
        <v>350497881.31929111</v>
      </c>
      <c r="AI50" s="36"/>
      <c r="AJ50" s="37"/>
      <c r="AK50" s="37"/>
      <c r="AL50" s="37"/>
      <c r="AM50" s="37"/>
      <c r="AO50" s="36"/>
      <c r="AP50" s="37"/>
      <c r="AQ50" s="37"/>
      <c r="AR50" s="37"/>
      <c r="AS50" s="37"/>
      <c r="AU50" s="36"/>
      <c r="AV50" s="37"/>
      <c r="AW50" s="37"/>
      <c r="AX50" s="37"/>
      <c r="AY50" s="37"/>
      <c r="BA50" s="48"/>
    </row>
    <row r="51" spans="1:53" x14ac:dyDescent="0.2">
      <c r="A51" t="s">
        <v>373</v>
      </c>
      <c r="B51" s="36">
        <f t="shared" si="36"/>
        <v>2017</v>
      </c>
      <c r="C51" s="37">
        <f>SUMIF('Monthly Data'!$B:$B,B51,'Monthly Data'!D:D)</f>
        <v>354425140.91571283</v>
      </c>
      <c r="D51" s="37">
        <f>SUMIF('Monthly Data'!$B:$B,B51,'Monthly Data'!E:E)</f>
        <v>15404658.902526423</v>
      </c>
      <c r="E51" s="37">
        <f>SUMIF('Monthly Data'!$B:$B,B51,'Monthly Data'!F:F)</f>
        <v>369829799.81823927</v>
      </c>
      <c r="F51" s="37"/>
      <c r="G51" s="37">
        <f ca="1">SUMIF('Res Weather Normalized'!$C:$C,B51,'Res Weather Normalized'!$S:$S)</f>
        <v>374836094.82490641</v>
      </c>
      <c r="H51" s="37">
        <f t="shared" si="27"/>
        <v>15404658.902526423</v>
      </c>
      <c r="I51" s="37">
        <f t="shared" ca="1" si="28"/>
        <v>359431435.92237997</v>
      </c>
      <c r="J51" s="37"/>
      <c r="K51" s="38">
        <f t="shared" ca="1" si="29"/>
        <v>359431435.92237997</v>
      </c>
      <c r="M51" s="36">
        <f t="shared" si="37"/>
        <v>2017</v>
      </c>
      <c r="N51" s="37">
        <f>SUMIF('Monthly Data'!$B:$B,M51,'Monthly Data'!H:H)</f>
        <v>132427313.43009868</v>
      </c>
      <c r="O51" s="37">
        <f>SUMIF('Monthly Data'!$B:$B,M51,'Monthly Data'!I:I)</f>
        <v>3766085.3025654461</v>
      </c>
      <c r="P51" s="37">
        <f>SUMIF('Monthly Data'!$B:$B,M51,'Monthly Data'!J:J)</f>
        <v>136193398.73266414</v>
      </c>
      <c r="Q51" s="37"/>
      <c r="R51" s="37">
        <f ca="1">SUMIF('GS&lt;50 Weather Normalized'!$C:$C,M51,'GS&lt;50 Weather Normalized'!$U:$U)</f>
        <v>137268688.22324604</v>
      </c>
      <c r="S51" s="37">
        <f t="shared" si="30"/>
        <v>3766085.3025654461</v>
      </c>
      <c r="T51" s="37">
        <f t="shared" ca="1" si="31"/>
        <v>133502602.9206806</v>
      </c>
      <c r="U51" s="37"/>
      <c r="V51" s="38">
        <f t="shared" ca="1" si="32"/>
        <v>133502602.9206806</v>
      </c>
      <c r="X51" s="36">
        <f t="shared" si="38"/>
        <v>2017</v>
      </c>
      <c r="Y51" s="37">
        <f>SUMIF('Monthly Data'!$B:$B,X51,'Monthly Data'!L:L)</f>
        <v>352367386.90814096</v>
      </c>
      <c r="Z51" s="37">
        <f>SUMIF('Monthly Data'!$B:$B,X51,'Monthly Data'!M:M)</f>
        <v>15773603.45312877</v>
      </c>
      <c r="AA51" s="37">
        <f>SUMIF('Monthly Data'!$B:$B,X51,'Monthly Data'!N:N)</f>
        <v>368140990.36126989</v>
      </c>
      <c r="AB51" s="37"/>
      <c r="AC51" s="37">
        <f ca="1">SUMIF('GS&gt;50 Weather Normalized'!$C:$C,X51,'GS&gt;50 Weather Normalized'!$W:$W)</f>
        <v>370740860.93251914</v>
      </c>
      <c r="AD51" s="37">
        <f t="shared" si="33"/>
        <v>15773603.45312877</v>
      </c>
      <c r="AE51" s="37">
        <f t="shared" ca="1" si="34"/>
        <v>354967257.47939038</v>
      </c>
      <c r="AF51" s="37"/>
      <c r="AG51" s="38">
        <f t="shared" ca="1" si="35"/>
        <v>354967257.47939038</v>
      </c>
      <c r="AI51" s="36"/>
      <c r="AJ51" s="37"/>
      <c r="AK51" s="37"/>
      <c r="AL51" s="37"/>
      <c r="AM51" s="37"/>
      <c r="AO51" s="36"/>
      <c r="AP51" s="37"/>
      <c r="AQ51" s="37"/>
      <c r="AR51" s="37"/>
      <c r="AS51" s="37"/>
      <c r="AU51" s="36"/>
      <c r="AV51" s="37"/>
      <c r="AW51" s="37"/>
      <c r="AX51" s="37"/>
      <c r="AY51" s="37"/>
      <c r="BA51" s="48"/>
    </row>
    <row r="52" spans="1:53" x14ac:dyDescent="0.2">
      <c r="B52" s="36">
        <f t="shared" si="36"/>
        <v>2018</v>
      </c>
      <c r="C52" s="37">
        <f>SUMIF('Monthly Data'!$B:$B,B52,'Monthly Data'!D:D)</f>
        <v>375861349.42745566</v>
      </c>
      <c r="D52" s="37">
        <f>SUMIF('Monthly Data'!$B:$B,B52,'Monthly Data'!E:E)</f>
        <v>18767363.073913783</v>
      </c>
      <c r="E52" s="37">
        <f>SUMIF('Monthly Data'!$B:$B,B52,'Monthly Data'!F:F)</f>
        <v>394628712.50136942</v>
      </c>
      <c r="F52" s="37"/>
      <c r="G52" s="37">
        <f ca="1">SUMIF('Res Weather Normalized'!$C:$C,B52,'Res Weather Normalized'!$S:$S)</f>
        <v>385010168.45750058</v>
      </c>
      <c r="H52" s="37">
        <f t="shared" si="27"/>
        <v>18767363.073913783</v>
      </c>
      <c r="I52" s="37">
        <f t="shared" ca="1" si="28"/>
        <v>366242805.38358676</v>
      </c>
      <c r="J52" s="37"/>
      <c r="K52" s="38">
        <f t="shared" ca="1" si="29"/>
        <v>366242805.38358676</v>
      </c>
      <c r="M52" s="36">
        <f t="shared" si="37"/>
        <v>2018</v>
      </c>
      <c r="N52" s="37">
        <f>SUMIF('Monthly Data'!$B:$B,M52,'Monthly Data'!H:H)</f>
        <v>138106021.99227589</v>
      </c>
      <c r="O52" s="37">
        <f>SUMIF('Monthly Data'!$B:$B,M52,'Monthly Data'!I:I)</f>
        <v>5327708.1792599503</v>
      </c>
      <c r="P52" s="37">
        <f>SUMIF('Monthly Data'!$B:$B,M52,'Monthly Data'!J:J)</f>
        <v>143433730.17153588</v>
      </c>
      <c r="Q52" s="37"/>
      <c r="R52" s="37">
        <f ca="1">SUMIF('GS&lt;50 Weather Normalized'!$C:$C,M52,'GS&lt;50 Weather Normalized'!$U:$U)</f>
        <v>141395459.62151492</v>
      </c>
      <c r="S52" s="37">
        <f t="shared" si="30"/>
        <v>5327708.1792599503</v>
      </c>
      <c r="T52" s="37">
        <f t="shared" ca="1" si="31"/>
        <v>136067751.44225496</v>
      </c>
      <c r="U52" s="37"/>
      <c r="V52" s="38">
        <f t="shared" ca="1" si="32"/>
        <v>136067751.44225496</v>
      </c>
      <c r="X52" s="36">
        <f t="shared" si="38"/>
        <v>2018</v>
      </c>
      <c r="Y52" s="37">
        <f>SUMIF('Monthly Data'!$B:$B,X52,'Monthly Data'!L:L)</f>
        <v>360554579.57290572</v>
      </c>
      <c r="Z52" s="37">
        <f>SUMIF('Monthly Data'!$B:$B,X52,'Monthly Data'!M:M)</f>
        <v>18876444.99476368</v>
      </c>
      <c r="AA52" s="37">
        <f>SUMIF('Monthly Data'!$B:$B,X52,'Monthly Data'!N:N)</f>
        <v>379431024.56766933</v>
      </c>
      <c r="AB52" s="37"/>
      <c r="AC52" s="37">
        <f ca="1">SUMIF('GS&gt;50 Weather Normalized'!$C:$C,X52,'GS&gt;50 Weather Normalized'!$W:$W)</f>
        <v>374578717.87570304</v>
      </c>
      <c r="AD52" s="37">
        <f t="shared" si="33"/>
        <v>18876444.99476368</v>
      </c>
      <c r="AE52" s="37">
        <f t="shared" ca="1" si="34"/>
        <v>355702272.88093936</v>
      </c>
      <c r="AF52" s="37"/>
      <c r="AG52" s="38">
        <f t="shared" ca="1" si="35"/>
        <v>355702272.88093936</v>
      </c>
      <c r="AI52" s="36"/>
      <c r="AJ52" s="37"/>
      <c r="AK52" s="37"/>
      <c r="AL52" s="37"/>
      <c r="AM52" s="37"/>
      <c r="AO52" s="36"/>
      <c r="AP52" s="37"/>
      <c r="AQ52" s="37"/>
      <c r="AR52" s="37"/>
      <c r="AS52" s="37"/>
      <c r="AU52" s="36"/>
      <c r="AV52" s="37"/>
      <c r="AW52" s="37"/>
      <c r="AX52" s="37"/>
      <c r="AY52" s="37"/>
      <c r="BA52" s="48"/>
    </row>
    <row r="53" spans="1:53" x14ac:dyDescent="0.2">
      <c r="B53" s="36">
        <f t="shared" si="36"/>
        <v>2019</v>
      </c>
      <c r="C53" s="37">
        <f>SUMIF('Monthly Data'!$B:$B,B53,'Monthly Data'!D:D)</f>
        <v>375135884.99000001</v>
      </c>
      <c r="D53" s="37">
        <f>SUMIF('Monthly Data'!$B:$B,B53,'Monthly Data'!E:E)</f>
        <v>19572205.071524668</v>
      </c>
      <c r="E53" s="37">
        <f>SUMIF('Monthly Data'!$B:$B,B53,'Monthly Data'!F:F)</f>
        <v>394708090.06152463</v>
      </c>
      <c r="F53" s="37"/>
      <c r="G53" s="37">
        <f ca="1">SUMIF('Res Weather Normalized'!$C:$C,B53,'Res Weather Normalized'!$S:$S)</f>
        <v>387232059.35865474</v>
      </c>
      <c r="H53" s="37">
        <f t="shared" si="27"/>
        <v>19572205.071524668</v>
      </c>
      <c r="I53" s="37">
        <f t="shared" ca="1" si="28"/>
        <v>367659854.28713006</v>
      </c>
      <c r="J53" s="37"/>
      <c r="K53" s="38">
        <f t="shared" ca="1" si="29"/>
        <v>367659854.28713006</v>
      </c>
      <c r="M53" s="36">
        <f t="shared" si="37"/>
        <v>2019</v>
      </c>
      <c r="N53" s="37">
        <f>SUMIF('Monthly Data'!$B:$B,M53,'Monthly Data'!H:H)</f>
        <v>135948289.22999999</v>
      </c>
      <c r="O53" s="37">
        <f>SUMIF('Monthly Data'!$B:$B,M53,'Monthly Data'!I:I)</f>
        <v>6206275.1949800886</v>
      </c>
      <c r="P53" s="37">
        <f>SUMIF('Monthly Data'!$B:$B,M53,'Monthly Data'!J:J)</f>
        <v>142154564.4249801</v>
      </c>
      <c r="Q53" s="37"/>
      <c r="R53" s="37">
        <f ca="1">SUMIF('GS&lt;50 Weather Normalized'!$C:$C,M53,'GS&lt;50 Weather Normalized'!$U:$U)</f>
        <v>140776263.06074223</v>
      </c>
      <c r="S53" s="37">
        <f t="shared" si="30"/>
        <v>6206275.1949800886</v>
      </c>
      <c r="T53" s="37">
        <f t="shared" ca="1" si="31"/>
        <v>134569987.86576214</v>
      </c>
      <c r="U53" s="37"/>
      <c r="V53" s="38">
        <f t="shared" ca="1" si="32"/>
        <v>134569987.86576214</v>
      </c>
      <c r="X53" s="36">
        <f t="shared" si="38"/>
        <v>2019</v>
      </c>
      <c r="Y53" s="37">
        <f>SUMIF('Monthly Data'!$B:$B,X53,'Monthly Data'!L:L)</f>
        <v>347530976.20000005</v>
      </c>
      <c r="Z53" s="37">
        <f>SUMIF('Monthly Data'!$B:$B,X53,'Monthly Data'!M:M)</f>
        <v>20448333.731774807</v>
      </c>
      <c r="AA53" s="37">
        <f>SUMIF('Monthly Data'!$B:$B,X53,'Monthly Data'!N:N)</f>
        <v>367979309.9317748</v>
      </c>
      <c r="AB53" s="37"/>
      <c r="AC53" s="37">
        <f ca="1">SUMIF('GS&gt;50 Weather Normalized'!$C:$C,X53,'GS&gt;50 Weather Normalized'!$W:$W)</f>
        <v>364937691.85621452</v>
      </c>
      <c r="AD53" s="37">
        <f t="shared" si="33"/>
        <v>20448333.731774807</v>
      </c>
      <c r="AE53" s="37">
        <f t="shared" ca="1" si="34"/>
        <v>344489358.12443972</v>
      </c>
      <c r="AF53" s="37"/>
      <c r="AG53" s="38">
        <f t="shared" ca="1" si="35"/>
        <v>344489358.12443972</v>
      </c>
      <c r="AI53" s="36"/>
      <c r="AJ53" s="37"/>
      <c r="AK53" s="37"/>
      <c r="AL53" s="37"/>
      <c r="AM53" s="37"/>
      <c r="AO53" s="36"/>
      <c r="AP53" s="37"/>
      <c r="AQ53" s="37"/>
      <c r="AR53" s="37"/>
      <c r="AS53" s="37"/>
      <c r="AU53" s="36"/>
      <c r="AV53" s="37"/>
      <c r="AW53" s="37"/>
      <c r="AX53" s="37"/>
      <c r="AY53" s="37"/>
      <c r="BA53" s="48"/>
    </row>
    <row r="54" spans="1:53" x14ac:dyDescent="0.2">
      <c r="B54" s="36">
        <f t="shared" si="36"/>
        <v>2020</v>
      </c>
      <c r="C54" s="37">
        <f>SUMIF('Monthly Data'!$B:$B,B54,'Monthly Data'!D:D)</f>
        <v>381987925.02999997</v>
      </c>
      <c r="D54" s="37">
        <f>SUMIF('Monthly Data'!$B:$B,B54,'Monthly Data'!E:E)</f>
        <v>19236682.633857999</v>
      </c>
      <c r="E54" s="37">
        <f>SUMIF('Monthly Data'!$B:$B,B54,'Monthly Data'!F:F)</f>
        <v>401224607.66385794</v>
      </c>
      <c r="F54" s="37"/>
      <c r="G54" s="37">
        <f ca="1">SUMIF('Res Weather Normalized'!$C:$C,B54,'Res Weather Normalized'!$S:$S)</f>
        <v>401393890.40492481</v>
      </c>
      <c r="H54" s="37">
        <f t="shared" si="27"/>
        <v>19236682.633857999</v>
      </c>
      <c r="I54" s="37">
        <f t="shared" ca="1" si="28"/>
        <v>382157207.77106678</v>
      </c>
      <c r="J54" s="37"/>
      <c r="K54" s="38">
        <f t="shared" ca="1" si="29"/>
        <v>382157207.77106678</v>
      </c>
      <c r="M54" s="36">
        <f t="shared" si="37"/>
        <v>2020</v>
      </c>
      <c r="N54" s="37">
        <f>SUMIF('Monthly Data'!$B:$B,M54,'Monthly Data'!H:H)</f>
        <v>128684916.41</v>
      </c>
      <c r="O54" s="37">
        <f>SUMIF('Monthly Data'!$B:$B,M54,'Monthly Data'!I:I)</f>
        <v>6567975.9832504056</v>
      </c>
      <c r="P54" s="37">
        <f>SUMIF('Monthly Data'!$B:$B,M54,'Monthly Data'!J:J)</f>
        <v>135252892.39325041</v>
      </c>
      <c r="Q54" s="37"/>
      <c r="R54" s="37">
        <f ca="1">SUMIF('GS&lt;50 Weather Normalized'!$C:$C,M54,'GS&lt;50 Weather Normalized'!$U:$U)</f>
        <v>135357742.42772043</v>
      </c>
      <c r="S54" s="37">
        <f t="shared" si="30"/>
        <v>6567975.9832504056</v>
      </c>
      <c r="T54" s="37">
        <f t="shared" ca="1" si="31"/>
        <v>128789766.44447002</v>
      </c>
      <c r="U54" s="37"/>
      <c r="V54" s="38">
        <f t="shared" ca="1" si="32"/>
        <v>128789766.44447002</v>
      </c>
      <c r="X54" s="36">
        <f t="shared" si="38"/>
        <v>2020</v>
      </c>
      <c r="Y54" s="37">
        <f>SUMIF('Monthly Data'!$B:$B,X54,'Monthly Data'!L:L)</f>
        <v>319951981.80900002</v>
      </c>
      <c r="Z54" s="37">
        <f>SUMIF('Monthly Data'!$B:$B,X54,'Monthly Data'!M:M)</f>
        <v>21993326.031297691</v>
      </c>
      <c r="AA54" s="37">
        <f>SUMIF('Monthly Data'!$B:$B,X54,'Monthly Data'!N:N)</f>
        <v>341945307.8402977</v>
      </c>
      <c r="AB54" s="37"/>
      <c r="AC54" s="37">
        <f ca="1">SUMIF('GS&gt;50 Weather Normalized'!$C:$C,X54,'GS&gt;50 Weather Normalized'!$W:$W)</f>
        <v>342603104.84105748</v>
      </c>
      <c r="AD54" s="37">
        <f t="shared" si="33"/>
        <v>21993326.031297691</v>
      </c>
      <c r="AE54" s="37">
        <f t="shared" ca="1" si="34"/>
        <v>320609778.8097598</v>
      </c>
      <c r="AF54" s="37"/>
      <c r="AG54" s="38">
        <f t="shared" ca="1" si="35"/>
        <v>320609778.8097598</v>
      </c>
      <c r="AI54" s="36"/>
      <c r="AJ54" s="37"/>
      <c r="AK54" s="37"/>
      <c r="AL54" s="37"/>
      <c r="AM54" s="37"/>
      <c r="AO54" s="36"/>
      <c r="AP54" s="37"/>
      <c r="AQ54" s="37"/>
      <c r="AR54" s="37"/>
      <c r="AS54" s="37"/>
      <c r="AU54" s="36"/>
      <c r="AV54" s="37"/>
      <c r="AW54" s="37"/>
      <c r="AX54" s="37"/>
      <c r="AY54" s="37"/>
      <c r="BA54" s="48"/>
    </row>
    <row r="55" spans="1:53" x14ac:dyDescent="0.2">
      <c r="B55" s="36">
        <f t="shared" si="36"/>
        <v>2021</v>
      </c>
      <c r="C55" s="37">
        <f>SUMIF('Monthly Data'!$B:$B,B55,'Monthly Data'!D:D)</f>
        <v>374588272.57000005</v>
      </c>
      <c r="D55" s="37">
        <f>SUMIF('Monthly Data'!$B:$B,B55,'Monthly Data'!E:E)</f>
        <v>19259030.969801612</v>
      </c>
      <c r="E55" s="37">
        <f>SUMIF('Monthly Data'!$B:$B,B55,'Monthly Data'!F:F)</f>
        <v>393847303.53980166</v>
      </c>
      <c r="F55" s="37"/>
      <c r="G55" s="37">
        <f ca="1">SUMIF('Res Weather Normalized'!$C:$C,B55,'Res Weather Normalized'!$S:$S)</f>
        <v>402655586.52445108</v>
      </c>
      <c r="H55" s="37">
        <f t="shared" si="27"/>
        <v>19259030.969801612</v>
      </c>
      <c r="I55" s="37">
        <f t="shared" ca="1" si="28"/>
        <v>383396555.55464947</v>
      </c>
      <c r="J55" s="37"/>
      <c r="K55" s="38">
        <f t="shared" ca="1" si="29"/>
        <v>383396555.55464947</v>
      </c>
      <c r="M55" s="36">
        <f t="shared" si="37"/>
        <v>2021</v>
      </c>
      <c r="N55" s="37">
        <f>SUMIF('Monthly Data'!$B:$B,M55,'Monthly Data'!H:H)</f>
        <v>128128422.44000001</v>
      </c>
      <c r="O55" s="37">
        <f>SUMIF('Monthly Data'!$B:$B,M55,'Monthly Data'!I:I)</f>
        <v>6987402.902313591</v>
      </c>
      <c r="P55" s="37">
        <f>SUMIF('Monthly Data'!$B:$B,M55,'Monthly Data'!J:J)</f>
        <v>135115825.34231359</v>
      </c>
      <c r="Q55" s="37"/>
      <c r="R55" s="37">
        <f ca="1">SUMIF('GS&lt;50 Weather Normalized'!$C:$C,M55,'GS&lt;50 Weather Normalized'!$U:$U)</f>
        <v>136776967.74575821</v>
      </c>
      <c r="S55" s="37">
        <f t="shared" si="30"/>
        <v>6987402.902313591</v>
      </c>
      <c r="T55" s="37">
        <f t="shared" ca="1" si="31"/>
        <v>129789564.84344462</v>
      </c>
      <c r="U55" s="37"/>
      <c r="V55" s="38">
        <f t="shared" ca="1" si="32"/>
        <v>129789564.84344462</v>
      </c>
      <c r="X55" s="36">
        <f t="shared" si="38"/>
        <v>2021</v>
      </c>
      <c r="Y55" s="37">
        <f>SUMIF('Monthly Data'!$B:$B,X55,'Monthly Data'!L:L)</f>
        <v>317045880.71200007</v>
      </c>
      <c r="Z55" s="37">
        <f>SUMIF('Monthly Data'!$B:$B,X55,'Monthly Data'!M:M)</f>
        <v>24270097.109470859</v>
      </c>
      <c r="AA55" s="37">
        <f>SUMIF('Monthly Data'!$B:$B,X55,'Monthly Data'!N:N)</f>
        <v>341315977.82147092</v>
      </c>
      <c r="AB55" s="37"/>
      <c r="AC55" s="37">
        <f ca="1">SUMIF('GS&gt;50 Weather Normalized'!$C:$C,X55,'GS&gt;50 Weather Normalized'!$W:$W)</f>
        <v>345076093.35498273</v>
      </c>
      <c r="AD55" s="37">
        <f t="shared" si="33"/>
        <v>24270097.109470859</v>
      </c>
      <c r="AE55" s="37">
        <f t="shared" ca="1" si="34"/>
        <v>320805996.24551189</v>
      </c>
      <c r="AF55" s="37"/>
      <c r="AG55" s="38">
        <f t="shared" ca="1" si="35"/>
        <v>320805996.24551189</v>
      </c>
      <c r="AI55" s="36"/>
      <c r="AJ55" s="37"/>
      <c r="AK55" s="37"/>
      <c r="AL55" s="37"/>
      <c r="AM55" s="37"/>
      <c r="AO55" s="36"/>
      <c r="AP55" s="37"/>
      <c r="AQ55" s="37"/>
      <c r="AR55" s="37"/>
      <c r="AS55" s="37"/>
      <c r="AU55" s="36"/>
      <c r="AV55" s="37"/>
      <c r="AW55" s="37"/>
      <c r="AX55" s="37"/>
      <c r="AY55" s="37"/>
      <c r="BA55" s="48"/>
    </row>
    <row r="56" spans="1:53" x14ac:dyDescent="0.2">
      <c r="B56" s="36">
        <f t="shared" si="36"/>
        <v>2022</v>
      </c>
      <c r="C56" s="37">
        <f>SUMIF('Monthly Data'!$B:$B,B56,'Monthly Data'!D:D)</f>
        <v>380676140.48999995</v>
      </c>
      <c r="D56" s="37">
        <f>SUMIF('Monthly Data'!$B:$B,B56,'Monthly Data'!E:E)</f>
        <v>19271024.082775772</v>
      </c>
      <c r="E56" s="37">
        <f>SUMIF('Monthly Data'!$B:$B,B56,'Monthly Data'!F:F)</f>
        <v>399947164.57277584</v>
      </c>
      <c r="F56" s="37"/>
      <c r="G56" s="37">
        <f ca="1">SUMIF('Res Weather Normalized'!$C:$C,B56,'Res Weather Normalized'!$S:$S)</f>
        <v>399819560.11504972</v>
      </c>
      <c r="H56" s="37">
        <f t="shared" si="27"/>
        <v>19271024.082775772</v>
      </c>
      <c r="I56" s="37">
        <f t="shared" ca="1" si="28"/>
        <v>380548536.03227395</v>
      </c>
      <c r="J56" s="37"/>
      <c r="K56" s="38">
        <f t="shared" ca="1" si="29"/>
        <v>380548536.03227395</v>
      </c>
      <c r="M56" s="36">
        <f t="shared" si="37"/>
        <v>2022</v>
      </c>
      <c r="N56" s="37">
        <f>SUMIF('Monthly Data'!$B:$B,M56,'Monthly Data'!H:H)</f>
        <v>132582254.64</v>
      </c>
      <c r="O56" s="37">
        <f>SUMIF('Monthly Data'!$B:$B,M56,'Monthly Data'!I:I)</f>
        <v>7486150.1014995957</v>
      </c>
      <c r="P56" s="37">
        <f>SUMIF('Monthly Data'!$B:$B,M56,'Monthly Data'!J:J)</f>
        <v>140068404.7414996</v>
      </c>
      <c r="Q56" s="37"/>
      <c r="R56" s="37">
        <f ca="1">SUMIF('GS&lt;50 Weather Normalized'!$C:$C,M56,'GS&lt;50 Weather Normalized'!$U:$U)</f>
        <v>140012411.59739015</v>
      </c>
      <c r="S56" s="37">
        <f t="shared" si="30"/>
        <v>7486150.1014995957</v>
      </c>
      <c r="T56" s="37">
        <f t="shared" ca="1" si="31"/>
        <v>132526261.49589054</v>
      </c>
      <c r="U56" s="37"/>
      <c r="V56" s="38">
        <f t="shared" ca="1" si="32"/>
        <v>132526261.49589054</v>
      </c>
      <c r="X56" s="36">
        <f t="shared" si="38"/>
        <v>2022</v>
      </c>
      <c r="Y56" s="37">
        <f>SUMIF('Monthly Data'!$B:$B,X56,'Monthly Data'!L:L)</f>
        <v>331557996.88900006</v>
      </c>
      <c r="Z56" s="37">
        <f>SUMIF('Monthly Data'!$B:$B,X56,'Monthly Data'!M:M)</f>
        <v>25847368.336983956</v>
      </c>
      <c r="AA56" s="37">
        <f>SUMIF('Monthly Data'!$B:$B,X56,'Monthly Data'!N:N)</f>
        <v>357405365.22598392</v>
      </c>
      <c r="AB56" s="37"/>
      <c r="AC56" s="37">
        <f ca="1">SUMIF('GS&gt;50 Weather Normalized'!$C:$C,X56,'GS&gt;50 Weather Normalized'!$W:$W)</f>
        <v>357173804.09058559</v>
      </c>
      <c r="AD56" s="37">
        <f t="shared" si="33"/>
        <v>25847368.336983956</v>
      </c>
      <c r="AE56" s="37">
        <f t="shared" ca="1" si="34"/>
        <v>331326435.75360161</v>
      </c>
      <c r="AF56" s="37"/>
      <c r="AG56" s="38">
        <f t="shared" ca="1" si="35"/>
        <v>331326435.75360161</v>
      </c>
      <c r="AI56" s="36"/>
      <c r="AJ56" s="37"/>
      <c r="AK56" s="37"/>
      <c r="AL56" s="37"/>
      <c r="AM56" s="37"/>
      <c r="AO56" s="36"/>
      <c r="AP56" s="37"/>
      <c r="AQ56" s="37"/>
      <c r="AR56" s="37"/>
      <c r="AS56" s="37"/>
      <c r="AU56" s="36"/>
      <c r="AV56" s="37"/>
      <c r="AW56" s="37"/>
      <c r="AX56" s="37"/>
      <c r="AY56" s="37"/>
      <c r="BA56" s="48"/>
    </row>
    <row r="57" spans="1:53" x14ac:dyDescent="0.2">
      <c r="B57" s="36">
        <f t="shared" si="36"/>
        <v>2023</v>
      </c>
      <c r="C57" s="37">
        <f>SUMIF('Monthly Data'!$B:$B,B57,'Monthly Data'!D:D)</f>
        <v>372340611.97000003</v>
      </c>
      <c r="D57" s="37">
        <f>SUMIF('Monthly Data'!$B:$B,B57,'Monthly Data'!E:E)</f>
        <v>19382946.360809188</v>
      </c>
      <c r="E57" s="37">
        <f>SUMIF('Monthly Data'!$B:$B,B57,'Monthly Data'!F:F)</f>
        <v>391723558.33080918</v>
      </c>
      <c r="F57" s="38"/>
      <c r="G57" s="37">
        <f ca="1">SUMIF('Res Weather Normalized'!$C:$C,B57,'Res Weather Normalized'!$S:$S)</f>
        <v>401162433.74740469</v>
      </c>
      <c r="H57" s="37">
        <f t="shared" si="27"/>
        <v>19382946.360809188</v>
      </c>
      <c r="I57" s="37">
        <f t="shared" ca="1" si="28"/>
        <v>381779487.38659549</v>
      </c>
      <c r="J57" s="37"/>
      <c r="K57" s="38">
        <f t="shared" ca="1" si="29"/>
        <v>381779487.38659549</v>
      </c>
      <c r="M57" s="36">
        <f t="shared" si="37"/>
        <v>2023</v>
      </c>
      <c r="N57" s="37">
        <f>SUMIF('Monthly Data'!$B:$B,M57,'Monthly Data'!H:H)</f>
        <v>136911221.69</v>
      </c>
      <c r="O57" s="37">
        <f>SUMIF('Monthly Data'!$B:$B,M57,'Monthly Data'!I:I)</f>
        <v>8203172.7584595811</v>
      </c>
      <c r="P57" s="37">
        <f>SUMIF('Monthly Data'!$B:$B,M57,'Monthly Data'!J:J)</f>
        <v>145114394.44845957</v>
      </c>
      <c r="Q57" s="38"/>
      <c r="R57" s="37">
        <f ca="1">SUMIF('GS&lt;50 Weather Normalized'!$C:$C,M57,'GS&lt;50 Weather Normalized'!$U:$U)</f>
        <v>146987356.71984941</v>
      </c>
      <c r="S57" s="37">
        <f t="shared" si="30"/>
        <v>8203172.7584595811</v>
      </c>
      <c r="T57" s="37">
        <f t="shared" ca="1" si="31"/>
        <v>138784183.96138984</v>
      </c>
      <c r="U57" s="37"/>
      <c r="V57" s="38">
        <f t="shared" ca="1" si="32"/>
        <v>138784183.96138984</v>
      </c>
      <c r="X57" s="36">
        <f t="shared" si="38"/>
        <v>2023</v>
      </c>
      <c r="Y57" s="37">
        <f>SUMIF('Monthly Data'!$B:$B,X57,'Monthly Data'!L:L)</f>
        <v>323871927.91100001</v>
      </c>
      <c r="Z57" s="37">
        <f>SUMIF('Monthly Data'!$B:$B,X57,'Monthly Data'!M:M)</f>
        <v>27705879.5724811</v>
      </c>
      <c r="AA57" s="37">
        <f>SUMIF('Monthly Data'!$B:$B,X57,'Monthly Data'!N:N)</f>
        <v>351577807.48348111</v>
      </c>
      <c r="AB57" s="38"/>
      <c r="AC57" s="37">
        <f ca="1">SUMIF('GS&gt;50 Weather Normalized'!$C:$C,X57,'GS&gt;50 Weather Normalized'!$W:$W)</f>
        <v>355792123.49848276</v>
      </c>
      <c r="AD57" s="37">
        <f t="shared" si="33"/>
        <v>27705879.5724811</v>
      </c>
      <c r="AE57" s="37">
        <f t="shared" ca="1" si="34"/>
        <v>328086243.92600167</v>
      </c>
      <c r="AF57" s="37"/>
      <c r="AG57" s="38">
        <f t="shared" ca="1" si="35"/>
        <v>328086243.92600167</v>
      </c>
      <c r="AI57" s="36"/>
      <c r="AJ57" s="37"/>
      <c r="AK57" s="37"/>
      <c r="AL57" s="37"/>
      <c r="AM57" s="37"/>
      <c r="AO57" s="36"/>
      <c r="AP57" s="37"/>
      <c r="AQ57" s="37"/>
      <c r="AR57" s="37"/>
      <c r="AS57" s="37"/>
      <c r="AU57" s="36"/>
      <c r="AV57" s="37"/>
      <c r="AW57" s="37"/>
      <c r="AX57" s="37"/>
      <c r="AY57" s="37"/>
      <c r="BA57" s="48"/>
    </row>
    <row r="58" spans="1:53" s="68" customFormat="1" x14ac:dyDescent="0.2">
      <c r="B58" s="39">
        <f t="shared" si="36"/>
        <v>2024</v>
      </c>
      <c r="C58" s="38"/>
      <c r="D58" s="38"/>
      <c r="E58" s="38"/>
      <c r="F58" s="38"/>
      <c r="G58" s="37">
        <f ca="1">SUMIF('Res Weather Normalized'!$C:$C,B58,'Res Weather Normalized'!$S:$S)</f>
        <v>393233688.20029908</v>
      </c>
      <c r="H58" s="38">
        <f>CDM!M20</f>
        <v>19870643.207563054</v>
      </c>
      <c r="I58" s="38">
        <f t="shared" ca="1" si="28"/>
        <v>373363044.99273604</v>
      </c>
      <c r="J58" s="38">
        <f ca="1">'Total Additional Loads'!D12</f>
        <v>223853.69327240399</v>
      </c>
      <c r="K58" s="38">
        <f ca="1">I58+J58</f>
        <v>373586898.68600845</v>
      </c>
      <c r="M58" s="39">
        <f t="shared" si="37"/>
        <v>2024</v>
      </c>
      <c r="N58" s="38"/>
      <c r="O58" s="38"/>
      <c r="P58" s="38"/>
      <c r="Q58" s="38"/>
      <c r="R58" s="38">
        <f ca="1">SUMIF('GS&lt;50 Weather Normalized'!$C:$C,M58,'GS&lt;50 Weather Normalized'!$U:$U)</f>
        <v>147661790.59650213</v>
      </c>
      <c r="S58" s="38">
        <f>CDM!N20</f>
        <v>8729317.3536544573</v>
      </c>
      <c r="T58" s="38">
        <f t="shared" ca="1" si="31"/>
        <v>138932473.24284768</v>
      </c>
      <c r="U58" s="38">
        <f ca="1">'Total Additional Loads'!D13</f>
        <v>63319.796793072805</v>
      </c>
      <c r="V58" s="38">
        <f ca="1">T58+U58</f>
        <v>138995793.03964075</v>
      </c>
      <c r="X58" s="39">
        <f t="shared" si="38"/>
        <v>2024</v>
      </c>
      <c r="Y58" s="38"/>
      <c r="Z58" s="38"/>
      <c r="AA58" s="38"/>
      <c r="AB58" s="38"/>
      <c r="AC58" s="38">
        <f ca="1">SUMIF('GS&gt;50 Weather Normalized'!$C:$C,X58,'GS&gt;50 Weather Normalized'!$W:$W)</f>
        <v>355665543.69754696</v>
      </c>
      <c r="AD58" s="38">
        <f>CDM!O20</f>
        <v>28787801.157245848</v>
      </c>
      <c r="AE58" s="38">
        <f t="shared" ca="1" si="34"/>
        <v>326877742.54030108</v>
      </c>
      <c r="AF58" s="38">
        <f>'Total Additional Loads'!D14</f>
        <v>39105.128087137964</v>
      </c>
      <c r="AG58" s="38">
        <f ca="1">AE58+AF58</f>
        <v>326916847.66838825</v>
      </c>
      <c r="AI58" s="39"/>
      <c r="AJ58" s="38"/>
      <c r="AK58" s="38"/>
      <c r="AL58" s="38"/>
      <c r="AM58" s="38"/>
      <c r="AO58" s="39"/>
      <c r="AP58" s="38"/>
      <c r="AQ58" s="38"/>
      <c r="AR58" s="38"/>
      <c r="AS58" s="38"/>
      <c r="AU58" s="39"/>
      <c r="AV58" s="38"/>
      <c r="AW58" s="38"/>
      <c r="AX58" s="38"/>
      <c r="AY58" s="38"/>
    </row>
    <row r="59" spans="1:53" x14ac:dyDescent="0.2">
      <c r="B59" s="39">
        <f t="shared" si="36"/>
        <v>2025</v>
      </c>
      <c r="C59" s="36"/>
      <c r="D59" s="36"/>
      <c r="E59" s="36"/>
      <c r="F59" s="36"/>
      <c r="G59" s="37">
        <f ca="1">SUMIF('Res Weather Normalized'!$C:$C,B59,'Res Weather Normalized'!$S:$S)</f>
        <v>386037441.37857193</v>
      </c>
      <c r="H59" s="38">
        <f>CDM!M21</f>
        <v>19312053.436354231</v>
      </c>
      <c r="I59" s="38">
        <f ca="1">G59-H59</f>
        <v>366725387.94221771</v>
      </c>
      <c r="J59" s="38">
        <f ca="1">'Total Additional Loads'!E12</f>
        <v>3607393.7917844863</v>
      </c>
      <c r="K59" s="38">
        <f ca="1">I59+J59</f>
        <v>370332781.73400217</v>
      </c>
      <c r="M59" s="39">
        <f t="shared" si="37"/>
        <v>2025</v>
      </c>
      <c r="N59" s="36"/>
      <c r="O59" s="36"/>
      <c r="P59" s="36"/>
      <c r="Q59" s="36"/>
      <c r="R59" s="38">
        <f ca="1">SUMIF('GS&lt;50 Weather Normalized'!$C:$C,M59,'GS&lt;50 Weather Normalized'!$U:$U)</f>
        <v>148065253.17056164</v>
      </c>
      <c r="S59" s="38">
        <f>CDM!N21</f>
        <v>8168385.4362205165</v>
      </c>
      <c r="T59" s="38">
        <f ca="1">R59-S59</f>
        <v>139896867.73434111</v>
      </c>
      <c r="U59" s="38">
        <f ca="1">'Total Additional Loads'!E13</f>
        <v>981440.9713155909</v>
      </c>
      <c r="V59" s="38">
        <f ca="1">T59+U59</f>
        <v>140878308.70565671</v>
      </c>
      <c r="X59" s="39">
        <f t="shared" si="38"/>
        <v>2025</v>
      </c>
      <c r="Y59" s="36"/>
      <c r="Z59" s="36"/>
      <c r="AA59" s="36"/>
      <c r="AB59" s="36"/>
      <c r="AC59" s="38">
        <f ca="1">SUMIF('GS&gt;50 Weather Normalized'!$C:$C,X59,'GS&gt;50 Weather Normalized'!$W:$W)</f>
        <v>349666446.75862938</v>
      </c>
      <c r="AD59" s="38">
        <f>CDM!O21</f>
        <v>25440829.667416029</v>
      </c>
      <c r="AE59" s="38">
        <f ca="1">AC59-AD59</f>
        <v>324225617.09121335</v>
      </c>
      <c r="AF59" s="38">
        <f>'Total Additional Loads'!E14</f>
        <v>764936.21479064785</v>
      </c>
      <c r="AG59" s="38">
        <f ca="1">AE59+AF59</f>
        <v>324990553.30600399</v>
      </c>
      <c r="AI59" s="39"/>
      <c r="AJ59" s="36"/>
      <c r="AK59" s="38"/>
      <c r="AL59" s="38"/>
      <c r="AM59" s="38"/>
      <c r="AO59" s="39"/>
      <c r="AP59" s="38"/>
      <c r="AQ59" s="38"/>
      <c r="AR59" s="38"/>
      <c r="AS59" s="38"/>
      <c r="AU59" s="39"/>
      <c r="AV59" s="36"/>
      <c r="AW59" s="38"/>
      <c r="AX59" s="38"/>
      <c r="AY59" s="38"/>
    </row>
    <row r="60" spans="1:53" x14ac:dyDescent="0.2">
      <c r="AI60" s="39"/>
      <c r="AJ60" s="36"/>
      <c r="AK60" s="38"/>
      <c r="AL60" s="38"/>
      <c r="AM60" s="38"/>
      <c r="AO60" s="36"/>
      <c r="AP60" s="36"/>
      <c r="AQ60" s="38"/>
      <c r="AR60" s="38"/>
      <c r="AS60" s="38"/>
      <c r="AU60" s="38"/>
      <c r="AV60" s="36"/>
      <c r="AW60" s="38"/>
      <c r="AX60" s="38"/>
      <c r="AY60" s="38"/>
    </row>
  </sheetData>
  <mergeCells count="12">
    <mergeCell ref="AU45:AY45"/>
    <mergeCell ref="B45:I45"/>
    <mergeCell ref="M45:T45"/>
    <mergeCell ref="X45:AE45"/>
    <mergeCell ref="AI45:AM45"/>
    <mergeCell ref="AO45:AS45"/>
    <mergeCell ref="AO2:AS2"/>
    <mergeCell ref="AU2:AY2"/>
    <mergeCell ref="B2:I2"/>
    <mergeCell ref="M2:T2"/>
    <mergeCell ref="X2:AE2"/>
    <mergeCell ref="AI2:AM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A3E1-927F-4A07-A35E-DEDE7CF38791}">
  <sheetPr codeName="Sheet19"/>
  <dimension ref="A2:AB59"/>
  <sheetViews>
    <sheetView workbookViewId="0">
      <selection activeCell="J21" sqref="J21"/>
    </sheetView>
  </sheetViews>
  <sheetFormatPr defaultRowHeight="12.75" x14ac:dyDescent="0.2"/>
  <cols>
    <col min="3" max="3" width="11.6640625" customWidth="1"/>
    <col min="4" max="4" width="12.1640625" customWidth="1"/>
    <col min="8" max="8" width="12.1640625" customWidth="1"/>
    <col min="12" max="12" width="11.83203125" customWidth="1"/>
    <col min="16" max="16" width="12.33203125" customWidth="1"/>
    <col min="19" max="19" width="15.1640625" customWidth="1"/>
    <col min="20" max="20" width="11.83203125" customWidth="1"/>
    <col min="23" max="23" width="14.5" customWidth="1"/>
    <col min="24" max="24" width="12.6640625" customWidth="1"/>
    <col min="25" max="25" width="10.33203125" bestFit="1" customWidth="1"/>
    <col min="26" max="26" width="11.33203125" bestFit="1" customWidth="1"/>
  </cols>
  <sheetData>
    <row r="2" spans="2:27" x14ac:dyDescent="0.2">
      <c r="B2" s="482" t="s">
        <v>91</v>
      </c>
      <c r="C2" s="482"/>
      <c r="D2" s="481" t="s">
        <v>374</v>
      </c>
      <c r="E2" s="19"/>
      <c r="F2" s="482" t="s">
        <v>349</v>
      </c>
      <c r="G2" s="482"/>
      <c r="H2" s="481" t="s">
        <v>374</v>
      </c>
      <c r="I2" s="19"/>
      <c r="J2" s="482" t="s">
        <v>375</v>
      </c>
      <c r="K2" s="482"/>
      <c r="L2" s="481" t="s">
        <v>374</v>
      </c>
      <c r="M2" s="19"/>
      <c r="N2" s="19" t="s">
        <v>353</v>
      </c>
      <c r="O2" s="481" t="s">
        <v>361</v>
      </c>
      <c r="P2" s="481" t="s">
        <v>374</v>
      </c>
      <c r="Q2" s="19"/>
      <c r="R2" s="482" t="s">
        <v>376</v>
      </c>
      <c r="S2" s="482"/>
      <c r="T2" s="481" t="s">
        <v>374</v>
      </c>
      <c r="U2" s="19"/>
      <c r="V2" s="482" t="s">
        <v>94</v>
      </c>
      <c r="W2" s="482"/>
      <c r="X2" s="481" t="s">
        <v>374</v>
      </c>
    </row>
    <row r="3" spans="2:27" x14ac:dyDescent="0.2">
      <c r="B3" s="40" t="s">
        <v>1</v>
      </c>
      <c r="C3" s="40" t="s">
        <v>377</v>
      </c>
      <c r="D3" s="481"/>
      <c r="E3" s="19"/>
      <c r="F3" s="40" t="s">
        <v>1</v>
      </c>
      <c r="G3" s="40" t="s">
        <v>377</v>
      </c>
      <c r="H3" s="481"/>
      <c r="I3" s="19"/>
      <c r="J3" s="40" t="s">
        <v>1</v>
      </c>
      <c r="K3" s="40" t="s">
        <v>377</v>
      </c>
      <c r="L3" s="481"/>
      <c r="M3" s="19"/>
      <c r="N3" s="40" t="s">
        <v>1</v>
      </c>
      <c r="O3" s="481"/>
      <c r="P3" s="481"/>
      <c r="Q3" s="19"/>
      <c r="R3" s="40" t="s">
        <v>1</v>
      </c>
      <c r="S3" s="366" t="s">
        <v>364</v>
      </c>
      <c r="T3" s="481"/>
      <c r="U3" s="19"/>
      <c r="V3" s="40" t="s">
        <v>1</v>
      </c>
      <c r="W3" s="366" t="s">
        <v>364</v>
      </c>
      <c r="X3" s="481"/>
    </row>
    <row r="4" spans="2:27" x14ac:dyDescent="0.2">
      <c r="B4" s="19">
        <v>2014</v>
      </c>
      <c r="C4" s="41">
        <f>AVERAGEIF('Monthly Data'!$B:$B,B4,'Monthly Data'!G:G)</f>
        <v>42635.75</v>
      </c>
      <c r="D4" s="42"/>
      <c r="E4" s="43"/>
      <c r="F4" s="19">
        <v>2014</v>
      </c>
      <c r="G4" s="41">
        <f>AVERAGEIF('Monthly Data'!$B:$B,B4,'Monthly Data'!K:K)</f>
        <v>3988.5</v>
      </c>
      <c r="H4" s="42"/>
      <c r="I4" s="43"/>
      <c r="J4" s="19">
        <v>2014</v>
      </c>
      <c r="K4" s="41">
        <f>AVERAGEIF('Monthly Data'!$B:$B,B4,'Monthly Data'!P:P)</f>
        <v>508</v>
      </c>
      <c r="L4" s="42"/>
      <c r="M4" s="43"/>
      <c r="N4" s="19">
        <v>2014</v>
      </c>
      <c r="O4" s="41">
        <f>AVERAGEIF('Monthly Data'!$B:$B,B4,'Monthly Data'!S:S)</f>
        <v>9736</v>
      </c>
      <c r="P4" s="42"/>
      <c r="Q4" s="43"/>
      <c r="R4" s="19">
        <v>2014</v>
      </c>
      <c r="S4" s="41">
        <f>AVERAGEIF('Monthly Data'!$B:$B,B4,'Monthly Data'!V:V)</f>
        <v>413</v>
      </c>
      <c r="T4" s="42"/>
      <c r="U4" s="43"/>
      <c r="V4" s="19">
        <v>2014</v>
      </c>
      <c r="W4" s="41">
        <f>AVERAGEIF('Monthly Data'!$B:$B,B4,'Monthly Data'!X:X)</f>
        <v>332.25</v>
      </c>
      <c r="X4" s="42"/>
      <c r="Z4" s="48"/>
    </row>
    <row r="5" spans="2:27" x14ac:dyDescent="0.2">
      <c r="B5" s="19">
        <f t="shared" ref="B5:B15" si="0">B4+1</f>
        <v>2015</v>
      </c>
      <c r="C5" s="41">
        <f>AVERAGEIF('Monthly Data'!B:B,B5,'Monthly Data'!G:G)</f>
        <v>42712</v>
      </c>
      <c r="D5" s="42">
        <f t="shared" ref="D5:D12" si="1">C5/C4</f>
        <v>1.0017884052702251</v>
      </c>
      <c r="E5" s="43"/>
      <c r="F5" s="19">
        <f t="shared" ref="F5:F15" si="2">F4+1</f>
        <v>2015</v>
      </c>
      <c r="G5" s="41">
        <f>AVERAGEIF('Monthly Data'!$B:$B,B5,'Monthly Data'!K:K)</f>
        <v>4015</v>
      </c>
      <c r="H5" s="42">
        <f t="shared" ref="H5:H12" si="3">G5/G4</f>
        <v>1.006644101792654</v>
      </c>
      <c r="I5" s="43"/>
      <c r="J5" s="19">
        <f t="shared" ref="J5:J15" si="4">J4+1</f>
        <v>2015</v>
      </c>
      <c r="K5" s="41">
        <f>AVERAGEIF('Monthly Data'!$B:$B,B5,'Monthly Data'!P:P)</f>
        <v>516.5</v>
      </c>
      <c r="L5" s="42">
        <f t="shared" ref="L5:L12" si="5">K5/K4</f>
        <v>1.0167322834645669</v>
      </c>
      <c r="M5" s="43"/>
      <c r="N5" s="19">
        <f t="shared" ref="N5:N15" si="6">N4+1</f>
        <v>2015</v>
      </c>
      <c r="O5" s="41">
        <f>AVERAGEIF('Monthly Data'!$B:$B,B5,'Monthly Data'!S:S)</f>
        <v>9753.25</v>
      </c>
      <c r="P5" s="42">
        <f t="shared" ref="P5:P12" si="7">O5/O4</f>
        <v>1.0017717748562038</v>
      </c>
      <c r="Q5" s="19"/>
      <c r="R5" s="19">
        <f t="shared" ref="R5:R15" si="8">R4+1</f>
        <v>2015</v>
      </c>
      <c r="S5" s="41">
        <f>AVERAGEIF('Monthly Data'!$B:$B,B5,'Monthly Data'!V:V)</f>
        <v>404.5</v>
      </c>
      <c r="T5" s="42">
        <f t="shared" ref="T5:T12" si="9">S5/S4</f>
        <v>0.97941888619854722</v>
      </c>
      <c r="U5" s="19"/>
      <c r="V5" s="19">
        <f t="shared" ref="V5:V15" si="10">V4+1</f>
        <v>2015</v>
      </c>
      <c r="W5" s="41">
        <f>AVERAGEIF('Monthly Data'!$B:$B,B5,'Monthly Data'!X:X)</f>
        <v>321.75</v>
      </c>
      <c r="X5" s="42">
        <f t="shared" ref="X5:X12" si="11">W5/W4</f>
        <v>0.96839729119638829</v>
      </c>
      <c r="Z5" s="48"/>
    </row>
    <row r="6" spans="2:27" x14ac:dyDescent="0.2">
      <c r="B6" s="19">
        <f t="shared" si="0"/>
        <v>2016</v>
      </c>
      <c r="C6" s="41">
        <f>AVERAGEIF('Monthly Data'!B:B,B6,'Monthly Data'!G:G)</f>
        <v>42797.25</v>
      </c>
      <c r="D6" s="42">
        <f t="shared" si="1"/>
        <v>1.0019959262034088</v>
      </c>
      <c r="E6" s="43"/>
      <c r="F6" s="19">
        <f t="shared" si="2"/>
        <v>2016</v>
      </c>
      <c r="G6" s="41">
        <f>AVERAGEIF('Monthly Data'!$B:$B,B6,'Monthly Data'!K:K)</f>
        <v>4050.75</v>
      </c>
      <c r="H6" s="42">
        <f t="shared" si="3"/>
        <v>1.0089041095890412</v>
      </c>
      <c r="I6" s="43"/>
      <c r="J6" s="19">
        <f t="shared" si="4"/>
        <v>2016</v>
      </c>
      <c r="K6" s="41">
        <f>AVERAGEIF('Monthly Data'!$B:$B,B6,'Monthly Data'!P:P)</f>
        <v>507.5</v>
      </c>
      <c r="L6" s="42">
        <f t="shared" si="5"/>
        <v>0.98257502420135523</v>
      </c>
      <c r="M6" s="43"/>
      <c r="N6" s="19">
        <f t="shared" si="6"/>
        <v>2016</v>
      </c>
      <c r="O6" s="41">
        <f>AVERAGEIF('Monthly Data'!$B:$B,B6,'Monthly Data'!S:S)</f>
        <v>9747.5</v>
      </c>
      <c r="P6" s="42">
        <f t="shared" si="7"/>
        <v>0.99941045292594777</v>
      </c>
      <c r="Q6" s="19"/>
      <c r="R6" s="19">
        <f t="shared" si="8"/>
        <v>2016</v>
      </c>
      <c r="S6" s="41">
        <f>AVERAGEIF('Monthly Data'!$B:$B,B6,'Monthly Data'!V:V)</f>
        <v>398.25</v>
      </c>
      <c r="T6" s="42">
        <f t="shared" si="9"/>
        <v>0.98454882571075397</v>
      </c>
      <c r="U6" s="19"/>
      <c r="V6" s="19">
        <f t="shared" si="10"/>
        <v>2016</v>
      </c>
      <c r="W6" s="41">
        <f>AVERAGEIF('Monthly Data'!$B:$B,B6,'Monthly Data'!X:X)</f>
        <v>311</v>
      </c>
      <c r="X6" s="42">
        <f t="shared" si="11"/>
        <v>0.96658896658896654</v>
      </c>
      <c r="Z6" s="48"/>
    </row>
    <row r="7" spans="2:27" x14ac:dyDescent="0.2">
      <c r="B7" s="19">
        <f t="shared" si="0"/>
        <v>2017</v>
      </c>
      <c r="C7" s="41">
        <f>AVERAGEIF('Monthly Data'!B:B,B7,'Monthly Data'!G:G)</f>
        <v>42818</v>
      </c>
      <c r="D7" s="42">
        <f t="shared" si="1"/>
        <v>1.0004848442364871</v>
      </c>
      <c r="E7" s="44"/>
      <c r="F7" s="19">
        <f t="shared" si="2"/>
        <v>2017</v>
      </c>
      <c r="G7" s="41">
        <f>AVERAGEIF('Monthly Data'!$B:$B,B7,'Monthly Data'!K:K)</f>
        <v>4071</v>
      </c>
      <c r="H7" s="42">
        <f t="shared" si="3"/>
        <v>1.0049990742455102</v>
      </c>
      <c r="I7" s="44"/>
      <c r="J7" s="19">
        <f t="shared" si="4"/>
        <v>2017</v>
      </c>
      <c r="K7" s="41">
        <f>AVERAGEIF('Monthly Data'!$B:$B,B7,'Monthly Data'!P:P)</f>
        <v>508.25</v>
      </c>
      <c r="L7" s="42">
        <f t="shared" si="5"/>
        <v>1.0014778325123153</v>
      </c>
      <c r="M7" s="44"/>
      <c r="N7" s="19">
        <f t="shared" si="6"/>
        <v>2017</v>
      </c>
      <c r="O7" s="41">
        <f>AVERAGEIF('Monthly Data'!$B:$B,B7,'Monthly Data'!S:S)</f>
        <v>9785.75</v>
      </c>
      <c r="P7" s="42">
        <f t="shared" si="7"/>
        <v>1.0039240830982303</v>
      </c>
      <c r="Q7" s="44"/>
      <c r="R7" s="19">
        <f t="shared" si="8"/>
        <v>2017</v>
      </c>
      <c r="S7" s="41">
        <f>AVERAGEIF('Monthly Data'!$B:$B,B7,'Monthly Data'!V:V)</f>
        <v>383.5</v>
      </c>
      <c r="T7" s="42">
        <f t="shared" si="9"/>
        <v>0.96296296296296291</v>
      </c>
      <c r="U7" s="44"/>
      <c r="V7" s="19">
        <f t="shared" si="10"/>
        <v>2017</v>
      </c>
      <c r="W7" s="41">
        <f>AVERAGEIF('Monthly Data'!$B:$B,B7,'Monthly Data'!X:X)</f>
        <v>302.5</v>
      </c>
      <c r="X7" s="42">
        <f t="shared" si="11"/>
        <v>0.97266881028938912</v>
      </c>
      <c r="Z7" s="48"/>
    </row>
    <row r="8" spans="2:27" x14ac:dyDescent="0.2">
      <c r="B8" s="19">
        <f t="shared" si="0"/>
        <v>2018</v>
      </c>
      <c r="C8" s="41">
        <f>AVERAGEIF('Monthly Data'!B:B,B8,'Monthly Data'!G:G)</f>
        <v>42889.75</v>
      </c>
      <c r="D8" s="42">
        <f t="shared" si="1"/>
        <v>1.0016756971367182</v>
      </c>
      <c r="E8" s="44"/>
      <c r="F8" s="19">
        <f t="shared" si="2"/>
        <v>2018</v>
      </c>
      <c r="G8" s="41">
        <f>AVERAGEIF('Monthly Data'!$B:$B,B8,'Monthly Data'!K:K)</f>
        <v>4131.75</v>
      </c>
      <c r="H8" s="42">
        <f t="shared" si="3"/>
        <v>1.0149226234340456</v>
      </c>
      <c r="I8" s="44"/>
      <c r="J8" s="19">
        <f t="shared" si="4"/>
        <v>2018</v>
      </c>
      <c r="K8" s="41">
        <f>AVERAGEIF('Monthly Data'!$B:$B,B8,'Monthly Data'!P:P)</f>
        <v>495.5</v>
      </c>
      <c r="L8" s="42">
        <f t="shared" si="5"/>
        <v>0.97491392031480573</v>
      </c>
      <c r="M8" s="44"/>
      <c r="N8" s="19">
        <f t="shared" si="6"/>
        <v>2018</v>
      </c>
      <c r="O8" s="41">
        <f>AVERAGEIF('Monthly Data'!$B:$B,B8,'Monthly Data'!S:S)</f>
        <v>9861.75</v>
      </c>
      <c r="P8" s="42">
        <f t="shared" si="7"/>
        <v>1.0077663950131568</v>
      </c>
      <c r="Q8" s="44"/>
      <c r="R8" s="19">
        <f t="shared" si="8"/>
        <v>2018</v>
      </c>
      <c r="S8" s="41">
        <f>AVERAGEIF('Monthly Data'!$B:$B,B8,'Monthly Data'!V:V)</f>
        <v>380.75</v>
      </c>
      <c r="T8" s="42">
        <f t="shared" si="9"/>
        <v>0.99282920469361147</v>
      </c>
      <c r="U8" s="44"/>
      <c r="V8" s="19">
        <f t="shared" si="10"/>
        <v>2018</v>
      </c>
      <c r="W8" s="41">
        <f>AVERAGEIF('Monthly Data'!$B:$B,B8,'Monthly Data'!X:X)</f>
        <v>292</v>
      </c>
      <c r="X8" s="42">
        <f t="shared" si="11"/>
        <v>0.96528925619834716</v>
      </c>
      <c r="Z8" s="48"/>
    </row>
    <row r="9" spans="2:27" x14ac:dyDescent="0.2">
      <c r="B9" s="19">
        <f t="shared" si="0"/>
        <v>2019</v>
      </c>
      <c r="C9" s="41">
        <f>AVERAGEIF('Monthly Data'!B:B,B9,'Monthly Data'!G:G)</f>
        <v>43011.25</v>
      </c>
      <c r="D9" s="42">
        <f t="shared" si="1"/>
        <v>1.0028328446773414</v>
      </c>
      <c r="E9" s="44"/>
      <c r="F9" s="19">
        <f t="shared" si="2"/>
        <v>2019</v>
      </c>
      <c r="G9" s="41">
        <f>AVERAGEIF('Monthly Data'!$B:$B,B9,'Monthly Data'!K:K)</f>
        <v>4167</v>
      </c>
      <c r="H9" s="42">
        <f t="shared" si="3"/>
        <v>1.0085314939190415</v>
      </c>
      <c r="I9" s="44"/>
      <c r="J9" s="19">
        <f t="shared" si="4"/>
        <v>2019</v>
      </c>
      <c r="K9" s="41">
        <f>AVERAGEIF('Monthly Data'!$B:$B,B9,'Monthly Data'!P:P)</f>
        <v>501.25</v>
      </c>
      <c r="L9" s="42">
        <f t="shared" si="5"/>
        <v>1.0116044399596367</v>
      </c>
      <c r="M9" s="44"/>
      <c r="N9" s="19">
        <f t="shared" si="6"/>
        <v>2019</v>
      </c>
      <c r="O9" s="41">
        <f>AVERAGEIF('Monthly Data'!$B:$B,B9,'Monthly Data'!S:S)</f>
        <v>9916.75</v>
      </c>
      <c r="P9" s="42">
        <f t="shared" si="7"/>
        <v>1.0055771034552692</v>
      </c>
      <c r="Q9" s="44"/>
      <c r="R9" s="19">
        <f t="shared" si="8"/>
        <v>2019</v>
      </c>
      <c r="S9" s="41">
        <f>AVERAGEIF('Monthly Data'!$B:$B,B9,'Monthly Data'!V:V)</f>
        <v>366.25</v>
      </c>
      <c r="T9" s="42">
        <f t="shared" si="9"/>
        <v>0.96191726854891657</v>
      </c>
      <c r="U9" s="44"/>
      <c r="V9" s="19">
        <f t="shared" si="10"/>
        <v>2019</v>
      </c>
      <c r="W9" s="41">
        <f>AVERAGEIF('Monthly Data'!$B:$B,B9,'Monthly Data'!X:X)</f>
        <v>293.5</v>
      </c>
      <c r="X9" s="42">
        <f t="shared" si="11"/>
        <v>1.0051369863013699</v>
      </c>
      <c r="Y9" s="17"/>
      <c r="Z9" s="48"/>
    </row>
    <row r="10" spans="2:27" x14ac:dyDescent="0.2">
      <c r="B10" s="19">
        <f t="shared" si="0"/>
        <v>2020</v>
      </c>
      <c r="C10" s="41">
        <f>AVERAGEIF('Monthly Data'!B:B,B10,'Monthly Data'!G:G)</f>
        <v>43072.833333333336</v>
      </c>
      <c r="D10" s="42">
        <f t="shared" si="1"/>
        <v>1.0014317959448595</v>
      </c>
      <c r="E10" s="44"/>
      <c r="F10" s="19">
        <f t="shared" si="2"/>
        <v>2020</v>
      </c>
      <c r="G10" s="41">
        <f>AVERAGEIF('Monthly Data'!$B:$B,B10,'Monthly Data'!K:K)</f>
        <v>4214.416666666667</v>
      </c>
      <c r="H10" s="42">
        <f t="shared" si="3"/>
        <v>1.0113790896728263</v>
      </c>
      <c r="I10" s="44"/>
      <c r="J10" s="19">
        <f t="shared" si="4"/>
        <v>2020</v>
      </c>
      <c r="K10" s="41">
        <f>AVERAGEIF('Monthly Data'!$B:$B,B10,'Monthly Data'!P:P)</f>
        <v>481</v>
      </c>
      <c r="L10" s="42">
        <f t="shared" si="5"/>
        <v>0.9596009975062344</v>
      </c>
      <c r="M10" s="44"/>
      <c r="N10" s="19">
        <f t="shared" si="6"/>
        <v>2020</v>
      </c>
      <c r="O10" s="41">
        <f>AVERAGEIF('Monthly Data'!$B:$B,B10,'Monthly Data'!S:S)</f>
        <v>10029.583333333334</v>
      </c>
      <c r="P10" s="42">
        <f t="shared" si="7"/>
        <v>1.0113780556465912</v>
      </c>
      <c r="Q10" s="44"/>
      <c r="R10" s="19">
        <f t="shared" si="8"/>
        <v>2020</v>
      </c>
      <c r="S10" s="41">
        <f>AVERAGEIF('Monthly Data'!$B:$B,B10,'Monthly Data'!V:V)</f>
        <v>354.08333333333331</v>
      </c>
      <c r="T10" s="42">
        <f t="shared" si="9"/>
        <v>0.96678043230944255</v>
      </c>
      <c r="U10" s="44"/>
      <c r="V10" s="19">
        <f t="shared" si="10"/>
        <v>2020</v>
      </c>
      <c r="W10" s="41">
        <f>AVERAGEIF('Monthly Data'!$B:$B,B10,'Monthly Data'!X:X)</f>
        <v>279.33333333333331</v>
      </c>
      <c r="X10" s="42">
        <f t="shared" si="11"/>
        <v>0.95173197047132307</v>
      </c>
      <c r="Y10" s="17"/>
      <c r="Z10" s="48"/>
    </row>
    <row r="11" spans="2:27" x14ac:dyDescent="0.2">
      <c r="B11" s="19">
        <f t="shared" si="0"/>
        <v>2021</v>
      </c>
      <c r="C11" s="41">
        <f>AVERAGEIF('Monthly Data'!B:B,B11,'Monthly Data'!G:G)</f>
        <v>43112.5</v>
      </c>
      <c r="D11" s="42">
        <f t="shared" si="1"/>
        <v>1.0009209207659893</v>
      </c>
      <c r="E11" s="44"/>
      <c r="F11" s="19">
        <f t="shared" si="2"/>
        <v>2021</v>
      </c>
      <c r="G11" s="41">
        <f>AVERAGEIF('Monthly Data'!$B:$B,B11,'Monthly Data'!K:K)</f>
        <v>4258.5</v>
      </c>
      <c r="H11" s="42">
        <f t="shared" si="3"/>
        <v>1.0104601269452078</v>
      </c>
      <c r="I11" s="44"/>
      <c r="J11" s="19">
        <f t="shared" si="4"/>
        <v>2021</v>
      </c>
      <c r="K11" s="41">
        <f>AVERAGEIF('Monthly Data'!$B:$B,B11,'Monthly Data'!P:P)</f>
        <v>476.5</v>
      </c>
      <c r="L11" s="42">
        <f t="shared" si="5"/>
        <v>0.99064449064449067</v>
      </c>
      <c r="M11" s="44"/>
      <c r="N11" s="19">
        <f t="shared" si="6"/>
        <v>2021</v>
      </c>
      <c r="O11" s="41">
        <f>AVERAGEIF('Monthly Data'!$B:$B,B11,'Monthly Data'!S:S)</f>
        <v>10091.916666666666</v>
      </c>
      <c r="P11" s="42">
        <f t="shared" si="7"/>
        <v>1.0062149474471354</v>
      </c>
      <c r="Q11" s="44"/>
      <c r="R11" s="19">
        <f t="shared" si="8"/>
        <v>2021</v>
      </c>
      <c r="S11" s="41">
        <f>AVERAGEIF('Monthly Data'!$B:$B,B11,'Monthly Data'!V:V)</f>
        <v>352.16666666666669</v>
      </c>
      <c r="T11" s="42">
        <f t="shared" si="9"/>
        <v>0.99458696163803262</v>
      </c>
      <c r="U11" s="44"/>
      <c r="V11" s="19">
        <f t="shared" si="10"/>
        <v>2021</v>
      </c>
      <c r="W11" s="41">
        <f>AVERAGEIF('Monthly Data'!$B:$B,B11,'Monthly Data'!X:X)</f>
        <v>268</v>
      </c>
      <c r="X11" s="42">
        <f t="shared" si="11"/>
        <v>0.95942720763723155</v>
      </c>
      <c r="Y11" s="17"/>
      <c r="Z11" s="48"/>
    </row>
    <row r="12" spans="2:27" x14ac:dyDescent="0.2">
      <c r="B12" s="19">
        <f t="shared" si="0"/>
        <v>2022</v>
      </c>
      <c r="C12" s="41">
        <f>AVERAGEIF('Monthly Data'!B:B,B12,'Monthly Data'!G:G)</f>
        <v>43131.25</v>
      </c>
      <c r="D12" s="42">
        <f t="shared" si="1"/>
        <v>1.0004349086691795</v>
      </c>
      <c r="E12" s="44"/>
      <c r="F12" s="19">
        <f t="shared" si="2"/>
        <v>2022</v>
      </c>
      <c r="G12" s="41">
        <f>AVERAGEIF('Monthly Data'!$B:$B,B12,'Monthly Data'!K:K)</f>
        <v>4272.916666666667</v>
      </c>
      <c r="H12" s="42">
        <f t="shared" si="3"/>
        <v>1.0033853860905639</v>
      </c>
      <c r="I12" s="44"/>
      <c r="J12" s="19">
        <f t="shared" si="4"/>
        <v>2022</v>
      </c>
      <c r="K12" s="41">
        <f>AVERAGEIF('Monthly Data'!$B:$B,B12,'Monthly Data'!P:P)</f>
        <v>485.58333333333331</v>
      </c>
      <c r="L12" s="42">
        <f t="shared" si="5"/>
        <v>1.0190626093039523</v>
      </c>
      <c r="M12" s="44"/>
      <c r="N12" s="19">
        <f t="shared" si="6"/>
        <v>2022</v>
      </c>
      <c r="O12" s="41">
        <f>AVERAGEIF('Monthly Data'!$B:$B,B12,'Monthly Data'!S:S)</f>
        <v>10154.833333333334</v>
      </c>
      <c r="P12" s="42">
        <f t="shared" si="7"/>
        <v>1.0062343624848271</v>
      </c>
      <c r="Q12" s="44"/>
      <c r="R12" s="19">
        <f t="shared" si="8"/>
        <v>2022</v>
      </c>
      <c r="S12" s="41">
        <f>AVERAGEIF('Monthly Data'!$B:$B,B12,'Monthly Data'!V:V)</f>
        <v>350.5</v>
      </c>
      <c r="T12" s="42">
        <f t="shared" si="9"/>
        <v>0.99526739233317552</v>
      </c>
      <c r="U12" s="44"/>
      <c r="V12" s="19">
        <f t="shared" si="10"/>
        <v>2022</v>
      </c>
      <c r="W12" s="41">
        <f>AVERAGEIF('Monthly Data'!$B:$B,B12,'Monthly Data'!X:X)</f>
        <v>261.33333333333331</v>
      </c>
      <c r="X12" s="42">
        <f t="shared" si="11"/>
        <v>0.97512437810945263</v>
      </c>
      <c r="Y12" s="17"/>
      <c r="Z12" s="48"/>
    </row>
    <row r="13" spans="2:27" x14ac:dyDescent="0.2">
      <c r="B13" s="19">
        <f t="shared" si="0"/>
        <v>2023</v>
      </c>
      <c r="C13" s="41">
        <f>AVERAGEIF('Monthly Data'!B:B,B13,'Monthly Data'!G:G)</f>
        <v>43277.75</v>
      </c>
      <c r="D13" s="42">
        <f t="shared" ref="D13:D14" si="12">C13/C12</f>
        <v>1.0033966091870743</v>
      </c>
      <c r="E13" s="44"/>
      <c r="F13" s="19">
        <f t="shared" si="2"/>
        <v>2023</v>
      </c>
      <c r="G13" s="41">
        <f>AVERAGEIF('Monthly Data'!$B:$B,B13,'Monthly Data'!K:K)</f>
        <v>4325.666666666667</v>
      </c>
      <c r="H13" s="42">
        <f t="shared" ref="H13:H14" si="13">G13/G12</f>
        <v>1.0123451974646513</v>
      </c>
      <c r="I13" s="44"/>
      <c r="J13" s="19">
        <f t="shared" si="4"/>
        <v>2023</v>
      </c>
      <c r="K13" s="41">
        <f>AVERAGEIF('Monthly Data'!$B:$B,B13,'Monthly Data'!P:P)</f>
        <v>447.25</v>
      </c>
      <c r="L13" s="42">
        <f t="shared" ref="L13:L14" si="14">K13/K12</f>
        <v>0.92105714776042569</v>
      </c>
      <c r="M13" s="44"/>
      <c r="N13" s="19">
        <f t="shared" si="6"/>
        <v>2023</v>
      </c>
      <c r="O13" s="41">
        <f>AVERAGEIF('Monthly Data'!$B:$B,B13,'Monthly Data'!S:S)</f>
        <v>10197.5</v>
      </c>
      <c r="P13" s="42">
        <f t="shared" ref="P13:P14" si="15">O13/O12</f>
        <v>1.0042016117119925</v>
      </c>
      <c r="Q13" s="44"/>
      <c r="R13" s="19">
        <f t="shared" si="8"/>
        <v>2023</v>
      </c>
      <c r="S13" s="41">
        <f>AVERAGEIF('Monthly Data'!$B:$B,B13,'Monthly Data'!V:V)</f>
        <v>348.83333333333331</v>
      </c>
      <c r="T13" s="42">
        <f t="shared" ref="T13:T14" si="16">S13/S12</f>
        <v>0.99524488825487389</v>
      </c>
      <c r="U13" s="44"/>
      <c r="V13" s="19">
        <f t="shared" si="10"/>
        <v>2023</v>
      </c>
      <c r="W13" s="41">
        <f>AVERAGEIF('Monthly Data'!$B:$B,B13,'Monthly Data'!X:X)</f>
        <v>259.58333333333331</v>
      </c>
      <c r="X13" s="42">
        <f t="shared" ref="X13:X14" si="17">W13/W12</f>
        <v>0.9933035714285714</v>
      </c>
      <c r="Y13" s="17"/>
      <c r="Z13" s="48"/>
    </row>
    <row r="14" spans="2:27" s="68" customFormat="1" x14ac:dyDescent="0.2">
      <c r="B14" s="19">
        <f t="shared" si="0"/>
        <v>2024</v>
      </c>
      <c r="C14" s="41">
        <f>AVERAGEIF('Monthly Data'!B:B,B14,'Monthly Data'!G:G)</f>
        <v>43407.333333333336</v>
      </c>
      <c r="D14" s="42">
        <f t="shared" si="12"/>
        <v>1.0029942252851254</v>
      </c>
      <c r="E14" s="44"/>
      <c r="F14" s="19">
        <f t="shared" si="2"/>
        <v>2024</v>
      </c>
      <c r="G14" s="41">
        <f>AVERAGEIF('Monthly Data'!$B:$B,B14,'Monthly Data'!K:K)</f>
        <v>4331.5</v>
      </c>
      <c r="H14" s="42">
        <f t="shared" si="13"/>
        <v>1.0013485397241273</v>
      </c>
      <c r="I14" s="44"/>
      <c r="J14" s="19">
        <f t="shared" si="4"/>
        <v>2024</v>
      </c>
      <c r="K14" s="41">
        <f>AVERAGEIF('Monthly Data'!$B:$B,B14,'Monthly Data'!P:P)</f>
        <v>432</v>
      </c>
      <c r="L14" s="42">
        <f t="shared" si="14"/>
        <v>0.96590273896031298</v>
      </c>
      <c r="M14" s="44"/>
      <c r="N14" s="19">
        <f t="shared" si="6"/>
        <v>2024</v>
      </c>
      <c r="O14" s="41">
        <f>AVERAGEIF('Monthly Data'!$B:$B,B14,'Monthly Data'!S:S)</f>
        <v>10252.916666666666</v>
      </c>
      <c r="P14" s="42">
        <f t="shared" si="15"/>
        <v>1.005434338481654</v>
      </c>
      <c r="Q14" s="44"/>
      <c r="R14" s="19">
        <f t="shared" si="8"/>
        <v>2024</v>
      </c>
      <c r="S14" s="41">
        <f>AVERAGEIF('Monthly Data'!$B:$B,B14,'Monthly Data'!V:V)</f>
        <v>346</v>
      </c>
      <c r="T14" s="42">
        <f t="shared" si="16"/>
        <v>0.9918776875298615</v>
      </c>
      <c r="U14" s="44"/>
      <c r="V14" s="19">
        <f t="shared" si="10"/>
        <v>2024</v>
      </c>
      <c r="W14" s="41">
        <f>AVERAGEIF('Monthly Data'!$B:$B,B14,'Monthly Data'!X:X)</f>
        <v>253.83333333333334</v>
      </c>
      <c r="X14" s="42">
        <f t="shared" si="17"/>
        <v>0.97784911717495993</v>
      </c>
      <c r="Y14" s="17"/>
      <c r="Z14" s="48"/>
      <c r="AA14"/>
    </row>
    <row r="15" spans="2:27" x14ac:dyDescent="0.2">
      <c r="B15" s="44">
        <f t="shared" si="0"/>
        <v>2025</v>
      </c>
      <c r="C15" s="45">
        <f>C14*D15</f>
        <v>43485.255520673287</v>
      </c>
      <c r="D15" s="46">
        <f>GEOMEAN(D5:D14)</f>
        <v>1.0017951387785462</v>
      </c>
      <c r="E15" s="44"/>
      <c r="F15" s="44">
        <f t="shared" si="2"/>
        <v>2025</v>
      </c>
      <c r="G15" s="45">
        <f>G14*H15</f>
        <v>4367.3821119341483</v>
      </c>
      <c r="H15" s="46">
        <f>GEOMEAN(H5:H14)</f>
        <v>1.0082839921353222</v>
      </c>
      <c r="I15" s="44"/>
      <c r="J15" s="44">
        <f t="shared" si="4"/>
        <v>2025</v>
      </c>
      <c r="K15" s="45">
        <f>K14*L15</f>
        <v>425.05560782675974</v>
      </c>
      <c r="L15" s="46">
        <f>GEOMEAN(L5:L14)</f>
        <v>0.98392501811749944</v>
      </c>
      <c r="N15" s="44">
        <f t="shared" si="6"/>
        <v>2025</v>
      </c>
      <c r="O15" s="45">
        <f>O14*P15</f>
        <v>10306.094344370955</v>
      </c>
      <c r="P15" s="46">
        <f>GEOMEAN(P5:P14)</f>
        <v>1.0051865902584749</v>
      </c>
      <c r="Q15" s="44"/>
      <c r="R15" s="44">
        <f t="shared" si="8"/>
        <v>2025</v>
      </c>
      <c r="S15" s="45">
        <f>S14*T15</f>
        <v>339.92938105833389</v>
      </c>
      <c r="T15" s="46">
        <f>GEOMEAN(T5:T14)</f>
        <v>0.98245485855009795</v>
      </c>
      <c r="U15" s="44"/>
      <c r="V15" s="44">
        <f t="shared" si="10"/>
        <v>2025</v>
      </c>
      <c r="W15" s="45">
        <f>W14*X15</f>
        <v>247.09105249306646</v>
      </c>
      <c r="X15" s="46">
        <f>GEOMEAN(X5:X14)</f>
        <v>0.97343815821299984</v>
      </c>
      <c r="Y15" s="17"/>
      <c r="Z15" s="48"/>
    </row>
    <row r="16" spans="2:27" x14ac:dyDescent="0.2">
      <c r="Y16" s="17"/>
    </row>
    <row r="17" spans="1:28" x14ac:dyDescent="0.2">
      <c r="A17" t="s">
        <v>473</v>
      </c>
      <c r="K17" s="27"/>
      <c r="Y17" s="17"/>
    </row>
    <row r="18" spans="1:28" x14ac:dyDescent="0.2">
      <c r="B18" s="433">
        <f>B13</f>
        <v>2023</v>
      </c>
      <c r="C18" s="434">
        <f>AVERAGE(C36:C47)</f>
        <v>43407.333333333336</v>
      </c>
      <c r="D18" s="435">
        <f>C18/C13</f>
        <v>1.0029942252851254</v>
      </c>
      <c r="E18" s="433"/>
      <c r="F18" s="433">
        <f>F13</f>
        <v>2023</v>
      </c>
      <c r="G18" s="434">
        <f>AVERAGE(G36:G47)</f>
        <v>4331.5</v>
      </c>
      <c r="H18" s="435">
        <f>G18/G13</f>
        <v>1.0013485397241273</v>
      </c>
      <c r="I18" s="433"/>
      <c r="J18" s="433">
        <f>J13</f>
        <v>2023</v>
      </c>
      <c r="K18" s="434">
        <f>AVERAGE(K36:K47)</f>
        <v>432</v>
      </c>
      <c r="L18" s="435">
        <f>K18/K13</f>
        <v>0.96590273896031298</v>
      </c>
      <c r="M18" s="433"/>
      <c r="N18" s="433">
        <f>N13</f>
        <v>2023</v>
      </c>
      <c r="O18" s="434">
        <f>AVERAGE(O36:O47)</f>
        <v>10252.916666666666</v>
      </c>
      <c r="P18" s="435">
        <f>O18/O13</f>
        <v>1.005434338481654</v>
      </c>
      <c r="Q18" s="433"/>
      <c r="R18" s="433">
        <f>R13</f>
        <v>2023</v>
      </c>
      <c r="S18" s="434">
        <f>AVERAGE(S36:S47)</f>
        <v>346</v>
      </c>
      <c r="T18" s="435">
        <f>S18/S13</f>
        <v>0.9918776875298615</v>
      </c>
      <c r="U18" s="436"/>
      <c r="V18" s="433">
        <f>V13</f>
        <v>2023</v>
      </c>
      <c r="W18" s="434">
        <f>AVERAGE(W36:W47)</f>
        <v>253.83333333333334</v>
      </c>
      <c r="X18" s="435">
        <f>W18/W13</f>
        <v>0.97784911717495993</v>
      </c>
      <c r="Y18" s="17"/>
      <c r="Z18" s="17"/>
    </row>
    <row r="19" spans="1:28" x14ac:dyDescent="0.2">
      <c r="B19" s="44">
        <f>B14</f>
        <v>2024</v>
      </c>
      <c r="C19" s="45">
        <f>AVERAGE(C48:C59)</f>
        <v>43485.23128683064</v>
      </c>
      <c r="D19" s="46">
        <f>C19/C18</f>
        <v>1.0017945804894097</v>
      </c>
      <c r="E19" s="44"/>
      <c r="F19" s="44">
        <f>F14</f>
        <v>2024</v>
      </c>
      <c r="G19" s="45">
        <f>AVERAGE(G48:G59)</f>
        <v>4367.3805418720576</v>
      </c>
      <c r="H19" s="46">
        <f>G19/G18</f>
        <v>1.0082836296599464</v>
      </c>
      <c r="I19" s="44"/>
      <c r="J19" s="44">
        <f>J14</f>
        <v>2024</v>
      </c>
      <c r="K19" s="45">
        <f>AVERAGE(K48:K59)</f>
        <v>425.06287829453504</v>
      </c>
      <c r="L19" s="46">
        <f>K19/K18</f>
        <v>0.98394184790401629</v>
      </c>
      <c r="M19" s="44"/>
      <c r="N19" s="44">
        <f>N14</f>
        <v>2024</v>
      </c>
      <c r="O19" s="45">
        <f>AVERAGE(O48:O59)</f>
        <v>10306.085233804721</v>
      </c>
      <c r="P19" s="46">
        <f>O19/O18</f>
        <v>1.0051857016755936</v>
      </c>
      <c r="Q19" s="44"/>
      <c r="R19" s="44">
        <f>R14</f>
        <v>2024</v>
      </c>
      <c r="S19" s="45">
        <f>AVERAGE(S48:S59)</f>
        <v>339.93610425353791</v>
      </c>
      <c r="T19" s="46">
        <f>S19/S18</f>
        <v>0.98247428975010953</v>
      </c>
      <c r="V19" s="44">
        <f>V14</f>
        <v>2024</v>
      </c>
      <c r="W19" s="45">
        <f>AVERAGE(W48:W59)</f>
        <v>247.1010229082267</v>
      </c>
      <c r="X19" s="46">
        <f>W19/W18</f>
        <v>0.97347743758986216</v>
      </c>
      <c r="Y19" s="17"/>
      <c r="Z19" s="17"/>
      <c r="AB19" s="18"/>
    </row>
    <row r="20" spans="1:28" x14ac:dyDescent="0.2">
      <c r="H20" s="72"/>
      <c r="L20" s="72"/>
      <c r="Y20" s="17"/>
      <c r="Z20" s="17"/>
    </row>
    <row r="21" spans="1:28" ht="15" x14ac:dyDescent="0.25">
      <c r="A21" s="428" t="s">
        <v>474</v>
      </c>
      <c r="C21" s="429" t="str">
        <f>IF(ROUND(C18,0)=ROUND(C14,0),IF(ROUND(C19,0)=ROUND(C15,0),"Match","Check"),"Check")</f>
        <v>Match</v>
      </c>
      <c r="G21" s="429" t="str">
        <f>IF(ROUND(G18,0)=ROUND(G14,0),IF(ROUND(G19,0)=ROUND(G15,0),"Match","Check"),"Check")</f>
        <v>Match</v>
      </c>
      <c r="K21" s="429" t="str">
        <f>IF(ROUND(K18,0)=ROUND(K14,0),IF(ROUND(K19,0)=ROUND(K15,0),"Match","Check"),"Check")</f>
        <v>Match</v>
      </c>
      <c r="O21" s="429" t="str">
        <f>IF(ROUND(O18,0)=ROUND(O14,0),IF(ROUND(O19,0)=ROUND(O15,0),"Match","Check"),"Check")</f>
        <v>Match</v>
      </c>
      <c r="S21" s="429" t="str">
        <f>IF(ROUND(S18,0)=ROUND(S14,0),IF(ROUND(S19,0)=ROUND(S15,0),"Match","Check"),"Check")</f>
        <v>Match</v>
      </c>
      <c r="W21" s="429" t="str">
        <f>IF(ROUND(W18,0)=ROUND(W14,0),IF(ROUND(W19,0)=ROUND(W15,0),"Match","Check"),"Check")</f>
        <v>Match</v>
      </c>
      <c r="Y21" s="17"/>
      <c r="Z21" s="17"/>
      <c r="AB21" s="18"/>
    </row>
    <row r="22" spans="1:28" ht="15" x14ac:dyDescent="0.25">
      <c r="A22" s="430"/>
      <c r="C22" s="429"/>
      <c r="G22" s="429"/>
      <c r="H22" s="29"/>
      <c r="K22" s="429"/>
      <c r="O22" s="429"/>
      <c r="S22" s="429"/>
      <c r="W22" s="429"/>
      <c r="Y22" s="17"/>
      <c r="Z22" s="17"/>
    </row>
    <row r="23" spans="1:28" x14ac:dyDescent="0.2">
      <c r="Y23" s="17"/>
      <c r="Z23" s="17"/>
      <c r="AB23" s="18"/>
    </row>
    <row r="24" spans="1:28" x14ac:dyDescent="0.2">
      <c r="A24">
        <v>2023</v>
      </c>
      <c r="B24" t="s">
        <v>48</v>
      </c>
      <c r="C24" s="98">
        <f>'Monthly Data'!G110</f>
        <v>43221</v>
      </c>
      <c r="G24" s="98">
        <f>'Monthly Data'!K110</f>
        <v>4282</v>
      </c>
      <c r="K24" s="98">
        <f>'Monthly Data'!P110</f>
        <v>486</v>
      </c>
      <c r="O24" s="17">
        <f>'Monthly Data'!S110</f>
        <v>10174</v>
      </c>
      <c r="S24" s="17">
        <f>'Monthly Data'!V110</f>
        <v>349</v>
      </c>
      <c r="W24" s="17">
        <f>'Monthly Data'!X110</f>
        <v>261</v>
      </c>
      <c r="Y24" s="17"/>
      <c r="Z24" s="17"/>
      <c r="AB24" s="18"/>
    </row>
    <row r="25" spans="1:28" x14ac:dyDescent="0.2">
      <c r="B25" t="s">
        <v>49</v>
      </c>
      <c r="C25" s="98">
        <f>'Monthly Data'!G111</f>
        <v>43224</v>
      </c>
      <c r="D25" s="30">
        <f>C25/C24</f>
        <v>1.0000694107031305</v>
      </c>
      <c r="G25" s="98">
        <f>'Monthly Data'!K111</f>
        <v>4280</v>
      </c>
      <c r="H25" s="30">
        <f>G25/G24</f>
        <v>0.9995329285380663</v>
      </c>
      <c r="K25" s="98">
        <f>'Monthly Data'!P111</f>
        <v>486</v>
      </c>
      <c r="L25" s="30">
        <f>K25/K24</f>
        <v>1</v>
      </c>
      <c r="O25" s="17">
        <f>'Monthly Data'!S111</f>
        <v>10175</v>
      </c>
      <c r="P25" s="29">
        <f>O25/O24</f>
        <v>1.0000982897582071</v>
      </c>
      <c r="S25" s="17">
        <f>'Monthly Data'!V111</f>
        <v>349</v>
      </c>
      <c r="T25" s="29">
        <f>S25/S24</f>
        <v>1</v>
      </c>
      <c r="W25" s="17">
        <f>'Monthly Data'!X111</f>
        <v>261</v>
      </c>
      <c r="X25" s="29">
        <f>W25/W24</f>
        <v>1</v>
      </c>
      <c r="Y25" s="17"/>
      <c r="Z25" s="17"/>
    </row>
    <row r="26" spans="1:28" x14ac:dyDescent="0.2">
      <c r="B26" t="s">
        <v>50</v>
      </c>
      <c r="C26" s="98">
        <f>'Monthly Data'!G112</f>
        <v>43237</v>
      </c>
      <c r="D26" s="30">
        <f t="shared" ref="D26:D59" si="18">C26/C25</f>
        <v>1.0003007588376829</v>
      </c>
      <c r="G26" s="98">
        <f>'Monthly Data'!K112</f>
        <v>4275</v>
      </c>
      <c r="H26" s="30">
        <f t="shared" ref="H26:H29" si="19">G26/G25</f>
        <v>0.99883177570093462</v>
      </c>
      <c r="K26" s="98">
        <f>'Monthly Data'!P112</f>
        <v>492</v>
      </c>
      <c r="L26" s="30">
        <f t="shared" ref="L26:L29" si="20">K26/K25</f>
        <v>1.0123456790123457</v>
      </c>
      <c r="O26" s="17">
        <f>'Monthly Data'!S112</f>
        <v>10180</v>
      </c>
      <c r="P26" s="29">
        <f t="shared" ref="P26:P59" si="21">O26/O25</f>
        <v>1.0004914004914005</v>
      </c>
      <c r="S26" s="17">
        <f>'Monthly Data'!V112</f>
        <v>349</v>
      </c>
      <c r="T26" s="29">
        <f t="shared" ref="T26:T59" si="22">S26/S25</f>
        <v>1</v>
      </c>
      <c r="W26" s="17">
        <f>'Monthly Data'!X112</f>
        <v>261</v>
      </c>
      <c r="X26" s="29">
        <f t="shared" ref="X26:X59" si="23">W26/W25</f>
        <v>1</v>
      </c>
      <c r="Y26" s="17"/>
      <c r="Z26" s="17"/>
    </row>
    <row r="27" spans="1:28" x14ac:dyDescent="0.2">
      <c r="B27" t="s">
        <v>51</v>
      </c>
      <c r="C27" s="98">
        <f>'Monthly Data'!G113</f>
        <v>43238</v>
      </c>
      <c r="D27" s="30">
        <f t="shared" si="18"/>
        <v>1.0000231283391539</v>
      </c>
      <c r="G27" s="98">
        <f>'Monthly Data'!K113</f>
        <v>4331</v>
      </c>
      <c r="H27" s="30">
        <f t="shared" si="19"/>
        <v>1.0130994152046784</v>
      </c>
      <c r="K27" s="98">
        <f>'Monthly Data'!P113</f>
        <v>437</v>
      </c>
      <c r="L27" s="30">
        <f t="shared" si="20"/>
        <v>0.88821138211382111</v>
      </c>
      <c r="O27" s="17">
        <f>'Monthly Data'!S113</f>
        <v>10191</v>
      </c>
      <c r="P27" s="29">
        <f t="shared" si="21"/>
        <v>1.0010805500982318</v>
      </c>
      <c r="S27" s="17">
        <f>'Monthly Data'!V113</f>
        <v>349</v>
      </c>
      <c r="T27" s="29">
        <f t="shared" si="22"/>
        <v>1</v>
      </c>
      <c r="W27" s="17">
        <f>'Monthly Data'!X113</f>
        <v>260</v>
      </c>
      <c r="X27" s="29">
        <f t="shared" si="23"/>
        <v>0.99616858237547889</v>
      </c>
      <c r="Y27" s="17"/>
      <c r="Z27" s="17"/>
    </row>
    <row r="28" spans="1:28" x14ac:dyDescent="0.2">
      <c r="B28" t="s">
        <v>52</v>
      </c>
      <c r="C28" s="98">
        <f>'Monthly Data'!G114</f>
        <v>43252</v>
      </c>
      <c r="D28" s="30">
        <f t="shared" si="18"/>
        <v>1.0003237892594476</v>
      </c>
      <c r="G28" s="98">
        <f>'Monthly Data'!K114</f>
        <v>4340</v>
      </c>
      <c r="H28" s="30">
        <f t="shared" si="19"/>
        <v>1.0020780420226276</v>
      </c>
      <c r="K28" s="98">
        <f>'Monthly Data'!P114</f>
        <v>432</v>
      </c>
      <c r="L28" s="30">
        <f t="shared" si="20"/>
        <v>0.98855835240274603</v>
      </c>
      <c r="O28" s="17">
        <f>'Monthly Data'!S114</f>
        <v>10191</v>
      </c>
      <c r="P28" s="29">
        <f t="shared" si="21"/>
        <v>1</v>
      </c>
      <c r="S28" s="17">
        <f>'Monthly Data'!V114</f>
        <v>349</v>
      </c>
      <c r="T28" s="29">
        <f t="shared" si="22"/>
        <v>1</v>
      </c>
      <c r="W28" s="17">
        <f>'Monthly Data'!X114</f>
        <v>260</v>
      </c>
      <c r="X28" s="29">
        <f t="shared" si="23"/>
        <v>1</v>
      </c>
      <c r="Y28" s="17"/>
      <c r="Z28" s="17"/>
    </row>
    <row r="29" spans="1:28" x14ac:dyDescent="0.2">
      <c r="B29" t="s">
        <v>53</v>
      </c>
      <c r="C29" s="98">
        <f>'Monthly Data'!G115</f>
        <v>43260</v>
      </c>
      <c r="D29" s="30">
        <f t="shared" si="18"/>
        <v>1.0001849625450847</v>
      </c>
      <c r="G29" s="98">
        <f>'Monthly Data'!K115</f>
        <v>4337</v>
      </c>
      <c r="H29" s="30">
        <f t="shared" si="19"/>
        <v>0.99930875576036871</v>
      </c>
      <c r="K29" s="98">
        <f>'Monthly Data'!P115</f>
        <v>432</v>
      </c>
      <c r="L29" s="30">
        <f t="shared" si="20"/>
        <v>1</v>
      </c>
      <c r="O29" s="17">
        <f>'Monthly Data'!S115</f>
        <v>10192</v>
      </c>
      <c r="P29" s="29">
        <f t="shared" si="21"/>
        <v>1.0000981257972721</v>
      </c>
      <c r="S29" s="17">
        <f>'Monthly Data'!V115</f>
        <v>349</v>
      </c>
      <c r="T29" s="29">
        <f t="shared" si="22"/>
        <v>1</v>
      </c>
      <c r="W29" s="17">
        <f>'Monthly Data'!X115</f>
        <v>260</v>
      </c>
      <c r="X29" s="29">
        <f t="shared" si="23"/>
        <v>1</v>
      </c>
      <c r="Y29" s="17"/>
      <c r="Z29" s="17"/>
    </row>
    <row r="30" spans="1:28" x14ac:dyDescent="0.2">
      <c r="B30" t="s">
        <v>54</v>
      </c>
      <c r="C30" s="98">
        <f>'Monthly Data'!G116</f>
        <v>43266</v>
      </c>
      <c r="D30" s="30">
        <f t="shared" ref="D30:D43" si="24">C30/C29</f>
        <v>1.000138696255201</v>
      </c>
      <c r="G30" s="98">
        <f>'Monthly Data'!K116</f>
        <v>4344</v>
      </c>
      <c r="H30" s="30">
        <f t="shared" ref="H30:H43" si="25">G30/G29</f>
        <v>1.0016140189070786</v>
      </c>
      <c r="K30" s="98">
        <f>'Monthly Data'!P116</f>
        <v>432</v>
      </c>
      <c r="L30" s="30">
        <f t="shared" ref="L30:L43" si="26">K30/K29</f>
        <v>1</v>
      </c>
      <c r="O30" s="17">
        <f>'Monthly Data'!S116</f>
        <v>10192</v>
      </c>
      <c r="P30" s="29">
        <f t="shared" ref="P30:P43" si="27">O30/O29</f>
        <v>1</v>
      </c>
      <c r="S30" s="17">
        <f>'Monthly Data'!V116</f>
        <v>349</v>
      </c>
      <c r="T30" s="29">
        <f t="shared" ref="T30:T43" si="28">S30/S29</f>
        <v>1</v>
      </c>
      <c r="W30" s="17">
        <f>'Monthly Data'!X116</f>
        <v>259</v>
      </c>
      <c r="X30" s="29">
        <f t="shared" ref="X30:X43" si="29">W30/W29</f>
        <v>0.99615384615384617</v>
      </c>
      <c r="Y30" s="17"/>
      <c r="Z30" s="17"/>
    </row>
    <row r="31" spans="1:28" x14ac:dyDescent="0.2">
      <c r="B31" t="s">
        <v>55</v>
      </c>
      <c r="C31" s="98">
        <f>'Monthly Data'!G117</f>
        <v>43289</v>
      </c>
      <c r="D31" s="30">
        <f t="shared" si="24"/>
        <v>1.0005315952480007</v>
      </c>
      <c r="G31" s="98">
        <f>'Monthly Data'!K117</f>
        <v>4343</v>
      </c>
      <c r="H31" s="30">
        <f t="shared" si="25"/>
        <v>0.99976979742173111</v>
      </c>
      <c r="K31" s="98">
        <f>'Monthly Data'!P117</f>
        <v>432</v>
      </c>
      <c r="L31" s="30">
        <f t="shared" si="26"/>
        <v>1</v>
      </c>
      <c r="O31" s="17">
        <f>'Monthly Data'!S117</f>
        <v>10193</v>
      </c>
      <c r="P31" s="29">
        <f t="shared" si="27"/>
        <v>1.0000981161695448</v>
      </c>
      <c r="S31" s="17">
        <f>'Monthly Data'!V117</f>
        <v>349</v>
      </c>
      <c r="T31" s="29">
        <f t="shared" si="28"/>
        <v>1</v>
      </c>
      <c r="W31" s="17">
        <f>'Monthly Data'!X117</f>
        <v>259</v>
      </c>
      <c r="X31" s="29">
        <f t="shared" si="29"/>
        <v>1</v>
      </c>
      <c r="Y31" s="17"/>
      <c r="Z31" s="17"/>
    </row>
    <row r="32" spans="1:28" x14ac:dyDescent="0.2">
      <c r="B32" t="s">
        <v>56</v>
      </c>
      <c r="C32" s="98">
        <f>'Monthly Data'!G118</f>
        <v>43321</v>
      </c>
      <c r="D32" s="30">
        <f t="shared" si="24"/>
        <v>1.0007392178151493</v>
      </c>
      <c r="G32" s="98">
        <f>'Monthly Data'!K118</f>
        <v>4346</v>
      </c>
      <c r="H32" s="30">
        <f t="shared" si="25"/>
        <v>1.0006907667510938</v>
      </c>
      <c r="K32" s="98">
        <f>'Monthly Data'!P118</f>
        <v>434</v>
      </c>
      <c r="L32" s="30">
        <f t="shared" si="26"/>
        <v>1.0046296296296295</v>
      </c>
      <c r="O32" s="17">
        <f>'Monthly Data'!S118</f>
        <v>10206</v>
      </c>
      <c r="P32" s="29">
        <f t="shared" si="27"/>
        <v>1.0012753850681841</v>
      </c>
      <c r="S32" s="17">
        <f>'Monthly Data'!V118</f>
        <v>349</v>
      </c>
      <c r="T32" s="29">
        <f t="shared" si="28"/>
        <v>1</v>
      </c>
      <c r="W32" s="17">
        <f>'Monthly Data'!X118</f>
        <v>259</v>
      </c>
      <c r="X32" s="29">
        <f t="shared" si="29"/>
        <v>1</v>
      </c>
      <c r="Y32" s="17"/>
      <c r="Z32" s="17"/>
    </row>
    <row r="33" spans="1:28" x14ac:dyDescent="0.2">
      <c r="B33" t="s">
        <v>57</v>
      </c>
      <c r="C33" s="98">
        <f>'Monthly Data'!G119</f>
        <v>43333</v>
      </c>
      <c r="D33" s="30">
        <f t="shared" si="24"/>
        <v>1.0002770019159299</v>
      </c>
      <c r="G33" s="98">
        <f>'Monthly Data'!K119</f>
        <v>4345</v>
      </c>
      <c r="H33" s="30">
        <f t="shared" si="25"/>
        <v>0.99976990335941096</v>
      </c>
      <c r="K33" s="98">
        <f>'Monthly Data'!P119</f>
        <v>435</v>
      </c>
      <c r="L33" s="30">
        <f t="shared" si="26"/>
        <v>1.0023041474654377</v>
      </c>
      <c r="O33" s="17">
        <f>'Monthly Data'!S119</f>
        <v>10212</v>
      </c>
      <c r="P33" s="29">
        <f t="shared" si="27"/>
        <v>1.0005878894767783</v>
      </c>
      <c r="S33" s="17">
        <f>'Monthly Data'!V119</f>
        <v>349</v>
      </c>
      <c r="T33" s="29">
        <f t="shared" si="28"/>
        <v>1</v>
      </c>
      <c r="W33" s="17">
        <f>'Monthly Data'!X119</f>
        <v>259</v>
      </c>
      <c r="X33" s="29">
        <f t="shared" si="29"/>
        <v>1</v>
      </c>
      <c r="Y33" s="17"/>
      <c r="Z33" s="17"/>
    </row>
    <row r="34" spans="1:28" x14ac:dyDescent="0.2">
      <c r="B34" t="s">
        <v>58</v>
      </c>
      <c r="C34" s="98">
        <f>'Monthly Data'!G120</f>
        <v>43346</v>
      </c>
      <c r="D34" s="30">
        <f t="shared" si="24"/>
        <v>1.00030000230771</v>
      </c>
      <c r="G34" s="98">
        <f>'Monthly Data'!K120</f>
        <v>4342</v>
      </c>
      <c r="H34" s="30">
        <f t="shared" si="25"/>
        <v>0.99930955120828535</v>
      </c>
      <c r="K34" s="98">
        <f>'Monthly Data'!P120</f>
        <v>434</v>
      </c>
      <c r="L34" s="30">
        <f t="shared" si="26"/>
        <v>0.99770114942528731</v>
      </c>
      <c r="O34" s="17">
        <f>'Monthly Data'!S120</f>
        <v>10223</v>
      </c>
      <c r="P34" s="29">
        <f t="shared" si="27"/>
        <v>1.0010771641206424</v>
      </c>
      <c r="S34" s="17">
        <f>'Monthly Data'!V120</f>
        <v>348</v>
      </c>
      <c r="T34" s="29">
        <f t="shared" si="28"/>
        <v>0.99713467048710602</v>
      </c>
      <c r="W34" s="17">
        <f>'Monthly Data'!X120</f>
        <v>259</v>
      </c>
      <c r="X34" s="29">
        <f t="shared" si="29"/>
        <v>1</v>
      </c>
      <c r="Y34" s="17"/>
      <c r="Z34" s="17"/>
    </row>
    <row r="35" spans="1:28" x14ac:dyDescent="0.2">
      <c r="B35" t="s">
        <v>59</v>
      </c>
      <c r="C35" s="98">
        <f>'Monthly Data'!G121</f>
        <v>43346</v>
      </c>
      <c r="D35" s="30">
        <f t="shared" si="24"/>
        <v>1</v>
      </c>
      <c r="G35" s="98">
        <f>'Monthly Data'!K121</f>
        <v>4343</v>
      </c>
      <c r="H35" s="30">
        <f t="shared" si="25"/>
        <v>1.0002303086135422</v>
      </c>
      <c r="K35" s="98">
        <f>'Monthly Data'!P121</f>
        <v>435</v>
      </c>
      <c r="L35" s="30">
        <f t="shared" si="26"/>
        <v>1.0023041474654377</v>
      </c>
      <c r="O35" s="17">
        <f>'Monthly Data'!S121</f>
        <v>10241</v>
      </c>
      <c r="P35" s="29">
        <f t="shared" si="27"/>
        <v>1.0017607355962046</v>
      </c>
      <c r="S35" s="17">
        <f>'Monthly Data'!V121</f>
        <v>348</v>
      </c>
      <c r="T35" s="29">
        <f t="shared" si="28"/>
        <v>1</v>
      </c>
      <c r="W35" s="17">
        <f>'Monthly Data'!X121</f>
        <v>257</v>
      </c>
      <c r="X35" s="29">
        <f t="shared" si="29"/>
        <v>0.99227799227799229</v>
      </c>
      <c r="Y35" s="17"/>
      <c r="Z35" s="17"/>
      <c r="AB35" s="18"/>
    </row>
    <row r="36" spans="1:28" x14ac:dyDescent="0.2">
      <c r="A36">
        <v>2024</v>
      </c>
      <c r="B36" t="s">
        <v>48</v>
      </c>
      <c r="C36" s="98">
        <f>'Monthly Data'!G122</f>
        <v>43359</v>
      </c>
      <c r="D36" s="30">
        <f t="shared" si="24"/>
        <v>1.0002999123333181</v>
      </c>
      <c r="G36" s="98">
        <f>'Monthly Data'!K122</f>
        <v>4339</v>
      </c>
      <c r="H36" s="30">
        <f t="shared" si="25"/>
        <v>0.99907897766520837</v>
      </c>
      <c r="K36" s="98">
        <f>'Monthly Data'!P122</f>
        <v>435</v>
      </c>
      <c r="L36" s="30">
        <f t="shared" si="26"/>
        <v>1</v>
      </c>
      <c r="O36" s="17">
        <f>'Monthly Data'!S122</f>
        <v>10241</v>
      </c>
      <c r="P36" s="29">
        <f t="shared" si="27"/>
        <v>1</v>
      </c>
      <c r="S36" s="17">
        <f>'Monthly Data'!V122</f>
        <v>348</v>
      </c>
      <c r="T36" s="29">
        <f t="shared" si="28"/>
        <v>1</v>
      </c>
      <c r="W36" s="17">
        <f>'Monthly Data'!X122</f>
        <v>255</v>
      </c>
      <c r="X36" s="29">
        <f t="shared" si="29"/>
        <v>0.99221789883268485</v>
      </c>
      <c r="Y36" s="17"/>
      <c r="Z36" s="17"/>
    </row>
    <row r="37" spans="1:28" x14ac:dyDescent="0.2">
      <c r="B37" t="s">
        <v>49</v>
      </c>
      <c r="C37" s="98">
        <f>'Monthly Data'!G123</f>
        <v>43374</v>
      </c>
      <c r="D37" s="30">
        <f t="shared" si="24"/>
        <v>1.0003459489379367</v>
      </c>
      <c r="G37" s="98">
        <f>'Monthly Data'!K123</f>
        <v>4327</v>
      </c>
      <c r="H37" s="30">
        <f t="shared" si="25"/>
        <v>0.99723438580318047</v>
      </c>
      <c r="K37" s="98">
        <f>'Monthly Data'!P123</f>
        <v>437</v>
      </c>
      <c r="L37" s="30">
        <f t="shared" si="26"/>
        <v>1.0045977011494254</v>
      </c>
      <c r="O37" s="17">
        <f>'Monthly Data'!S123</f>
        <v>10256</v>
      </c>
      <c r="P37" s="29">
        <f t="shared" si="27"/>
        <v>1.001464700712821</v>
      </c>
      <c r="S37" s="17">
        <f>'Monthly Data'!V123</f>
        <v>348</v>
      </c>
      <c r="T37" s="29">
        <f t="shared" si="28"/>
        <v>1</v>
      </c>
      <c r="W37" s="17">
        <f>'Monthly Data'!X123</f>
        <v>254</v>
      </c>
      <c r="X37" s="29">
        <f t="shared" si="29"/>
        <v>0.99607843137254903</v>
      </c>
      <c r="Y37" s="17"/>
      <c r="Z37" s="17"/>
    </row>
    <row r="38" spans="1:28" x14ac:dyDescent="0.2">
      <c r="B38" t="s">
        <v>50</v>
      </c>
      <c r="C38" s="98">
        <f>'Monthly Data'!G124</f>
        <v>43392</v>
      </c>
      <c r="D38" s="30">
        <f t="shared" si="24"/>
        <v>1.0004149951583898</v>
      </c>
      <c r="G38" s="98">
        <f>'Monthly Data'!K124</f>
        <v>4332</v>
      </c>
      <c r="H38" s="30">
        <f t="shared" si="25"/>
        <v>1.0011555350127108</v>
      </c>
      <c r="K38" s="98">
        <f>'Monthly Data'!P124</f>
        <v>429</v>
      </c>
      <c r="L38" s="30">
        <f t="shared" si="26"/>
        <v>0.98169336384439354</v>
      </c>
      <c r="O38" s="17">
        <f>'Monthly Data'!S124</f>
        <v>10256</v>
      </c>
      <c r="P38" s="29">
        <f t="shared" si="27"/>
        <v>1</v>
      </c>
      <c r="S38" s="17">
        <f>'Monthly Data'!V124</f>
        <v>348</v>
      </c>
      <c r="T38" s="29">
        <f t="shared" si="28"/>
        <v>1</v>
      </c>
      <c r="W38" s="17">
        <f>'Monthly Data'!X124</f>
        <v>254</v>
      </c>
      <c r="X38" s="29">
        <f t="shared" si="29"/>
        <v>1</v>
      </c>
      <c r="Y38" s="17"/>
      <c r="Z38" s="17"/>
    </row>
    <row r="39" spans="1:28" x14ac:dyDescent="0.2">
      <c r="B39" t="s">
        <v>51</v>
      </c>
      <c r="C39" s="98">
        <f>'Monthly Data'!G125</f>
        <v>43392</v>
      </c>
      <c r="D39" s="30">
        <f t="shared" si="24"/>
        <v>1</v>
      </c>
      <c r="G39" s="98">
        <f>'Monthly Data'!K125</f>
        <v>4329</v>
      </c>
      <c r="H39" s="30">
        <f t="shared" si="25"/>
        <v>0.99930747922437668</v>
      </c>
      <c r="K39" s="98">
        <f>'Monthly Data'!P125</f>
        <v>430</v>
      </c>
      <c r="L39" s="30">
        <f t="shared" si="26"/>
        <v>1.0023310023310024</v>
      </c>
      <c r="O39" s="17">
        <f>'Monthly Data'!S125</f>
        <v>10254</v>
      </c>
      <c r="P39" s="29">
        <f t="shared" si="27"/>
        <v>0.99980499219968799</v>
      </c>
      <c r="S39" s="17">
        <f>'Monthly Data'!V125</f>
        <v>348</v>
      </c>
      <c r="T39" s="29">
        <f t="shared" si="28"/>
        <v>1</v>
      </c>
      <c r="W39" s="17">
        <f>'Monthly Data'!X125</f>
        <v>254</v>
      </c>
      <c r="X39" s="29">
        <f t="shared" si="29"/>
        <v>1</v>
      </c>
      <c r="Y39" s="17"/>
      <c r="Z39" s="17"/>
    </row>
    <row r="40" spans="1:28" x14ac:dyDescent="0.2">
      <c r="B40" t="s">
        <v>52</v>
      </c>
      <c r="C40" s="98">
        <f>'Monthly Data'!G126</f>
        <v>43396</v>
      </c>
      <c r="D40" s="30">
        <f t="shared" si="24"/>
        <v>1.0000921828908556</v>
      </c>
      <c r="G40" s="98">
        <f>'Monthly Data'!K126</f>
        <v>4328</v>
      </c>
      <c r="H40" s="30">
        <f t="shared" si="25"/>
        <v>0.9997689997689998</v>
      </c>
      <c r="K40" s="98">
        <f>'Monthly Data'!P126</f>
        <v>432</v>
      </c>
      <c r="L40" s="30">
        <f t="shared" si="26"/>
        <v>1.0046511627906978</v>
      </c>
      <c r="O40" s="17">
        <f>'Monthly Data'!S126</f>
        <v>10257</v>
      </c>
      <c r="P40" s="29">
        <f t="shared" si="27"/>
        <v>1.000292568753657</v>
      </c>
      <c r="S40" s="17">
        <f>'Monthly Data'!V126</f>
        <v>348</v>
      </c>
      <c r="T40" s="29">
        <f t="shared" si="28"/>
        <v>1</v>
      </c>
      <c r="W40" s="17">
        <f>'Monthly Data'!X126</f>
        <v>254</v>
      </c>
      <c r="X40" s="29">
        <f t="shared" si="29"/>
        <v>1</v>
      </c>
      <c r="Y40" s="17"/>
      <c r="Z40" s="17"/>
    </row>
    <row r="41" spans="1:28" x14ac:dyDescent="0.2">
      <c r="B41" t="s">
        <v>53</v>
      </c>
      <c r="C41" s="98">
        <f>'Monthly Data'!G127</f>
        <v>43400</v>
      </c>
      <c r="D41" s="30">
        <f t="shared" si="24"/>
        <v>1.0000921743939533</v>
      </c>
      <c r="G41" s="98">
        <f>'Monthly Data'!K127</f>
        <v>4329</v>
      </c>
      <c r="H41" s="30">
        <f t="shared" si="25"/>
        <v>1.0002310536044363</v>
      </c>
      <c r="K41" s="98">
        <f>'Monthly Data'!P127</f>
        <v>430</v>
      </c>
      <c r="L41" s="30">
        <f t="shared" si="26"/>
        <v>0.99537037037037035</v>
      </c>
      <c r="O41" s="17">
        <f>'Monthly Data'!S127</f>
        <v>10258</v>
      </c>
      <c r="P41" s="29">
        <f t="shared" si="27"/>
        <v>1.0000974943940724</v>
      </c>
      <c r="S41" s="17">
        <f>'Monthly Data'!V127</f>
        <v>345</v>
      </c>
      <c r="T41" s="29">
        <f t="shared" si="28"/>
        <v>0.99137931034482762</v>
      </c>
      <c r="W41" s="17">
        <f>'Monthly Data'!X127</f>
        <v>254</v>
      </c>
      <c r="X41" s="29">
        <f t="shared" si="29"/>
        <v>1</v>
      </c>
      <c r="Y41" s="17"/>
      <c r="Z41" s="17"/>
    </row>
    <row r="42" spans="1:28" x14ac:dyDescent="0.2">
      <c r="B42" t="s">
        <v>54</v>
      </c>
      <c r="C42" s="98">
        <f>'Monthly Data'!G128</f>
        <v>43409</v>
      </c>
      <c r="D42" s="30">
        <f t="shared" si="24"/>
        <v>1.0002073732718895</v>
      </c>
      <c r="G42" s="98">
        <f>'Monthly Data'!K128</f>
        <v>4330</v>
      </c>
      <c r="H42" s="30">
        <f t="shared" si="25"/>
        <v>1.0002310002310002</v>
      </c>
      <c r="K42" s="98">
        <f>'Monthly Data'!P128</f>
        <v>431</v>
      </c>
      <c r="L42" s="30">
        <f t="shared" si="26"/>
        <v>1.0023255813953489</v>
      </c>
      <c r="O42" s="17">
        <f>'Monthly Data'!S128</f>
        <v>10258</v>
      </c>
      <c r="P42" s="29">
        <f t="shared" si="27"/>
        <v>1</v>
      </c>
      <c r="S42" s="17">
        <f>'Monthly Data'!V128</f>
        <v>345</v>
      </c>
      <c r="T42" s="29">
        <f t="shared" si="28"/>
        <v>1</v>
      </c>
      <c r="W42" s="17">
        <f>'Monthly Data'!X128</f>
        <v>254</v>
      </c>
      <c r="X42" s="29">
        <f t="shared" si="29"/>
        <v>1</v>
      </c>
      <c r="Y42" s="17"/>
      <c r="Z42" s="17"/>
    </row>
    <row r="43" spans="1:28" x14ac:dyDescent="0.2">
      <c r="B43" t="s">
        <v>55</v>
      </c>
      <c r="C43" s="98">
        <f>'Monthly Data'!G129</f>
        <v>43408</v>
      </c>
      <c r="D43" s="30">
        <f t="shared" si="24"/>
        <v>0.99997696330254093</v>
      </c>
      <c r="G43" s="98">
        <f>'Monthly Data'!K129</f>
        <v>4331</v>
      </c>
      <c r="H43" s="30">
        <f t="shared" si="25"/>
        <v>1.000230946882217</v>
      </c>
      <c r="K43" s="98">
        <f>'Monthly Data'!P129</f>
        <v>431</v>
      </c>
      <c r="L43" s="30">
        <f t="shared" si="26"/>
        <v>1</v>
      </c>
      <c r="O43" s="17">
        <f>'Monthly Data'!S129</f>
        <v>10249</v>
      </c>
      <c r="P43" s="29">
        <f t="shared" si="27"/>
        <v>0.99912263599142137</v>
      </c>
      <c r="S43" s="17">
        <f>'Monthly Data'!V129</f>
        <v>345</v>
      </c>
      <c r="T43" s="29">
        <f t="shared" si="28"/>
        <v>1</v>
      </c>
      <c r="W43" s="17">
        <f>'Monthly Data'!X129</f>
        <v>254</v>
      </c>
      <c r="X43" s="29">
        <f t="shared" si="29"/>
        <v>1</v>
      </c>
    </row>
    <row r="44" spans="1:28" x14ac:dyDescent="0.2">
      <c r="B44" t="s">
        <v>56</v>
      </c>
      <c r="C44" s="98">
        <f>'Monthly Data'!G130</f>
        <v>43417</v>
      </c>
      <c r="D44" s="30">
        <f t="shared" ref="D44:D47" si="30">C44/C43</f>
        <v>1.0002073350534464</v>
      </c>
      <c r="G44" s="98">
        <f>'Monthly Data'!K130</f>
        <v>4329</v>
      </c>
      <c r="H44" s="30">
        <f t="shared" ref="H44:H47" si="31">G44/G43</f>
        <v>0.99953821288386058</v>
      </c>
      <c r="K44" s="98">
        <f>'Monthly Data'!P130</f>
        <v>431</v>
      </c>
      <c r="L44" s="30">
        <f t="shared" ref="L44:L47" si="32">K44/K43</f>
        <v>1</v>
      </c>
      <c r="O44" s="17">
        <f>'Monthly Data'!S130</f>
        <v>10249</v>
      </c>
      <c r="P44" s="29">
        <f t="shared" ref="P44:P47" si="33">O44/O43</f>
        <v>1</v>
      </c>
      <c r="S44" s="17">
        <f>'Monthly Data'!V130</f>
        <v>345</v>
      </c>
      <c r="T44" s="29">
        <f t="shared" ref="T44:T47" si="34">S44/S43</f>
        <v>1</v>
      </c>
      <c r="W44" s="17">
        <f>'Monthly Data'!X130</f>
        <v>254</v>
      </c>
      <c r="X44" s="29">
        <f t="shared" ref="X44:X47" si="35">W44/W43</f>
        <v>1</v>
      </c>
    </row>
    <row r="45" spans="1:28" x14ac:dyDescent="0.2">
      <c r="B45" t="s">
        <v>57</v>
      </c>
      <c r="C45" s="98">
        <f>'Monthly Data'!G131</f>
        <v>43434</v>
      </c>
      <c r="D45" s="30">
        <f t="shared" si="30"/>
        <v>1.0003915516963402</v>
      </c>
      <c r="G45" s="98">
        <f>'Monthly Data'!K131</f>
        <v>4336</v>
      </c>
      <c r="H45" s="30">
        <f t="shared" si="31"/>
        <v>1.0016170016170016</v>
      </c>
      <c r="K45" s="98">
        <f>'Monthly Data'!P131</f>
        <v>432</v>
      </c>
      <c r="L45" s="30">
        <f t="shared" si="32"/>
        <v>1.0023201856148491</v>
      </c>
      <c r="O45" s="17">
        <f>'Monthly Data'!S131</f>
        <v>10248</v>
      </c>
      <c r="P45" s="29">
        <f t="shared" si="33"/>
        <v>0.9999024295053176</v>
      </c>
      <c r="S45" s="17">
        <f>'Monthly Data'!V131</f>
        <v>345</v>
      </c>
      <c r="T45" s="29">
        <f t="shared" si="34"/>
        <v>1</v>
      </c>
      <c r="W45" s="17">
        <f>'Monthly Data'!X131</f>
        <v>253</v>
      </c>
      <c r="X45" s="29">
        <f t="shared" si="35"/>
        <v>0.99606299212598426</v>
      </c>
    </row>
    <row r="46" spans="1:28" x14ac:dyDescent="0.2">
      <c r="B46" t="s">
        <v>58</v>
      </c>
      <c r="C46" s="98">
        <f>'Monthly Data'!G132</f>
        <v>43444</v>
      </c>
      <c r="D46" s="30">
        <f t="shared" si="30"/>
        <v>1.0002302343785974</v>
      </c>
      <c r="G46" s="98">
        <f>'Monthly Data'!K132</f>
        <v>4334</v>
      </c>
      <c r="H46" s="30">
        <f t="shared" si="31"/>
        <v>0.99953874538745391</v>
      </c>
      <c r="K46" s="98">
        <f>'Monthly Data'!P132</f>
        <v>433</v>
      </c>
      <c r="L46" s="30">
        <f t="shared" si="32"/>
        <v>1.0023148148148149</v>
      </c>
      <c r="O46" s="17">
        <f>'Monthly Data'!S132</f>
        <v>10251</v>
      </c>
      <c r="P46" s="29">
        <f t="shared" si="33"/>
        <v>1.0002927400468384</v>
      </c>
      <c r="S46" s="17">
        <f>'Monthly Data'!V132</f>
        <v>344</v>
      </c>
      <c r="T46" s="29">
        <f t="shared" si="34"/>
        <v>0.99710144927536237</v>
      </c>
      <c r="W46" s="17">
        <f>'Monthly Data'!X132</f>
        <v>253</v>
      </c>
      <c r="X46" s="29">
        <f t="shared" si="35"/>
        <v>1</v>
      </c>
    </row>
    <row r="47" spans="1:28" x14ac:dyDescent="0.2">
      <c r="B47" t="s">
        <v>59</v>
      </c>
      <c r="C47" s="98">
        <f>'Monthly Data'!G133</f>
        <v>43463</v>
      </c>
      <c r="D47" s="30">
        <f t="shared" si="30"/>
        <v>1.0004373446275665</v>
      </c>
      <c r="G47" s="98">
        <f>'Monthly Data'!K133</f>
        <v>4334</v>
      </c>
      <c r="H47" s="30">
        <f t="shared" si="31"/>
        <v>1</v>
      </c>
      <c r="K47" s="98">
        <f>'Monthly Data'!P133</f>
        <v>433</v>
      </c>
      <c r="L47" s="30">
        <f t="shared" si="32"/>
        <v>1</v>
      </c>
      <c r="O47" s="17">
        <f>'Monthly Data'!S133</f>
        <v>10258</v>
      </c>
      <c r="P47" s="29">
        <f t="shared" si="33"/>
        <v>1.0006828602087601</v>
      </c>
      <c r="S47" s="17">
        <f>'Monthly Data'!V133</f>
        <v>343</v>
      </c>
      <c r="T47" s="29">
        <f t="shared" si="34"/>
        <v>0.99709302325581395</v>
      </c>
      <c r="W47" s="17">
        <f>'Monthly Data'!X133</f>
        <v>253</v>
      </c>
      <c r="X47" s="29">
        <f t="shared" si="35"/>
        <v>1</v>
      </c>
    </row>
    <row r="48" spans="1:28" x14ac:dyDescent="0.2">
      <c r="A48">
        <v>2025</v>
      </c>
      <c r="B48" t="s">
        <v>48</v>
      </c>
      <c r="C48" s="431">
        <f>C15/D15^(5.5046192/12)</f>
        <v>43449.493839152194</v>
      </c>
      <c r="D48" s="432">
        <f t="shared" si="18"/>
        <v>0.9996892492269791</v>
      </c>
      <c r="E48" s="68"/>
      <c r="F48" s="68"/>
      <c r="G48" s="431">
        <f>G15/H15^(5.5046192/12)</f>
        <v>4350.8855770245382</v>
      </c>
      <c r="H48" s="432">
        <f t="shared" ref="H48:H59" si="36">G48/G47</f>
        <v>1.0038960722253203</v>
      </c>
      <c r="I48" s="68"/>
      <c r="J48" s="68"/>
      <c r="K48" s="431">
        <f>K15/L15^(5.5046192/12)</f>
        <v>428.22715920853085</v>
      </c>
      <c r="L48" s="432">
        <f t="shared" ref="L48:L59" si="37">K48/K47</f>
        <v>0.98897727299891647</v>
      </c>
      <c r="M48" s="68"/>
      <c r="N48" s="68"/>
      <c r="O48" s="431">
        <f>O15/P15^(5.5046192/12)</f>
        <v>10281.666616971546</v>
      </c>
      <c r="P48" s="432">
        <f t="shared" si="21"/>
        <v>1.0023071375484058</v>
      </c>
      <c r="Q48" s="68"/>
      <c r="R48" s="68"/>
      <c r="S48" s="431">
        <f>S15/T15^(5.5046192/12)</f>
        <v>342.70074784081163</v>
      </c>
      <c r="T48" s="432">
        <f t="shared" si="22"/>
        <v>0.99912754472539833</v>
      </c>
      <c r="V48" s="68"/>
      <c r="W48" s="431">
        <f>W15/X15^(5.5046192/12)</f>
        <v>250.16133461873918</v>
      </c>
      <c r="X48" s="432">
        <f t="shared" si="23"/>
        <v>0.98877997873019441</v>
      </c>
    </row>
    <row r="49" spans="2:24" x14ac:dyDescent="0.2">
      <c r="B49" t="s">
        <v>49</v>
      </c>
      <c r="C49" s="431">
        <f>C48*D$15^(1/12)</f>
        <v>43455.988320014199</v>
      </c>
      <c r="D49" s="432">
        <f t="shared" si="18"/>
        <v>1.0001494719567057</v>
      </c>
      <c r="E49" s="68"/>
      <c r="F49" s="68"/>
      <c r="G49" s="431">
        <f>G48*H$15^(1/12)</f>
        <v>4353.8777915101982</v>
      </c>
      <c r="H49" s="432">
        <f t="shared" si="36"/>
        <v>1.000687725391231</v>
      </c>
      <c r="I49" s="68"/>
      <c r="J49" s="68"/>
      <c r="K49" s="431">
        <f>K48*L$15^(1/12)</f>
        <v>427.64924352166042</v>
      </c>
      <c r="L49" s="432">
        <f t="shared" si="37"/>
        <v>0.99865044597372443</v>
      </c>
      <c r="M49" s="68"/>
      <c r="N49" s="68"/>
      <c r="O49" s="431">
        <f>O48*P$15^(1/12)</f>
        <v>10286.09998719085</v>
      </c>
      <c r="P49" s="432">
        <f t="shared" si="21"/>
        <v>1.0004311917886917</v>
      </c>
      <c r="Q49" s="68"/>
      <c r="R49" s="68"/>
      <c r="S49" s="431">
        <f>S48*T$15^(1/12)</f>
        <v>342.19561170328137</v>
      </c>
      <c r="T49" s="432">
        <f t="shared" si="22"/>
        <v>0.99852601390363793</v>
      </c>
      <c r="V49" s="68"/>
      <c r="W49" s="431">
        <f>W48*X$15^(1/12)</f>
        <v>249.60074794862376</v>
      </c>
      <c r="X49" s="432">
        <f t="shared" si="23"/>
        <v>0.99775909945887609</v>
      </c>
    </row>
    <row r="50" spans="2:24" x14ac:dyDescent="0.2">
      <c r="B50" t="s">
        <v>50</v>
      </c>
      <c r="C50" s="431">
        <f t="shared" ref="C50:C59" si="38">C49*D$15^(1/12)</f>
        <v>43462.483771618972</v>
      </c>
      <c r="D50" s="432">
        <f t="shared" si="18"/>
        <v>1.0001494719567057</v>
      </c>
      <c r="E50" s="68"/>
      <c r="F50" s="68"/>
      <c r="G50" s="431">
        <f>G49*H$15^(1/12)</f>
        <v>4356.8720638177365</v>
      </c>
      <c r="H50" s="432">
        <f t="shared" si="36"/>
        <v>1.000687725391231</v>
      </c>
      <c r="I50" s="68"/>
      <c r="J50" s="68"/>
      <c r="K50" s="431">
        <f t="shared" ref="K50:K59" si="39">K49*L$15^(1/12)</f>
        <v>427.07210776323205</v>
      </c>
      <c r="L50" s="432">
        <f t="shared" si="37"/>
        <v>0.99865044597372443</v>
      </c>
      <c r="M50" s="68"/>
      <c r="N50" s="68"/>
      <c r="O50" s="431">
        <f t="shared" ref="O50:O59" si="40">O49*P$15^(1/12)</f>
        <v>10290.535269042988</v>
      </c>
      <c r="P50" s="432">
        <f t="shared" si="21"/>
        <v>1.0004311917886917</v>
      </c>
      <c r="Q50" s="68"/>
      <c r="R50" s="68"/>
      <c r="S50" s="431">
        <f t="shared" ref="S50:S59" si="41">S49*T$15^(1/12)</f>
        <v>341.69122012939465</v>
      </c>
      <c r="T50" s="432">
        <f t="shared" si="22"/>
        <v>0.99852601390363804</v>
      </c>
      <c r="V50" s="68"/>
      <c r="W50" s="431">
        <f t="shared" ref="W50:W59" si="42">W49*X$15^(1/12)</f>
        <v>249.04141749748075</v>
      </c>
      <c r="X50" s="432">
        <f t="shared" si="23"/>
        <v>0.99775909945887609</v>
      </c>
    </row>
    <row r="51" spans="2:24" x14ac:dyDescent="0.2">
      <c r="B51" t="s">
        <v>51</v>
      </c>
      <c r="C51" s="431">
        <f t="shared" si="38"/>
        <v>43468.980194111602</v>
      </c>
      <c r="D51" s="432">
        <f t="shared" si="18"/>
        <v>1.0001494719567057</v>
      </c>
      <c r="E51" s="68"/>
      <c r="F51" s="68"/>
      <c r="G51" s="431">
        <f t="shared" ref="G51:G59" si="43">G50*H$15^(1/12)</f>
        <v>4359.8683953623686</v>
      </c>
      <c r="H51" s="432">
        <f t="shared" si="36"/>
        <v>1.000687725391231</v>
      </c>
      <c r="I51" s="68"/>
      <c r="J51" s="68"/>
      <c r="K51" s="431">
        <f t="shared" si="39"/>
        <v>426.4957508806902</v>
      </c>
      <c r="L51" s="432">
        <f t="shared" si="37"/>
        <v>0.99865044597372443</v>
      </c>
      <c r="M51" s="68"/>
      <c r="N51" s="68"/>
      <c r="O51" s="431">
        <f t="shared" si="40"/>
        <v>10294.972463352242</v>
      </c>
      <c r="P51" s="432">
        <f t="shared" si="21"/>
        <v>1.0004311917886917</v>
      </c>
      <c r="Q51" s="68"/>
      <c r="R51" s="68"/>
      <c r="S51" s="431">
        <f t="shared" si="41"/>
        <v>341.18757202167495</v>
      </c>
      <c r="T51" s="432">
        <f t="shared" si="22"/>
        <v>0.99852601390363804</v>
      </c>
      <c r="V51" s="68"/>
      <c r="W51" s="431">
        <f t="shared" si="42"/>
        <v>248.48334045024839</v>
      </c>
      <c r="X51" s="432">
        <f t="shared" si="23"/>
        <v>0.99775909945887609</v>
      </c>
    </row>
    <row r="52" spans="2:24" x14ac:dyDescent="0.2">
      <c r="B52" t="s">
        <v>52</v>
      </c>
      <c r="C52" s="431">
        <f t="shared" si="38"/>
        <v>43475.477587637215</v>
      </c>
      <c r="D52" s="432">
        <f t="shared" si="18"/>
        <v>1.0001494719567057</v>
      </c>
      <c r="E52" s="68"/>
      <c r="F52" s="68"/>
      <c r="G52" s="431">
        <f t="shared" si="43"/>
        <v>4362.866787560285</v>
      </c>
      <c r="H52" s="432">
        <f t="shared" si="36"/>
        <v>1.000687725391231</v>
      </c>
      <c r="I52" s="68"/>
      <c r="J52" s="68"/>
      <c r="K52" s="431">
        <f t="shared" si="39"/>
        <v>425.92017182289976</v>
      </c>
      <c r="L52" s="432">
        <f t="shared" si="37"/>
        <v>0.99865044597372443</v>
      </c>
      <c r="M52" s="68"/>
      <c r="N52" s="68"/>
      <c r="O52" s="431">
        <f t="shared" si="40"/>
        <v>10299.411570943246</v>
      </c>
      <c r="P52" s="432">
        <f t="shared" si="21"/>
        <v>1.0004311917886917</v>
      </c>
      <c r="Q52" s="68"/>
      <c r="R52" s="68"/>
      <c r="S52" s="431">
        <f t="shared" si="41"/>
        <v>340.68466628426347</v>
      </c>
      <c r="T52" s="432">
        <f t="shared" si="22"/>
        <v>0.99852601390363793</v>
      </c>
      <c r="V52" s="68"/>
      <c r="W52" s="431">
        <f t="shared" si="42"/>
        <v>247.92651399817316</v>
      </c>
      <c r="X52" s="432">
        <f t="shared" si="23"/>
        <v>0.99775909945887609</v>
      </c>
    </row>
    <row r="53" spans="2:24" x14ac:dyDescent="0.2">
      <c r="B53" t="s">
        <v>53</v>
      </c>
      <c r="C53" s="431">
        <f t="shared" si="38"/>
        <v>43481.975952340952</v>
      </c>
      <c r="D53" s="432">
        <f t="shared" si="18"/>
        <v>1.0001494719567057</v>
      </c>
      <c r="E53" s="68"/>
      <c r="F53" s="68"/>
      <c r="G53" s="431">
        <f t="shared" si="43"/>
        <v>4365.8672418286487</v>
      </c>
      <c r="H53" s="432">
        <f t="shared" si="36"/>
        <v>1.000687725391231</v>
      </c>
      <c r="I53" s="68"/>
      <c r="J53" s="68"/>
      <c r="K53" s="431">
        <f t="shared" si="39"/>
        <v>425.34536954014419</v>
      </c>
      <c r="L53" s="432">
        <f t="shared" si="37"/>
        <v>0.99865044597372443</v>
      </c>
      <c r="M53" s="68"/>
      <c r="N53" s="68"/>
      <c r="O53" s="431">
        <f t="shared" si="40"/>
        <v>10303.852592640993</v>
      </c>
      <c r="P53" s="432">
        <f t="shared" si="21"/>
        <v>1.0004311917886917</v>
      </c>
      <c r="Q53" s="68"/>
      <c r="R53" s="68"/>
      <c r="S53" s="431">
        <f t="shared" si="41"/>
        <v>340.18250182291672</v>
      </c>
      <c r="T53" s="432">
        <f t="shared" si="22"/>
        <v>0.99852601390363793</v>
      </c>
      <c r="V53" s="68"/>
      <c r="W53" s="431">
        <f t="shared" si="42"/>
        <v>247.3709353387957</v>
      </c>
      <c r="X53" s="432">
        <f t="shared" si="23"/>
        <v>0.99775909945887609</v>
      </c>
    </row>
    <row r="54" spans="2:24" x14ac:dyDescent="0.2">
      <c r="B54" t="s">
        <v>54</v>
      </c>
      <c r="C54" s="431">
        <f t="shared" si="38"/>
        <v>43488.475288367976</v>
      </c>
      <c r="D54" s="432">
        <f t="shared" si="18"/>
        <v>1.0001494719567057</v>
      </c>
      <c r="E54" s="68"/>
      <c r="F54" s="68"/>
      <c r="G54" s="431">
        <f t="shared" si="43"/>
        <v>4368.8697595855974</v>
      </c>
      <c r="H54" s="432">
        <f t="shared" si="36"/>
        <v>1.000687725391231</v>
      </c>
      <c r="I54" s="68"/>
      <c r="J54" s="68"/>
      <c r="K54" s="431">
        <f t="shared" si="39"/>
        <v>424.77134298412363</v>
      </c>
      <c r="L54" s="432">
        <f t="shared" si="37"/>
        <v>0.99865044597372443</v>
      </c>
      <c r="M54" s="68"/>
      <c r="N54" s="68"/>
      <c r="O54" s="431">
        <f t="shared" si="40"/>
        <v>10308.295529270828</v>
      </c>
      <c r="P54" s="432">
        <f t="shared" si="21"/>
        <v>1.0004311917886917</v>
      </c>
      <c r="Q54" s="68"/>
      <c r="R54" s="68"/>
      <c r="S54" s="431">
        <f t="shared" si="41"/>
        <v>339.68107754500409</v>
      </c>
      <c r="T54" s="432">
        <f t="shared" si="22"/>
        <v>0.99852601390363793</v>
      </c>
      <c r="V54" s="68"/>
      <c r="W54" s="431">
        <f t="shared" si="42"/>
        <v>246.81660167593668</v>
      </c>
      <c r="X54" s="432">
        <f t="shared" si="23"/>
        <v>0.99775909945887609</v>
      </c>
    </row>
    <row r="55" spans="2:24" x14ac:dyDescent="0.2">
      <c r="B55" t="s">
        <v>55</v>
      </c>
      <c r="C55" s="431">
        <f t="shared" si="38"/>
        <v>43494.975595863478</v>
      </c>
      <c r="D55" s="432">
        <f t="shared" si="18"/>
        <v>1.0001494719567057</v>
      </c>
      <c r="E55" s="68"/>
      <c r="F55" s="68"/>
      <c r="G55" s="431">
        <f t="shared" si="43"/>
        <v>4371.8743422502457</v>
      </c>
      <c r="H55" s="432">
        <f t="shared" si="36"/>
        <v>1.000687725391231</v>
      </c>
      <c r="I55" s="68"/>
      <c r="J55" s="68"/>
      <c r="K55" s="431">
        <f t="shared" si="39"/>
        <v>424.19809110795291</v>
      </c>
      <c r="L55" s="432">
        <f t="shared" si="37"/>
        <v>0.99865044597372432</v>
      </c>
      <c r="M55" s="68"/>
      <c r="N55" s="68"/>
      <c r="O55" s="431">
        <f t="shared" si="40"/>
        <v>10312.740381658457</v>
      </c>
      <c r="P55" s="432">
        <f t="shared" si="21"/>
        <v>1.0004311917886917</v>
      </c>
      <c r="Q55" s="68"/>
      <c r="R55" s="68"/>
      <c r="S55" s="431">
        <f t="shared" si="41"/>
        <v>339.18039235950545</v>
      </c>
      <c r="T55" s="432">
        <f t="shared" si="22"/>
        <v>0.99852601390363793</v>
      </c>
      <c r="V55" s="68"/>
      <c r="W55" s="431">
        <f t="shared" si="42"/>
        <v>246.2635102196827</v>
      </c>
      <c r="X55" s="432">
        <f t="shared" si="23"/>
        <v>0.99775909945887609</v>
      </c>
    </row>
    <row r="56" spans="2:24" x14ac:dyDescent="0.2">
      <c r="B56" t="s">
        <v>56</v>
      </c>
      <c r="C56" s="431">
        <f t="shared" si="38"/>
        <v>43501.476874972657</v>
      </c>
      <c r="D56" s="432">
        <f t="shared" si="18"/>
        <v>1.0001494719567057</v>
      </c>
      <c r="E56" s="68"/>
      <c r="F56" s="68"/>
      <c r="G56" s="431">
        <f t="shared" si="43"/>
        <v>4374.8809912426823</v>
      </c>
      <c r="H56" s="432">
        <f t="shared" si="36"/>
        <v>1.000687725391231</v>
      </c>
      <c r="I56" s="68"/>
      <c r="J56" s="68"/>
      <c r="K56" s="431">
        <f t="shared" si="39"/>
        <v>423.62561286615977</v>
      </c>
      <c r="L56" s="432">
        <f t="shared" si="37"/>
        <v>0.99865044597372443</v>
      </c>
      <c r="M56" s="68"/>
      <c r="N56" s="68"/>
      <c r="O56" s="431">
        <f t="shared" si="40"/>
        <v>10317.187150629938</v>
      </c>
      <c r="P56" s="432">
        <f t="shared" si="21"/>
        <v>1.0004311917886917</v>
      </c>
      <c r="Q56" s="68"/>
      <c r="R56" s="68"/>
      <c r="S56" s="431">
        <f t="shared" si="41"/>
        <v>338.68044517700889</v>
      </c>
      <c r="T56" s="432">
        <f t="shared" si="22"/>
        <v>0.99852601390363793</v>
      </c>
      <c r="V56" s="68"/>
      <c r="W56" s="431">
        <f t="shared" si="42"/>
        <v>245.71165818637235</v>
      </c>
      <c r="X56" s="432">
        <f t="shared" si="23"/>
        <v>0.99775909945887609</v>
      </c>
    </row>
    <row r="57" spans="2:24" x14ac:dyDescent="0.2">
      <c r="B57" t="s">
        <v>57</v>
      </c>
      <c r="C57" s="431">
        <f t="shared" si="38"/>
        <v>43507.979125840749</v>
      </c>
      <c r="D57" s="432">
        <f t="shared" si="18"/>
        <v>1.0001494719567057</v>
      </c>
      <c r="E57" s="68"/>
      <c r="F57" s="68"/>
      <c r="G57" s="431">
        <f t="shared" si="43"/>
        <v>4377.8897079839735</v>
      </c>
      <c r="H57" s="432">
        <f t="shared" si="36"/>
        <v>1.000687725391231</v>
      </c>
      <c r="I57" s="68"/>
      <c r="J57" s="68"/>
      <c r="K57" s="431">
        <f t="shared" si="39"/>
        <v>423.05390721468279</v>
      </c>
      <c r="L57" s="432">
        <f t="shared" si="37"/>
        <v>0.99865044597372443</v>
      </c>
      <c r="M57" s="68"/>
      <c r="N57" s="68"/>
      <c r="O57" s="431">
        <f t="shared" si="40"/>
        <v>10321.635837011685</v>
      </c>
      <c r="P57" s="432">
        <f t="shared" si="21"/>
        <v>1.0004311917886917</v>
      </c>
      <c r="Q57" s="68"/>
      <c r="R57" s="68"/>
      <c r="S57" s="431">
        <f t="shared" si="41"/>
        <v>338.18123490970828</v>
      </c>
      <c r="T57" s="432">
        <f t="shared" si="22"/>
        <v>0.99852601390363793</v>
      </c>
      <c r="V57" s="68"/>
      <c r="W57" s="431">
        <f t="shared" si="42"/>
        <v>245.16104279858206</v>
      </c>
      <c r="X57" s="432">
        <f t="shared" si="23"/>
        <v>0.99775909945887609</v>
      </c>
    </row>
    <row r="58" spans="2:24" x14ac:dyDescent="0.2">
      <c r="B58" t="s">
        <v>58</v>
      </c>
      <c r="C58" s="431">
        <f t="shared" si="38"/>
        <v>43514.482348612997</v>
      </c>
      <c r="D58" s="432">
        <f t="shared" si="18"/>
        <v>1.0001494719567057</v>
      </c>
      <c r="E58" s="68"/>
      <c r="F58" s="68"/>
      <c r="G58" s="431">
        <f t="shared" si="43"/>
        <v>4380.9004938961625</v>
      </c>
      <c r="H58" s="432">
        <f t="shared" si="36"/>
        <v>1.000687725391231</v>
      </c>
      <c r="I58" s="68"/>
      <c r="J58" s="68"/>
      <c r="K58" s="431">
        <f t="shared" si="39"/>
        <v>422.48297311086964</v>
      </c>
      <c r="L58" s="432">
        <f t="shared" si="37"/>
        <v>0.99865044597372454</v>
      </c>
      <c r="M58" s="68"/>
      <c r="N58" s="68"/>
      <c r="O58" s="431">
        <f t="shared" si="40"/>
        <v>10326.08644163047</v>
      </c>
      <c r="P58" s="432">
        <f t="shared" si="21"/>
        <v>1.0004311917886917</v>
      </c>
      <c r="Q58" s="68"/>
      <c r="R58" s="68"/>
      <c r="S58" s="431">
        <f t="shared" si="41"/>
        <v>337.6827604714008</v>
      </c>
      <c r="T58" s="432">
        <f t="shared" si="22"/>
        <v>0.99852601390363793</v>
      </c>
      <c r="V58" s="68"/>
      <c r="W58" s="431">
        <f t="shared" si="42"/>
        <v>244.61166128511221</v>
      </c>
      <c r="X58" s="432">
        <f t="shared" si="23"/>
        <v>0.99775909945887609</v>
      </c>
    </row>
    <row r="59" spans="2:24" x14ac:dyDescent="0.2">
      <c r="B59" t="s">
        <v>59</v>
      </c>
      <c r="C59" s="431">
        <f t="shared" si="38"/>
        <v>43520.986543434679</v>
      </c>
      <c r="D59" s="432">
        <f t="shared" si="18"/>
        <v>1.0001494719567057</v>
      </c>
      <c r="E59" s="68"/>
      <c r="F59" s="68"/>
      <c r="G59" s="431">
        <f t="shared" si="43"/>
        <v>4383.9133504022711</v>
      </c>
      <c r="H59" s="432">
        <f t="shared" si="36"/>
        <v>1.000687725391231</v>
      </c>
      <c r="I59" s="68"/>
      <c r="J59" s="68"/>
      <c r="K59" s="431">
        <f t="shared" si="39"/>
        <v>421.912809513475</v>
      </c>
      <c r="L59" s="432">
        <f t="shared" si="37"/>
        <v>0.99865044597372443</v>
      </c>
      <c r="M59" s="68"/>
      <c r="N59" s="68"/>
      <c r="O59" s="431">
        <f t="shared" si="40"/>
        <v>10330.538965313423</v>
      </c>
      <c r="P59" s="432">
        <f t="shared" si="21"/>
        <v>1.0004311917886917</v>
      </c>
      <c r="Q59" s="68"/>
      <c r="R59" s="68"/>
      <c r="S59" s="431">
        <f t="shared" si="41"/>
        <v>337.18502077748479</v>
      </c>
      <c r="T59" s="432">
        <f t="shared" si="22"/>
        <v>0.99852601390363793</v>
      </c>
      <c r="V59" s="68"/>
      <c r="W59" s="431">
        <f t="shared" si="42"/>
        <v>244.06351088097318</v>
      </c>
      <c r="X59" s="432">
        <f t="shared" si="23"/>
        <v>0.99775909945887609</v>
      </c>
    </row>
  </sheetData>
  <mergeCells count="12">
    <mergeCell ref="X2:X3"/>
    <mergeCell ref="B2:C2"/>
    <mergeCell ref="D2:D3"/>
    <mergeCell ref="F2:G2"/>
    <mergeCell ref="H2:H3"/>
    <mergeCell ref="J2:K2"/>
    <mergeCell ref="L2:L3"/>
    <mergeCell ref="O2:O3"/>
    <mergeCell ref="P2:P3"/>
    <mergeCell ref="T2:T3"/>
    <mergeCell ref="R2:S2"/>
    <mergeCell ref="V2:W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1B2A-5345-433C-83C1-73AA9198F933}">
  <sheetPr codeName="Sheet20"/>
  <dimension ref="A2:V24"/>
  <sheetViews>
    <sheetView workbookViewId="0">
      <selection activeCell="C11" sqref="C11"/>
    </sheetView>
  </sheetViews>
  <sheetFormatPr defaultRowHeight="12.75" x14ac:dyDescent="0.2"/>
  <cols>
    <col min="1" max="1" width="5" customWidth="1"/>
    <col min="3" max="3" width="13" bestFit="1" customWidth="1"/>
    <col min="4" max="4" width="10.5" customWidth="1"/>
    <col min="5" max="5" width="14.6640625" customWidth="1"/>
    <col min="7" max="7" width="10.6640625" customWidth="1"/>
    <col min="11" max="11" width="10.6640625" bestFit="1" customWidth="1"/>
    <col min="12" max="12" width="12" bestFit="1" customWidth="1"/>
    <col min="13" max="13" width="12.6640625" customWidth="1"/>
    <col min="19" max="19" width="11.33203125" customWidth="1"/>
  </cols>
  <sheetData>
    <row r="2" spans="1:22" x14ac:dyDescent="0.2">
      <c r="C2" s="483" t="s">
        <v>375</v>
      </c>
      <c r="D2" s="483"/>
      <c r="E2" s="483"/>
      <c r="K2" s="483" t="s">
        <v>378</v>
      </c>
      <c r="L2" s="483"/>
      <c r="M2" s="483"/>
      <c r="Q2" s="483" t="s">
        <v>354</v>
      </c>
      <c r="R2" s="483"/>
      <c r="S2" s="483"/>
    </row>
    <row r="3" spans="1:22" x14ac:dyDescent="0.2">
      <c r="A3" s="49"/>
      <c r="B3" s="49"/>
      <c r="C3" s="47" t="s">
        <v>127</v>
      </c>
      <c r="D3" s="47" t="s">
        <v>130</v>
      </c>
      <c r="E3" s="49"/>
      <c r="J3" s="49"/>
      <c r="K3" s="47" t="s">
        <v>127</v>
      </c>
      <c r="L3" s="47" t="s">
        <v>130</v>
      </c>
      <c r="M3" s="49"/>
      <c r="P3" s="49"/>
      <c r="Q3" s="47" t="s">
        <v>127</v>
      </c>
      <c r="R3" s="47" t="s">
        <v>130</v>
      </c>
      <c r="S3" s="49"/>
    </row>
    <row r="4" spans="1:22" x14ac:dyDescent="0.2">
      <c r="A4" s="49"/>
      <c r="B4" s="49"/>
      <c r="C4" s="47" t="s">
        <v>261</v>
      </c>
      <c r="D4" s="47" t="s">
        <v>263</v>
      </c>
      <c r="E4" s="47" t="s">
        <v>379</v>
      </c>
      <c r="J4" s="49"/>
      <c r="K4" s="47" t="s">
        <v>261</v>
      </c>
      <c r="L4" s="47" t="s">
        <v>263</v>
      </c>
      <c r="M4" s="47" t="s">
        <v>379</v>
      </c>
      <c r="P4" s="49"/>
      <c r="Q4" s="47" t="s">
        <v>261</v>
      </c>
      <c r="R4" s="47" t="s">
        <v>263</v>
      </c>
      <c r="S4" s="47" t="s">
        <v>379</v>
      </c>
    </row>
    <row r="5" spans="1:22" x14ac:dyDescent="0.2">
      <c r="A5" s="19"/>
      <c r="B5" s="19">
        <v>2014</v>
      </c>
      <c r="C5" s="41">
        <f>SUMIF('Monthly Data'!B:B,B5,'Monthly Data'!L:L)</f>
        <v>378009413.04113448</v>
      </c>
      <c r="D5" s="41">
        <f>SUMIF('Monthly Data'!B:B,B5,'Monthly Data'!O:O)</f>
        <v>936619.00000000012</v>
      </c>
      <c r="E5" s="50">
        <f t="shared" ref="E5:E14" si="0">D5/C5</f>
        <v>2.477766340432582E-3</v>
      </c>
      <c r="J5" s="19">
        <v>2014</v>
      </c>
      <c r="K5" s="41">
        <f>SUMIF('Monthly Data'!$B:$B,J5,'Monthly Data'!Q:Q)</f>
        <v>7654362.5332068307</v>
      </c>
      <c r="L5" s="41">
        <f>SUMIF('Monthly Data'!$B:$B,J5,'Monthly Data'!R:R)</f>
        <v>21396.000000000007</v>
      </c>
      <c r="M5" s="50">
        <f t="shared" ref="M5:M14" si="1">L5/K5</f>
        <v>2.7952686990168015E-3</v>
      </c>
      <c r="P5" s="19">
        <v>2014</v>
      </c>
      <c r="Q5" s="41">
        <f>SUMIF('Monthly Data'!$B:$B,P5,'Monthly Data'!T:T)</f>
        <v>438853.51043643302</v>
      </c>
      <c r="R5" s="41">
        <f>SUMIF('Monthly Data'!$B:$B,P5,'Monthly Data'!U:U)</f>
        <v>1211.9999999999998</v>
      </c>
      <c r="S5" s="50">
        <f t="shared" ref="S5:S14" si="2">R5/Q5</f>
        <v>2.7617416089361678E-3</v>
      </c>
    </row>
    <row r="6" spans="1:22" x14ac:dyDescent="0.2">
      <c r="A6" s="19"/>
      <c r="B6" s="19">
        <f t="shared" ref="B6:B14" si="3">B5+1</f>
        <v>2015</v>
      </c>
      <c r="C6" s="41">
        <f>SUMIF('Monthly Data'!B:B,B6,'Monthly Data'!L:L)</f>
        <v>362799633.31332147</v>
      </c>
      <c r="D6" s="41">
        <f>SUMIF('Monthly Data'!B:B,B6,'Monthly Data'!O:O)</f>
        <v>910215.75000000012</v>
      </c>
      <c r="E6" s="50">
        <f t="shared" si="0"/>
        <v>2.5088662347514516E-3</v>
      </c>
      <c r="J6" s="19">
        <f t="shared" ref="J6:J14" si="4">J5+1</f>
        <v>2015</v>
      </c>
      <c r="K6" s="41">
        <f>SUMIF('Monthly Data'!$B:$B,J6,'Monthly Data'!Q:Q)</f>
        <v>7541643.8330170782</v>
      </c>
      <c r="L6" s="41">
        <f>SUMIF('Monthly Data'!$B:$B,J6,'Monthly Data'!R:R)</f>
        <v>21074.999999999996</v>
      </c>
      <c r="M6" s="50">
        <f t="shared" si="1"/>
        <v>2.7944835988852074E-3</v>
      </c>
      <c r="P6" s="19">
        <f t="shared" ref="P6:P14" si="5">P5+1</f>
        <v>2015</v>
      </c>
      <c r="Q6" s="41">
        <f>SUMIF('Monthly Data'!$B:$B,P6,'Monthly Data'!T:T)</f>
        <v>428604.18406072113</v>
      </c>
      <c r="R6" s="41">
        <f>SUMIF('Monthly Data'!$B:$B,P6,'Monthly Data'!U:U)</f>
        <v>1182</v>
      </c>
      <c r="S6" s="50">
        <f t="shared" si="2"/>
        <v>2.7577892236174341E-3</v>
      </c>
    </row>
    <row r="7" spans="1:22" x14ac:dyDescent="0.2">
      <c r="A7" s="19"/>
      <c r="B7" s="19">
        <f t="shared" si="3"/>
        <v>2016</v>
      </c>
      <c r="C7" s="41">
        <f>SUMIF('Monthly Data'!B:B,B7,'Monthly Data'!L:L)</f>
        <v>350224516.35218138</v>
      </c>
      <c r="D7" s="41">
        <f>SUMIF('Monthly Data'!B:B,B7,'Monthly Data'!O:O)</f>
        <v>894192.21000000008</v>
      </c>
      <c r="E7" s="50">
        <f t="shared" si="0"/>
        <v>2.5531970728765647E-3</v>
      </c>
      <c r="F7" s="22">
        <f>AVERAGE(E5:E7)</f>
        <v>2.5132765493535328E-3</v>
      </c>
      <c r="G7" s="22"/>
      <c r="H7" s="22"/>
      <c r="J7" s="19">
        <f t="shared" si="4"/>
        <v>2016</v>
      </c>
      <c r="K7" s="41">
        <f>SUMIF('Monthly Data'!$B:$B,J7,'Monthly Data'!Q:Q)</f>
        <v>7520842.1252371911</v>
      </c>
      <c r="L7" s="41">
        <f>SUMIF('Monthly Data'!$B:$B,J7,'Monthly Data'!R:R)</f>
        <v>20946.199999999997</v>
      </c>
      <c r="M7" s="50">
        <f t="shared" si="1"/>
        <v>2.7850870489239793E-3</v>
      </c>
      <c r="N7" s="22">
        <f>AVERAGE(M5:M7)</f>
        <v>2.7916131156086629E-3</v>
      </c>
      <c r="O7" s="22"/>
      <c r="P7" s="19">
        <f t="shared" si="5"/>
        <v>2016</v>
      </c>
      <c r="Q7" s="41">
        <f>SUMIF('Monthly Data'!$B:$B,P7,'Monthly Data'!T:T)</f>
        <v>426192.62808349164</v>
      </c>
      <c r="R7" s="80">
        <f>SUMIF('Monthly Data'!$B:$B,P7,'Monthly Data'!U:U)*12/11</f>
        <v>1175.6727272727273</v>
      </c>
      <c r="S7" s="50">
        <f t="shared" si="2"/>
        <v>2.7585477781713569E-3</v>
      </c>
      <c r="T7" s="22">
        <f>AVERAGE(S5:S7)</f>
        <v>2.7593595369083197E-3</v>
      </c>
      <c r="V7" s="81" t="s">
        <v>380</v>
      </c>
    </row>
    <row r="8" spans="1:22" x14ac:dyDescent="0.2">
      <c r="A8" s="19"/>
      <c r="B8" s="19">
        <f t="shared" si="3"/>
        <v>2017</v>
      </c>
      <c r="C8" s="41">
        <f>SUMIF('Monthly Data'!B:B,B8,'Monthly Data'!L:L)</f>
        <v>352367386.90814096</v>
      </c>
      <c r="D8" s="41">
        <f>SUMIF('Monthly Data'!B:B,B8,'Monthly Data'!O:O)</f>
        <v>882488.06</v>
      </c>
      <c r="E8" s="50">
        <f t="shared" si="0"/>
        <v>2.5044544211183109E-3</v>
      </c>
      <c r="F8" s="22">
        <f t="shared" ref="F8:F14" si="6">AVERAGE(E6:E8)</f>
        <v>2.5221725762487757E-3</v>
      </c>
      <c r="G8" s="22"/>
      <c r="H8" s="22"/>
      <c r="J8" s="19">
        <f t="shared" si="4"/>
        <v>2017</v>
      </c>
      <c r="K8" s="41">
        <f>SUMIF('Monthly Data'!$B:$B,J8,'Monthly Data'!Q:Q)</f>
        <v>7471832.7229601499</v>
      </c>
      <c r="L8" s="41">
        <f>SUMIF('Monthly Data'!$B:$B,J8,'Monthly Data'!R:R)</f>
        <v>20884.2</v>
      </c>
      <c r="M8" s="50">
        <f t="shared" si="1"/>
        <v>2.7950572201415952E-3</v>
      </c>
      <c r="N8" s="22">
        <f>AVERAGE(M6:M8)</f>
        <v>2.7915426226502609E-3</v>
      </c>
      <c r="O8" s="22"/>
      <c r="P8" s="19">
        <f t="shared" si="5"/>
        <v>2017</v>
      </c>
      <c r="Q8" s="41">
        <f>SUMIF('Monthly Data'!$B:$B,P8,'Monthly Data'!T:T)</f>
        <v>412947.67552182189</v>
      </c>
      <c r="R8" s="41">
        <f>SUMIF('Monthly Data'!$B:$B,P8,'Monthly Data'!U:U)</f>
        <v>1137.3</v>
      </c>
      <c r="S8" s="50">
        <f t="shared" si="2"/>
        <v>2.7541019538682458E-3</v>
      </c>
      <c r="T8" s="22">
        <f t="shared" ref="T8:T14" si="7">AVERAGE(S6:S8)</f>
        <v>2.7568129852190127E-3</v>
      </c>
    </row>
    <row r="9" spans="1:22" x14ac:dyDescent="0.2">
      <c r="A9" s="19"/>
      <c r="B9" s="19">
        <f t="shared" si="3"/>
        <v>2018</v>
      </c>
      <c r="C9" s="41">
        <f>SUMIF('Monthly Data'!B:B,B9,'Monthly Data'!L:L)</f>
        <v>360554579.57290572</v>
      </c>
      <c r="D9" s="41">
        <f>SUMIF('Monthly Data'!B:B,B9,'Monthly Data'!O:O)</f>
        <v>887145.44</v>
      </c>
      <c r="E9" s="50">
        <f t="shared" si="0"/>
        <v>2.460502487725621E-3</v>
      </c>
      <c r="F9" s="22">
        <f t="shared" si="6"/>
        <v>2.5060513272401655E-3</v>
      </c>
      <c r="G9" s="22"/>
      <c r="H9" s="22"/>
      <c r="J9" s="19">
        <f t="shared" si="4"/>
        <v>2018</v>
      </c>
      <c r="K9" s="41">
        <f>SUMIF('Monthly Data'!$B:$B,J9,'Monthly Data'!Q:Q)</f>
        <v>7471085.0094876662</v>
      </c>
      <c r="L9" s="41">
        <f>SUMIF('Monthly Data'!$B:$B,J9,'Monthly Data'!R:R)</f>
        <v>20877.900000000009</v>
      </c>
      <c r="M9" s="50">
        <f t="shared" si="1"/>
        <v>2.7944937011808572E-3</v>
      </c>
      <c r="N9" s="22">
        <f t="shared" ref="N9:N14" si="8">AVERAGE(M7:M9)</f>
        <v>2.7915459900821438E-3</v>
      </c>
      <c r="O9" s="22"/>
      <c r="P9" s="19">
        <f t="shared" si="5"/>
        <v>2018</v>
      </c>
      <c r="Q9" s="41">
        <f>SUMIF('Monthly Data'!$B:$B,P9,'Monthly Data'!T:T)</f>
        <v>403671.29981024703</v>
      </c>
      <c r="R9" s="41">
        <f>SUMIF('Monthly Data'!$B:$B,P9,'Monthly Data'!U:U)</f>
        <v>1111.0999999999999</v>
      </c>
      <c r="S9" s="50">
        <f t="shared" si="2"/>
        <v>2.7524869876116844E-3</v>
      </c>
      <c r="T9" s="22">
        <f t="shared" si="7"/>
        <v>2.7550455732170951E-3</v>
      </c>
    </row>
    <row r="10" spans="1:22" x14ac:dyDescent="0.2">
      <c r="A10" s="19"/>
      <c r="B10" s="19">
        <f t="shared" si="3"/>
        <v>2019</v>
      </c>
      <c r="C10" s="41">
        <f>SUMIF('Monthly Data'!B:B,B10,'Monthly Data'!L:L)</f>
        <v>347530976.20000005</v>
      </c>
      <c r="D10" s="41">
        <f>SUMIF('Monthly Data'!B:B,B10,'Monthly Data'!O:O)</f>
        <v>846326.70999999985</v>
      </c>
      <c r="E10" s="50">
        <f t="shared" si="0"/>
        <v>2.4352554677397982E-3</v>
      </c>
      <c r="F10" s="22">
        <f t="shared" si="6"/>
        <v>2.4667374588612434E-3</v>
      </c>
      <c r="G10" s="22"/>
      <c r="H10" s="22"/>
      <c r="J10" s="19">
        <f t="shared" si="4"/>
        <v>2019</v>
      </c>
      <c r="K10" s="41">
        <f>SUMIF('Monthly Data'!$B:$B,J10,'Monthly Data'!Q:Q)</f>
        <v>7481251.9100000011</v>
      </c>
      <c r="L10" s="41">
        <f>SUMIF('Monthly Data'!$B:$B,J10,'Monthly Data'!R:R)</f>
        <v>20902.350000000006</v>
      </c>
      <c r="M10" s="50">
        <f t="shared" si="1"/>
        <v>2.7939641989678707E-3</v>
      </c>
      <c r="N10" s="22">
        <f t="shared" si="8"/>
        <v>2.7945050400967745E-3</v>
      </c>
      <c r="O10" s="22"/>
      <c r="P10" s="19">
        <f t="shared" si="5"/>
        <v>2019</v>
      </c>
      <c r="Q10" s="41">
        <f>SUMIF('Monthly Data'!$B:$B,P10,'Monthly Data'!T:T)</f>
        <v>372541.78</v>
      </c>
      <c r="R10" s="41">
        <f>SUMIF('Monthly Data'!$B:$B,P10,'Monthly Data'!U:U)</f>
        <v>1027.9099999999999</v>
      </c>
      <c r="S10" s="50">
        <f t="shared" si="2"/>
        <v>2.7591804602426061E-3</v>
      </c>
      <c r="T10" s="22">
        <f t="shared" si="7"/>
        <v>2.7552564672408456E-3</v>
      </c>
    </row>
    <row r="11" spans="1:22" x14ac:dyDescent="0.2">
      <c r="A11" s="19"/>
      <c r="B11" s="19">
        <f t="shared" si="3"/>
        <v>2020</v>
      </c>
      <c r="C11" s="41">
        <f>SUMIF('Monthly Data'!B:B,B11,'Monthly Data'!L:L)</f>
        <v>319951981.80900002</v>
      </c>
      <c r="D11" s="41">
        <f>SUMIF('Monthly Data'!B:B,B11,'Monthly Data'!O:O)</f>
        <v>757330.51</v>
      </c>
      <c r="E11" s="50">
        <f t="shared" si="0"/>
        <v>2.3670130302618332E-3</v>
      </c>
      <c r="F11" s="22">
        <f t="shared" si="6"/>
        <v>2.4209236619090841E-3</v>
      </c>
      <c r="G11" s="22"/>
      <c r="H11" s="22"/>
      <c r="J11" s="19">
        <f t="shared" si="4"/>
        <v>2020</v>
      </c>
      <c r="K11" s="41">
        <f>SUMIF('Monthly Data'!$B:$B,J11,'Monthly Data'!Q:Q)</f>
        <v>6391575.9499999993</v>
      </c>
      <c r="L11" s="41">
        <f>SUMIF('Monthly Data'!$B:$B,J11,'Monthly Data'!R:R)</f>
        <v>18315.38</v>
      </c>
      <c r="M11" s="50">
        <f t="shared" si="1"/>
        <v>2.8655499274791536E-3</v>
      </c>
      <c r="N11" s="22">
        <f t="shared" si="8"/>
        <v>2.8180026092092941E-3</v>
      </c>
      <c r="O11" s="22"/>
      <c r="P11" s="19">
        <f t="shared" si="5"/>
        <v>2020</v>
      </c>
      <c r="Q11" s="41">
        <f>SUMIF('Monthly Data'!$B:$B,P11,'Monthly Data'!T:T)</f>
        <v>363324.2</v>
      </c>
      <c r="R11" s="41">
        <f>SUMIF('Monthly Data'!$B:$B,P11,'Monthly Data'!U:U)</f>
        <v>999.2600000000001</v>
      </c>
      <c r="S11" s="50">
        <f t="shared" si="2"/>
        <v>2.7503260173696109E-3</v>
      </c>
      <c r="T11" s="22">
        <f t="shared" si="7"/>
        <v>2.7539978217413007E-3</v>
      </c>
    </row>
    <row r="12" spans="1:22" x14ac:dyDescent="0.2">
      <c r="A12" s="19"/>
      <c r="B12" s="19">
        <f t="shared" si="3"/>
        <v>2021</v>
      </c>
      <c r="C12" s="41">
        <f>SUMIF('Monthly Data'!B:B,B12,'Monthly Data'!L:L)</f>
        <v>317045880.71200007</v>
      </c>
      <c r="D12" s="41">
        <f>SUMIF('Monthly Data'!B:B,B12,'Monthly Data'!O:O)</f>
        <v>761568.5199999999</v>
      </c>
      <c r="E12" s="50">
        <f t="shared" si="0"/>
        <v>2.4020766908868871E-3</v>
      </c>
      <c r="F12" s="22">
        <f t="shared" si="6"/>
        <v>2.401448396296173E-3</v>
      </c>
      <c r="G12" s="22"/>
      <c r="H12" s="22"/>
      <c r="J12" s="19">
        <f t="shared" si="4"/>
        <v>2021</v>
      </c>
      <c r="K12" s="41">
        <f>SUMIF('Monthly Data'!$B:$B,J12,'Monthly Data'!Q:Q)</f>
        <v>3586468.2300000004</v>
      </c>
      <c r="L12" s="41">
        <f>SUMIF('Monthly Data'!$B:$B,J12,'Monthly Data'!R:R)</f>
        <v>10093.359999999999</v>
      </c>
      <c r="M12" s="50">
        <f t="shared" si="1"/>
        <v>2.8142895329648569E-3</v>
      </c>
      <c r="N12" s="22">
        <f t="shared" si="8"/>
        <v>2.8246012198039606E-3</v>
      </c>
      <c r="O12" s="22"/>
      <c r="P12" s="19">
        <f t="shared" si="5"/>
        <v>2021</v>
      </c>
      <c r="Q12" s="41">
        <f>SUMIF('Monthly Data'!$B:$B,P12,'Monthly Data'!T:T)</f>
        <v>360262.31</v>
      </c>
      <c r="R12" s="41">
        <f>SUMIF('Monthly Data'!$B:$B,P12,'Monthly Data'!U:U)</f>
        <v>992.44000000000017</v>
      </c>
      <c r="S12" s="50">
        <f t="shared" si="2"/>
        <v>2.7547705448288501E-3</v>
      </c>
      <c r="T12" s="22">
        <f t="shared" si="7"/>
        <v>2.7547590074803556E-3</v>
      </c>
    </row>
    <row r="13" spans="1:22" x14ac:dyDescent="0.2">
      <c r="A13" s="19"/>
      <c r="B13" s="19">
        <f t="shared" si="3"/>
        <v>2022</v>
      </c>
      <c r="C13" s="41">
        <f>SUMIF('Monthly Data'!B:B,B13,'Monthly Data'!L:L)</f>
        <v>331557996.88900006</v>
      </c>
      <c r="D13" s="41">
        <f>SUMIF('Monthly Data'!B:B,B13,'Monthly Data'!O:O)</f>
        <v>792668.42999999993</v>
      </c>
      <c r="E13" s="50">
        <f t="shared" si="0"/>
        <v>2.3907383849510098E-3</v>
      </c>
      <c r="F13" s="22">
        <f t="shared" si="6"/>
        <v>2.3866093686999101E-3</v>
      </c>
      <c r="G13" s="22"/>
      <c r="H13" s="22"/>
      <c r="J13" s="19">
        <f t="shared" si="4"/>
        <v>2022</v>
      </c>
      <c r="K13" s="41">
        <f>SUMIF('Monthly Data'!$B:$B,J13,'Monthly Data'!Q:Q)</f>
        <v>3599100.4</v>
      </c>
      <c r="L13" s="41">
        <f>SUMIF('Monthly Data'!$B:$B,J13,'Monthly Data'!R:R)</f>
        <v>10056.859999999999</v>
      </c>
      <c r="M13" s="50">
        <f t="shared" si="1"/>
        <v>2.7942704793675662E-3</v>
      </c>
      <c r="N13" s="22">
        <f t="shared" si="8"/>
        <v>2.8247033132705254E-3</v>
      </c>
      <c r="O13" s="22"/>
      <c r="P13" s="19">
        <f t="shared" si="5"/>
        <v>2022</v>
      </c>
      <c r="Q13" s="41">
        <f>SUMIF('Monthly Data'!$B:$B,P13,'Monthly Data'!T:T)</f>
        <v>348723.78</v>
      </c>
      <c r="R13" s="41">
        <f>SUMIF('Monthly Data'!$B:$B,P13,'Monthly Data'!U:U)</f>
        <v>960.91</v>
      </c>
      <c r="S13" s="50">
        <f t="shared" si="2"/>
        <v>2.7555046575831448E-3</v>
      </c>
      <c r="T13" s="22">
        <f t="shared" si="7"/>
        <v>2.7535337399272018E-3</v>
      </c>
    </row>
    <row r="14" spans="1:22" x14ac:dyDescent="0.2">
      <c r="A14" s="19"/>
      <c r="B14" s="19">
        <f t="shared" si="3"/>
        <v>2023</v>
      </c>
      <c r="C14" s="41">
        <f>SUMIF('Monthly Data'!B:B,B14,'Monthly Data'!L:L)</f>
        <v>323871927.91100001</v>
      </c>
      <c r="D14" s="41">
        <f>SUMIF('Monthly Data'!B:B,B14,'Monthly Data'!O:O)</f>
        <v>797792.85</v>
      </c>
      <c r="E14" s="50">
        <f t="shared" si="0"/>
        <v>2.4632973136814542E-3</v>
      </c>
      <c r="F14" s="22">
        <f t="shared" si="6"/>
        <v>2.4187041298397837E-3</v>
      </c>
      <c r="G14" s="22"/>
      <c r="H14" s="22"/>
      <c r="J14" s="19">
        <f t="shared" si="4"/>
        <v>2023</v>
      </c>
      <c r="K14" s="41">
        <f>SUMIF('Monthly Data'!$B:$B,J14,'Monthly Data'!Q:Q)</f>
        <v>3626510.8</v>
      </c>
      <c r="L14" s="41">
        <f>SUMIF('Monthly Data'!$B:$B,J14,'Monthly Data'!R:R)</f>
        <v>10133.210000000001</v>
      </c>
      <c r="M14" s="50">
        <f t="shared" si="1"/>
        <v>2.7942037288293756E-3</v>
      </c>
      <c r="N14" s="22">
        <f t="shared" si="8"/>
        <v>2.8009212470539329E-3</v>
      </c>
      <c r="O14" s="22"/>
      <c r="P14" s="19">
        <f t="shared" si="5"/>
        <v>2023</v>
      </c>
      <c r="Q14" s="41">
        <f>SUMIF('Monthly Data'!$B:$B,P14,'Monthly Data'!T:T)</f>
        <v>324715.26</v>
      </c>
      <c r="R14" s="41">
        <f>SUMIF('Monthly Data'!$B:$B,P14,'Monthly Data'!U:U)</f>
        <v>894.81000000000017</v>
      </c>
      <c r="S14" s="50">
        <f t="shared" si="2"/>
        <v>2.7556758496659508E-3</v>
      </c>
      <c r="T14" s="22">
        <f t="shared" si="7"/>
        <v>2.7553170173593156E-3</v>
      </c>
    </row>
    <row r="16" spans="1:22" x14ac:dyDescent="0.2">
      <c r="B16" s="19"/>
      <c r="C16" s="19" t="s">
        <v>381</v>
      </c>
      <c r="D16" s="50"/>
      <c r="E16" s="51" t="s">
        <v>382</v>
      </c>
      <c r="F16" t="s">
        <v>383</v>
      </c>
      <c r="J16" s="19"/>
      <c r="K16" s="19" t="s">
        <v>381</v>
      </c>
      <c r="L16" s="50"/>
      <c r="M16" s="51" t="s">
        <v>382</v>
      </c>
      <c r="P16" s="19"/>
      <c r="Q16" s="19" t="s">
        <v>381</v>
      </c>
      <c r="R16" s="50"/>
      <c r="S16" s="51" t="s">
        <v>382</v>
      </c>
    </row>
    <row r="17" spans="2:19" x14ac:dyDescent="0.2">
      <c r="B17" s="49"/>
      <c r="F17" s="262" t="s">
        <v>369</v>
      </c>
      <c r="G17" s="262" t="s">
        <v>384</v>
      </c>
      <c r="J17" s="49"/>
      <c r="K17" s="262" t="s">
        <v>266</v>
      </c>
      <c r="L17" s="262" t="s">
        <v>385</v>
      </c>
      <c r="M17" s="262" t="s">
        <v>270</v>
      </c>
      <c r="P17" s="49"/>
      <c r="Q17" s="262" t="s">
        <v>266</v>
      </c>
      <c r="R17" s="262" t="s">
        <v>385</v>
      </c>
      <c r="S17" s="262" t="s">
        <v>270</v>
      </c>
    </row>
    <row r="18" spans="2:19" x14ac:dyDescent="0.2">
      <c r="B18" s="44">
        <v>2023</v>
      </c>
      <c r="C18" s="45">
        <f ca="1">'Normalized Annual Summary'!AG57</f>
        <v>328086243.92600167</v>
      </c>
      <c r="D18" s="53">
        <f ca="1">C18*E18</f>
        <v>805883.7345767013</v>
      </c>
      <c r="E18" s="52">
        <f>E19</f>
        <v>2.4563167444425515E-3</v>
      </c>
      <c r="G18" s="53">
        <f ca="1">F18+D18</f>
        <v>805883.7345767013</v>
      </c>
      <c r="J18" s="44">
        <v>2023</v>
      </c>
      <c r="K18" s="45">
        <f>'Normalized Annual Summary'!AM14</f>
        <v>3626510.8</v>
      </c>
      <c r="L18" s="53">
        <f>K18*M18</f>
        <v>10163.901468233958</v>
      </c>
      <c r="M18" s="52">
        <f>M19</f>
        <v>2.8026668135757264E-3</v>
      </c>
      <c r="P18" s="44">
        <v>2023</v>
      </c>
      <c r="Q18" s="45">
        <f>'Normalized Annual Summary'!AS14</f>
        <v>324715.26</v>
      </c>
      <c r="R18" s="53">
        <f>Q18*S18</f>
        <v>894.4535333168684</v>
      </c>
      <c r="S18" s="52">
        <f>S19</f>
        <v>2.7545780673100132E-3</v>
      </c>
    </row>
    <row r="19" spans="2:19" x14ac:dyDescent="0.2">
      <c r="B19" s="44">
        <v>2024</v>
      </c>
      <c r="C19" s="45">
        <f ca="1">'Normalized Annual Summary'!AE15</f>
        <v>326877742.54030108</v>
      </c>
      <c r="D19" s="53">
        <f ca="1">C19*E19</f>
        <v>802915.27238732285</v>
      </c>
      <c r="E19" s="52">
        <f>AVERAGE(E5:E14)</f>
        <v>2.4563167444425515E-3</v>
      </c>
      <c r="F19" s="53">
        <f>'Total Additional Loads'!G14</f>
        <v>267.84334306258881</v>
      </c>
      <c r="G19" s="53">
        <f ca="1">F19+D19</f>
        <v>803183.11573038541</v>
      </c>
      <c r="J19" s="44">
        <v>2024</v>
      </c>
      <c r="K19" s="45">
        <f>'Normalized Annual Summary'!AM15</f>
        <v>3641255.4245348559</v>
      </c>
      <c r="L19" s="53">
        <f>K19*M19</f>
        <v>10205.225738096433</v>
      </c>
      <c r="M19" s="52">
        <f>AVERAGE(M5:M14)</f>
        <v>2.8026668135757264E-3</v>
      </c>
      <c r="P19" s="44">
        <v>2024</v>
      </c>
      <c r="Q19" s="45">
        <f>'Normalized Annual Summary'!AS15</f>
        <v>322077.82119445776</v>
      </c>
      <c r="R19" s="53">
        <f>Q19*S19</f>
        <v>887.18850222924948</v>
      </c>
      <c r="S19" s="52">
        <f>AVERAGE(S8:S14)</f>
        <v>2.7545780673100132E-3</v>
      </c>
    </row>
    <row r="20" spans="2:19" x14ac:dyDescent="0.2">
      <c r="B20" s="44">
        <v>2025</v>
      </c>
      <c r="C20" s="45">
        <f ca="1">'Normalized Annual Summary'!AE16</f>
        <v>324225617.09121335</v>
      </c>
      <c r="D20" s="53">
        <f ca="1">C20*E20</f>
        <v>796400.81223836646</v>
      </c>
      <c r="E20" s="52">
        <f>E19</f>
        <v>2.4563167444425515E-3</v>
      </c>
      <c r="F20" s="53">
        <f>'Total Additional Loads'!H14</f>
        <v>5239.2891424016971</v>
      </c>
      <c r="G20" s="53">
        <f ca="1">F20+D20</f>
        <v>801640.10138076812</v>
      </c>
      <c r="J20" s="44">
        <v>2025</v>
      </c>
      <c r="K20" s="45">
        <f>'Normalized Annual Summary'!AM16</f>
        <v>3660141.1244483674</v>
      </c>
      <c r="L20" s="53">
        <f>K20*M20</f>
        <v>10258.156062495182</v>
      </c>
      <c r="M20" s="52">
        <f>M19</f>
        <v>2.8026668135757264E-3</v>
      </c>
      <c r="P20" s="44">
        <v>2025</v>
      </c>
      <c r="Q20" s="45">
        <f>'Normalized Annual Summary'!AS16</f>
        <v>316426.92026372469</v>
      </c>
      <c r="R20" s="53">
        <f>Q20*S20</f>
        <v>871.6226544649104</v>
      </c>
      <c r="S20" s="52">
        <f>S19</f>
        <v>2.7545780673100132E-3</v>
      </c>
    </row>
    <row r="24" spans="2:19" x14ac:dyDescent="0.2">
      <c r="B24" t="s">
        <v>386</v>
      </c>
      <c r="J24" t="s">
        <v>386</v>
      </c>
      <c r="P24" t="s">
        <v>387</v>
      </c>
    </row>
  </sheetData>
  <mergeCells count="3">
    <mergeCell ref="C2:E2"/>
    <mergeCell ref="K2:M2"/>
    <mergeCell ref="Q2:S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A42E-348D-4D80-869C-93A50122ABC9}">
  <sheetPr codeName="Sheet4"/>
  <dimension ref="A3:S90"/>
  <sheetViews>
    <sheetView topLeftCell="A23" workbookViewId="0">
      <selection activeCell="H30" sqref="H30"/>
    </sheetView>
  </sheetViews>
  <sheetFormatPr defaultRowHeight="12.75" x14ac:dyDescent="0.2"/>
  <cols>
    <col min="1" max="1" width="13.1640625" bestFit="1" customWidth="1"/>
    <col min="2" max="2" width="11.83203125" customWidth="1"/>
    <col min="3" max="3" width="14.33203125" bestFit="1" customWidth="1"/>
    <col min="4" max="5" width="13.1640625" bestFit="1" customWidth="1"/>
    <col min="6" max="6" width="8.1640625" customWidth="1"/>
    <col min="7" max="7" width="10.6640625" bestFit="1" customWidth="1"/>
    <col min="8" max="8" width="12.83203125" bestFit="1" customWidth="1"/>
    <col min="10" max="10" width="14.1640625" bestFit="1" customWidth="1"/>
    <col min="11" max="11" width="14.1640625" customWidth="1"/>
    <col min="13" max="13" width="12.33203125" customWidth="1"/>
    <col min="14" max="14" width="13" bestFit="1" customWidth="1"/>
    <col min="15" max="15" width="14.1640625" bestFit="1" customWidth="1"/>
    <col min="16" max="16" width="9.5" bestFit="1" customWidth="1"/>
    <col min="17" max="18" width="10.5" bestFit="1" customWidth="1"/>
  </cols>
  <sheetData>
    <row r="3" spans="1:19" ht="25.5" x14ac:dyDescent="0.2">
      <c r="A3" s="104" t="s">
        <v>89</v>
      </c>
      <c r="B3" s="104" t="s">
        <v>90</v>
      </c>
      <c r="C3" s="20" t="s">
        <v>91</v>
      </c>
      <c r="D3" s="20" t="s">
        <v>92</v>
      </c>
      <c r="E3" s="20" t="s">
        <v>93</v>
      </c>
      <c r="F3" s="20" t="s">
        <v>94</v>
      </c>
      <c r="G3" s="20" t="s">
        <v>95</v>
      </c>
      <c r="H3" s="20" t="s">
        <v>96</v>
      </c>
      <c r="M3" s="20" t="s">
        <v>91</v>
      </c>
      <c r="N3" s="20" t="s">
        <v>92</v>
      </c>
      <c r="O3" s="20" t="s">
        <v>93</v>
      </c>
      <c r="P3" s="20" t="s">
        <v>94</v>
      </c>
      <c r="Q3" s="20" t="s">
        <v>95</v>
      </c>
      <c r="R3" s="20" t="s">
        <v>96</v>
      </c>
    </row>
    <row r="4" spans="1:19" x14ac:dyDescent="0.2">
      <c r="A4">
        <v>2014</v>
      </c>
      <c r="B4">
        <v>2014</v>
      </c>
      <c r="C4" s="17">
        <v>4144773.100846421</v>
      </c>
      <c r="D4" s="17">
        <v>935320.87997299992</v>
      </c>
      <c r="E4" s="17">
        <v>3672581.3472430003</v>
      </c>
      <c r="F4" s="17">
        <v>0</v>
      </c>
      <c r="G4" s="17">
        <v>0</v>
      </c>
      <c r="H4" s="17">
        <v>76459.916140000001</v>
      </c>
      <c r="J4" s="18">
        <f>SUM(C4:H4)</f>
        <v>8829135.2442024201</v>
      </c>
      <c r="L4">
        <v>2014</v>
      </c>
      <c r="M4" s="17">
        <f t="shared" ref="M4:M15" si="0">SUMIF($B$4:$B$90,$L4,C$4:C$90)-SUMIF($A$4:$A$90,$L4,C$4:C$90)/2</f>
        <v>2072386.5504232105</v>
      </c>
      <c r="N4" s="17">
        <f t="shared" ref="N4:N15" si="1">SUMIF($B$4:$B$90,$L4,D$4:D$90)-SUMIF($A$4:$A$90,$L4,D$4:D$90)/2</f>
        <v>467660.43998649996</v>
      </c>
      <c r="O4" s="17">
        <f t="shared" ref="O4:O15" si="2">SUMIF($B$4:$B$90,$L4,E$4:E$90)-SUMIF($A$4:$A$90,$L4,E$4:E$90)/2</f>
        <v>1836290.6736215001</v>
      </c>
      <c r="P4" s="17">
        <f t="shared" ref="P4:P15" si="3">SUMIF($B$4:$B$90,$L4,F$4:F$90)-SUMIF($A$4:$A$90,$L4,F$4:F$90)/2</f>
        <v>0</v>
      </c>
      <c r="Q4" s="17">
        <f t="shared" ref="Q4:Q15" si="4">SUMIF($B$4:$B$90,$L4,G$4:G$90)-SUMIF($A$4:$A$90,$L4,G$4:G$90)/2</f>
        <v>0</v>
      </c>
      <c r="R4" s="17">
        <f t="shared" ref="R4:R15" si="5">SUMIF($B$4:$B$90,$L4,H$4:H$90)-SUMIF($A$4:$A$90,$L4,H$4:H$90)/2</f>
        <v>38229.958070000001</v>
      </c>
    </row>
    <row r="5" spans="1:19" x14ac:dyDescent="0.2">
      <c r="B5">
        <v>2015</v>
      </c>
      <c r="C5" s="17">
        <v>2521216.2808464211</v>
      </c>
      <c r="D5" s="17">
        <v>934017.26601300004</v>
      </c>
      <c r="E5" s="17">
        <v>3670749.9311230001</v>
      </c>
      <c r="F5" s="17">
        <v>0</v>
      </c>
      <c r="G5" s="17">
        <v>0</v>
      </c>
      <c r="H5" s="17">
        <v>76417.814620000005</v>
      </c>
      <c r="L5">
        <f>L4+1</f>
        <v>2015</v>
      </c>
      <c r="M5" s="17">
        <f t="shared" si="0"/>
        <v>4628474.2808464207</v>
      </c>
      <c r="N5" s="17">
        <f t="shared" si="1"/>
        <v>1429686.3800130002</v>
      </c>
      <c r="O5" s="17">
        <f t="shared" si="2"/>
        <v>6448544.3171229996</v>
      </c>
      <c r="P5" s="17">
        <f t="shared" si="3"/>
        <v>0</v>
      </c>
      <c r="Q5" s="17">
        <f t="shared" si="4"/>
        <v>0</v>
      </c>
      <c r="R5" s="17">
        <f t="shared" si="5"/>
        <v>76417.814620000005</v>
      </c>
      <c r="S5" s="17"/>
    </row>
    <row r="6" spans="1:19" x14ac:dyDescent="0.2">
      <c r="B6">
        <v>2016</v>
      </c>
      <c r="C6" s="17">
        <v>2403585.1465464211</v>
      </c>
      <c r="D6" s="17">
        <v>920778.32891299995</v>
      </c>
      <c r="E6" s="17">
        <v>3670749.9311230001</v>
      </c>
      <c r="F6" s="17">
        <v>0</v>
      </c>
      <c r="G6" s="17">
        <v>0</v>
      </c>
      <c r="H6" s="17">
        <v>76417.814620000005</v>
      </c>
      <c r="L6">
        <f t="shared" ref="L6:L15" si="6">L5+1</f>
        <v>2016</v>
      </c>
      <c r="M6" s="17">
        <f t="shared" si="0"/>
        <v>8962158.1465464216</v>
      </c>
      <c r="N6" s="17">
        <f t="shared" si="1"/>
        <v>2503508.9160301294</v>
      </c>
      <c r="O6" s="17">
        <f t="shared" si="2"/>
        <v>11575330.19679961</v>
      </c>
      <c r="P6" s="17">
        <f t="shared" si="3"/>
        <v>0</v>
      </c>
      <c r="Q6" s="17">
        <f t="shared" si="4"/>
        <v>0</v>
      </c>
      <c r="R6" s="17">
        <f t="shared" si="5"/>
        <v>76417.814620000005</v>
      </c>
      <c r="S6" s="17"/>
    </row>
    <row r="7" spans="1:19" x14ac:dyDescent="0.2">
      <c r="B7">
        <v>2017</v>
      </c>
      <c r="C7" s="17">
        <v>2374864.902526421</v>
      </c>
      <c r="D7" s="17">
        <v>674597.637934</v>
      </c>
      <c r="E7" s="17">
        <v>3665131.5850930004</v>
      </c>
      <c r="F7" s="17">
        <v>0</v>
      </c>
      <c r="G7" s="17">
        <v>0</v>
      </c>
      <c r="H7" s="17">
        <v>76288.65724</v>
      </c>
      <c r="L7">
        <f t="shared" si="6"/>
        <v>2017</v>
      </c>
      <c r="M7" s="17">
        <f t="shared" si="0"/>
        <v>15404658.902526423</v>
      </c>
      <c r="N7" s="17">
        <f t="shared" si="1"/>
        <v>3766085.3025654461</v>
      </c>
      <c r="O7" s="17">
        <f t="shared" si="2"/>
        <v>15773603.453128772</v>
      </c>
      <c r="P7" s="17">
        <f t="shared" si="3"/>
        <v>0</v>
      </c>
      <c r="Q7" s="17">
        <f t="shared" si="4"/>
        <v>0</v>
      </c>
      <c r="R7" s="17">
        <f t="shared" si="5"/>
        <v>76288.65724</v>
      </c>
      <c r="S7" s="17"/>
    </row>
    <row r="8" spans="1:19" x14ac:dyDescent="0.2">
      <c r="B8">
        <v>2018</v>
      </c>
      <c r="C8" s="17">
        <v>2136192.7405804493</v>
      </c>
      <c r="D8" s="17">
        <v>674597.637934</v>
      </c>
      <c r="E8" s="17">
        <v>3534584.4449930005</v>
      </c>
      <c r="F8" s="17">
        <v>0</v>
      </c>
      <c r="G8" s="17">
        <v>0</v>
      </c>
      <c r="H8" s="17">
        <v>76288.65724</v>
      </c>
      <c r="L8">
        <f t="shared" si="6"/>
        <v>2018</v>
      </c>
      <c r="M8" s="17">
        <f t="shared" si="0"/>
        <v>18767363.073913783</v>
      </c>
      <c r="N8" s="17">
        <f t="shared" si="1"/>
        <v>5327708.1792599503</v>
      </c>
      <c r="O8" s="17">
        <f t="shared" si="2"/>
        <v>18876444.99476368</v>
      </c>
      <c r="P8" s="17">
        <f t="shared" si="3"/>
        <v>0</v>
      </c>
      <c r="Q8" s="17">
        <f t="shared" si="4"/>
        <v>0</v>
      </c>
      <c r="R8" s="17">
        <f t="shared" si="5"/>
        <v>76288.65724</v>
      </c>
      <c r="S8" s="17"/>
    </row>
    <row r="9" spans="1:19" x14ac:dyDescent="0.2">
      <c r="B9">
        <v>2019</v>
      </c>
      <c r="C9" s="17">
        <v>1804279.9048580001</v>
      </c>
      <c r="D9" s="17">
        <v>674597.637934</v>
      </c>
      <c r="E9" s="17">
        <v>3534584.4449930005</v>
      </c>
      <c r="F9" s="17">
        <v>0</v>
      </c>
      <c r="G9" s="17">
        <v>0</v>
      </c>
      <c r="H9" s="17">
        <v>76288.65724</v>
      </c>
      <c r="L9">
        <f t="shared" si="6"/>
        <v>2019</v>
      </c>
      <c r="M9" s="17">
        <f t="shared" si="0"/>
        <v>19572205.071524665</v>
      </c>
      <c r="N9" s="17">
        <f t="shared" si="1"/>
        <v>6206275.1949800896</v>
      </c>
      <c r="O9" s="17">
        <f t="shared" si="2"/>
        <v>20448333.731774807</v>
      </c>
      <c r="P9" s="17">
        <f t="shared" si="3"/>
        <v>0</v>
      </c>
      <c r="Q9" s="17">
        <f t="shared" si="4"/>
        <v>0</v>
      </c>
      <c r="R9" s="17">
        <f t="shared" si="5"/>
        <v>76288.65724</v>
      </c>
      <c r="S9" s="17"/>
    </row>
    <row r="10" spans="1:19" x14ac:dyDescent="0.2">
      <c r="B10">
        <v>2020</v>
      </c>
      <c r="C10" s="17">
        <v>1794544.6338580002</v>
      </c>
      <c r="D10" s="17">
        <v>658402.94139400008</v>
      </c>
      <c r="E10" s="17">
        <v>3406499.1178130005</v>
      </c>
      <c r="F10" s="17">
        <v>0</v>
      </c>
      <c r="G10" s="17">
        <v>0</v>
      </c>
      <c r="H10" s="17">
        <v>73344.166960000002</v>
      </c>
      <c r="L10">
        <f t="shared" si="6"/>
        <v>2020</v>
      </c>
      <c r="M10" s="17">
        <f t="shared" si="0"/>
        <v>19236682.633857999</v>
      </c>
      <c r="N10" s="17">
        <f t="shared" si="1"/>
        <v>6567975.9832504066</v>
      </c>
      <c r="O10" s="17">
        <f t="shared" si="2"/>
        <v>21993326.031297695</v>
      </c>
      <c r="P10" s="17">
        <f t="shared" si="3"/>
        <v>0</v>
      </c>
      <c r="Q10" s="17">
        <f t="shared" si="4"/>
        <v>0</v>
      </c>
      <c r="R10" s="17">
        <f t="shared" si="5"/>
        <v>581138.86591984914</v>
      </c>
      <c r="S10" s="17"/>
    </row>
    <row r="11" spans="1:19" x14ac:dyDescent="0.2">
      <c r="B11">
        <v>2021</v>
      </c>
      <c r="C11" s="17">
        <v>1791256.663858</v>
      </c>
      <c r="D11" s="17">
        <v>658402.94139400008</v>
      </c>
      <c r="E11" s="17">
        <v>3406499.1178130005</v>
      </c>
      <c r="F11" s="17">
        <v>0</v>
      </c>
      <c r="G11" s="17">
        <v>0</v>
      </c>
      <c r="H11" s="17">
        <v>73344.166960000002</v>
      </c>
      <c r="K11" s="18"/>
      <c r="L11">
        <f t="shared" si="6"/>
        <v>2021</v>
      </c>
      <c r="M11" s="17">
        <f t="shared" si="0"/>
        <v>19259030.969801612</v>
      </c>
      <c r="N11" s="17">
        <f t="shared" si="1"/>
        <v>6987402.90231359</v>
      </c>
      <c r="O11" s="17">
        <f t="shared" si="2"/>
        <v>24270097.109470859</v>
      </c>
      <c r="P11" s="17">
        <f t="shared" si="3"/>
        <v>0</v>
      </c>
      <c r="Q11" s="17">
        <f t="shared" si="4"/>
        <v>0</v>
      </c>
      <c r="R11" s="17">
        <f t="shared" si="5"/>
        <v>3412623.1654300014</v>
      </c>
      <c r="S11" s="17"/>
    </row>
    <row r="12" spans="1:19" x14ac:dyDescent="0.2">
      <c r="B12">
        <v>2022</v>
      </c>
      <c r="C12" s="17">
        <v>1711024.7437179999</v>
      </c>
      <c r="D12" s="17">
        <v>621331.20548400003</v>
      </c>
      <c r="E12" s="17">
        <v>3113295.3883429999</v>
      </c>
      <c r="F12" s="17">
        <v>0</v>
      </c>
      <c r="G12" s="17">
        <v>0</v>
      </c>
      <c r="H12" s="17">
        <v>66603.851339999994</v>
      </c>
      <c r="K12" s="18"/>
      <c r="L12">
        <f t="shared" si="6"/>
        <v>2022</v>
      </c>
      <c r="M12" s="17">
        <f t="shared" si="0"/>
        <v>19271024.082775775</v>
      </c>
      <c r="N12" s="17">
        <f t="shared" si="1"/>
        <v>7486150.1014995947</v>
      </c>
      <c r="O12" s="17">
        <f t="shared" si="2"/>
        <v>25847368.33698396</v>
      </c>
      <c r="P12" s="17">
        <f t="shared" si="3"/>
        <v>0</v>
      </c>
      <c r="Q12" s="17">
        <f t="shared" si="4"/>
        <v>0</v>
      </c>
      <c r="R12" s="17">
        <f t="shared" si="5"/>
        <v>3405882.8498100014</v>
      </c>
      <c r="S12" s="17"/>
    </row>
    <row r="13" spans="1:19" x14ac:dyDescent="0.2">
      <c r="B13">
        <v>2023</v>
      </c>
      <c r="C13" s="17">
        <v>1602648.2556180002</v>
      </c>
      <c r="D13" s="17">
        <v>542874.00193400006</v>
      </c>
      <c r="E13" s="17">
        <v>2492770.2329930002</v>
      </c>
      <c r="F13" s="17">
        <v>0</v>
      </c>
      <c r="G13" s="17">
        <v>0</v>
      </c>
      <c r="H13" s="17">
        <v>52338.90524</v>
      </c>
      <c r="K13" s="18"/>
      <c r="L13">
        <f t="shared" si="6"/>
        <v>2023</v>
      </c>
      <c r="M13" s="17">
        <f>SUMIF($B$4:$B$90,$L13,C$4:C$90)-SUMIF($A$4:$A$90,$L13,C$4:C$90)/2</f>
        <v>19382946.360809188</v>
      </c>
      <c r="N13" s="17">
        <f t="shared" si="1"/>
        <v>8203172.7584595811</v>
      </c>
      <c r="O13" s="17">
        <f t="shared" si="2"/>
        <v>27705879.572481096</v>
      </c>
      <c r="P13" s="17">
        <f t="shared" si="3"/>
        <v>0</v>
      </c>
      <c r="Q13" s="17">
        <f t="shared" si="4"/>
        <v>0</v>
      </c>
      <c r="R13" s="17">
        <f t="shared" si="5"/>
        <v>3391617.9037100016</v>
      </c>
      <c r="S13" s="17"/>
    </row>
    <row r="14" spans="1:19" x14ac:dyDescent="0.2">
      <c r="B14">
        <v>2024</v>
      </c>
      <c r="C14" s="17">
        <v>1534883.170408</v>
      </c>
      <c r="D14" s="17">
        <v>437493.78592399997</v>
      </c>
      <c r="E14" s="17">
        <v>1738080.8412230003</v>
      </c>
      <c r="F14" s="17">
        <v>0</v>
      </c>
      <c r="G14" s="17">
        <v>0</v>
      </c>
      <c r="H14" s="17">
        <v>34989.723819999999</v>
      </c>
      <c r="K14" s="18"/>
      <c r="L14">
        <f t="shared" si="6"/>
        <v>2024</v>
      </c>
      <c r="M14" s="17">
        <f>SUMIF($B$4:$B$90,$L14,C$4:C$90)-SUMIF($A$4:$A$90,$L14,C$4:C$90)/2</f>
        <v>19946875.135902405</v>
      </c>
      <c r="N14" s="17">
        <f t="shared" si="1"/>
        <v>8836719.2417785674</v>
      </c>
      <c r="O14" s="17">
        <f t="shared" si="2"/>
        <v>29068748.779229041</v>
      </c>
      <c r="P14" s="17">
        <f t="shared" si="3"/>
        <v>0</v>
      </c>
      <c r="Q14" s="17">
        <f t="shared" si="4"/>
        <v>0</v>
      </c>
      <c r="R14" s="17">
        <f t="shared" si="5"/>
        <v>3374268.7222900013</v>
      </c>
    </row>
    <row r="15" spans="1:19" x14ac:dyDescent="0.2">
      <c r="B15">
        <v>2025</v>
      </c>
      <c r="C15" s="17">
        <v>1391604.1309080001</v>
      </c>
      <c r="D15" s="17">
        <v>297519.58129400003</v>
      </c>
      <c r="E15" s="17">
        <v>1464675.4825130003</v>
      </c>
      <c r="F15" s="17">
        <v>0</v>
      </c>
      <c r="G15" s="17">
        <v>0</v>
      </c>
      <c r="H15" s="17">
        <v>28704.543160000001</v>
      </c>
      <c r="L15">
        <f t="shared" si="6"/>
        <v>2025</v>
      </c>
      <c r="M15" s="17">
        <f t="shared" si="0"/>
        <v>19865563.524731256</v>
      </c>
      <c r="N15" s="17">
        <f t="shared" si="1"/>
        <v>8948216.536947757</v>
      </c>
      <c r="O15" s="17">
        <f t="shared" si="2"/>
        <v>27480753.705293994</v>
      </c>
      <c r="P15" s="17">
        <f t="shared" si="3"/>
        <v>0</v>
      </c>
      <c r="Q15" s="17">
        <f t="shared" si="4"/>
        <v>0</v>
      </c>
      <c r="R15" s="17">
        <f t="shared" si="5"/>
        <v>3367983.5416300013</v>
      </c>
    </row>
    <row r="16" spans="1:19" x14ac:dyDescent="0.2">
      <c r="C16" s="17"/>
      <c r="D16" s="17"/>
      <c r="E16" s="17"/>
      <c r="F16" s="17"/>
      <c r="G16" s="17"/>
      <c r="H16" s="17"/>
      <c r="K16" s="18"/>
    </row>
    <row r="17" spans="1:18" x14ac:dyDescent="0.2">
      <c r="A17">
        <v>2015</v>
      </c>
      <c r="B17">
        <v>2015</v>
      </c>
      <c r="C17" s="17">
        <v>4214516</v>
      </c>
      <c r="D17" s="17">
        <v>991338.22800000012</v>
      </c>
      <c r="E17" s="17">
        <v>5555588.7719999999</v>
      </c>
      <c r="F17" s="17">
        <v>0</v>
      </c>
      <c r="G17" s="17">
        <v>0</v>
      </c>
      <c r="H17" s="17">
        <v>0</v>
      </c>
      <c r="J17" s="18">
        <f>SUM(C17:H17)</f>
        <v>10761443</v>
      </c>
    </row>
    <row r="18" spans="1:18" x14ac:dyDescent="0.2">
      <c r="B18">
        <v>2016</v>
      </c>
      <c r="C18" s="17">
        <v>4142011</v>
      </c>
      <c r="D18" s="17">
        <v>991338.22800000012</v>
      </c>
      <c r="E18" s="17">
        <v>5555588.7719999999</v>
      </c>
      <c r="F18" s="17">
        <v>0</v>
      </c>
      <c r="G18" s="17">
        <v>0</v>
      </c>
      <c r="H18" s="17">
        <v>0</v>
      </c>
      <c r="J18" s="18"/>
      <c r="M18" s="17"/>
      <c r="N18" s="17"/>
      <c r="O18" s="17"/>
      <c r="P18" s="17"/>
      <c r="Q18" s="17"/>
      <c r="R18" s="17"/>
    </row>
    <row r="19" spans="1:18" x14ac:dyDescent="0.2">
      <c r="B19">
        <v>2017</v>
      </c>
      <c r="C19" s="17">
        <v>4133768</v>
      </c>
      <c r="D19" s="17">
        <v>991338.228</v>
      </c>
      <c r="E19" s="17">
        <v>5555588.7719999989</v>
      </c>
      <c r="F19" s="17">
        <v>0</v>
      </c>
      <c r="G19" s="17">
        <v>0</v>
      </c>
      <c r="H19" s="17">
        <v>0</v>
      </c>
      <c r="J19" s="18"/>
      <c r="K19" s="67" t="s">
        <v>97</v>
      </c>
      <c r="L19">
        <v>2023</v>
      </c>
      <c r="M19" s="422">
        <f>SUMIF($B$4:$B$90,$L19,C$4:C$90)</f>
        <v>19624045.63752925</v>
      </c>
      <c r="N19" s="422">
        <f t="shared" ref="N19:R19" si="7">SUMIF($B$4:$B$90,$L19,D$4:D$90)</f>
        <v>8563168.3978897929</v>
      </c>
      <c r="O19" s="422">
        <f t="shared" si="7"/>
        <v>28853929.447657172</v>
      </c>
      <c r="P19" s="422">
        <f t="shared" si="7"/>
        <v>0</v>
      </c>
      <c r="Q19" s="422">
        <f t="shared" si="7"/>
        <v>0</v>
      </c>
      <c r="R19" s="422">
        <f t="shared" si="7"/>
        <v>3391617.9037100016</v>
      </c>
    </row>
    <row r="20" spans="1:18" x14ac:dyDescent="0.2">
      <c r="B20">
        <v>2018</v>
      </c>
      <c r="C20" s="17">
        <v>4112161</v>
      </c>
      <c r="D20" s="17">
        <v>990580.54799999995</v>
      </c>
      <c r="E20" s="17">
        <v>5555686.4519999996</v>
      </c>
      <c r="F20" s="17">
        <v>0</v>
      </c>
      <c r="G20" s="17">
        <v>0</v>
      </c>
      <c r="H20" s="17">
        <v>0</v>
      </c>
      <c r="J20" s="18"/>
      <c r="K20" s="67" t="s">
        <v>98</v>
      </c>
      <c r="L20">
        <v>2024</v>
      </c>
      <c r="M20" s="422">
        <f>SUMIF($B$4:$B$90,$L20,C$4:C$90)-C$89*'CDM Adjustment'!$J$43</f>
        <v>19870643.207563054</v>
      </c>
      <c r="N20" s="422">
        <f>SUMIF($B$4:$B$90,$L20,D$4:D$90)-D$89*'CDM Adjustment'!$J$43</f>
        <v>8729317.3536544573</v>
      </c>
      <c r="O20" s="422">
        <f>SUMIF($B$4:$B$90,$L20,E$4:E$90)-E$89*'CDM Adjustment'!$J$43</f>
        <v>28787801.157245848</v>
      </c>
      <c r="P20" s="422">
        <f>SUMIF($B$4:$B$90,$L20,F$4:F$90)-F$89*'CDM Adjustment'!$J$43</f>
        <v>0</v>
      </c>
      <c r="Q20" s="422">
        <f>SUMIF($B$4:$B$90,$L20,G$4:G$90)-G$89*'CDM Adjustment'!$J$43</f>
        <v>0</v>
      </c>
      <c r="R20" s="422">
        <f>SUMIF($B$4:$B$90,$L20,H$4:H$90)-H$89*'CDM Adjustment'!$J$43</f>
        <v>3374268.7222900013</v>
      </c>
    </row>
    <row r="21" spans="1:18" x14ac:dyDescent="0.2">
      <c r="B21">
        <v>2019</v>
      </c>
      <c r="C21" s="17">
        <v>3970069</v>
      </c>
      <c r="D21" s="17">
        <v>990580.54799999995</v>
      </c>
      <c r="E21" s="17">
        <v>5555686.4519999996</v>
      </c>
      <c r="F21" s="17">
        <v>0</v>
      </c>
      <c r="G21" s="17">
        <v>0</v>
      </c>
      <c r="H21" s="17">
        <v>0</v>
      </c>
      <c r="J21" s="18"/>
      <c r="K21" s="67" t="s">
        <v>99</v>
      </c>
      <c r="L21">
        <v>2025</v>
      </c>
      <c r="M21" s="422">
        <f>SUMIF($B$4:$B$90,$L21,C$4:C$90)-C$89*'CDM Adjustment'!$J$43</f>
        <v>19312053.436354231</v>
      </c>
      <c r="N21" s="422">
        <f>SUMIF($B$4:$B$90,$L21,D$4:D$90)-D$89*'CDM Adjustment'!$J$43</f>
        <v>8168385.4362205165</v>
      </c>
      <c r="O21" s="422">
        <f>SUMIF($B$4:$B$90,$L21,E$4:E$90)-E$89*'CDM Adjustment'!$J$43</f>
        <v>25440829.667416029</v>
      </c>
      <c r="P21" s="422">
        <f>SUMIF($B$4:$B$90,$L21,F$4:F$90)-F$89*'CDM Adjustment'!$J$43</f>
        <v>0</v>
      </c>
      <c r="Q21" s="422">
        <f>SUMIF($B$4:$B$90,$L21,G$4:G$90)-G$89*'CDM Adjustment'!$J$43</f>
        <v>0</v>
      </c>
      <c r="R21" s="422">
        <f>SUMIF($B$4:$B$90,$L21,H$4:H$90)-H$89*'CDM Adjustment'!$J$43</f>
        <v>3367983.5416300013</v>
      </c>
    </row>
    <row r="22" spans="1:18" x14ac:dyDescent="0.2">
      <c r="B22">
        <v>2020</v>
      </c>
      <c r="C22" s="17">
        <v>3636349</v>
      </c>
      <c r="D22" s="17">
        <v>990580.54799999995</v>
      </c>
      <c r="E22" s="17">
        <v>5555686.4519999996</v>
      </c>
      <c r="F22" s="17">
        <v>0</v>
      </c>
      <c r="G22" s="17">
        <v>0</v>
      </c>
      <c r="H22" s="17">
        <v>0</v>
      </c>
      <c r="J22" s="18"/>
      <c r="K22" s="67"/>
      <c r="M22" s="17"/>
      <c r="N22" s="17"/>
      <c r="O22" s="17"/>
      <c r="P22" s="17"/>
      <c r="Q22" s="17"/>
      <c r="R22" s="17"/>
    </row>
    <row r="23" spans="1:18" x14ac:dyDescent="0.2">
      <c r="B23">
        <v>2021</v>
      </c>
      <c r="C23" s="17">
        <v>3634672</v>
      </c>
      <c r="D23" s="17">
        <v>990580.80799999996</v>
      </c>
      <c r="E23" s="17">
        <v>5555687.1919999989</v>
      </c>
      <c r="F23" s="17">
        <v>0</v>
      </c>
      <c r="G23" s="17">
        <v>0</v>
      </c>
      <c r="H23" s="17">
        <v>0</v>
      </c>
      <c r="J23" s="18"/>
      <c r="K23" s="67"/>
      <c r="M23" s="17"/>
      <c r="N23" s="17"/>
      <c r="O23" s="17"/>
      <c r="P23" s="17"/>
      <c r="Q23" s="17"/>
      <c r="R23" s="17"/>
    </row>
    <row r="24" spans="1:18" x14ac:dyDescent="0.2">
      <c r="B24">
        <v>2022</v>
      </c>
      <c r="C24" s="17">
        <v>3633411</v>
      </c>
      <c r="D24" s="17">
        <v>990378.80799999996</v>
      </c>
      <c r="E24" s="17">
        <v>5555687.1919999989</v>
      </c>
      <c r="F24" s="17">
        <v>0</v>
      </c>
      <c r="G24" s="17">
        <v>0</v>
      </c>
      <c r="H24" s="17">
        <v>0</v>
      </c>
      <c r="J24" s="18"/>
      <c r="K24" s="67"/>
      <c r="M24" s="17"/>
      <c r="N24" s="17"/>
      <c r="O24" s="17"/>
      <c r="P24" s="17"/>
      <c r="Q24" s="17"/>
      <c r="R24" s="17"/>
    </row>
    <row r="25" spans="1:18" x14ac:dyDescent="0.2">
      <c r="B25">
        <v>2023</v>
      </c>
      <c r="C25" s="17">
        <v>3564421</v>
      </c>
      <c r="D25" s="17">
        <v>985492.88800000004</v>
      </c>
      <c r="E25" s="17">
        <v>5481980.1119999988</v>
      </c>
      <c r="F25" s="17">
        <v>0</v>
      </c>
      <c r="G25" s="17">
        <v>0</v>
      </c>
      <c r="H25" s="17">
        <v>0</v>
      </c>
      <c r="J25" s="18"/>
      <c r="K25" s="67"/>
      <c r="M25" s="17"/>
      <c r="N25" s="17"/>
      <c r="O25" s="17"/>
      <c r="P25" s="17"/>
      <c r="Q25" s="17"/>
      <c r="R25" s="17"/>
    </row>
    <row r="26" spans="1:18" x14ac:dyDescent="0.2">
      <c r="B26">
        <v>2024</v>
      </c>
      <c r="C26" s="17">
        <v>3564421</v>
      </c>
      <c r="D26" s="17">
        <v>852207.272</v>
      </c>
      <c r="E26" s="17">
        <v>5096296.7280000001</v>
      </c>
      <c r="F26" s="17">
        <v>0</v>
      </c>
      <c r="G26" s="17">
        <v>0</v>
      </c>
      <c r="H26" s="17">
        <v>0</v>
      </c>
      <c r="J26" s="18"/>
      <c r="K26" s="67"/>
      <c r="M26" s="17"/>
      <c r="N26" s="17"/>
      <c r="O26" s="17"/>
      <c r="P26" s="17"/>
      <c r="Q26" s="17"/>
      <c r="R26" s="17"/>
    </row>
    <row r="27" spans="1:18" x14ac:dyDescent="0.2">
      <c r="B27">
        <v>2025</v>
      </c>
      <c r="C27" s="17">
        <v>3433039</v>
      </c>
      <c r="D27" s="17">
        <v>501850.41600000003</v>
      </c>
      <c r="E27" s="17">
        <v>2082069.584</v>
      </c>
      <c r="F27" s="17">
        <v>0</v>
      </c>
      <c r="G27" s="17">
        <v>0</v>
      </c>
      <c r="H27" s="17">
        <v>0</v>
      </c>
      <c r="J27" s="18"/>
    </row>
    <row r="28" spans="1:18" x14ac:dyDescent="0.2">
      <c r="C28" s="17"/>
      <c r="D28" s="17"/>
      <c r="E28" s="17"/>
      <c r="F28" s="17"/>
      <c r="G28" s="17"/>
      <c r="H28" s="17"/>
    </row>
    <row r="29" spans="1:18" x14ac:dyDescent="0.2">
      <c r="A29">
        <v>2016</v>
      </c>
      <c r="B29">
        <v>2016</v>
      </c>
      <c r="C29" s="17">
        <v>4833124</v>
      </c>
      <c r="D29" s="422">
        <v>1182784.718234258</v>
      </c>
      <c r="E29" s="422">
        <v>4697982.9873532197</v>
      </c>
      <c r="F29" s="17">
        <v>0</v>
      </c>
      <c r="G29" s="17">
        <v>0</v>
      </c>
      <c r="H29" s="17">
        <v>0</v>
      </c>
      <c r="J29" s="18">
        <f>SUM(C29:H29)</f>
        <v>10713891.705587476</v>
      </c>
      <c r="K29" s="18"/>
    </row>
    <row r="30" spans="1:18" x14ac:dyDescent="0.2">
      <c r="B30">
        <v>2017</v>
      </c>
      <c r="C30" s="17">
        <v>4833124</v>
      </c>
      <c r="D30" s="422">
        <v>1182724.2906314456</v>
      </c>
      <c r="E30" s="422">
        <v>4697745.7420357736</v>
      </c>
      <c r="F30" s="17">
        <v>0</v>
      </c>
      <c r="G30" s="17">
        <v>0</v>
      </c>
      <c r="H30" s="17">
        <v>0</v>
      </c>
      <c r="J30" s="18"/>
      <c r="K30" s="18"/>
    </row>
    <row r="31" spans="1:18" x14ac:dyDescent="0.2">
      <c r="B31">
        <v>2018</v>
      </c>
      <c r="C31" s="17">
        <v>4833124</v>
      </c>
      <c r="D31" s="422">
        <v>1182874.1503259502</v>
      </c>
      <c r="E31" s="422">
        <v>4698334.1074373508</v>
      </c>
      <c r="F31" s="17">
        <v>0</v>
      </c>
      <c r="G31" s="17">
        <v>0</v>
      </c>
      <c r="H31" s="17">
        <v>0</v>
      </c>
      <c r="J31" s="18"/>
    </row>
    <row r="32" spans="1:18" x14ac:dyDescent="0.2">
      <c r="B32">
        <v>2019</v>
      </c>
      <c r="C32" s="17">
        <v>4833124</v>
      </c>
      <c r="D32" s="422">
        <v>1182865.9912683885</v>
      </c>
      <c r="E32" s="422">
        <v>4696631.0740931313</v>
      </c>
      <c r="F32" s="17">
        <v>0</v>
      </c>
      <c r="G32" s="17">
        <v>0</v>
      </c>
      <c r="H32" s="17">
        <v>0</v>
      </c>
      <c r="J32" s="18"/>
      <c r="K32" s="18"/>
    </row>
    <row r="33" spans="1:18" x14ac:dyDescent="0.2">
      <c r="B33">
        <v>2020</v>
      </c>
      <c r="C33" s="17">
        <v>4833124</v>
      </c>
      <c r="D33" s="422">
        <v>1182863.8308053471</v>
      </c>
      <c r="E33" s="422">
        <v>4696622.5918810917</v>
      </c>
      <c r="F33" s="17">
        <v>0</v>
      </c>
      <c r="G33" s="17">
        <v>0</v>
      </c>
      <c r="H33" s="17">
        <v>0</v>
      </c>
      <c r="J33" s="18"/>
      <c r="K33" s="18"/>
      <c r="L33">
        <f t="shared" ref="L33:L44" si="8">L4</f>
        <v>2014</v>
      </c>
      <c r="M33" s="105">
        <f>M4</f>
        <v>2072386.5504232105</v>
      </c>
      <c r="N33" s="105">
        <f t="shared" ref="N33:O33" si="9">N4</f>
        <v>467660.43998649996</v>
      </c>
      <c r="O33" s="105">
        <f t="shared" si="9"/>
        <v>1836290.6736215001</v>
      </c>
    </row>
    <row r="34" spans="1:18" ht="15" x14ac:dyDescent="0.25">
      <c r="B34">
        <v>2021</v>
      </c>
      <c r="C34" s="17">
        <v>4833124</v>
      </c>
      <c r="D34" s="422">
        <v>1179564.03242571</v>
      </c>
      <c r="E34" s="422">
        <v>4683667.2258290183</v>
      </c>
      <c r="F34" s="17">
        <v>0</v>
      </c>
      <c r="G34" s="17">
        <v>0</v>
      </c>
      <c r="H34" s="17">
        <v>0</v>
      </c>
      <c r="J34" s="18"/>
      <c r="K34" s="18"/>
      <c r="L34">
        <f t="shared" si="8"/>
        <v>2015</v>
      </c>
      <c r="M34" s="105">
        <f>M5-M4</f>
        <v>2556087.7304232102</v>
      </c>
      <c r="N34" s="105">
        <f t="shared" ref="M34:O44" si="10">N5-N4</f>
        <v>962025.94002650026</v>
      </c>
      <c r="O34" s="105">
        <f t="shared" si="10"/>
        <v>4612253.6435014997</v>
      </c>
      <c r="P34" s="106"/>
      <c r="Q34" s="106"/>
      <c r="R34" s="106"/>
    </row>
    <row r="35" spans="1:18" ht="15" x14ac:dyDescent="0.25">
      <c r="B35">
        <v>2022</v>
      </c>
      <c r="C35" s="17">
        <v>4833124</v>
      </c>
      <c r="D35" s="422">
        <v>1177803.1873357133</v>
      </c>
      <c r="E35" s="422">
        <v>4676753.9571751896</v>
      </c>
      <c r="F35" s="17">
        <v>0</v>
      </c>
      <c r="G35" s="17">
        <v>0</v>
      </c>
      <c r="H35" s="17">
        <v>0</v>
      </c>
      <c r="J35" s="18"/>
      <c r="K35" s="18"/>
      <c r="L35">
        <f t="shared" si="8"/>
        <v>2016</v>
      </c>
      <c r="M35" s="105">
        <f t="shared" si="10"/>
        <v>4333683.8657000009</v>
      </c>
      <c r="N35" s="105">
        <f t="shared" si="10"/>
        <v>1073822.5360171292</v>
      </c>
      <c r="O35" s="105">
        <f t="shared" si="10"/>
        <v>5126785.8796766102</v>
      </c>
      <c r="P35" s="106"/>
      <c r="Q35" s="106"/>
      <c r="R35" s="106"/>
    </row>
    <row r="36" spans="1:18" ht="15" x14ac:dyDescent="0.25">
      <c r="B36">
        <v>2023</v>
      </c>
      <c r="C36" s="17">
        <v>4832514</v>
      </c>
      <c r="D36" s="422">
        <v>1177803.1873357133</v>
      </c>
      <c r="E36" s="422">
        <v>4676753.9571751896</v>
      </c>
      <c r="F36" s="17">
        <v>0</v>
      </c>
      <c r="G36" s="17">
        <v>0</v>
      </c>
      <c r="H36" s="17">
        <v>0</v>
      </c>
      <c r="J36" s="18"/>
      <c r="K36" s="18"/>
      <c r="L36">
        <f t="shared" si="8"/>
        <v>2017</v>
      </c>
      <c r="M36" s="105">
        <f t="shared" si="10"/>
        <v>6442500.7559800018</v>
      </c>
      <c r="N36" s="105">
        <f t="shared" si="10"/>
        <v>1262576.3865353167</v>
      </c>
      <c r="O36" s="105">
        <f t="shared" si="10"/>
        <v>4198273.256329162</v>
      </c>
      <c r="P36" s="106"/>
      <c r="Q36" s="106"/>
      <c r="R36" s="106"/>
    </row>
    <row r="37" spans="1:18" ht="15" x14ac:dyDescent="0.25">
      <c r="B37">
        <v>2024</v>
      </c>
      <c r="C37" s="17">
        <v>4832514</v>
      </c>
      <c r="D37" s="422">
        <v>1177488.5373357134</v>
      </c>
      <c r="E37" s="422">
        <v>4675518.60717519</v>
      </c>
      <c r="F37" s="17">
        <v>0</v>
      </c>
      <c r="G37" s="17">
        <v>0</v>
      </c>
      <c r="H37" s="17">
        <v>0</v>
      </c>
      <c r="J37" s="18"/>
      <c r="K37" s="18"/>
      <c r="L37">
        <f t="shared" si="8"/>
        <v>2018</v>
      </c>
      <c r="M37" s="105">
        <f t="shared" si="10"/>
        <v>3362704.1713873595</v>
      </c>
      <c r="N37" s="105">
        <f t="shared" si="10"/>
        <v>1561622.8766945042</v>
      </c>
      <c r="O37" s="105">
        <f t="shared" si="10"/>
        <v>3102841.5416349079</v>
      </c>
      <c r="P37" s="107"/>
      <c r="Q37" s="107"/>
      <c r="R37" s="107"/>
    </row>
    <row r="38" spans="1:18" ht="15" x14ac:dyDescent="0.25">
      <c r="B38">
        <v>2025</v>
      </c>
      <c r="C38" s="17">
        <v>4812961</v>
      </c>
      <c r="D38" s="422">
        <v>1177488.5373357134</v>
      </c>
      <c r="E38" s="422">
        <v>4675518.60717519</v>
      </c>
      <c r="F38" s="17">
        <v>0</v>
      </c>
      <c r="G38" s="17">
        <v>0</v>
      </c>
      <c r="H38" s="17">
        <v>0</v>
      </c>
      <c r="J38" s="18"/>
      <c r="K38" s="18"/>
      <c r="L38">
        <f t="shared" si="8"/>
        <v>2019</v>
      </c>
      <c r="M38" s="105">
        <f t="shared" si="10"/>
        <v>804841.99761088192</v>
      </c>
      <c r="N38" s="105">
        <f t="shared" si="10"/>
        <v>878567.01572013926</v>
      </c>
      <c r="O38" s="105">
        <f t="shared" si="10"/>
        <v>1571888.7370111272</v>
      </c>
      <c r="P38" s="107"/>
      <c r="Q38" s="107"/>
      <c r="R38" s="107"/>
    </row>
    <row r="39" spans="1:18" ht="15" x14ac:dyDescent="0.25">
      <c r="C39" s="17"/>
      <c r="D39" s="17"/>
      <c r="E39" s="17"/>
      <c r="F39" s="17"/>
      <c r="G39" s="17"/>
      <c r="H39" s="17"/>
      <c r="K39" s="18"/>
      <c r="L39">
        <f t="shared" si="8"/>
        <v>2020</v>
      </c>
      <c r="M39" s="105">
        <f t="shared" si="10"/>
        <v>-335522.43766666576</v>
      </c>
      <c r="N39" s="105">
        <f t="shared" si="10"/>
        <v>361700.78827031702</v>
      </c>
      <c r="O39" s="105">
        <f t="shared" si="10"/>
        <v>1544992.2995228879</v>
      </c>
      <c r="P39" s="107" t="s">
        <v>100</v>
      </c>
      <c r="Q39" s="107"/>
      <c r="R39" s="107"/>
    </row>
    <row r="40" spans="1:18" ht="15" x14ac:dyDescent="0.25">
      <c r="A40">
        <v>2017</v>
      </c>
      <c r="B40">
        <v>2017</v>
      </c>
      <c r="C40" s="17">
        <v>8125804</v>
      </c>
      <c r="D40" s="17">
        <v>1834850.2919999999</v>
      </c>
      <c r="E40" s="17">
        <v>3710274.7080000001</v>
      </c>
      <c r="F40" s="17">
        <v>0</v>
      </c>
      <c r="G40" s="17">
        <v>0</v>
      </c>
      <c r="H40" s="17">
        <v>0</v>
      </c>
      <c r="J40" s="18">
        <f>SUM(C40:H40)</f>
        <v>13670929</v>
      </c>
      <c r="L40">
        <f t="shared" si="8"/>
        <v>2021</v>
      </c>
      <c r="M40" s="105">
        <f t="shared" si="10"/>
        <v>22348.335943613201</v>
      </c>
      <c r="N40" s="105">
        <f t="shared" si="10"/>
        <v>419426.91906318348</v>
      </c>
      <c r="O40" s="105">
        <f t="shared" si="10"/>
        <v>2276771.0781731643</v>
      </c>
      <c r="P40" s="106"/>
      <c r="Q40" s="107"/>
      <c r="R40" s="107"/>
    </row>
    <row r="41" spans="1:18" ht="15" x14ac:dyDescent="0.25">
      <c r="B41">
        <v>2018</v>
      </c>
      <c r="C41" s="17">
        <v>6414971.333333334</v>
      </c>
      <c r="D41" s="17">
        <v>1834640.4779999999</v>
      </c>
      <c r="E41" s="17">
        <v>3709631.8553333334</v>
      </c>
      <c r="F41" s="17">
        <v>0</v>
      </c>
      <c r="G41" s="17">
        <v>0</v>
      </c>
      <c r="H41" s="17">
        <v>0</v>
      </c>
      <c r="J41" s="18">
        <f t="shared" ref="J41:J48" si="11">SUM(C41:H41)</f>
        <v>11959243.666666668</v>
      </c>
      <c r="L41">
        <f t="shared" si="8"/>
        <v>2022</v>
      </c>
      <c r="M41" s="105">
        <f t="shared" si="10"/>
        <v>11993.112974163145</v>
      </c>
      <c r="N41" s="105">
        <f t="shared" si="10"/>
        <v>498747.1991860047</v>
      </c>
      <c r="O41" s="105">
        <f t="shared" si="10"/>
        <v>1577271.227513101</v>
      </c>
      <c r="P41" s="106"/>
      <c r="Q41" s="106"/>
      <c r="R41" s="107"/>
    </row>
    <row r="42" spans="1:18" ht="15" x14ac:dyDescent="0.25">
      <c r="B42">
        <v>2019</v>
      </c>
      <c r="C42" s="17">
        <v>6414955.666666666</v>
      </c>
      <c r="D42" s="17">
        <v>1833911.9369999999</v>
      </c>
      <c r="E42" s="17">
        <v>3708078.7296666666</v>
      </c>
      <c r="F42" s="17">
        <v>0</v>
      </c>
      <c r="G42" s="17">
        <v>0</v>
      </c>
      <c r="H42" s="17">
        <v>0</v>
      </c>
      <c r="J42" s="18">
        <f t="shared" si="11"/>
        <v>11956946.333333332</v>
      </c>
      <c r="L42">
        <f t="shared" si="8"/>
        <v>2023</v>
      </c>
      <c r="M42" s="105">
        <f t="shared" si="10"/>
        <v>111922.27803341299</v>
      </c>
      <c r="N42" s="105">
        <f t="shared" si="10"/>
        <v>717022.65695998631</v>
      </c>
      <c r="O42" s="105">
        <f t="shared" si="10"/>
        <v>1858511.2354971357</v>
      </c>
      <c r="P42" s="106"/>
      <c r="Q42" s="106"/>
      <c r="R42" s="106"/>
    </row>
    <row r="43" spans="1:18" ht="15" x14ac:dyDescent="0.25">
      <c r="B43">
        <v>2020</v>
      </c>
      <c r="C43" s="17">
        <v>6414940</v>
      </c>
      <c r="D43" s="17">
        <v>1833183.3959999997</v>
      </c>
      <c r="E43" s="17">
        <v>3706525.6040000003</v>
      </c>
      <c r="F43" s="17">
        <v>0</v>
      </c>
      <c r="G43" s="17">
        <v>0</v>
      </c>
      <c r="H43" s="17">
        <v>0</v>
      </c>
      <c r="J43" s="18">
        <f t="shared" si="11"/>
        <v>11954649</v>
      </c>
      <c r="L43">
        <f t="shared" si="8"/>
        <v>2024</v>
      </c>
      <c r="M43" s="105">
        <f t="shared" si="10"/>
        <v>563928.77509321645</v>
      </c>
      <c r="N43" s="105">
        <f t="shared" si="10"/>
        <v>633546.48331898637</v>
      </c>
      <c r="O43" s="105">
        <f t="shared" si="10"/>
        <v>1362869.2067479454</v>
      </c>
      <c r="P43" s="106"/>
      <c r="Q43" s="106"/>
      <c r="R43" s="106"/>
    </row>
    <row r="44" spans="1:18" ht="15" x14ac:dyDescent="0.25">
      <c r="B44">
        <v>2021</v>
      </c>
      <c r="C44" s="17">
        <v>6414940</v>
      </c>
      <c r="D44" s="17">
        <v>1833183.3959999997</v>
      </c>
      <c r="E44" s="17">
        <v>3706525.6040000003</v>
      </c>
      <c r="F44" s="17">
        <v>0</v>
      </c>
      <c r="G44" s="17">
        <v>0</v>
      </c>
      <c r="H44" s="17">
        <v>0</v>
      </c>
      <c r="J44" s="18">
        <f t="shared" si="11"/>
        <v>11954649</v>
      </c>
      <c r="L44">
        <f t="shared" si="8"/>
        <v>2025</v>
      </c>
      <c r="M44" s="105">
        <f t="shared" si="10"/>
        <v>-81311.611171148717</v>
      </c>
      <c r="N44" s="105">
        <f t="shared" si="10"/>
        <v>111497.29516918957</v>
      </c>
      <c r="O44" s="105">
        <f t="shared" si="10"/>
        <v>-1587995.0739350468</v>
      </c>
      <c r="P44" s="106"/>
      <c r="Q44" s="106"/>
      <c r="R44" s="106"/>
    </row>
    <row r="45" spans="1:18" ht="15" x14ac:dyDescent="0.25">
      <c r="B45">
        <v>2022</v>
      </c>
      <c r="C45" s="422">
        <v>6414940</v>
      </c>
      <c r="D45" s="422">
        <v>1607863.8509999998</v>
      </c>
      <c r="E45" s="422">
        <v>3311130.1490000002</v>
      </c>
      <c r="F45" s="17">
        <v>0</v>
      </c>
      <c r="G45" s="17">
        <v>0</v>
      </c>
      <c r="H45" s="17">
        <v>0</v>
      </c>
      <c r="J45" s="18">
        <f t="shared" si="11"/>
        <v>11333934</v>
      </c>
      <c r="M45" s="105"/>
      <c r="N45" s="105"/>
      <c r="O45" s="105"/>
      <c r="P45" s="106"/>
      <c r="Q45" s="106"/>
      <c r="R45" s="106"/>
    </row>
    <row r="46" spans="1:18" ht="15" x14ac:dyDescent="0.25">
      <c r="B46">
        <v>2023</v>
      </c>
      <c r="C46" s="422">
        <v>6414940</v>
      </c>
      <c r="D46" s="422">
        <v>1578491.426877002</v>
      </c>
      <c r="E46" s="422">
        <v>3259586.8041891195</v>
      </c>
      <c r="F46" s="17">
        <v>0</v>
      </c>
      <c r="G46" s="17">
        <v>0</v>
      </c>
      <c r="H46" s="17">
        <v>0</v>
      </c>
      <c r="J46" s="18">
        <f t="shared" si="11"/>
        <v>11253018.231066123</v>
      </c>
      <c r="M46" s="105"/>
      <c r="N46" s="105"/>
      <c r="O46" s="105"/>
      <c r="P46" s="106"/>
      <c r="Q46" s="106"/>
      <c r="R46" s="106"/>
    </row>
    <row r="47" spans="1:18" x14ac:dyDescent="0.2">
      <c r="B47">
        <v>2024</v>
      </c>
      <c r="C47" s="422">
        <v>6414857.5464958232</v>
      </c>
      <c r="D47" s="422">
        <v>1578491.426877002</v>
      </c>
      <c r="E47" s="422">
        <v>3259586.8041891195</v>
      </c>
      <c r="F47" s="17">
        <v>0</v>
      </c>
      <c r="G47" s="17">
        <v>0</v>
      </c>
      <c r="H47" s="17">
        <v>0</v>
      </c>
      <c r="J47" s="18">
        <f t="shared" si="11"/>
        <v>11252935.777561944</v>
      </c>
    </row>
    <row r="48" spans="1:18" x14ac:dyDescent="0.2">
      <c r="B48">
        <v>2025</v>
      </c>
      <c r="C48" s="422">
        <v>6414857.5172119588</v>
      </c>
      <c r="D48" s="422">
        <v>1563967.433877002</v>
      </c>
      <c r="E48" s="422">
        <v>3234099.7971891193</v>
      </c>
      <c r="F48" s="17">
        <v>0</v>
      </c>
      <c r="G48" s="17">
        <v>0</v>
      </c>
      <c r="H48" s="17">
        <v>0</v>
      </c>
      <c r="J48" s="18">
        <f t="shared" si="11"/>
        <v>11212924.748278081</v>
      </c>
    </row>
    <row r="50" spans="1:10" x14ac:dyDescent="0.2">
      <c r="A50">
        <v>2018</v>
      </c>
      <c r="B50">
        <v>2018</v>
      </c>
      <c r="C50" s="17">
        <v>2541828</v>
      </c>
      <c r="D50" s="17">
        <v>1290030.73</v>
      </c>
      <c r="E50" s="422">
        <v>2756416.2699999996</v>
      </c>
      <c r="F50" s="17">
        <v>0</v>
      </c>
      <c r="G50" s="17">
        <v>0</v>
      </c>
      <c r="H50" s="17">
        <v>0</v>
      </c>
      <c r="J50" s="18">
        <f>SUM(C50:H50)</f>
        <v>6588275</v>
      </c>
    </row>
    <row r="51" spans="1:10" x14ac:dyDescent="0.2">
      <c r="B51">
        <v>2019</v>
      </c>
      <c r="C51" s="17">
        <v>2535592</v>
      </c>
      <c r="D51" s="17">
        <v>1280055.53</v>
      </c>
      <c r="E51" s="422">
        <v>2749699.9699999997</v>
      </c>
      <c r="F51" s="17">
        <v>0</v>
      </c>
      <c r="G51" s="17">
        <v>0</v>
      </c>
      <c r="H51" s="17">
        <v>0</v>
      </c>
      <c r="J51" s="18"/>
    </row>
    <row r="52" spans="1:10" x14ac:dyDescent="0.2">
      <c r="B52">
        <v>2020</v>
      </c>
      <c r="C52" s="17">
        <v>2529356</v>
      </c>
      <c r="D52" s="17">
        <v>1270080.33</v>
      </c>
      <c r="E52" s="422">
        <v>2742983.67</v>
      </c>
      <c r="F52" s="17">
        <v>0</v>
      </c>
      <c r="G52" s="17">
        <v>0</v>
      </c>
      <c r="H52" s="17">
        <v>0</v>
      </c>
      <c r="J52" s="18"/>
    </row>
    <row r="53" spans="1:10" x14ac:dyDescent="0.2">
      <c r="B53">
        <v>2021</v>
      </c>
      <c r="C53" s="17">
        <v>2529356</v>
      </c>
      <c r="D53" s="17">
        <v>1258758.8648629377</v>
      </c>
      <c r="E53" s="422">
        <v>2737383.3850944513</v>
      </c>
      <c r="F53" s="17">
        <v>0</v>
      </c>
      <c r="G53" s="17">
        <v>0</v>
      </c>
      <c r="H53" s="17">
        <v>0</v>
      </c>
      <c r="J53" s="18"/>
    </row>
    <row r="54" spans="1:10" x14ac:dyDescent="0.2">
      <c r="B54">
        <v>2022</v>
      </c>
      <c r="C54" s="17">
        <v>2529356</v>
      </c>
      <c r="D54" s="17">
        <v>1245691.9063975583</v>
      </c>
      <c r="E54" s="422">
        <v>2731742.5379106821</v>
      </c>
      <c r="F54" s="17">
        <v>0</v>
      </c>
      <c r="G54" s="17">
        <v>0</v>
      </c>
      <c r="H54" s="17">
        <v>0</v>
      </c>
      <c r="J54" s="18"/>
    </row>
    <row r="55" spans="1:10" x14ac:dyDescent="0.2">
      <c r="B55">
        <v>2023</v>
      </c>
      <c r="C55" s="17">
        <v>2529356</v>
      </c>
      <c r="D55" s="17">
        <v>1239743.0842499381</v>
      </c>
      <c r="E55" s="422">
        <v>2730887.6892011398</v>
      </c>
      <c r="F55" s="17">
        <v>0</v>
      </c>
      <c r="G55" s="17">
        <v>0</v>
      </c>
      <c r="H55" s="17">
        <v>0</v>
      </c>
      <c r="J55" s="18"/>
    </row>
    <row r="56" spans="1:10" x14ac:dyDescent="0.2">
      <c r="B56">
        <v>2024</v>
      </c>
      <c r="C56" s="17">
        <v>2529356</v>
      </c>
      <c r="D56" s="17">
        <v>1160357.5441990381</v>
      </c>
      <c r="E56" s="422">
        <v>2553065.7707254216</v>
      </c>
      <c r="F56" s="17">
        <v>0</v>
      </c>
      <c r="G56" s="17">
        <v>0</v>
      </c>
      <c r="H56" s="17">
        <v>0</v>
      </c>
      <c r="J56" s="18"/>
    </row>
    <row r="57" spans="1:10" x14ac:dyDescent="0.2">
      <c r="B57">
        <v>2025</v>
      </c>
      <c r="C57" s="17">
        <v>2529356</v>
      </c>
      <c r="D57" s="17">
        <v>1157968.7544683234</v>
      </c>
      <c r="E57" s="422">
        <v>2553065.7707254216</v>
      </c>
      <c r="F57" s="17">
        <v>0</v>
      </c>
      <c r="G57" s="17">
        <v>0</v>
      </c>
      <c r="H57" s="17">
        <v>0</v>
      </c>
      <c r="J57" s="18"/>
    </row>
    <row r="58" spans="1:10" x14ac:dyDescent="0.2">
      <c r="C58" s="17"/>
      <c r="D58" s="17"/>
      <c r="E58" s="17"/>
      <c r="F58" s="17"/>
      <c r="G58" s="17"/>
      <c r="H58" s="17"/>
    </row>
    <row r="59" spans="1:10" x14ac:dyDescent="0.2">
      <c r="A59">
        <v>2019</v>
      </c>
      <c r="B59">
        <v>2019</v>
      </c>
      <c r="C59" s="17">
        <v>28369</v>
      </c>
      <c r="D59" s="17">
        <v>488527.10155540245</v>
      </c>
      <c r="E59" s="422">
        <v>407306.12204401562</v>
      </c>
      <c r="F59" s="17">
        <v>0</v>
      </c>
      <c r="G59" s="17">
        <v>0</v>
      </c>
      <c r="H59" s="17">
        <v>0</v>
      </c>
    </row>
    <row r="60" spans="1:10" x14ac:dyDescent="0.2">
      <c r="B60">
        <v>2020</v>
      </c>
      <c r="C60" s="17">
        <v>28369</v>
      </c>
      <c r="D60" s="17">
        <v>485591.2970302435</v>
      </c>
      <c r="E60" s="422">
        <v>407306.12204401562</v>
      </c>
      <c r="F60" s="17">
        <v>0</v>
      </c>
      <c r="G60" s="17">
        <v>0</v>
      </c>
      <c r="H60" s="17">
        <v>0</v>
      </c>
    </row>
    <row r="61" spans="1:10" x14ac:dyDescent="0.2">
      <c r="B61">
        <v>2021</v>
      </c>
      <c r="C61" s="17">
        <v>21239.552126459155</v>
      </c>
      <c r="D61" s="17">
        <v>475512.68329378054</v>
      </c>
      <c r="E61" s="422">
        <v>404894.01248944126</v>
      </c>
      <c r="F61" s="17">
        <v>0</v>
      </c>
      <c r="G61" s="17">
        <v>0</v>
      </c>
      <c r="H61" s="17">
        <v>0</v>
      </c>
    </row>
    <row r="62" spans="1:10" x14ac:dyDescent="0.2">
      <c r="B62">
        <v>2022</v>
      </c>
      <c r="C62" s="17">
        <v>21239.552126459155</v>
      </c>
      <c r="D62" s="17">
        <v>475512.68329378054</v>
      </c>
      <c r="E62" s="422">
        <v>404894.01248944126</v>
      </c>
      <c r="F62" s="17">
        <v>0</v>
      </c>
      <c r="G62" s="17">
        <v>0</v>
      </c>
      <c r="H62" s="17">
        <v>0</v>
      </c>
    </row>
    <row r="63" spans="1:10" x14ac:dyDescent="0.2">
      <c r="B63">
        <v>2023</v>
      </c>
      <c r="C63" s="17">
        <v>21239.552126459155</v>
      </c>
      <c r="D63" s="17">
        <v>475512.68329378054</v>
      </c>
      <c r="E63" s="422">
        <v>404894.01248944126</v>
      </c>
      <c r="F63" s="17">
        <v>0</v>
      </c>
      <c r="G63" s="17">
        <v>0</v>
      </c>
      <c r="H63" s="17">
        <v>0</v>
      </c>
    </row>
    <row r="64" spans="1:10" x14ac:dyDescent="0.2">
      <c r="B64">
        <v>2024</v>
      </c>
      <c r="C64" s="17">
        <v>21239.552126459155</v>
      </c>
      <c r="D64" s="17">
        <v>444683.01925133669</v>
      </c>
      <c r="E64" s="422">
        <v>382815.38059496414</v>
      </c>
      <c r="F64" s="17">
        <v>0</v>
      </c>
      <c r="G64" s="17">
        <v>0</v>
      </c>
      <c r="H64" s="17">
        <v>0</v>
      </c>
    </row>
    <row r="65" spans="1:8" x14ac:dyDescent="0.2">
      <c r="B65">
        <v>2025</v>
      </c>
      <c r="C65" s="17">
        <v>21239.552126459155</v>
      </c>
      <c r="D65" s="17">
        <v>444683.01925133669</v>
      </c>
      <c r="E65" s="422">
        <v>382815.38059496414</v>
      </c>
      <c r="F65" s="17">
        <v>0</v>
      </c>
      <c r="G65" s="17">
        <v>0</v>
      </c>
      <c r="H65" s="17">
        <v>0</v>
      </c>
    </row>
    <row r="66" spans="1:8" x14ac:dyDescent="0.2">
      <c r="C66" s="17"/>
      <c r="D66" s="17"/>
      <c r="E66" s="17"/>
      <c r="F66" s="17"/>
      <c r="G66" s="17"/>
      <c r="H66" s="17"/>
    </row>
    <row r="67" spans="1:8" x14ac:dyDescent="0.2">
      <c r="A67">
        <v>2020</v>
      </c>
      <c r="B67">
        <v>2020</v>
      </c>
      <c r="C67" s="17">
        <v>0</v>
      </c>
      <c r="D67" s="17">
        <v>294547.28004163422</v>
      </c>
      <c r="E67" s="422">
        <v>2955404.947119182</v>
      </c>
      <c r="F67" s="17">
        <v>0</v>
      </c>
      <c r="G67" s="17">
        <v>0</v>
      </c>
      <c r="H67" s="17">
        <v>1015589.3979196982</v>
      </c>
    </row>
    <row r="68" spans="1:8" x14ac:dyDescent="0.2">
      <c r="B68">
        <v>2021</v>
      </c>
      <c r="C68" s="17">
        <v>0</v>
      </c>
      <c r="D68" s="17">
        <v>294547.28004163422</v>
      </c>
      <c r="E68" s="422">
        <v>2955404.947119182</v>
      </c>
      <c r="F68" s="17">
        <v>0</v>
      </c>
      <c r="G68" s="17">
        <v>0</v>
      </c>
      <c r="H68" s="17">
        <v>3339278.9984700014</v>
      </c>
    </row>
    <row r="69" spans="1:8" x14ac:dyDescent="0.2">
      <c r="B69">
        <v>2022</v>
      </c>
      <c r="C69" s="17">
        <v>0</v>
      </c>
      <c r="D69" s="17">
        <v>294547.28004163422</v>
      </c>
      <c r="E69" s="422">
        <v>2954781.328503422</v>
      </c>
      <c r="F69" s="17">
        <v>0</v>
      </c>
      <c r="G69" s="17">
        <v>0</v>
      </c>
      <c r="H69" s="17">
        <v>3339278.9984700014</v>
      </c>
    </row>
    <row r="70" spans="1:8" x14ac:dyDescent="0.2">
      <c r="B70">
        <v>2023</v>
      </c>
      <c r="C70" s="17">
        <v>0</v>
      </c>
      <c r="D70" s="17">
        <v>294547.28004163422</v>
      </c>
      <c r="E70" s="422">
        <v>2954108.1732213362</v>
      </c>
      <c r="F70" s="17">
        <v>0</v>
      </c>
      <c r="G70" s="17">
        <v>0</v>
      </c>
      <c r="H70" s="17">
        <v>3339278.9984700014</v>
      </c>
    </row>
    <row r="71" spans="1:8" x14ac:dyDescent="0.2">
      <c r="B71">
        <v>2024</v>
      </c>
      <c r="C71" s="17">
        <v>0</v>
      </c>
      <c r="D71" s="17">
        <v>274872.17296975333</v>
      </c>
      <c r="E71" s="422">
        <v>2755884.6689212434</v>
      </c>
      <c r="F71" s="17">
        <v>0</v>
      </c>
      <c r="G71" s="17">
        <v>0</v>
      </c>
      <c r="H71" s="17">
        <v>3339278.9984700014</v>
      </c>
    </row>
    <row r="72" spans="1:8" x14ac:dyDescent="0.2">
      <c r="B72">
        <v>2025</v>
      </c>
      <c r="C72" s="17">
        <v>0</v>
      </c>
      <c r="D72" s="17">
        <v>274872.17296975333</v>
      </c>
      <c r="E72" s="422">
        <v>2753693.1807796168</v>
      </c>
      <c r="F72" s="17">
        <v>0</v>
      </c>
      <c r="G72" s="17">
        <v>0</v>
      </c>
      <c r="H72" s="17">
        <v>3339278.9984700014</v>
      </c>
    </row>
    <row r="73" spans="1:8" x14ac:dyDescent="0.2">
      <c r="D73" s="126"/>
      <c r="E73" s="126"/>
    </row>
    <row r="74" spans="1:8" x14ac:dyDescent="0.2">
      <c r="A74">
        <f>A67+1</f>
        <v>2021</v>
      </c>
      <c r="B74">
        <f>B68</f>
        <v>2021</v>
      </c>
      <c r="C74" s="17">
        <v>68885.507634303489</v>
      </c>
      <c r="D74" s="17">
        <v>593705.79259105574</v>
      </c>
      <c r="E74" s="17">
        <v>1640071.2502515353</v>
      </c>
    </row>
    <row r="75" spans="1:8" x14ac:dyDescent="0.2">
      <c r="B75">
        <f>B69</f>
        <v>2022</v>
      </c>
      <c r="C75" s="460">
        <f t="shared" ref="C75:E78" si="12">C$74*(C5+C18+C30+C41+C51+C60+C68)/(C$4+C$17+C$29+C$40+C$50+C$59+C$67)</f>
        <v>59043.279297018424</v>
      </c>
      <c r="D75" s="460">
        <f t="shared" si="12"/>
        <v>592480.30362320924</v>
      </c>
      <c r="E75" s="460">
        <f t="shared" si="12"/>
        <v>1639420.3588383563</v>
      </c>
    </row>
    <row r="76" spans="1:8" x14ac:dyDescent="0.2">
      <c r="B76">
        <f>B70</f>
        <v>2023</v>
      </c>
      <c r="C76" s="460">
        <f t="shared" si="12"/>
        <v>58641.717750630174</v>
      </c>
      <c r="D76" s="460">
        <f t="shared" si="12"/>
        <v>589614.61723321094</v>
      </c>
      <c r="E76" s="460">
        <f t="shared" si="12"/>
        <v>1638680.4773035236</v>
      </c>
    </row>
    <row r="77" spans="1:8" x14ac:dyDescent="0.2">
      <c r="B77">
        <f>B71</f>
        <v>2024</v>
      </c>
      <c r="C77" s="460">
        <f t="shared" si="12"/>
        <v>58496.547085729631</v>
      </c>
      <c r="D77" s="460">
        <f t="shared" si="12"/>
        <v>567702.26213529683</v>
      </c>
      <c r="E77" s="460">
        <f t="shared" si="12"/>
        <v>1637641.4147705631</v>
      </c>
      <c r="F77" s="17"/>
      <c r="G77" s="17"/>
      <c r="H77" s="17"/>
    </row>
    <row r="78" spans="1:8" x14ac:dyDescent="0.2">
      <c r="B78">
        <f>B72</f>
        <v>2025</v>
      </c>
      <c r="C78" s="460">
        <f t="shared" si="12"/>
        <v>57398.561573846309</v>
      </c>
      <c r="D78" s="460">
        <f t="shared" si="12"/>
        <v>564931.94281703397</v>
      </c>
      <c r="E78" s="460">
        <f t="shared" si="12"/>
        <v>1614553.2326176937</v>
      </c>
      <c r="F78" s="17"/>
      <c r="G78" s="17"/>
      <c r="H78" s="17"/>
    </row>
    <row r="79" spans="1:8" x14ac:dyDescent="0.2">
      <c r="C79" s="17"/>
      <c r="D79" s="17"/>
      <c r="E79" s="17"/>
      <c r="F79" s="17"/>
      <c r="G79" s="17"/>
      <c r="H79" s="17"/>
    </row>
    <row r="80" spans="1:8" x14ac:dyDescent="0.2">
      <c r="A80">
        <f>A74+1</f>
        <v>2022</v>
      </c>
      <c r="B80">
        <f>B75</f>
        <v>2022</v>
      </c>
      <c r="C80" s="17">
        <v>137771.01526860698</v>
      </c>
      <c r="D80" s="17">
        <v>961081.75264739967</v>
      </c>
      <c r="E80" s="17">
        <v>2919326.825447733</v>
      </c>
      <c r="F80" s="17"/>
      <c r="G80" s="17"/>
      <c r="H80" s="17"/>
    </row>
    <row r="81" spans="1:5" x14ac:dyDescent="0.2">
      <c r="B81">
        <f>B76</f>
        <v>2023</v>
      </c>
      <c r="C81" s="460">
        <f>C80*(C75/C$74)</f>
        <v>118086.55859403685</v>
      </c>
      <c r="D81" s="460">
        <f t="shared" ref="D81:E83" si="13">D80*(D75/D$74)</f>
        <v>959097.95006409008</v>
      </c>
      <c r="E81" s="460">
        <f t="shared" si="13"/>
        <v>2918168.2387322746</v>
      </c>
    </row>
    <row r="82" spans="1:5" x14ac:dyDescent="0.2">
      <c r="B82">
        <f>B77</f>
        <v>2024</v>
      </c>
      <c r="C82" s="460">
        <f t="shared" ref="C82:C83" si="14">C81*(C76/C$74)</f>
        <v>100526.20466959238</v>
      </c>
      <c r="D82" s="460">
        <f t="shared" si="13"/>
        <v>952488.88889603713</v>
      </c>
      <c r="E82" s="460">
        <f t="shared" si="13"/>
        <v>2915693.6453610696</v>
      </c>
    </row>
    <row r="83" spans="1:5" x14ac:dyDescent="0.2">
      <c r="B83">
        <f>B78</f>
        <v>2025</v>
      </c>
      <c r="C83" s="460">
        <f t="shared" si="14"/>
        <v>85365.355743944252</v>
      </c>
      <c r="D83" s="460">
        <f t="shared" si="13"/>
        <v>910771.13215479488</v>
      </c>
      <c r="E83" s="460">
        <f t="shared" si="13"/>
        <v>2911373.9209161364</v>
      </c>
    </row>
    <row r="84" spans="1:5" x14ac:dyDescent="0.2">
      <c r="C84" s="17"/>
      <c r="D84" s="17"/>
      <c r="E84" s="17"/>
    </row>
    <row r="85" spans="1:5" x14ac:dyDescent="0.2">
      <c r="A85">
        <f>A80+1</f>
        <v>2023</v>
      </c>
      <c r="B85">
        <f>B81</f>
        <v>2023</v>
      </c>
      <c r="C85" s="17">
        <v>482198.55344012444</v>
      </c>
      <c r="D85" s="17">
        <v>719991.27886042395</v>
      </c>
      <c r="E85" s="17">
        <v>2296099.7503521489</v>
      </c>
    </row>
    <row r="86" spans="1:5" x14ac:dyDescent="0.2">
      <c r="B86">
        <f>B82</f>
        <v>2024</v>
      </c>
      <c r="C86" s="460">
        <f>C85*(C81/C$80)</f>
        <v>413302.95507912897</v>
      </c>
      <c r="D86" s="460">
        <f t="shared" ref="D86:E87" si="15">D85*(D81/D$80)</f>
        <v>718505.11958726204</v>
      </c>
      <c r="E86" s="460">
        <f t="shared" si="15"/>
        <v>2295188.5023736986</v>
      </c>
    </row>
    <row r="87" spans="1:5" x14ac:dyDescent="0.2">
      <c r="B87">
        <f>B83</f>
        <v>2025</v>
      </c>
      <c r="C87" s="460">
        <f>C86*(C82/C$80)</f>
        <v>301571.25119407533</v>
      </c>
      <c r="D87" s="460">
        <f t="shared" si="15"/>
        <v>712081.09105871816</v>
      </c>
      <c r="E87" s="460">
        <f t="shared" si="15"/>
        <v>2292332.0790745756</v>
      </c>
    </row>
    <row r="88" spans="1:5" x14ac:dyDescent="0.2">
      <c r="C88" s="17"/>
      <c r="D88" s="17"/>
      <c r="E88" s="17"/>
    </row>
    <row r="89" spans="1:5" x14ac:dyDescent="0.2">
      <c r="A89">
        <f>A85+1</f>
        <v>2024</v>
      </c>
      <c r="B89">
        <f>B86</f>
        <v>2024</v>
      </c>
      <c r="C89" s="17">
        <v>954556.32007534825</v>
      </c>
      <c r="D89" s="17">
        <v>1344858.4252062589</v>
      </c>
      <c r="E89" s="17">
        <v>3517952.8317895429</v>
      </c>
    </row>
    <row r="90" spans="1:5" x14ac:dyDescent="0.2">
      <c r="B90">
        <f>B87</f>
        <v>2025</v>
      </c>
      <c r="C90" s="460">
        <f>C89*(C86/C$85)</f>
        <v>818171.15597296949</v>
      </c>
      <c r="D90" s="460">
        <f t="shared" ref="D90:E90" si="16">D89*(D86/D$85)</f>
        <v>1342082.4557210817</v>
      </c>
      <c r="E90" s="460">
        <f t="shared" si="16"/>
        <v>3516556.6697082748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4B48-D86B-4D78-87E0-E71C63EF9EF5}">
  <dimension ref="B1:T127"/>
  <sheetViews>
    <sheetView topLeftCell="I36" workbookViewId="0">
      <selection activeCell="O48" sqref="O48"/>
    </sheetView>
  </sheetViews>
  <sheetFormatPr defaultColWidth="8.83203125" defaultRowHeight="14.25" x14ac:dyDescent="0.2"/>
  <cols>
    <col min="1" max="1" width="8.83203125" style="127"/>
    <col min="2" max="2" width="28.6640625" style="127" bestFit="1" customWidth="1"/>
    <col min="3" max="3" width="19.6640625" style="127" customWidth="1"/>
    <col min="4" max="4" width="21" style="127" bestFit="1" customWidth="1"/>
    <col min="5" max="5" width="18.6640625" style="127" bestFit="1" customWidth="1"/>
    <col min="6" max="7" width="17.6640625" style="127" bestFit="1" customWidth="1"/>
    <col min="8" max="8" width="17.83203125" style="127" bestFit="1" customWidth="1"/>
    <col min="9" max="9" width="18.6640625" style="127" customWidth="1"/>
    <col min="10" max="10" width="10" style="127" customWidth="1"/>
    <col min="11" max="11" width="19.5" style="127" bestFit="1" customWidth="1"/>
    <col min="12" max="12" width="16.6640625" style="127" bestFit="1" customWidth="1"/>
    <col min="13" max="13" width="28.6640625" style="127" bestFit="1" customWidth="1"/>
    <col min="14" max="14" width="14.1640625" style="127" customWidth="1"/>
    <col min="15" max="15" width="17.83203125" style="127" customWidth="1"/>
    <col min="16" max="16" width="14.33203125" style="127" bestFit="1" customWidth="1"/>
    <col min="17" max="17" width="14.33203125" style="127" customWidth="1"/>
    <col min="18" max="18" width="13.6640625" style="127" bestFit="1" customWidth="1"/>
    <col min="19" max="19" width="13.1640625" style="127" customWidth="1"/>
    <col min="20" max="16384" width="8.83203125" style="127"/>
  </cols>
  <sheetData>
    <row r="1" spans="2:18" ht="15.75" x14ac:dyDescent="0.25">
      <c r="P1" s="128"/>
    </row>
    <row r="2" spans="2:18" ht="15.75" x14ac:dyDescent="0.25">
      <c r="B2" s="129"/>
      <c r="C2" s="130" t="s">
        <v>388</v>
      </c>
      <c r="D2" s="130"/>
      <c r="E2" s="130"/>
      <c r="F2" s="130"/>
      <c r="G2" s="129"/>
      <c r="H2" s="129"/>
      <c r="N2" s="128" t="s">
        <v>389</v>
      </c>
      <c r="O2" s="128"/>
      <c r="P2" s="128"/>
      <c r="Q2" s="128"/>
    </row>
    <row r="3" spans="2:18" ht="15.75" x14ac:dyDescent="0.25">
      <c r="B3" s="129"/>
      <c r="C3" s="131">
        <v>2021</v>
      </c>
      <c r="D3" s="131">
        <v>2022</v>
      </c>
      <c r="E3" s="131">
        <v>2023</v>
      </c>
      <c r="F3" s="131">
        <v>2024</v>
      </c>
      <c r="G3" s="131">
        <v>2025</v>
      </c>
      <c r="H3" s="132" t="s">
        <v>390</v>
      </c>
      <c r="I3" s="129"/>
      <c r="N3" s="128">
        <v>2021</v>
      </c>
      <c r="O3" s="128">
        <v>2022</v>
      </c>
      <c r="P3" s="128">
        <v>2023</v>
      </c>
      <c r="Q3" s="128">
        <v>2024</v>
      </c>
      <c r="R3" s="128">
        <v>2025</v>
      </c>
    </row>
    <row r="4" spans="2:18" x14ac:dyDescent="0.2">
      <c r="B4" s="129" t="s">
        <v>128</v>
      </c>
      <c r="C4" s="133">
        <v>322</v>
      </c>
      <c r="D4" s="133">
        <v>570</v>
      </c>
      <c r="E4" s="133">
        <v>359</v>
      </c>
      <c r="F4" s="133">
        <v>560</v>
      </c>
      <c r="G4" s="134">
        <f>F4</f>
        <v>560</v>
      </c>
      <c r="H4" s="135">
        <f>$I$23</f>
        <v>6.5602850010061404E-3</v>
      </c>
      <c r="I4" s="136" t="s">
        <v>391</v>
      </c>
      <c r="L4" s="137"/>
      <c r="M4" s="129" t="s">
        <v>128</v>
      </c>
      <c r="N4" s="138">
        <f t="shared" ref="N4:R13" si="0">C4*$H4*1000000</f>
        <v>2112411.7703239773</v>
      </c>
      <c r="O4" s="138">
        <f t="shared" si="0"/>
        <v>3739362.4505735002</v>
      </c>
      <c r="P4" s="138">
        <f t="shared" si="0"/>
        <v>2355142.3153612046</v>
      </c>
      <c r="Q4" s="138">
        <f t="shared" si="0"/>
        <v>3673759.6005634386</v>
      </c>
      <c r="R4" s="138">
        <f t="shared" si="0"/>
        <v>3673759.6005634386</v>
      </c>
    </row>
    <row r="5" spans="2:18" x14ac:dyDescent="0.2">
      <c r="B5" s="139" t="s">
        <v>315</v>
      </c>
      <c r="C5" s="140">
        <v>10</v>
      </c>
      <c r="D5" s="140">
        <v>4</v>
      </c>
      <c r="E5" s="140">
        <v>20</v>
      </c>
      <c r="F5" s="140">
        <v>65</v>
      </c>
      <c r="G5" s="134">
        <f>F5</f>
        <v>65</v>
      </c>
      <c r="H5" s="135">
        <f>$I$23</f>
        <v>6.5602850010061404E-3</v>
      </c>
      <c r="I5" s="136" t="str">
        <f>I4</f>
        <v>% of provincial kWh</v>
      </c>
      <c r="L5" s="136"/>
      <c r="M5" s="139" t="s">
        <v>315</v>
      </c>
      <c r="N5" s="138">
        <f t="shared" si="0"/>
        <v>65602.850010061404</v>
      </c>
      <c r="O5" s="138">
        <f t="shared" si="0"/>
        <v>26241.140004024561</v>
      </c>
      <c r="P5" s="138">
        <f t="shared" si="0"/>
        <v>131205.70002012281</v>
      </c>
      <c r="Q5" s="138">
        <f t="shared" si="0"/>
        <v>426418.52506539912</v>
      </c>
      <c r="R5" s="138">
        <f t="shared" si="0"/>
        <v>426418.52506539912</v>
      </c>
    </row>
    <row r="6" spans="2:18" x14ac:dyDescent="0.2">
      <c r="B6" s="129" t="s">
        <v>392</v>
      </c>
      <c r="C6" s="133">
        <v>16</v>
      </c>
      <c r="D6" s="133">
        <v>20</v>
      </c>
      <c r="E6" s="133">
        <v>50</v>
      </c>
      <c r="F6" s="133">
        <v>54</v>
      </c>
      <c r="G6" s="134">
        <f t="shared" ref="G6:G13" si="1">F6</f>
        <v>54</v>
      </c>
      <c r="H6" s="135">
        <f>$I$23/2</f>
        <v>3.2801425005030702E-3</v>
      </c>
      <c r="I6" s="136" t="str">
        <f>I5</f>
        <v>% of provincial kWh</v>
      </c>
      <c r="L6" s="136"/>
      <c r="M6" s="129" t="s">
        <v>392</v>
      </c>
      <c r="N6" s="138">
        <f t="shared" si="0"/>
        <v>52482.280008049122</v>
      </c>
      <c r="O6" s="138">
        <f t="shared" si="0"/>
        <v>65602.850010061404</v>
      </c>
      <c r="P6" s="138">
        <f t="shared" si="0"/>
        <v>164007.12502515351</v>
      </c>
      <c r="Q6" s="138">
        <f t="shared" si="0"/>
        <v>177127.69502716581</v>
      </c>
      <c r="R6" s="138">
        <f t="shared" si="0"/>
        <v>177127.69502716581</v>
      </c>
    </row>
    <row r="7" spans="2:18" x14ac:dyDescent="0.2">
      <c r="B7" s="139" t="s">
        <v>393</v>
      </c>
      <c r="C7" s="140">
        <v>1</v>
      </c>
      <c r="D7" s="140">
        <v>15</v>
      </c>
      <c r="E7" s="140">
        <v>29</v>
      </c>
      <c r="F7" s="140">
        <v>96</v>
      </c>
      <c r="G7" s="134">
        <f t="shared" si="1"/>
        <v>96</v>
      </c>
      <c r="H7" s="135">
        <f>$I$23/2</f>
        <v>3.2801425005030702E-3</v>
      </c>
      <c r="I7" s="136" t="str">
        <f>I6</f>
        <v>% of provincial kWh</v>
      </c>
      <c r="L7" s="127" t="s">
        <v>394</v>
      </c>
      <c r="M7" s="139" t="s">
        <v>393</v>
      </c>
      <c r="N7" s="138">
        <f t="shared" si="0"/>
        <v>3280.1425005030701</v>
      </c>
      <c r="O7" s="138">
        <f t="shared" si="0"/>
        <v>49202.137507546053</v>
      </c>
      <c r="P7" s="138">
        <f t="shared" si="0"/>
        <v>95124.132514589044</v>
      </c>
      <c r="Q7" s="138">
        <f t="shared" si="0"/>
        <v>314893.68004829477</v>
      </c>
      <c r="R7" s="138">
        <f t="shared" si="0"/>
        <v>314893.68004829477</v>
      </c>
    </row>
    <row r="8" spans="2:18" x14ac:dyDescent="0.2">
      <c r="B8" s="129" t="s">
        <v>395</v>
      </c>
      <c r="C8" s="133">
        <v>0</v>
      </c>
      <c r="D8" s="133">
        <v>0</v>
      </c>
      <c r="E8" s="133">
        <v>165</v>
      </c>
      <c r="F8" s="133">
        <v>165</v>
      </c>
      <c r="G8" s="134">
        <f t="shared" si="1"/>
        <v>165</v>
      </c>
      <c r="H8" s="135">
        <f>$I$23/4</f>
        <v>1.6400712502515351E-3</v>
      </c>
      <c r="I8" s="136" t="str">
        <f>I7</f>
        <v>% of provincial kWh</v>
      </c>
      <c r="L8" s="136"/>
      <c r="M8" s="129" t="s">
        <v>395</v>
      </c>
      <c r="N8" s="138">
        <f t="shared" si="0"/>
        <v>0</v>
      </c>
      <c r="O8" s="138">
        <f t="shared" si="0"/>
        <v>0</v>
      </c>
      <c r="P8" s="138">
        <f t="shared" si="0"/>
        <v>270611.75629150332</v>
      </c>
      <c r="Q8" s="138">
        <f t="shared" si="0"/>
        <v>270611.75629150332</v>
      </c>
      <c r="R8" s="138">
        <f t="shared" si="0"/>
        <v>270611.75629150332</v>
      </c>
    </row>
    <row r="9" spans="2:18" x14ac:dyDescent="0.2">
      <c r="B9" s="139" t="s">
        <v>396</v>
      </c>
      <c r="C9" s="140">
        <v>0</v>
      </c>
      <c r="D9" s="140">
        <v>0</v>
      </c>
      <c r="E9" s="140">
        <v>333</v>
      </c>
      <c r="F9" s="140">
        <v>333</v>
      </c>
      <c r="G9" s="134">
        <f t="shared" si="1"/>
        <v>333</v>
      </c>
      <c r="H9" s="135">
        <v>0</v>
      </c>
      <c r="I9" s="136"/>
      <c r="L9" s="136"/>
      <c r="M9" s="139" t="s">
        <v>396</v>
      </c>
      <c r="N9" s="138">
        <f t="shared" si="0"/>
        <v>0</v>
      </c>
      <c r="O9" s="138">
        <f t="shared" si="0"/>
        <v>0</v>
      </c>
      <c r="P9" s="138">
        <f t="shared" si="0"/>
        <v>0</v>
      </c>
      <c r="Q9" s="138">
        <f t="shared" si="0"/>
        <v>0</v>
      </c>
      <c r="R9" s="138">
        <f t="shared" si="0"/>
        <v>0</v>
      </c>
    </row>
    <row r="10" spans="2:18" x14ac:dyDescent="0.2">
      <c r="B10" s="129" t="s">
        <v>397</v>
      </c>
      <c r="C10" s="133">
        <v>0</v>
      </c>
      <c r="D10" s="133">
        <v>61</v>
      </c>
      <c r="E10" s="133">
        <v>161</v>
      </c>
      <c r="F10" s="133">
        <v>181</v>
      </c>
      <c r="G10" s="134">
        <f t="shared" si="1"/>
        <v>181</v>
      </c>
      <c r="H10" s="135">
        <v>0</v>
      </c>
      <c r="L10" s="137"/>
      <c r="M10" s="129" t="s">
        <v>397</v>
      </c>
      <c r="N10" s="138">
        <f t="shared" si="0"/>
        <v>0</v>
      </c>
      <c r="O10" s="138">
        <f t="shared" si="0"/>
        <v>0</v>
      </c>
      <c r="P10" s="138">
        <f t="shared" si="0"/>
        <v>0</v>
      </c>
      <c r="Q10" s="138">
        <f t="shared" si="0"/>
        <v>0</v>
      </c>
      <c r="R10" s="138">
        <f t="shared" si="0"/>
        <v>0</v>
      </c>
    </row>
    <row r="11" spans="2:18" x14ac:dyDescent="0.2">
      <c r="B11" s="139" t="s">
        <v>398</v>
      </c>
      <c r="C11" s="140">
        <v>0</v>
      </c>
      <c r="D11" s="140">
        <v>0</v>
      </c>
      <c r="E11" s="140">
        <v>3</v>
      </c>
      <c r="F11" s="140">
        <v>7</v>
      </c>
      <c r="G11" s="134">
        <f t="shared" si="1"/>
        <v>7</v>
      </c>
      <c r="H11" s="135">
        <v>0</v>
      </c>
      <c r="I11" s="136"/>
      <c r="L11" s="136"/>
      <c r="M11" s="139" t="s">
        <v>398</v>
      </c>
      <c r="N11" s="138">
        <f t="shared" si="0"/>
        <v>0</v>
      </c>
      <c r="O11" s="138">
        <f t="shared" si="0"/>
        <v>0</v>
      </c>
      <c r="P11" s="138">
        <f t="shared" si="0"/>
        <v>0</v>
      </c>
      <c r="Q11" s="138">
        <f t="shared" si="0"/>
        <v>0</v>
      </c>
      <c r="R11" s="138">
        <f t="shared" si="0"/>
        <v>0</v>
      </c>
    </row>
    <row r="12" spans="2:18" x14ac:dyDescent="0.2">
      <c r="B12" s="129" t="s">
        <v>399</v>
      </c>
      <c r="C12" s="133">
        <v>7</v>
      </c>
      <c r="D12" s="133">
        <v>14</v>
      </c>
      <c r="E12" s="133">
        <v>49</v>
      </c>
      <c r="F12" s="133">
        <v>97</v>
      </c>
      <c r="G12" s="134">
        <f t="shared" si="1"/>
        <v>97</v>
      </c>
      <c r="H12" s="135">
        <f>I35</f>
        <v>9.8407868049004976E-3</v>
      </c>
      <c r="I12" s="137" t="s">
        <v>400</v>
      </c>
      <c r="L12" s="136"/>
      <c r="M12" s="129" t="s">
        <v>399</v>
      </c>
      <c r="N12" s="138">
        <f t="shared" si="0"/>
        <v>68885.507634303489</v>
      </c>
      <c r="O12" s="138">
        <f t="shared" si="0"/>
        <v>137771.01526860698</v>
      </c>
      <c r="P12" s="138">
        <f t="shared" si="0"/>
        <v>482198.55344012444</v>
      </c>
      <c r="Q12" s="138">
        <f t="shared" si="0"/>
        <v>954556.32007534825</v>
      </c>
      <c r="R12" s="138">
        <f t="shared" si="0"/>
        <v>954556.32007534825</v>
      </c>
    </row>
    <row r="13" spans="2:18" x14ac:dyDescent="0.2">
      <c r="B13" s="139" t="s">
        <v>401</v>
      </c>
      <c r="C13" s="140">
        <v>1</v>
      </c>
      <c r="D13" s="140">
        <v>0</v>
      </c>
      <c r="E13" s="140">
        <v>15</v>
      </c>
      <c r="F13" s="140">
        <v>16</v>
      </c>
      <c r="G13" s="134">
        <f t="shared" si="1"/>
        <v>16</v>
      </c>
      <c r="H13" s="135">
        <v>0</v>
      </c>
      <c r="L13" s="136"/>
      <c r="M13" s="139" t="s">
        <v>401</v>
      </c>
      <c r="N13" s="138">
        <f t="shared" si="0"/>
        <v>0</v>
      </c>
      <c r="O13" s="138">
        <f t="shared" si="0"/>
        <v>0</v>
      </c>
      <c r="P13" s="138">
        <f t="shared" si="0"/>
        <v>0</v>
      </c>
      <c r="Q13" s="138">
        <f t="shared" si="0"/>
        <v>0</v>
      </c>
      <c r="R13" s="138">
        <f t="shared" si="0"/>
        <v>0</v>
      </c>
    </row>
    <row r="14" spans="2:18" x14ac:dyDescent="0.2">
      <c r="B14" s="129"/>
      <c r="C14" s="141">
        <f>SUM(C4:C13)</f>
        <v>357</v>
      </c>
      <c r="D14" s="141">
        <f>SUM(D4:D13)</f>
        <v>684</v>
      </c>
      <c r="E14" s="141">
        <f>SUM(E4:E13)</f>
        <v>1184</v>
      </c>
      <c r="F14" s="141">
        <f>SUM(F4:F13)</f>
        <v>1574</v>
      </c>
      <c r="G14" s="142">
        <f>SUM(G4:G13)</f>
        <v>1574</v>
      </c>
      <c r="H14" s="142"/>
      <c r="I14" s="142"/>
      <c r="J14" s="136"/>
      <c r="M14" s="141"/>
      <c r="N14" s="143">
        <f>SUM(N4:N13)</f>
        <v>2302662.5504768942</v>
      </c>
      <c r="O14" s="143">
        <f t="shared" ref="O14:R14" si="2">SUM(O4:O13)</f>
        <v>4018179.5933637391</v>
      </c>
      <c r="P14" s="143">
        <f t="shared" si="2"/>
        <v>3498289.5826526978</v>
      </c>
      <c r="Q14" s="143">
        <f t="shared" si="2"/>
        <v>5817367.5770711489</v>
      </c>
      <c r="R14" s="143">
        <f t="shared" si="2"/>
        <v>5817367.5770711489</v>
      </c>
    </row>
    <row r="15" spans="2:18" x14ac:dyDescent="0.2">
      <c r="B15" s="129"/>
      <c r="C15" s="141"/>
      <c r="D15" s="144">
        <f>D14/C14</f>
        <v>1.9159663865546219</v>
      </c>
      <c r="E15" s="144">
        <f>E14/D14</f>
        <v>1.7309941520467835</v>
      </c>
      <c r="F15" s="144">
        <f>F14/E14</f>
        <v>1.3293918918918919</v>
      </c>
      <c r="G15" s="129"/>
      <c r="H15" s="136"/>
      <c r="M15" s="141"/>
      <c r="N15" s="143"/>
      <c r="O15" s="143"/>
      <c r="P15" s="143"/>
      <c r="Q15" s="143"/>
      <c r="R15" s="143"/>
    </row>
    <row r="16" spans="2:18" x14ac:dyDescent="0.2">
      <c r="B16" s="129" t="s">
        <v>402</v>
      </c>
      <c r="C16" s="129" t="s">
        <v>403</v>
      </c>
      <c r="D16" s="129"/>
      <c r="E16" s="129"/>
      <c r="F16" s="129"/>
      <c r="G16" s="129" t="s">
        <v>404</v>
      </c>
      <c r="H16" s="136"/>
    </row>
    <row r="17" spans="2:18" x14ac:dyDescent="0.2">
      <c r="B17" s="129"/>
      <c r="C17" s="129"/>
      <c r="D17" s="129"/>
      <c r="E17" s="129"/>
      <c r="F17" s="129"/>
      <c r="G17" s="129" t="s">
        <v>405</v>
      </c>
      <c r="H17" s="129"/>
      <c r="I17" s="129"/>
    </row>
    <row r="18" spans="2:18" x14ac:dyDescent="0.2">
      <c r="B18" s="145"/>
      <c r="C18" s="146"/>
      <c r="D18" s="146"/>
      <c r="E18" s="146"/>
      <c r="F18" s="146"/>
      <c r="G18" s="146"/>
      <c r="H18" s="146"/>
      <c r="I18" s="147"/>
      <c r="L18" s="148"/>
      <c r="M18" s="149" t="str">
        <f t="shared" ref="M18:M27" si="3">M4</f>
        <v>Retrofit</v>
      </c>
      <c r="N18" s="150">
        <f t="shared" ref="N18:N27" si="4">N4/2</f>
        <v>1056205.8851619887</v>
      </c>
      <c r="O18" s="150">
        <f t="shared" ref="O18:O27" si="5">O4/2+N4/2</f>
        <v>2925887.1104487386</v>
      </c>
      <c r="P18" s="150">
        <f t="shared" ref="P18:P27" si="6">P4/2+O4+$N4/2</f>
        <v>5973139.4934160914</v>
      </c>
      <c r="Q18" s="150">
        <f>Q4/2+SUM($O4:P4)+$N4/2</f>
        <v>8987590.4513784125</v>
      </c>
      <c r="R18" s="151">
        <f>R4/2+SUM($O4:Q4)+$N4/2</f>
        <v>12661350.051941849</v>
      </c>
    </row>
    <row r="19" spans="2:18" x14ac:dyDescent="0.2">
      <c r="B19" s="145"/>
      <c r="C19" s="146"/>
      <c r="D19" s="146"/>
      <c r="E19" s="146"/>
      <c r="F19" s="146"/>
      <c r="G19" s="146"/>
      <c r="H19" s="146"/>
      <c r="I19" s="147"/>
      <c r="L19" s="152"/>
      <c r="M19" s="127" t="str">
        <f t="shared" si="3"/>
        <v>Small Business</v>
      </c>
      <c r="N19" s="153">
        <f t="shared" si="4"/>
        <v>32801.425005030702</v>
      </c>
      <c r="O19" s="153">
        <f t="shared" si="5"/>
        <v>45921.995007042984</v>
      </c>
      <c r="P19" s="153">
        <f t="shared" si="6"/>
        <v>124645.41501911667</v>
      </c>
      <c r="Q19" s="153">
        <f>Q5/2+SUM($O5:P5)+$N5/2</f>
        <v>403457.52756187762</v>
      </c>
      <c r="R19" s="154">
        <f>R5/2+SUM($O5:Q5)+$N5/2</f>
        <v>829876.05262727675</v>
      </c>
    </row>
    <row r="20" spans="2:18" x14ac:dyDescent="0.2">
      <c r="B20" s="155" t="s">
        <v>343</v>
      </c>
      <c r="C20" s="156">
        <v>2018</v>
      </c>
      <c r="D20" s="156">
        <v>2019</v>
      </c>
      <c r="E20" s="156">
        <v>2020</v>
      </c>
      <c r="F20" s="156">
        <v>2021</v>
      </c>
      <c r="G20" s="156">
        <v>2022</v>
      </c>
      <c r="H20" s="156"/>
      <c r="I20" s="157" t="s">
        <v>406</v>
      </c>
      <c r="J20" s="132"/>
      <c r="K20" s="132"/>
      <c r="L20" s="152"/>
      <c r="M20" s="127" t="str">
        <f t="shared" si="3"/>
        <v xml:space="preserve">Energy Performance </v>
      </c>
      <c r="N20" s="153">
        <f t="shared" si="4"/>
        <v>26241.140004024561</v>
      </c>
      <c r="O20" s="153">
        <f t="shared" si="5"/>
        <v>59042.565009055266</v>
      </c>
      <c r="P20" s="153">
        <f t="shared" si="6"/>
        <v>173847.55252666271</v>
      </c>
      <c r="Q20" s="153">
        <f>Q6/2+SUM($O6:P6)+$N6/2</f>
        <v>344414.96255282237</v>
      </c>
      <c r="R20" s="154">
        <f>R6/2+SUM($O6:Q6)+$N6/2</f>
        <v>521542.65757998818</v>
      </c>
    </row>
    <row r="21" spans="2:18" x14ac:dyDescent="0.2">
      <c r="B21" s="158" t="s">
        <v>407</v>
      </c>
      <c r="C21" s="159">
        <v>132430891803.83586</v>
      </c>
      <c r="D21" s="159">
        <v>129776205940.17464</v>
      </c>
      <c r="E21" s="159">
        <v>128180478159.40999</v>
      </c>
      <c r="F21" s="159">
        <v>129125642651.85997</v>
      </c>
      <c r="G21" s="159">
        <v>130831607586.52003</v>
      </c>
      <c r="H21" s="159"/>
      <c r="I21" s="160">
        <f>AVERAGE(C21:G21)</f>
        <v>130068965228.36011</v>
      </c>
      <c r="J21" s="143"/>
      <c r="K21" s="143"/>
      <c r="L21" s="161" t="s">
        <v>408</v>
      </c>
      <c r="M21" s="127" t="str">
        <f t="shared" si="3"/>
        <v>Energy Management</v>
      </c>
      <c r="N21" s="153">
        <f t="shared" si="4"/>
        <v>1640.071250251535</v>
      </c>
      <c r="O21" s="153">
        <f t="shared" si="5"/>
        <v>26241.140004024561</v>
      </c>
      <c r="P21" s="153">
        <f t="shared" si="6"/>
        <v>98404.27501509212</v>
      </c>
      <c r="Q21" s="153">
        <f>Q7/2+SUM($O7:P7)+$N7/2</f>
        <v>303413.18129653408</v>
      </c>
      <c r="R21" s="154">
        <f>R7/2+SUM($O7:Q7)+$N7/2</f>
        <v>618306.86134482874</v>
      </c>
    </row>
    <row r="22" spans="2:18" x14ac:dyDescent="0.2">
      <c r="B22" s="158" t="s">
        <v>230</v>
      </c>
      <c r="C22" s="162">
        <v>882648175.17000008</v>
      </c>
      <c r="D22" s="162">
        <v>870983034.53000009</v>
      </c>
      <c r="E22" s="162">
        <v>837984725.44000006</v>
      </c>
      <c r="F22" s="162">
        <v>824501208.51999998</v>
      </c>
      <c r="G22" s="162">
        <v>850330264.75999999</v>
      </c>
      <c r="H22" s="162"/>
      <c r="I22" s="160">
        <f>AVERAGE(C22:G22)</f>
        <v>853289481.68400002</v>
      </c>
      <c r="J22" s="143"/>
      <c r="K22" s="143"/>
      <c r="L22" s="163" t="s">
        <v>409</v>
      </c>
      <c r="M22" s="127" t="str">
        <f t="shared" si="3"/>
        <v>Industrial Energy Efficiency</v>
      </c>
      <c r="N22" s="153">
        <f t="shared" si="4"/>
        <v>0</v>
      </c>
      <c r="O22" s="153">
        <f t="shared" si="5"/>
        <v>0</v>
      </c>
      <c r="P22" s="153">
        <f t="shared" si="6"/>
        <v>135305.87814575166</v>
      </c>
      <c r="Q22" s="153">
        <f>Q8/2+SUM($O8:P8)+$N8/2</f>
        <v>405917.63443725498</v>
      </c>
      <c r="R22" s="154">
        <f>R8/2+SUM($O8:Q8)+$N8/2</f>
        <v>676529.3907287583</v>
      </c>
    </row>
    <row r="23" spans="2:18" x14ac:dyDescent="0.2">
      <c r="B23" s="158" t="s">
        <v>410</v>
      </c>
      <c r="C23" s="164">
        <f>C22/C21</f>
        <v>6.6649719196743657E-3</v>
      </c>
      <c r="D23" s="164">
        <f>D22/D21</f>
        <v>6.7114231628216453E-3</v>
      </c>
      <c r="E23" s="164">
        <f>E22/E21</f>
        <v>6.5375378331624821E-3</v>
      </c>
      <c r="F23" s="164">
        <f>F22/F21</f>
        <v>6.3852631560019852E-3</v>
      </c>
      <c r="G23" s="164">
        <f>G22/G21</f>
        <v>6.499425333420821E-3</v>
      </c>
      <c r="H23" s="164"/>
      <c r="I23" s="165">
        <f>I22/I21</f>
        <v>6.5602850010061404E-3</v>
      </c>
      <c r="J23" s="166"/>
      <c r="K23" s="166"/>
      <c r="L23" s="152"/>
      <c r="M23" s="127" t="str">
        <f t="shared" si="3"/>
        <v>Targeted Greenhouse</v>
      </c>
      <c r="N23" s="153">
        <f t="shared" si="4"/>
        <v>0</v>
      </c>
      <c r="O23" s="153">
        <f t="shared" si="5"/>
        <v>0</v>
      </c>
      <c r="P23" s="153">
        <f t="shared" si="6"/>
        <v>0</v>
      </c>
      <c r="Q23" s="153">
        <f>Q9/2+SUM($O9:P9)+$N9/2</f>
        <v>0</v>
      </c>
      <c r="R23" s="154">
        <f>R9/2+SUM($O9:Q9)+$N9/2</f>
        <v>0</v>
      </c>
    </row>
    <row r="24" spans="2:18" x14ac:dyDescent="0.2">
      <c r="B24" s="158"/>
      <c r="C24" s="129"/>
      <c r="D24" s="129"/>
      <c r="E24" s="129"/>
      <c r="F24" s="129"/>
      <c r="G24" s="129"/>
      <c r="H24" s="129"/>
      <c r="I24" s="167"/>
      <c r="J24" s="141"/>
      <c r="K24" s="141"/>
      <c r="L24" s="152"/>
      <c r="M24" s="127" t="str">
        <f t="shared" si="3"/>
        <v>Local Initiatives</v>
      </c>
      <c r="N24" s="153">
        <f t="shared" si="4"/>
        <v>0</v>
      </c>
      <c r="O24" s="153">
        <f t="shared" si="5"/>
        <v>0</v>
      </c>
      <c r="P24" s="153">
        <f t="shared" si="6"/>
        <v>0</v>
      </c>
      <c r="Q24" s="153">
        <f>Q10/2+SUM($O10:P10)+$N10/2</f>
        <v>0</v>
      </c>
      <c r="R24" s="154">
        <f>R10/2+SUM($O10:Q10)+$N10/2</f>
        <v>0</v>
      </c>
    </row>
    <row r="25" spans="2:18" x14ac:dyDescent="0.2">
      <c r="B25" s="158" t="s">
        <v>402</v>
      </c>
      <c r="C25" s="129" t="s">
        <v>411</v>
      </c>
      <c r="D25" s="129"/>
      <c r="E25" s="129"/>
      <c r="F25" s="129"/>
      <c r="G25" s="129"/>
      <c r="H25" s="129"/>
      <c r="I25" s="168"/>
      <c r="L25" s="169"/>
      <c r="M25" s="127" t="str">
        <f t="shared" si="3"/>
        <v>Residential Demand Response</v>
      </c>
      <c r="N25" s="153">
        <f t="shared" si="4"/>
        <v>0</v>
      </c>
      <c r="O25" s="153">
        <f t="shared" si="5"/>
        <v>0</v>
      </c>
      <c r="P25" s="153">
        <f t="shared" si="6"/>
        <v>0</v>
      </c>
      <c r="Q25" s="153">
        <f>Q11/2+SUM($O11:P11)+$N11/2</f>
        <v>0</v>
      </c>
      <c r="R25" s="154">
        <f>R11/2+SUM($O11:Q11)+$N11/2</f>
        <v>0</v>
      </c>
    </row>
    <row r="26" spans="2:18" x14ac:dyDescent="0.2">
      <c r="B26" s="152"/>
      <c r="I26" s="170"/>
      <c r="L26" s="152"/>
      <c r="M26" s="127" t="str">
        <f t="shared" si="3"/>
        <v>Energy Affordability Program</v>
      </c>
      <c r="N26" s="153">
        <f t="shared" si="4"/>
        <v>34442.753817151744</v>
      </c>
      <c r="O26" s="153">
        <f t="shared" si="5"/>
        <v>103328.26145145524</v>
      </c>
      <c r="P26" s="153">
        <f t="shared" si="6"/>
        <v>413313.04580582096</v>
      </c>
      <c r="Q26" s="153">
        <f>Q12/2+SUM($O12:P12)+$N12/2</f>
        <v>1131690.4825635573</v>
      </c>
      <c r="R26" s="154">
        <f>R12/2+SUM($O12:Q12)+$N12/2</f>
        <v>2086246.8026389056</v>
      </c>
    </row>
    <row r="27" spans="2:18" x14ac:dyDescent="0.2">
      <c r="B27" s="158"/>
      <c r="C27" s="171"/>
      <c r="D27" s="171"/>
      <c r="E27" s="171"/>
      <c r="F27" s="171"/>
      <c r="G27" s="171"/>
      <c r="H27" s="171"/>
      <c r="I27" s="172"/>
      <c r="L27" s="152"/>
      <c r="M27" s="127" t="str">
        <f t="shared" si="3"/>
        <v>First Nations Program</v>
      </c>
      <c r="N27" s="153">
        <f t="shared" si="4"/>
        <v>0</v>
      </c>
      <c r="O27" s="153">
        <f t="shared" si="5"/>
        <v>0</v>
      </c>
      <c r="P27" s="153">
        <f t="shared" si="6"/>
        <v>0</v>
      </c>
      <c r="Q27" s="153">
        <f>Q13/2+SUM($O13:P13)+$N13/2</f>
        <v>0</v>
      </c>
      <c r="R27" s="154">
        <f>R13/2+SUM($O13:Q13)+$N13/2</f>
        <v>0</v>
      </c>
    </row>
    <row r="28" spans="2:18" x14ac:dyDescent="0.2">
      <c r="B28" s="158"/>
      <c r="C28" s="171"/>
      <c r="D28" s="171"/>
      <c r="E28" s="171"/>
      <c r="F28" s="171"/>
      <c r="G28" s="171"/>
      <c r="I28" s="172"/>
      <c r="J28" s="141"/>
      <c r="K28" s="141"/>
      <c r="L28" s="173"/>
      <c r="M28" s="141" t="s">
        <v>97</v>
      </c>
      <c r="N28" s="143">
        <f>SUM(N18:N27)</f>
        <v>1151331.2752384471</v>
      </c>
      <c r="O28" s="143">
        <f t="shared" ref="O28:R28" si="7">SUM(O18:O27)</f>
        <v>3160421.0719203162</v>
      </c>
      <c r="P28" s="143">
        <f t="shared" si="7"/>
        <v>6918655.659928536</v>
      </c>
      <c r="Q28" s="143">
        <f t="shared" si="7"/>
        <v>11576484.23979046</v>
      </c>
      <c r="R28" s="160">
        <f t="shared" si="7"/>
        <v>17393851.816861607</v>
      </c>
    </row>
    <row r="29" spans="2:18" x14ac:dyDescent="0.2">
      <c r="B29" s="158"/>
      <c r="C29" s="129"/>
      <c r="D29" s="129"/>
      <c r="E29" s="129"/>
      <c r="F29" s="129"/>
      <c r="G29" s="129"/>
      <c r="H29" s="129"/>
      <c r="I29" s="168"/>
      <c r="J29" s="141"/>
      <c r="K29" s="141"/>
      <c r="L29" s="173"/>
      <c r="R29" s="170"/>
    </row>
    <row r="30" spans="2:18" x14ac:dyDescent="0.2">
      <c r="B30" s="145"/>
      <c r="C30" s="146"/>
      <c r="D30" s="146"/>
      <c r="E30" s="146"/>
      <c r="F30" s="146"/>
      <c r="G30" s="146"/>
      <c r="H30" s="146"/>
      <c r="I30" s="147"/>
      <c r="J30" s="141"/>
      <c r="K30" s="141"/>
      <c r="L30" s="174"/>
      <c r="M30" s="127" t="s">
        <v>91</v>
      </c>
      <c r="N30" s="175">
        <f>$M$47*N$18+$M$48*N$19+$M$49*N$20+$M$50*N$21+$M$51*N$22+$M$52*N$23+$M$53*N$24+$M$54*N$25+$M$55*N$26+$M$56*N$27</f>
        <v>34442.753817151744</v>
      </c>
      <c r="O30" s="175">
        <f>$M$47*O$18+$M$48*O$19+$M$49*O$20+$M$50*O$21+$M$51*O$22+$M$52*O$23+$M$53*O$24+$M$54*O$25+$M$55*O$26+$M$56*O$27</f>
        <v>103328.26145145524</v>
      </c>
      <c r="P30" s="175">
        <f>$M$47*P$18+$M$48*P$19+$M$49*P$20+$M$50*P$21+$M$51*P$22+$M$52*P$23+$M$53*P$24+$M$54*P$25+$M$55*P$26+$M$56*P$27</f>
        <v>413313.04580582096</v>
      </c>
      <c r="Q30" s="175">
        <f>$M$47*Q$18+$M$48*Q$19+$M$49*Q$20+$M$50*Q$21+$M$51*Q$22+$M$52*Q$23+$M$53*Q$24+$M$54*Q$25+$M$55*Q$26+$M$56*Q$27</f>
        <v>1131690.4825635573</v>
      </c>
      <c r="R30" s="176">
        <f>$M$47*R$18+$M$48*R$19+$M$49*R$20+$M$50*R$21+$M$51*R$22+$M$52*R$23+$M$53*R$24+$M$54*R$25+$M$55*R$26+$M$56*R$27</f>
        <v>2086246.8026389056</v>
      </c>
    </row>
    <row r="31" spans="2:18" ht="15" x14ac:dyDescent="0.25">
      <c r="B31" s="155" t="s">
        <v>412</v>
      </c>
      <c r="C31" s="141">
        <v>2018</v>
      </c>
      <c r="D31" s="141">
        <v>2019</v>
      </c>
      <c r="E31" s="177">
        <v>2020</v>
      </c>
      <c r="F31" s="141">
        <v>2021</v>
      </c>
      <c r="G31" s="141">
        <v>2022</v>
      </c>
      <c r="H31" s="129"/>
      <c r="I31" s="167" t="s">
        <v>105</v>
      </c>
      <c r="J31" s="141"/>
      <c r="K31" s="141"/>
      <c r="L31" s="161" t="s">
        <v>408</v>
      </c>
      <c r="M31" s="127" t="s">
        <v>349</v>
      </c>
      <c r="N31" s="175">
        <f>$N$47*N$18+$N$48*N$19+$N$49*N$20+$N$50*N$21+$N$51*N$22+$N$52*N$23+$N$53*N$24+$N$54*N$25+$N$55*N$26+$N$56*N$27</f>
        <v>296852.89629552787</v>
      </c>
      <c r="O31" s="175">
        <f>$N$47*O$18+$N$48*O$19+$N$49*O$20+$N$50*O$21+$N$51*O$22+$N$52*O$23+$N$53*O$24+$N$54*O$25+$N$55*O$26+$N$56*O$27</f>
        <v>777393.77261922765</v>
      </c>
      <c r="P31" s="175">
        <f>$N$47*P$18+$N$48*P$19+$N$49*P$20+$N$50*P$21+$N$51*P$22+$N$52*P$23+$N$53*P$24+$N$54*P$25+$N$55*P$26+$N$56*P$27</f>
        <v>1617930.2883731395</v>
      </c>
      <c r="Q31" s="175">
        <f>$N$47*Q$18+$N$48*Q$19+$N$49*Q$20+$N$50*Q$21+$N$51*Q$22+$N$52*Q$23+$N$53*Q$24+$N$54*Q$25+$N$55*Q$26+$N$56*Q$27</f>
        <v>2650355.140406481</v>
      </c>
      <c r="R31" s="176">
        <f>$N$47*R$18+$N$48*R$19+$N$49*R$20+$N$50*R$21+$N$51*R$22+$N$52*R$23+$N$53*R$24+$N$54*R$25+$N$55*R$26+$N$56*R$27</f>
        <v>3995213.565612739</v>
      </c>
    </row>
    <row r="32" spans="2:18" x14ac:dyDescent="0.2">
      <c r="B32" s="158" t="s">
        <v>407</v>
      </c>
      <c r="C32" s="212">
        <v>1358300</v>
      </c>
      <c r="D32" s="212">
        <v>1400400</v>
      </c>
      <c r="E32" s="213">
        <v>1192760</v>
      </c>
      <c r="F32" s="212">
        <v>1418720</v>
      </c>
      <c r="G32" s="8">
        <v>1616050</v>
      </c>
      <c r="H32" s="129"/>
      <c r="I32" s="160">
        <f>AVERAGE(C32:G32)</f>
        <v>1397246</v>
      </c>
      <c r="J32" s="141"/>
      <c r="K32" s="141"/>
      <c r="L32" s="163" t="s">
        <v>409</v>
      </c>
      <c r="M32" s="127" t="s">
        <v>375</v>
      </c>
      <c r="N32" s="175">
        <f>$O$47*N$18+$O$48*N$19+$O$49*N$20+$O$50*N$21+$O$51*N$22+$O$52*N$23+$O$53*N$24+$O$54*N$25+$O$55*N$26+$O$56*N$27</f>
        <v>820035.62512576766</v>
      </c>
      <c r="O32" s="175">
        <f>$O$47*O$18+$O$48*O$19+$O$49*O$20+$O$50*O$21+$O$51*O$22+$O$52*O$23+$O$53*O$24+$O$54*O$25+$O$55*O$26+$O$56*O$27</f>
        <v>2279699.0378496335</v>
      </c>
      <c r="P32" s="175">
        <f>$O$47*P$18+$O$48*P$19+$O$49*P$20+$O$50*P$21+$O$51*P$22+$O$52*P$23+$O$53*P$24+$O$54*P$25+$O$55*P$26+$O$56*P$27</f>
        <v>4887412.3257495752</v>
      </c>
      <c r="Q32" s="175">
        <f>$O$47*Q$18+$O$48*Q$19+$O$49*Q$20+$O$50*Q$21+$O$51*Q$22+$O$52*Q$23+$O$53*Q$24+$O$54*Q$25+$O$55*Q$26+$O$56*Q$27</f>
        <v>7794438.6168204201</v>
      </c>
      <c r="R32" s="176">
        <f>$O$47*R$18+$O$48*R$19+$O$49*R$20+$O$50*R$21+$O$51*R$22+$O$52*R$23+$O$53*R$24+$O$54*R$25+$O$55*R$26+$O$56*R$27</f>
        <v>11312391.448609963</v>
      </c>
    </row>
    <row r="33" spans="2:19" x14ac:dyDescent="0.2">
      <c r="B33" s="158" t="s">
        <v>413</v>
      </c>
      <c r="C33" s="212">
        <v>13490</v>
      </c>
      <c r="D33" s="212">
        <v>13930</v>
      </c>
      <c r="E33" s="213">
        <v>11750</v>
      </c>
      <c r="F33" s="212">
        <v>13930</v>
      </c>
      <c r="G33" s="8">
        <v>15650</v>
      </c>
      <c r="H33" s="141"/>
      <c r="I33" s="160">
        <f>AVERAGE(C33:G33)</f>
        <v>13750</v>
      </c>
      <c r="J33" s="141"/>
      <c r="K33" s="141"/>
      <c r="L33" s="152"/>
      <c r="N33" s="175"/>
      <c r="O33" s="175"/>
      <c r="P33" s="175"/>
      <c r="Q33" s="175"/>
      <c r="R33" s="176"/>
    </row>
    <row r="34" spans="2:19" x14ac:dyDescent="0.2">
      <c r="B34" s="158"/>
      <c r="C34" s="178"/>
      <c r="D34" s="178"/>
      <c r="E34" s="178"/>
      <c r="F34" s="178"/>
      <c r="I34" s="168"/>
      <c r="L34" s="152"/>
      <c r="M34" s="141" t="s">
        <v>97</v>
      </c>
      <c r="N34" s="143">
        <f>SUM(N30:N33)</f>
        <v>1151331.2752384474</v>
      </c>
      <c r="O34" s="143">
        <f>SUM(O30:O33)</f>
        <v>3160421.0719203167</v>
      </c>
      <c r="P34" s="143">
        <f>SUM(P30:P33)</f>
        <v>6918655.659928536</v>
      </c>
      <c r="Q34" s="143">
        <f>SUM(Q30:Q33)</f>
        <v>11576484.239790458</v>
      </c>
      <c r="R34" s="160">
        <f>SUM(R30:R33)</f>
        <v>17393851.816861607</v>
      </c>
    </row>
    <row r="35" spans="2:19" x14ac:dyDescent="0.2">
      <c r="B35" s="158" t="s">
        <v>414</v>
      </c>
      <c r="C35" s="179">
        <f>C33/C32</f>
        <v>9.9315320621364937E-3</v>
      </c>
      <c r="D35" s="179">
        <f t="shared" ref="D35:G35" si="8">D33/D32</f>
        <v>9.9471579548700371E-3</v>
      </c>
      <c r="E35" s="179">
        <f t="shared" si="8"/>
        <v>9.8511016466011608E-3</v>
      </c>
      <c r="F35" s="179">
        <f t="shared" si="8"/>
        <v>9.8187098229389879E-3</v>
      </c>
      <c r="G35" s="179">
        <f t="shared" si="8"/>
        <v>9.6841063085919363E-3</v>
      </c>
      <c r="H35" s="129"/>
      <c r="I35" s="165">
        <f>I33/I32</f>
        <v>9.8407868049004976E-3</v>
      </c>
      <c r="L35" s="152"/>
      <c r="R35" s="170"/>
    </row>
    <row r="36" spans="2:19" x14ac:dyDescent="0.2">
      <c r="B36" s="158" t="s">
        <v>402</v>
      </c>
      <c r="C36" s="129"/>
      <c r="D36" s="129"/>
      <c r="E36" s="129"/>
      <c r="F36" s="129"/>
      <c r="G36" s="129"/>
      <c r="H36" s="129"/>
      <c r="I36" s="168"/>
      <c r="L36" s="152"/>
      <c r="M36" s="127" t="str">
        <f>M30</f>
        <v>Residential</v>
      </c>
      <c r="N36" s="175">
        <f>$M$47*N$4+$M$48*N$5+$M$49*N$6+$M$50*N$7+$M$51*N$8+$M$52*N$9+$M$53*N$10+$M$54*N$11+$M$55*N$12+$M$56*N$13</f>
        <v>68885.507634303489</v>
      </c>
      <c r="O36" s="175">
        <f>$M$47*O$4+$M$48*O$5+$M$49*O$6+$M$50*O$7+$M$51*O$8+$M$52*O$9+$M$53*O$10+$M$54*O$11+$M$55*O$12+$M$56*O$13</f>
        <v>137771.01526860698</v>
      </c>
      <c r="P36" s="175">
        <f>$M$47*P$4+$M$48*P$5+$M$49*P$6+$M$50*P$7+$M$51*P$8+$M$52*P$9+$M$53*P$10+$M$54*P$11+$M$55*P$12+$M$56*P$13</f>
        <v>482198.55344012444</v>
      </c>
      <c r="Q36" s="175">
        <f>$M$47*Q$4+$M$48*Q$5+$M$49*Q$6+$M$50*Q$7+$M$51*Q$8+$M$52*Q$9+$M$53*Q$10+$M$54*Q$11+$M$55*Q$12+$M$56*Q$13</f>
        <v>954556.32007534825</v>
      </c>
      <c r="R36" s="176">
        <f>$M$47*R$4+$M$48*R$5+$M$49*R$6+$M$50*R$7+$M$51*R$8+$M$52*R$9+$M$53*R$10+$M$54*R$11+$M$55*R$12+$M$56*R$13</f>
        <v>954556.32007534825</v>
      </c>
    </row>
    <row r="37" spans="2:19" x14ac:dyDescent="0.2">
      <c r="B37" s="158"/>
      <c r="C37" s="129" t="s">
        <v>415</v>
      </c>
      <c r="D37" s="129"/>
      <c r="E37" s="129"/>
      <c r="F37" s="129"/>
      <c r="G37" s="129"/>
      <c r="H37" s="129"/>
      <c r="I37" s="168"/>
      <c r="L37" s="152"/>
      <c r="M37" s="127" t="str">
        <f>M31</f>
        <v>GS &lt; 50</v>
      </c>
      <c r="N37" s="175">
        <f>$N$47*N$4+$N$48*N$5+$N$49*N$6+$N$50*N$7+$N$51*N$8+$N$52*N$9+$N$53*N$10+$N$54*N$11+$N$55*N$12+$N$56*N$13</f>
        <v>593705.79259105574</v>
      </c>
      <c r="O37" s="175">
        <f>$N$47*O$4+$N$48*O$5+$N$49*O$6+$N$50*O$7+$N$51*O$8+$N$52*O$9+$N$53*O$10+$N$54*O$11+$N$55*O$12+$N$56*O$13</f>
        <v>961081.75264739967</v>
      </c>
      <c r="P37" s="175">
        <f>$N$47*P$4+$N$48*P$5+$N$49*P$6+$N$50*P$7+$N$51*P$8+$N$52*P$9+$N$53*P$10+$N$54*P$11+$N$55*P$12+$N$56*P$13</f>
        <v>719991.27886042395</v>
      </c>
      <c r="Q37" s="175">
        <f>$N$47*Q$4+$N$48*Q$5+$N$49*Q$6+$N$50*Q$7+$N$51*Q$8+$N$52*Q$9+$N$53*Q$10+$N$54*Q$11+$N$55*Q$12+$N$56*Q$13</f>
        <v>1344858.4252062589</v>
      </c>
      <c r="R37" s="176">
        <f>$N$47*R$4+$N$48*R$5+$N$49*R$6+$N$50*R$7+$N$51*R$8+$N$52*R$9+$N$53*R$10+$N$54*R$11+$N$55*R$12+$N$56*R$13</f>
        <v>1344858.4252062589</v>
      </c>
    </row>
    <row r="38" spans="2:19" x14ac:dyDescent="0.2">
      <c r="B38" s="180"/>
      <c r="C38" s="181"/>
      <c r="D38" s="181"/>
      <c r="E38" s="181"/>
      <c r="F38" s="181"/>
      <c r="G38" s="181"/>
      <c r="H38" s="181"/>
      <c r="I38" s="182"/>
      <c r="L38" s="152" t="s">
        <v>394</v>
      </c>
      <c r="M38" s="127" t="str">
        <f>M32</f>
        <v>GS &gt; 50</v>
      </c>
      <c r="N38" s="175">
        <f>$O$47*N$4+$O$48*N$5+$O$49*N$6+$O$50*N$7+$O$51*N$8+$O$52*N$9+$O$53*N$10+$O$54*N$11+$O$55*N$12+$O$56*N$13</f>
        <v>1640071.2502515353</v>
      </c>
      <c r="O38" s="175">
        <f>$O$47*O$4+$O$48*O$5+$O$49*O$6+$O$50*O$7+$O$51*O$8+$O$52*O$9+$O$53*O$10+$O$54*O$11+$O$55*O$12+$O$56*O$13</f>
        <v>2919326.825447733</v>
      </c>
      <c r="P38" s="175">
        <f>$O$47*P$4+$O$48*P$5+$O$49*P$6+$O$50*P$7+$O$51*P$8+$O$52*P$9+$O$53*P$10+$O$54*P$11+$O$55*P$12+$O$56*P$13</f>
        <v>2296099.7503521489</v>
      </c>
      <c r="Q38" s="175">
        <f>$O$47*Q$4+$O$48*Q$5+$O$49*Q$6+$O$50*Q$7+$O$51*Q$8+$O$52*Q$9+$O$53*Q$10+$O$54*Q$11+$O$55*Q$12+$O$56*Q$13</f>
        <v>3517952.8317895429</v>
      </c>
      <c r="R38" s="176">
        <f>$O$47*R$4+$O$48*R$5+$O$49*R$6+$O$50*R$7+$O$51*R$8+$O$52*R$9+$O$53*R$10+$O$54*R$11+$O$55*R$12+$O$56*R$13</f>
        <v>3517952.8317895429</v>
      </c>
    </row>
    <row r="39" spans="2:19" x14ac:dyDescent="0.2">
      <c r="L39" s="152"/>
      <c r="N39" s="175"/>
      <c r="O39" s="175"/>
      <c r="P39" s="175"/>
      <c r="Q39" s="175"/>
      <c r="R39" s="176"/>
    </row>
    <row r="40" spans="2:19" x14ac:dyDescent="0.2">
      <c r="L40" s="183"/>
      <c r="M40" s="184" t="s">
        <v>97</v>
      </c>
      <c r="N40" s="185">
        <f>SUM(N36:N39)</f>
        <v>2302662.5504768947</v>
      </c>
      <c r="O40" s="185">
        <f>SUM(O36:O39)</f>
        <v>4018179.5933637396</v>
      </c>
      <c r="P40" s="185">
        <f>SUM(P36:P39)</f>
        <v>3498289.5826526973</v>
      </c>
      <c r="Q40" s="185">
        <f>SUM(Q36:Q39)</f>
        <v>5817367.5770711498</v>
      </c>
      <c r="R40" s="186">
        <f>SUM(R36:R39)</f>
        <v>5817367.5770711498</v>
      </c>
    </row>
    <row r="44" spans="2:19" x14ac:dyDescent="0.2">
      <c r="L44" s="148"/>
      <c r="M44" s="146" t="s">
        <v>91</v>
      </c>
      <c r="N44" s="146" t="s">
        <v>416</v>
      </c>
      <c r="O44" s="146" t="s">
        <v>375</v>
      </c>
      <c r="P44" s="146"/>
      <c r="Q44" s="146"/>
      <c r="R44" s="149"/>
      <c r="S44" s="187"/>
    </row>
    <row r="45" spans="2:19" x14ac:dyDescent="0.2">
      <c r="L45" s="152"/>
      <c r="S45" s="170"/>
    </row>
    <row r="46" spans="2:19" x14ac:dyDescent="0.2">
      <c r="B46" s="145"/>
      <c r="C46" s="188" t="s">
        <v>388</v>
      </c>
      <c r="D46" s="188"/>
      <c r="E46" s="188"/>
      <c r="F46" s="188"/>
      <c r="G46" s="187"/>
      <c r="L46" s="152"/>
      <c r="S46" s="170"/>
    </row>
    <row r="47" spans="2:19" x14ac:dyDescent="0.2">
      <c r="B47" s="158"/>
      <c r="C47" s="131">
        <v>2021</v>
      </c>
      <c r="D47" s="131">
        <v>2023</v>
      </c>
      <c r="E47" s="131">
        <v>2024</v>
      </c>
      <c r="F47" s="131">
        <v>2025</v>
      </c>
      <c r="G47" s="168" t="s">
        <v>417</v>
      </c>
      <c r="J47" s="127" t="str">
        <f>J61</f>
        <v>Retrofit</v>
      </c>
      <c r="L47" s="152"/>
      <c r="N47" s="189">
        <v>0.25</v>
      </c>
      <c r="O47" s="189">
        <v>0.75</v>
      </c>
      <c r="P47" s="189"/>
      <c r="Q47" s="189"/>
      <c r="S47" s="190">
        <f>SUM(M47:Q47)</f>
        <v>1</v>
      </c>
    </row>
    <row r="48" spans="2:19" x14ac:dyDescent="0.2">
      <c r="B48" s="158" t="s">
        <v>418</v>
      </c>
      <c r="C48" s="191">
        <v>0</v>
      </c>
      <c r="D48" s="191">
        <v>0</v>
      </c>
      <c r="E48" s="191">
        <f>'CDM Adjustment'!J43</f>
        <v>0.57986111111111116</v>
      </c>
      <c r="F48" s="191">
        <v>0.5</v>
      </c>
      <c r="G48" s="170"/>
      <c r="J48" s="127" t="str">
        <f t="shared" ref="J48:J56" si="9">J62</f>
        <v>Small Business</v>
      </c>
      <c r="L48" s="152"/>
      <c r="N48" s="189">
        <v>1</v>
      </c>
      <c r="O48" s="189">
        <v>0</v>
      </c>
      <c r="P48" s="189"/>
      <c r="Q48" s="189"/>
      <c r="S48" s="190">
        <f t="shared" ref="S48:S55" si="10">SUM(M48:Q48)</f>
        <v>1</v>
      </c>
    </row>
    <row r="49" spans="2:20" x14ac:dyDescent="0.2">
      <c r="B49" s="158"/>
      <c r="C49" s="130"/>
      <c r="D49" s="130"/>
      <c r="E49" s="130"/>
      <c r="F49" s="130"/>
      <c r="G49" s="170"/>
      <c r="J49" s="127" t="str">
        <f t="shared" si="9"/>
        <v xml:space="preserve">Energy Performance </v>
      </c>
      <c r="L49" s="152"/>
      <c r="N49" s="189">
        <v>0</v>
      </c>
      <c r="O49" s="189">
        <v>1</v>
      </c>
      <c r="P49" s="189"/>
      <c r="Q49" s="189"/>
      <c r="S49" s="190">
        <f t="shared" si="10"/>
        <v>1</v>
      </c>
    </row>
    <row r="50" spans="2:20" x14ac:dyDescent="0.2">
      <c r="B50" s="158" t="s">
        <v>128</v>
      </c>
      <c r="C50" s="192">
        <f t="shared" ref="C50:C57" si="11">C$48*N4</f>
        <v>0</v>
      </c>
      <c r="D50" s="192">
        <f t="shared" ref="D50:F59" si="12">D$48*P4</f>
        <v>0</v>
      </c>
      <c r="E50" s="192">
        <f t="shared" si="12"/>
        <v>2130270.3239378273</v>
      </c>
      <c r="F50" s="192">
        <f t="shared" si="12"/>
        <v>1836879.8002817193</v>
      </c>
      <c r="G50" s="176">
        <f t="shared" ref="G50:G59" si="13">SUM(C50:F50)</f>
        <v>3967150.1242195466</v>
      </c>
      <c r="J50" s="127" t="str">
        <f t="shared" si="9"/>
        <v>Energy Management</v>
      </c>
      <c r="L50" s="152"/>
      <c r="N50" s="189">
        <v>0</v>
      </c>
      <c r="O50" s="189">
        <v>1</v>
      </c>
      <c r="P50" s="189"/>
      <c r="Q50" s="189"/>
      <c r="S50" s="190">
        <f t="shared" si="10"/>
        <v>1</v>
      </c>
      <c r="T50" s="127" t="s">
        <v>419</v>
      </c>
    </row>
    <row r="51" spans="2:20" x14ac:dyDescent="0.2">
      <c r="B51" s="193" t="s">
        <v>315</v>
      </c>
      <c r="C51" s="194">
        <f t="shared" si="11"/>
        <v>0</v>
      </c>
      <c r="D51" s="194">
        <f t="shared" si="12"/>
        <v>0</v>
      </c>
      <c r="E51" s="194">
        <f t="shared" si="12"/>
        <v>247263.51974278354</v>
      </c>
      <c r="F51" s="194">
        <f t="shared" si="12"/>
        <v>213209.26253269956</v>
      </c>
      <c r="G51" s="176">
        <f t="shared" si="13"/>
        <v>460472.78227548313</v>
      </c>
      <c r="J51" s="127" t="str">
        <f t="shared" si="9"/>
        <v>Industrial Energy Efficiency</v>
      </c>
      <c r="L51" s="152"/>
      <c r="N51" s="189">
        <v>0</v>
      </c>
      <c r="O51" s="189">
        <v>1</v>
      </c>
      <c r="P51" s="189"/>
      <c r="Q51" s="189"/>
      <c r="S51" s="190">
        <f t="shared" si="10"/>
        <v>1</v>
      </c>
    </row>
    <row r="52" spans="2:20" x14ac:dyDescent="0.2">
      <c r="B52" s="158" t="s">
        <v>392</v>
      </c>
      <c r="C52" s="192">
        <f t="shared" si="11"/>
        <v>0</v>
      </c>
      <c r="D52" s="192">
        <f t="shared" si="12"/>
        <v>0</v>
      </c>
      <c r="E52" s="192">
        <f t="shared" si="12"/>
        <v>102709.46204700241</v>
      </c>
      <c r="F52" s="192">
        <f t="shared" si="12"/>
        <v>88563.847513582907</v>
      </c>
      <c r="G52" s="176">
        <f t="shared" si="13"/>
        <v>191273.3095605853</v>
      </c>
      <c r="J52" s="127" t="str">
        <f t="shared" si="9"/>
        <v>Targeted Greenhouse</v>
      </c>
      <c r="L52" s="152"/>
      <c r="N52" s="189"/>
      <c r="O52" s="189"/>
      <c r="S52" s="190"/>
    </row>
    <row r="53" spans="2:20" x14ac:dyDescent="0.2">
      <c r="B53" s="193" t="s">
        <v>393</v>
      </c>
      <c r="C53" s="194">
        <f t="shared" si="11"/>
        <v>0</v>
      </c>
      <c r="D53" s="194">
        <f t="shared" si="12"/>
        <v>0</v>
      </c>
      <c r="E53" s="194">
        <f t="shared" si="12"/>
        <v>182594.59919467094</v>
      </c>
      <c r="F53" s="194">
        <f t="shared" si="12"/>
        <v>157446.84002414739</v>
      </c>
      <c r="G53" s="176">
        <f t="shared" si="13"/>
        <v>340041.43921881833</v>
      </c>
      <c r="J53" s="127" t="str">
        <f t="shared" si="9"/>
        <v>Local Initiatives</v>
      </c>
      <c r="L53" s="152"/>
      <c r="S53" s="190"/>
    </row>
    <row r="54" spans="2:20" x14ac:dyDescent="0.2">
      <c r="B54" s="158" t="s">
        <v>395</v>
      </c>
      <c r="C54" s="192">
        <f t="shared" si="11"/>
        <v>0</v>
      </c>
      <c r="D54" s="192">
        <f t="shared" si="12"/>
        <v>0</v>
      </c>
      <c r="E54" s="192">
        <f t="shared" si="12"/>
        <v>156917.23368292034</v>
      </c>
      <c r="F54" s="192">
        <f t="shared" si="12"/>
        <v>135305.87814575166</v>
      </c>
      <c r="G54" s="176">
        <f t="shared" si="13"/>
        <v>292223.111828672</v>
      </c>
      <c r="J54" s="127" t="str">
        <f t="shared" si="9"/>
        <v>Residential Demand Response</v>
      </c>
      <c r="L54" s="152"/>
      <c r="S54" s="190"/>
    </row>
    <row r="55" spans="2:20" x14ac:dyDescent="0.2">
      <c r="B55" s="193" t="s">
        <v>396</v>
      </c>
      <c r="C55" s="194">
        <f t="shared" si="11"/>
        <v>0</v>
      </c>
      <c r="D55" s="194">
        <f t="shared" si="12"/>
        <v>0</v>
      </c>
      <c r="E55" s="194">
        <f t="shared" si="12"/>
        <v>0</v>
      </c>
      <c r="F55" s="194">
        <f t="shared" si="12"/>
        <v>0</v>
      </c>
      <c r="G55" s="176">
        <f t="shared" si="13"/>
        <v>0</v>
      </c>
      <c r="J55" s="127" t="str">
        <f t="shared" si="9"/>
        <v>Energy Affordability Program</v>
      </c>
      <c r="L55" s="152"/>
      <c r="M55" s="195">
        <v>1</v>
      </c>
      <c r="S55" s="190">
        <f t="shared" si="10"/>
        <v>1</v>
      </c>
    </row>
    <row r="56" spans="2:20" x14ac:dyDescent="0.2">
      <c r="B56" s="158" t="s">
        <v>397</v>
      </c>
      <c r="C56" s="192">
        <f t="shared" si="11"/>
        <v>0</v>
      </c>
      <c r="D56" s="192">
        <f t="shared" si="12"/>
        <v>0</v>
      </c>
      <c r="E56" s="192">
        <f t="shared" si="12"/>
        <v>0</v>
      </c>
      <c r="F56" s="192">
        <f t="shared" si="12"/>
        <v>0</v>
      </c>
      <c r="G56" s="176">
        <f t="shared" si="13"/>
        <v>0</v>
      </c>
      <c r="J56" s="127" t="str">
        <f t="shared" si="9"/>
        <v>First Nations Program</v>
      </c>
      <c r="L56" s="152"/>
      <c r="S56" s="170"/>
    </row>
    <row r="57" spans="2:20" x14ac:dyDescent="0.2">
      <c r="B57" s="193" t="s">
        <v>398</v>
      </c>
      <c r="C57" s="194">
        <f t="shared" si="11"/>
        <v>0</v>
      </c>
      <c r="D57" s="194">
        <f t="shared" si="12"/>
        <v>0</v>
      </c>
      <c r="E57" s="194">
        <f t="shared" si="12"/>
        <v>0</v>
      </c>
      <c r="F57" s="194">
        <f t="shared" si="12"/>
        <v>0</v>
      </c>
      <c r="G57" s="176">
        <f t="shared" si="13"/>
        <v>0</v>
      </c>
      <c r="L57" s="183"/>
      <c r="M57" s="196"/>
      <c r="N57" s="196"/>
      <c r="O57" s="196"/>
      <c r="P57" s="196"/>
      <c r="Q57" s="196"/>
      <c r="R57" s="196"/>
      <c r="S57" s="197"/>
    </row>
    <row r="58" spans="2:20" x14ac:dyDescent="0.2">
      <c r="B58" s="158" t="s">
        <v>399</v>
      </c>
      <c r="C58" s="192"/>
      <c r="D58" s="192">
        <f t="shared" si="12"/>
        <v>0</v>
      </c>
      <c r="E58" s="192">
        <f t="shared" si="12"/>
        <v>553510.08837702486</v>
      </c>
      <c r="F58" s="192">
        <f t="shared" si="12"/>
        <v>477278.16003767413</v>
      </c>
      <c r="G58" s="176">
        <f t="shared" si="13"/>
        <v>1030788.248414699</v>
      </c>
      <c r="L58" s="148"/>
      <c r="M58" s="149"/>
      <c r="N58" s="149"/>
      <c r="O58" s="149"/>
      <c r="P58" s="149"/>
      <c r="Q58" s="149"/>
      <c r="R58" s="149"/>
      <c r="S58" s="187"/>
    </row>
    <row r="59" spans="2:20" x14ac:dyDescent="0.2">
      <c r="B59" s="193" t="s">
        <v>401</v>
      </c>
      <c r="C59" s="194"/>
      <c r="D59" s="194">
        <f t="shared" si="12"/>
        <v>0</v>
      </c>
      <c r="E59" s="194">
        <f t="shared" si="12"/>
        <v>0</v>
      </c>
      <c r="F59" s="194">
        <f t="shared" si="12"/>
        <v>0</v>
      </c>
      <c r="G59" s="176">
        <f t="shared" si="13"/>
        <v>0</v>
      </c>
      <c r="L59" s="152"/>
      <c r="S59" s="170"/>
    </row>
    <row r="60" spans="2:20" x14ac:dyDescent="0.2">
      <c r="B60" s="152"/>
      <c r="G60" s="170"/>
      <c r="L60" s="152"/>
      <c r="M60" s="127" t="str">
        <f>M44</f>
        <v>Residential</v>
      </c>
      <c r="N60" s="127" t="str">
        <f>N44</f>
        <v>GS&lt; 50</v>
      </c>
      <c r="O60" s="127" t="str">
        <f>O44</f>
        <v>GS &gt; 50</v>
      </c>
      <c r="S60" s="170"/>
    </row>
    <row r="61" spans="2:20" x14ac:dyDescent="0.2">
      <c r="B61" s="152"/>
      <c r="C61" s="175">
        <f>SUM(C50:C57)</f>
        <v>0</v>
      </c>
      <c r="D61" s="175">
        <f>SUM(D50:D59)</f>
        <v>0</v>
      </c>
      <c r="E61" s="175">
        <f>SUM(E50:E59)</f>
        <v>3373265.2269822294</v>
      </c>
      <c r="F61" s="175">
        <f>SUM(F50:F59)</f>
        <v>2908683.7885355745</v>
      </c>
      <c r="G61" s="176">
        <f>SUM(G50:G60)</f>
        <v>6281949.0155178038</v>
      </c>
      <c r="J61" s="127" t="str">
        <f t="shared" ref="J61:J70" si="14">B50</f>
        <v>Retrofit</v>
      </c>
      <c r="L61" s="152"/>
      <c r="M61" s="175">
        <f t="shared" ref="M61:O66" si="15">M47*$G50</f>
        <v>0</v>
      </c>
      <c r="N61" s="175">
        <f t="shared" si="15"/>
        <v>991787.53105488664</v>
      </c>
      <c r="O61" s="175">
        <f t="shared" si="15"/>
        <v>2975362.59316466</v>
      </c>
      <c r="P61" s="175"/>
      <c r="Q61" s="175"/>
      <c r="S61" s="176">
        <f>SUM(M61:Q61)</f>
        <v>3967150.1242195466</v>
      </c>
    </row>
    <row r="62" spans="2:20" x14ac:dyDescent="0.2">
      <c r="B62" s="183"/>
      <c r="C62" s="196"/>
      <c r="D62" s="196"/>
      <c r="E62" s="196"/>
      <c r="F62" s="196"/>
      <c r="G62" s="197"/>
      <c r="J62" s="127" t="str">
        <f t="shared" si="14"/>
        <v>Small Business</v>
      </c>
      <c r="L62" s="152"/>
      <c r="M62" s="175">
        <f t="shared" si="15"/>
        <v>0</v>
      </c>
      <c r="N62" s="175">
        <f t="shared" si="15"/>
        <v>460472.78227548313</v>
      </c>
      <c r="O62" s="175">
        <f t="shared" si="15"/>
        <v>0</v>
      </c>
      <c r="P62" s="175"/>
      <c r="Q62" s="175"/>
      <c r="S62" s="176">
        <f t="shared" ref="S62:S70" si="16">SUM(M62:Q62)</f>
        <v>460472.78227548313</v>
      </c>
    </row>
    <row r="63" spans="2:20" x14ac:dyDescent="0.2">
      <c r="J63" s="127" t="str">
        <f t="shared" si="14"/>
        <v xml:space="preserve">Energy Performance </v>
      </c>
      <c r="L63" s="152"/>
      <c r="M63" s="175">
        <f t="shared" si="15"/>
        <v>0</v>
      </c>
      <c r="N63" s="175">
        <f t="shared" si="15"/>
        <v>0</v>
      </c>
      <c r="O63" s="175">
        <f t="shared" si="15"/>
        <v>191273.3095605853</v>
      </c>
      <c r="P63" s="175"/>
      <c r="Q63" s="175"/>
      <c r="S63" s="176">
        <f t="shared" si="16"/>
        <v>191273.3095605853</v>
      </c>
    </row>
    <row r="64" spans="2:20" x14ac:dyDescent="0.2">
      <c r="J64" s="127" t="str">
        <f t="shared" si="14"/>
        <v>Energy Management</v>
      </c>
      <c r="L64" s="152"/>
      <c r="M64" s="175">
        <f t="shared" si="15"/>
        <v>0</v>
      </c>
      <c r="N64" s="175">
        <f t="shared" si="15"/>
        <v>0</v>
      </c>
      <c r="O64" s="175">
        <f t="shared" si="15"/>
        <v>340041.43921881833</v>
      </c>
      <c r="P64" s="175"/>
      <c r="Q64" s="175"/>
      <c r="S64" s="176">
        <f t="shared" si="16"/>
        <v>340041.43921881833</v>
      </c>
    </row>
    <row r="65" spans="3:19" x14ac:dyDescent="0.2">
      <c r="J65" s="127" t="str">
        <f t="shared" si="14"/>
        <v>Industrial Energy Efficiency</v>
      </c>
      <c r="L65" s="152"/>
      <c r="M65" s="175">
        <f t="shared" si="15"/>
        <v>0</v>
      </c>
      <c r="N65" s="175">
        <f t="shared" si="15"/>
        <v>0</v>
      </c>
      <c r="O65" s="175">
        <f t="shared" si="15"/>
        <v>292223.111828672</v>
      </c>
      <c r="P65" s="175"/>
      <c r="Q65" s="175"/>
      <c r="S65" s="176">
        <f t="shared" si="16"/>
        <v>292223.111828672</v>
      </c>
    </row>
    <row r="66" spans="3:19" x14ac:dyDescent="0.2">
      <c r="J66" s="127" t="str">
        <f t="shared" si="14"/>
        <v>Targeted Greenhouse</v>
      </c>
      <c r="L66" s="152"/>
      <c r="M66" s="175">
        <f t="shared" si="15"/>
        <v>0</v>
      </c>
      <c r="N66" s="175">
        <f t="shared" si="15"/>
        <v>0</v>
      </c>
      <c r="O66" s="175">
        <f t="shared" si="15"/>
        <v>0</v>
      </c>
      <c r="P66" s="175"/>
      <c r="Q66" s="175"/>
      <c r="S66" s="176">
        <f t="shared" si="16"/>
        <v>0</v>
      </c>
    </row>
    <row r="67" spans="3:19" x14ac:dyDescent="0.2">
      <c r="J67" s="127" t="str">
        <f t="shared" si="14"/>
        <v>Local Initiatives</v>
      </c>
      <c r="L67" s="152"/>
      <c r="M67" s="175">
        <f t="shared" ref="M67:O68" si="17">M55*$G56</f>
        <v>0</v>
      </c>
      <c r="N67" s="175">
        <f t="shared" si="17"/>
        <v>0</v>
      </c>
      <c r="O67" s="175">
        <f t="shared" si="17"/>
        <v>0</v>
      </c>
      <c r="P67" s="175"/>
      <c r="Q67" s="175"/>
      <c r="S67" s="176">
        <f t="shared" si="16"/>
        <v>0</v>
      </c>
    </row>
    <row r="68" spans="3:19" x14ac:dyDescent="0.2">
      <c r="C68" s="198"/>
      <c r="D68" s="198"/>
      <c r="E68" s="199"/>
      <c r="F68" s="199"/>
      <c r="J68" s="127" t="str">
        <f t="shared" si="14"/>
        <v>Residential Demand Response</v>
      </c>
      <c r="L68" s="152"/>
      <c r="M68" s="175">
        <f t="shared" si="17"/>
        <v>0</v>
      </c>
      <c r="N68" s="175">
        <f t="shared" si="17"/>
        <v>0</v>
      </c>
      <c r="O68" s="175">
        <f t="shared" si="17"/>
        <v>0</v>
      </c>
      <c r="P68" s="175"/>
      <c r="Q68" s="175"/>
      <c r="S68" s="176">
        <f t="shared" si="16"/>
        <v>0</v>
      </c>
    </row>
    <row r="69" spans="3:19" x14ac:dyDescent="0.2">
      <c r="C69" s="198"/>
      <c r="D69" s="198"/>
      <c r="E69" s="199"/>
      <c r="J69" s="127" t="str">
        <f t="shared" si="14"/>
        <v>Energy Affordability Program</v>
      </c>
      <c r="L69" s="152"/>
      <c r="M69" s="175">
        <f t="shared" ref="M69:O70" si="18">M55*$G58</f>
        <v>1030788.248414699</v>
      </c>
      <c r="N69" s="175">
        <f t="shared" si="18"/>
        <v>0</v>
      </c>
      <c r="O69" s="175">
        <f t="shared" si="18"/>
        <v>0</v>
      </c>
      <c r="P69" s="175"/>
      <c r="Q69" s="175"/>
      <c r="S69" s="176">
        <f t="shared" si="16"/>
        <v>1030788.248414699</v>
      </c>
    </row>
    <row r="70" spans="3:19" x14ac:dyDescent="0.2">
      <c r="C70" s="198"/>
      <c r="D70" s="198"/>
      <c r="E70" s="199"/>
      <c r="J70" s="127" t="str">
        <f t="shared" si="14"/>
        <v>First Nations Program</v>
      </c>
      <c r="L70" s="152"/>
      <c r="M70" s="175">
        <f t="shared" si="18"/>
        <v>0</v>
      </c>
      <c r="N70" s="175">
        <f t="shared" si="18"/>
        <v>0</v>
      </c>
      <c r="O70" s="175">
        <f t="shared" si="18"/>
        <v>0</v>
      </c>
      <c r="P70" s="175"/>
      <c r="Q70" s="175"/>
      <c r="S70" s="176">
        <f t="shared" si="16"/>
        <v>0</v>
      </c>
    </row>
    <row r="71" spans="3:19" x14ac:dyDescent="0.2">
      <c r="C71" s="198"/>
      <c r="D71" s="198"/>
      <c r="E71" s="199"/>
      <c r="L71" s="152"/>
      <c r="M71" s="175"/>
      <c r="N71" s="175"/>
      <c r="O71" s="175"/>
      <c r="S71" s="170"/>
    </row>
    <row r="72" spans="3:19" x14ac:dyDescent="0.2">
      <c r="C72" s="198"/>
      <c r="D72" s="198"/>
      <c r="E72" s="199"/>
      <c r="L72" s="152"/>
      <c r="M72" s="175">
        <f>SUM(M61:M70)</f>
        <v>1030788.248414699</v>
      </c>
      <c r="N72" s="175">
        <f>SUM(N61:N70)</f>
        <v>1452260.3133303698</v>
      </c>
      <c r="O72" s="175">
        <f>SUM(O61:O70)</f>
        <v>3798900.4537727358</v>
      </c>
      <c r="P72" s="175"/>
      <c r="Q72" s="175"/>
      <c r="S72" s="176">
        <f>SUM(M72:Q72)</f>
        <v>6281949.0155178048</v>
      </c>
    </row>
    <row r="73" spans="3:19" x14ac:dyDescent="0.2">
      <c r="C73" s="198"/>
      <c r="D73" s="198"/>
      <c r="E73" s="199"/>
      <c r="F73" s="199"/>
      <c r="L73" s="183"/>
      <c r="M73" s="200"/>
      <c r="N73" s="200"/>
      <c r="O73" s="200"/>
      <c r="P73" s="196"/>
      <c r="Q73" s="196"/>
      <c r="R73" s="196"/>
      <c r="S73" s="197"/>
    </row>
    <row r="74" spans="3:19" ht="15" x14ac:dyDescent="0.25">
      <c r="C74" s="198"/>
      <c r="D74" s="198"/>
      <c r="E74" s="201"/>
      <c r="M74" s="175"/>
      <c r="N74" s="175"/>
      <c r="O74" s="175"/>
    </row>
    <row r="75" spans="3:19" ht="15" x14ac:dyDescent="0.25">
      <c r="C75" s="202"/>
      <c r="D75" s="203"/>
      <c r="E75" s="199"/>
      <c r="M75" s="175"/>
      <c r="N75" s="175"/>
      <c r="O75" s="175"/>
    </row>
    <row r="76" spans="3:19" x14ac:dyDescent="0.2">
      <c r="C76" s="203"/>
      <c r="D76" s="203"/>
      <c r="E76" s="199"/>
      <c r="M76" s="175"/>
      <c r="N76" s="175"/>
      <c r="O76" s="175"/>
    </row>
    <row r="77" spans="3:19" x14ac:dyDescent="0.2">
      <c r="C77" s="203"/>
      <c r="D77" s="203"/>
      <c r="E77" s="199"/>
      <c r="M77" s="204"/>
      <c r="N77" s="204"/>
      <c r="O77" s="204"/>
      <c r="P77" s="204"/>
    </row>
    <row r="78" spans="3:19" x14ac:dyDescent="0.2">
      <c r="N78" s="203"/>
      <c r="O78" s="203"/>
      <c r="P78" s="203"/>
    </row>
    <row r="81" spans="3:5" x14ac:dyDescent="0.2">
      <c r="C81" s="213"/>
      <c r="D81" s="213"/>
      <c r="E81" s="365"/>
    </row>
    <row r="82" spans="3:5" x14ac:dyDescent="0.2">
      <c r="C82" s="213"/>
      <c r="D82" s="213"/>
      <c r="E82" s="365"/>
    </row>
    <row r="83" spans="3:5" x14ac:dyDescent="0.2">
      <c r="C83" s="213"/>
      <c r="D83" s="213"/>
      <c r="E83" s="365"/>
    </row>
    <row r="84" spans="3:5" x14ac:dyDescent="0.2">
      <c r="C84" s="213"/>
      <c r="D84" s="213"/>
      <c r="E84" s="365"/>
    </row>
    <row r="85" spans="3:5" x14ac:dyDescent="0.2">
      <c r="C85" s="213"/>
      <c r="D85" s="213"/>
      <c r="E85" s="365"/>
    </row>
    <row r="86" spans="3:5" x14ac:dyDescent="0.2">
      <c r="C86" s="213"/>
      <c r="D86" s="213"/>
      <c r="E86" s="365"/>
    </row>
    <row r="87" spans="3:5" x14ac:dyDescent="0.2">
      <c r="C87" s="213"/>
      <c r="D87" s="213"/>
      <c r="E87" s="365"/>
    </row>
    <row r="101" spans="4:6" x14ac:dyDescent="0.2">
      <c r="D101" s="203"/>
      <c r="E101" s="203"/>
      <c r="F101" s="199"/>
    </row>
    <row r="102" spans="4:6" x14ac:dyDescent="0.2">
      <c r="D102" s="203"/>
      <c r="E102" s="203"/>
      <c r="F102" s="199"/>
    </row>
    <row r="103" spans="4:6" x14ac:dyDescent="0.2">
      <c r="D103" s="203"/>
      <c r="E103" s="203"/>
      <c r="F103" s="199"/>
    </row>
    <row r="117" spans="13:16" x14ac:dyDescent="0.2">
      <c r="M117" s="175"/>
      <c r="N117" s="175"/>
      <c r="O117" s="175"/>
      <c r="P117" s="175"/>
    </row>
    <row r="118" spans="13:16" x14ac:dyDescent="0.2">
      <c r="M118" s="175"/>
      <c r="N118" s="175"/>
      <c r="O118" s="175"/>
      <c r="P118" s="175"/>
    </row>
    <row r="119" spans="13:16" x14ac:dyDescent="0.2">
      <c r="M119" s="175"/>
      <c r="N119" s="175"/>
      <c r="O119" s="175"/>
      <c r="P119" s="175"/>
    </row>
    <row r="120" spans="13:16" x14ac:dyDescent="0.2">
      <c r="M120" s="175"/>
      <c r="N120" s="175"/>
      <c r="O120" s="175"/>
      <c r="P120" s="175"/>
    </row>
    <row r="121" spans="13:16" x14ac:dyDescent="0.2">
      <c r="M121" s="175"/>
      <c r="N121" s="175"/>
      <c r="O121" s="175"/>
      <c r="P121" s="175"/>
    </row>
    <row r="122" spans="13:16" x14ac:dyDescent="0.2">
      <c r="M122" s="175"/>
      <c r="N122" s="175"/>
      <c r="O122" s="175"/>
      <c r="P122" s="175"/>
    </row>
    <row r="123" spans="13:16" x14ac:dyDescent="0.2">
      <c r="M123" s="175"/>
      <c r="N123" s="175"/>
      <c r="O123" s="175"/>
      <c r="P123" s="175"/>
    </row>
    <row r="124" spans="13:16" x14ac:dyDescent="0.2">
      <c r="M124" s="175"/>
      <c r="N124" s="175"/>
      <c r="O124" s="175"/>
    </row>
    <row r="125" spans="13:16" x14ac:dyDescent="0.2">
      <c r="M125" s="175"/>
      <c r="N125" s="175"/>
      <c r="O125" s="175"/>
      <c r="P125" s="175"/>
    </row>
    <row r="126" spans="13:16" x14ac:dyDescent="0.2">
      <c r="M126" s="175"/>
      <c r="N126" s="175"/>
      <c r="O126" s="175"/>
    </row>
    <row r="127" spans="13:16" x14ac:dyDescent="0.2">
      <c r="M127" s="175"/>
      <c r="N127" s="175"/>
      <c r="O127" s="17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686D-DBED-4061-9ADE-4A6D57AECD34}">
  <dimension ref="B2:X43"/>
  <sheetViews>
    <sheetView topLeftCell="A18" workbookViewId="0">
      <selection activeCell="N7" sqref="N7"/>
    </sheetView>
  </sheetViews>
  <sheetFormatPr defaultColWidth="8.83203125" defaultRowHeight="14.25" x14ac:dyDescent="0.2"/>
  <cols>
    <col min="1" max="1" width="8.83203125" style="368"/>
    <col min="2" max="2" width="14.83203125" style="368" bestFit="1" customWidth="1"/>
    <col min="3" max="3" width="17.33203125" style="368" bestFit="1" customWidth="1"/>
    <col min="4" max="4" width="14.5" style="368" bestFit="1" customWidth="1"/>
    <col min="5" max="6" width="16.1640625" style="368" bestFit="1" customWidth="1"/>
    <col min="7" max="7" width="16.1640625" style="368" customWidth="1"/>
    <col min="8" max="8" width="19.33203125" style="368" customWidth="1"/>
    <col min="9" max="9" width="16.1640625" style="368" bestFit="1" customWidth="1"/>
    <col min="10" max="10" width="13.33203125" style="368" customWidth="1"/>
    <col min="11" max="11" width="16.1640625" style="368" bestFit="1" customWidth="1"/>
    <col min="12" max="12" width="16.1640625" style="368" customWidth="1"/>
    <col min="13" max="13" width="13.6640625" style="368" customWidth="1"/>
    <col min="14" max="14" width="15.1640625" style="368" customWidth="1"/>
    <col min="15" max="15" width="11.33203125" style="368" bestFit="1" customWidth="1"/>
    <col min="16" max="18" width="8.33203125" style="368" bestFit="1" customWidth="1"/>
    <col min="19" max="19" width="13.83203125" style="368" customWidth="1"/>
    <col min="20" max="22" width="14" style="368" bestFit="1" customWidth="1"/>
    <col min="23" max="24" width="15.1640625" style="368" bestFit="1" customWidth="1"/>
    <col min="25" max="16384" width="8.83203125" style="368"/>
  </cols>
  <sheetData>
    <row r="2" spans="2:24" x14ac:dyDescent="0.2">
      <c r="B2" s="496"/>
      <c r="C2" s="497"/>
      <c r="D2" s="497"/>
      <c r="E2" s="497"/>
      <c r="F2" s="497"/>
      <c r="G2" s="497"/>
      <c r="H2" s="497"/>
      <c r="I2" s="497"/>
      <c r="J2" s="497"/>
      <c r="K2" s="498"/>
    </row>
    <row r="3" spans="2:24" ht="15" x14ac:dyDescent="0.25">
      <c r="B3" s="499" t="s">
        <v>420</v>
      </c>
      <c r="C3" s="500"/>
      <c r="D3" s="500"/>
      <c r="E3" s="500"/>
      <c r="F3" s="500"/>
      <c r="G3" s="500"/>
      <c r="H3" s="500"/>
      <c r="I3" s="500"/>
      <c r="J3" s="500"/>
      <c r="K3" s="501"/>
    </row>
    <row r="4" spans="2:24" ht="15" x14ac:dyDescent="0.2">
      <c r="B4" s="502" t="s">
        <v>421</v>
      </c>
      <c r="C4" s="503">
        <v>2023</v>
      </c>
      <c r="D4" s="504"/>
      <c r="E4" s="505"/>
      <c r="F4" s="503">
        <v>2024</v>
      </c>
      <c r="G4" s="504"/>
      <c r="H4" s="505"/>
      <c r="I4" s="506">
        <v>2025</v>
      </c>
      <c r="J4" s="507"/>
      <c r="K4" s="508"/>
    </row>
    <row r="5" spans="2:24" ht="30" x14ac:dyDescent="0.2">
      <c r="B5" s="502"/>
      <c r="C5" s="370" t="s">
        <v>127</v>
      </c>
      <c r="D5" s="371" t="s">
        <v>422</v>
      </c>
      <c r="E5" s="370" t="s">
        <v>423</v>
      </c>
      <c r="F5" s="370" t="s">
        <v>127</v>
      </c>
      <c r="G5" s="371" t="s">
        <v>422</v>
      </c>
      <c r="H5" s="370" t="s">
        <v>423</v>
      </c>
      <c r="I5" s="370" t="s">
        <v>127</v>
      </c>
      <c r="J5" s="371" t="s">
        <v>422</v>
      </c>
      <c r="K5" s="372" t="s">
        <v>423</v>
      </c>
      <c r="M5" s="484" t="s">
        <v>424</v>
      </c>
      <c r="N5" s="485"/>
    </row>
    <row r="6" spans="2:24" ht="15" x14ac:dyDescent="0.25">
      <c r="B6" s="369"/>
      <c r="C6" s="373" t="s">
        <v>261</v>
      </c>
      <c r="D6" s="373" t="s">
        <v>263</v>
      </c>
      <c r="E6" s="373" t="s">
        <v>425</v>
      </c>
      <c r="F6" s="373" t="s">
        <v>266</v>
      </c>
      <c r="G6" s="373" t="s">
        <v>268</v>
      </c>
      <c r="H6" s="373" t="s">
        <v>426</v>
      </c>
      <c r="I6" s="373" t="s">
        <v>369</v>
      </c>
      <c r="J6" s="373" t="s">
        <v>427</v>
      </c>
      <c r="K6" s="374" t="s">
        <v>428</v>
      </c>
      <c r="M6" s="375">
        <v>2024</v>
      </c>
      <c r="N6" s="376">
        <v>2025</v>
      </c>
    </row>
    <row r="7" spans="2:24" x14ac:dyDescent="0.2">
      <c r="B7" s="377" t="s">
        <v>91</v>
      </c>
      <c r="C7" s="378">
        <f>'CDM Framework'!P36</f>
        <v>482198.55344012444</v>
      </c>
      <c r="D7" s="379">
        <v>0</v>
      </c>
      <c r="E7" s="380">
        <f t="shared" ref="E7:E12" si="0">C7*D7</f>
        <v>0</v>
      </c>
      <c r="F7" s="378">
        <f>'CDM Framework'!Q36</f>
        <v>954556.32007534825</v>
      </c>
      <c r="G7" s="455">
        <f>J43</f>
        <v>0.57986111111111116</v>
      </c>
      <c r="H7" s="380">
        <f>F7*G7</f>
        <v>553510.08837702486</v>
      </c>
      <c r="I7" s="378">
        <f>'CDM Framework'!R36</f>
        <v>954556.32007534825</v>
      </c>
      <c r="J7" s="381">
        <v>0.5</v>
      </c>
      <c r="K7" s="382">
        <f t="shared" ref="K7:K12" si="1">I7*J7</f>
        <v>477278.16003767413</v>
      </c>
      <c r="M7" s="383">
        <f>E7+H7</f>
        <v>553510.08837702486</v>
      </c>
      <c r="N7" s="384">
        <f>E7+H7+K7</f>
        <v>1030788.248414699</v>
      </c>
      <c r="O7" s="385"/>
      <c r="W7" s="385"/>
      <c r="X7" s="385"/>
    </row>
    <row r="8" spans="2:24" x14ac:dyDescent="0.2">
      <c r="B8" s="386" t="s">
        <v>349</v>
      </c>
      <c r="C8" s="378">
        <f>'CDM Framework'!P37</f>
        <v>719991.27886042395</v>
      </c>
      <c r="D8" s="379">
        <v>0</v>
      </c>
      <c r="E8" s="380">
        <f t="shared" si="0"/>
        <v>0</v>
      </c>
      <c r="F8" s="378">
        <f>'CDM Framework'!Q37</f>
        <v>1344858.4252062589</v>
      </c>
      <c r="G8" s="455">
        <f>J43</f>
        <v>0.57986111111111116</v>
      </c>
      <c r="H8" s="380">
        <f>F8*G8</f>
        <v>779831.10072724044</v>
      </c>
      <c r="I8" s="378">
        <f>'CDM Framework'!R37</f>
        <v>1344858.4252062589</v>
      </c>
      <c r="J8" s="381">
        <v>0.5</v>
      </c>
      <c r="K8" s="382">
        <f t="shared" si="1"/>
        <v>672429.21260312945</v>
      </c>
      <c r="M8" s="383">
        <f>E8+H8</f>
        <v>779831.10072724044</v>
      </c>
      <c r="N8" s="384">
        <f>E8+H8+K8</f>
        <v>1452260.31333037</v>
      </c>
      <c r="O8" s="385"/>
      <c r="W8" s="385"/>
      <c r="X8" s="385"/>
    </row>
    <row r="9" spans="2:24" x14ac:dyDescent="0.2">
      <c r="B9" s="377" t="s">
        <v>375</v>
      </c>
      <c r="C9" s="378">
        <f>'CDM Framework'!P38</f>
        <v>2296099.7503521489</v>
      </c>
      <c r="D9" s="379">
        <v>0</v>
      </c>
      <c r="E9" s="380">
        <f t="shared" si="0"/>
        <v>0</v>
      </c>
      <c r="F9" s="378">
        <f>'CDM Framework'!Q38</f>
        <v>3517952.8317895429</v>
      </c>
      <c r="G9" s="455">
        <f>J43</f>
        <v>0.57986111111111116</v>
      </c>
      <c r="H9" s="380">
        <f>F9*G9</f>
        <v>2039924.0378779643</v>
      </c>
      <c r="I9" s="378">
        <f>'CDM Framework'!R38</f>
        <v>3517952.8317895429</v>
      </c>
      <c r="J9" s="381">
        <v>0.5</v>
      </c>
      <c r="K9" s="382">
        <f t="shared" si="1"/>
        <v>1758976.4158947715</v>
      </c>
      <c r="M9" s="383">
        <f>E9+H9</f>
        <v>2039924.0378779643</v>
      </c>
      <c r="N9" s="384">
        <f>E9+H9+K9</f>
        <v>3798900.4537727358</v>
      </c>
      <c r="O9" s="385"/>
      <c r="W9" s="385"/>
      <c r="X9" s="385"/>
    </row>
    <row r="10" spans="2:24" x14ac:dyDescent="0.2">
      <c r="B10" s="386" t="s">
        <v>353</v>
      </c>
      <c r="C10" s="378"/>
      <c r="D10" s="379">
        <v>0</v>
      </c>
      <c r="E10" s="380">
        <f t="shared" si="0"/>
        <v>0</v>
      </c>
      <c r="F10" s="378"/>
      <c r="G10" s="455">
        <f>J43</f>
        <v>0.57986111111111116</v>
      </c>
      <c r="H10" s="380">
        <f>F10*G10</f>
        <v>0</v>
      </c>
      <c r="I10" s="378"/>
      <c r="J10" s="381">
        <v>0.5</v>
      </c>
      <c r="K10" s="382">
        <f t="shared" si="1"/>
        <v>0</v>
      </c>
      <c r="M10" s="383"/>
      <c r="N10" s="384"/>
    </row>
    <row r="11" spans="2:24" x14ac:dyDescent="0.2">
      <c r="B11" s="386" t="s">
        <v>94</v>
      </c>
      <c r="C11" s="378"/>
      <c r="D11" s="379">
        <v>0</v>
      </c>
      <c r="E11" s="380">
        <f t="shared" si="0"/>
        <v>0</v>
      </c>
      <c r="F11" s="378"/>
      <c r="G11" s="455">
        <f>J43</f>
        <v>0.57986111111111116</v>
      </c>
      <c r="H11" s="380">
        <f>F11*G11</f>
        <v>0</v>
      </c>
      <c r="I11" s="378"/>
      <c r="J11" s="381">
        <v>0.5</v>
      </c>
      <c r="K11" s="382">
        <f t="shared" si="1"/>
        <v>0</v>
      </c>
      <c r="M11" s="383"/>
      <c r="N11" s="384"/>
    </row>
    <row r="12" spans="2:24" x14ac:dyDescent="0.2">
      <c r="B12" s="387" t="s">
        <v>429</v>
      </c>
      <c r="C12" s="388">
        <f>SUM(C7:C11)</f>
        <v>3498289.5826526973</v>
      </c>
      <c r="D12" s="389">
        <v>0.5</v>
      </c>
      <c r="E12" s="390">
        <f t="shared" si="0"/>
        <v>1749144.7913263487</v>
      </c>
      <c r="F12" s="390">
        <f>SUM(F7:F11)</f>
        <v>5817367.5770711498</v>
      </c>
      <c r="G12" s="390"/>
      <c r="H12" s="390"/>
      <c r="I12" s="390">
        <f>SUM(I7:I11)</f>
        <v>5817367.5770711498</v>
      </c>
      <c r="J12" s="391">
        <v>0.5</v>
      </c>
      <c r="K12" s="392">
        <f t="shared" si="1"/>
        <v>2908683.7885355749</v>
      </c>
      <c r="M12" s="418">
        <f>SUM(M7:M11)</f>
        <v>3373265.2269822294</v>
      </c>
      <c r="N12" s="419">
        <f>SUM(N7:N11)</f>
        <v>6281949.0155178048</v>
      </c>
    </row>
    <row r="13" spans="2:24" x14ac:dyDescent="0.2">
      <c r="B13" s="393"/>
      <c r="C13" s="393"/>
      <c r="D13" s="393"/>
      <c r="E13" s="393"/>
      <c r="F13" s="393"/>
      <c r="G13" s="393"/>
      <c r="H13" s="393"/>
      <c r="I13" s="393"/>
      <c r="J13" s="393"/>
      <c r="K13" s="393"/>
      <c r="L13" s="393"/>
    </row>
    <row r="16" spans="2:24" ht="15" customHeight="1" x14ac:dyDescent="0.25">
      <c r="B16" s="486" t="s">
        <v>430</v>
      </c>
      <c r="C16" s="487"/>
      <c r="D16" s="487"/>
      <c r="E16" s="487"/>
      <c r="F16" s="487"/>
      <c r="G16" s="487"/>
      <c r="H16" s="487"/>
      <c r="I16" s="487"/>
      <c r="J16" s="487"/>
      <c r="K16" s="487"/>
      <c r="L16" s="488"/>
    </row>
    <row r="17" spans="2:18" ht="14.65" customHeight="1" x14ac:dyDescent="0.25">
      <c r="B17" s="394" t="s">
        <v>421</v>
      </c>
      <c r="C17" s="489" t="s">
        <v>431</v>
      </c>
      <c r="D17" s="490"/>
      <c r="E17" s="490"/>
      <c r="F17" s="490"/>
      <c r="G17" s="491"/>
      <c r="H17" s="489" t="s">
        <v>432</v>
      </c>
      <c r="I17" s="490"/>
      <c r="J17" s="490"/>
      <c r="K17" s="490"/>
      <c r="L17" s="492"/>
    </row>
    <row r="18" spans="2:18" ht="45" x14ac:dyDescent="0.2">
      <c r="B18" s="395"/>
      <c r="C18" s="396" t="s">
        <v>433</v>
      </c>
      <c r="D18" s="371" t="s">
        <v>418</v>
      </c>
      <c r="E18" s="371" t="s">
        <v>434</v>
      </c>
      <c r="F18" s="371" t="s">
        <v>130</v>
      </c>
      <c r="G18" s="397" t="s">
        <v>418</v>
      </c>
      <c r="H18" s="396" t="s">
        <v>433</v>
      </c>
      <c r="I18" s="371" t="s">
        <v>418</v>
      </c>
      <c r="J18" s="371" t="s">
        <v>434</v>
      </c>
      <c r="K18" s="371" t="s">
        <v>130</v>
      </c>
      <c r="L18" s="398" t="s">
        <v>418</v>
      </c>
      <c r="N18" s="484" t="s">
        <v>424</v>
      </c>
      <c r="O18" s="485"/>
    </row>
    <row r="19" spans="2:18" ht="15" x14ac:dyDescent="0.2">
      <c r="B19" s="395"/>
      <c r="C19" s="396" t="s">
        <v>261</v>
      </c>
      <c r="D19" s="371" t="s">
        <v>263</v>
      </c>
      <c r="E19" s="371" t="s">
        <v>379</v>
      </c>
      <c r="F19" s="371"/>
      <c r="G19" s="397" t="s">
        <v>435</v>
      </c>
      <c r="H19" s="396" t="s">
        <v>261</v>
      </c>
      <c r="I19" s="371" t="s">
        <v>263</v>
      </c>
      <c r="J19" s="371" t="s">
        <v>379</v>
      </c>
      <c r="K19" s="371"/>
      <c r="L19" s="398" t="s">
        <v>435</v>
      </c>
      <c r="N19" s="375">
        <v>2024</v>
      </c>
      <c r="O19" s="376">
        <v>2025</v>
      </c>
    </row>
    <row r="20" spans="2:18" x14ac:dyDescent="0.2">
      <c r="B20" s="399" t="s">
        <v>375</v>
      </c>
      <c r="C20" s="400">
        <f ca="1">'Normalized Annual Summary'!AE15</f>
        <v>326877742.54030108</v>
      </c>
      <c r="D20" s="401">
        <f>M9</f>
        <v>2039924.0378779643</v>
      </c>
      <c r="E20" s="402">
        <f ca="1">D20/C20</f>
        <v>6.2406330330871639E-3</v>
      </c>
      <c r="F20" s="403">
        <f ca="1">'kW Forecast'!D19</f>
        <v>802915.27238732285</v>
      </c>
      <c r="G20" s="404">
        <f ca="1">E20*F20</f>
        <v>5010.6995716305046</v>
      </c>
      <c r="H20" s="400">
        <f ca="1">'Normalized Annual Summary'!AE16</f>
        <v>324225617.09121335</v>
      </c>
      <c r="I20" s="401">
        <f>N9</f>
        <v>3798900.4537727358</v>
      </c>
      <c r="J20" s="402">
        <f ca="1">I20/H20</f>
        <v>1.1716842388502582E-2</v>
      </c>
      <c r="K20" s="403">
        <f ca="1">'kW Forecast'!D20</f>
        <v>796400.81223836646</v>
      </c>
      <c r="L20" s="405">
        <f ca="1">J20*K20</f>
        <v>9331.302795072379</v>
      </c>
      <c r="N20" s="383">
        <f ca="1">G20</f>
        <v>5010.6995716305046</v>
      </c>
      <c r="O20" s="384">
        <f ca="1">L20</f>
        <v>9331.302795072379</v>
      </c>
      <c r="R20" s="406"/>
    </row>
    <row r="21" spans="2:18" x14ac:dyDescent="0.2">
      <c r="B21" s="407" t="s">
        <v>353</v>
      </c>
      <c r="C21" s="408">
        <f>'Normalized Annual Summary'!AM15</f>
        <v>3641255.4245348559</v>
      </c>
      <c r="D21" s="401">
        <f>T10</f>
        <v>0</v>
      </c>
      <c r="E21" s="402">
        <f>D21/C21</f>
        <v>0</v>
      </c>
      <c r="F21" s="409"/>
      <c r="G21" s="410"/>
      <c r="H21" s="408">
        <f>'Normalized Annual Summary'!AM16</f>
        <v>3660141.1244483674</v>
      </c>
      <c r="I21" s="401">
        <f>Y10</f>
        <v>0</v>
      </c>
      <c r="J21" s="402">
        <f>I21/H21</f>
        <v>0</v>
      </c>
      <c r="K21" s="409"/>
      <c r="L21" s="411"/>
      <c r="N21" s="383"/>
      <c r="O21" s="384"/>
    </row>
    <row r="22" spans="2:18" ht="15" x14ac:dyDescent="0.25">
      <c r="B22" s="412" t="s">
        <v>429</v>
      </c>
      <c r="C22" s="413">
        <f t="shared" ref="C22:L22" ca="1" si="2">SUM(C20:C21)</f>
        <v>330518997.96483594</v>
      </c>
      <c r="D22" s="414">
        <f t="shared" si="2"/>
        <v>2039924.0378779643</v>
      </c>
      <c r="E22" s="415">
        <f t="shared" ca="1" si="2"/>
        <v>6.2406330330871639E-3</v>
      </c>
      <c r="F22" s="416">
        <f t="shared" ca="1" si="2"/>
        <v>802915.27238732285</v>
      </c>
      <c r="G22" s="416">
        <f t="shared" ca="1" si="2"/>
        <v>5010.6995716305046</v>
      </c>
      <c r="H22" s="413">
        <f t="shared" ca="1" si="2"/>
        <v>327885758.2156617</v>
      </c>
      <c r="I22" s="414">
        <f t="shared" si="2"/>
        <v>3798900.4537727358</v>
      </c>
      <c r="J22" s="415">
        <f t="shared" ca="1" si="2"/>
        <v>1.1716842388502582E-2</v>
      </c>
      <c r="K22" s="416">
        <f t="shared" ca="1" si="2"/>
        <v>796400.81223836646</v>
      </c>
      <c r="L22" s="417">
        <f t="shared" ca="1" si="2"/>
        <v>9331.302795072379</v>
      </c>
      <c r="N22" s="418">
        <f ca="1">N20</f>
        <v>5010.6995716305046</v>
      </c>
      <c r="O22" s="419">
        <f ca="1">O20</f>
        <v>9331.302795072379</v>
      </c>
    </row>
    <row r="25" spans="2:18" ht="15" x14ac:dyDescent="0.25">
      <c r="E25" s="493" t="s">
        <v>475</v>
      </c>
      <c r="F25" s="494"/>
      <c r="G25" s="495"/>
      <c r="H25" s="493" t="s">
        <v>476</v>
      </c>
      <c r="I25" s="494"/>
      <c r="J25" s="495"/>
    </row>
    <row r="26" spans="2:18" ht="15" x14ac:dyDescent="0.25">
      <c r="E26" s="437" t="s">
        <v>477</v>
      </c>
      <c r="F26" s="438" t="s">
        <v>478</v>
      </c>
      <c r="G26" s="439" t="s">
        <v>479</v>
      </c>
      <c r="H26" s="437" t="s">
        <v>477</v>
      </c>
      <c r="I26" s="438" t="s">
        <v>478</v>
      </c>
      <c r="J26" s="439" t="s">
        <v>479</v>
      </c>
    </row>
    <row r="27" spans="2:18" x14ac:dyDescent="0.2">
      <c r="E27" s="440" t="s">
        <v>110</v>
      </c>
      <c r="F27" s="441" t="s">
        <v>120</v>
      </c>
      <c r="G27" s="442">
        <v>11.5</v>
      </c>
      <c r="H27" s="440" t="s">
        <v>110</v>
      </c>
      <c r="I27" s="1" t="s">
        <v>119</v>
      </c>
      <c r="J27" s="442">
        <v>10.5</v>
      </c>
    </row>
    <row r="28" spans="2:18" x14ac:dyDescent="0.2">
      <c r="E28" s="440" t="s">
        <v>111</v>
      </c>
      <c r="F28" s="441" t="str">
        <f>F27</f>
        <v>December</v>
      </c>
      <c r="G28" s="442">
        <f>G27-1</f>
        <v>10.5</v>
      </c>
      <c r="H28" s="440" t="s">
        <v>111</v>
      </c>
      <c r="I28" s="1" t="str">
        <f>I27</f>
        <v>November</v>
      </c>
      <c r="J28" s="442">
        <f>J27-1</f>
        <v>9.5</v>
      </c>
    </row>
    <row r="29" spans="2:18" x14ac:dyDescent="0.2">
      <c r="E29" s="440" t="s">
        <v>112</v>
      </c>
      <c r="F29" s="441" t="str">
        <f t="shared" ref="F29:F38" si="3">F28</f>
        <v>December</v>
      </c>
      <c r="G29" s="442">
        <f t="shared" ref="G29:G38" si="4">G28-1</f>
        <v>9.5</v>
      </c>
      <c r="H29" s="440" t="s">
        <v>112</v>
      </c>
      <c r="I29" s="1" t="str">
        <f t="shared" ref="I29:I38" si="5">I28</f>
        <v>November</v>
      </c>
      <c r="J29" s="442">
        <f t="shared" ref="J29:J32" si="6">J28-1</f>
        <v>8.5</v>
      </c>
    </row>
    <row r="30" spans="2:18" x14ac:dyDescent="0.2">
      <c r="E30" s="440" t="s">
        <v>113</v>
      </c>
      <c r="F30" s="441" t="str">
        <f t="shared" si="3"/>
        <v>December</v>
      </c>
      <c r="G30" s="442">
        <f t="shared" si="4"/>
        <v>8.5</v>
      </c>
      <c r="H30" s="440" t="s">
        <v>113</v>
      </c>
      <c r="I30" s="1" t="str">
        <f t="shared" si="5"/>
        <v>November</v>
      </c>
      <c r="J30" s="442">
        <f t="shared" si="6"/>
        <v>7.5</v>
      </c>
    </row>
    <row r="31" spans="2:18" x14ac:dyDescent="0.2">
      <c r="E31" s="440" t="s">
        <v>52</v>
      </c>
      <c r="F31" s="441" t="str">
        <f t="shared" si="3"/>
        <v>December</v>
      </c>
      <c r="G31" s="442">
        <f t="shared" si="4"/>
        <v>7.5</v>
      </c>
      <c r="H31" s="440" t="s">
        <v>52</v>
      </c>
      <c r="I31" s="1" t="str">
        <f t="shared" si="5"/>
        <v>November</v>
      </c>
      <c r="J31" s="442">
        <f t="shared" si="6"/>
        <v>6.5</v>
      </c>
    </row>
    <row r="32" spans="2:18" x14ac:dyDescent="0.2">
      <c r="E32" s="440" t="s">
        <v>114</v>
      </c>
      <c r="F32" s="441" t="str">
        <f t="shared" si="3"/>
        <v>December</v>
      </c>
      <c r="G32" s="442">
        <f t="shared" si="4"/>
        <v>6.5</v>
      </c>
      <c r="H32" s="440" t="s">
        <v>114</v>
      </c>
      <c r="I32" s="1" t="str">
        <f t="shared" si="5"/>
        <v>November</v>
      </c>
      <c r="J32" s="442">
        <f t="shared" si="6"/>
        <v>5.5</v>
      </c>
    </row>
    <row r="33" spans="5:10" x14ac:dyDescent="0.2">
      <c r="E33" s="440" t="s">
        <v>115</v>
      </c>
      <c r="F33" s="441" t="str">
        <f t="shared" si="3"/>
        <v>December</v>
      </c>
      <c r="G33" s="442">
        <f t="shared" si="4"/>
        <v>5.5</v>
      </c>
      <c r="H33" s="440" t="s">
        <v>115</v>
      </c>
      <c r="I33" s="1" t="str">
        <f t="shared" si="5"/>
        <v>November</v>
      </c>
      <c r="J33" s="442">
        <v>4.5</v>
      </c>
    </row>
    <row r="34" spans="5:10" x14ac:dyDescent="0.2">
      <c r="E34" s="440" t="s">
        <v>116</v>
      </c>
      <c r="F34" s="441" t="str">
        <f t="shared" si="3"/>
        <v>December</v>
      </c>
      <c r="G34" s="442">
        <f t="shared" si="4"/>
        <v>4.5</v>
      </c>
      <c r="H34" s="440" t="s">
        <v>116</v>
      </c>
      <c r="I34" s="1" t="str">
        <f t="shared" si="5"/>
        <v>November</v>
      </c>
      <c r="J34" s="442">
        <v>3.5</v>
      </c>
    </row>
    <row r="35" spans="5:10" x14ac:dyDescent="0.2">
      <c r="E35" s="440" t="s">
        <v>117</v>
      </c>
      <c r="F35" s="441" t="str">
        <f t="shared" si="3"/>
        <v>December</v>
      </c>
      <c r="G35" s="442">
        <f t="shared" si="4"/>
        <v>3.5</v>
      </c>
      <c r="H35" s="440" t="s">
        <v>117</v>
      </c>
      <c r="I35" s="1" t="str">
        <f t="shared" si="5"/>
        <v>November</v>
      </c>
      <c r="J35" s="442">
        <f t="shared" ref="J35:J37" si="7">J34-1</f>
        <v>2.5</v>
      </c>
    </row>
    <row r="36" spans="5:10" x14ac:dyDescent="0.2">
      <c r="E36" s="440" t="s">
        <v>118</v>
      </c>
      <c r="F36" s="441" t="str">
        <f t="shared" si="3"/>
        <v>December</v>
      </c>
      <c r="G36" s="442">
        <f t="shared" si="4"/>
        <v>2.5</v>
      </c>
      <c r="H36" s="440" t="s">
        <v>118</v>
      </c>
      <c r="I36" s="1" t="str">
        <f t="shared" si="5"/>
        <v>November</v>
      </c>
      <c r="J36" s="442">
        <f t="shared" si="7"/>
        <v>1.5</v>
      </c>
    </row>
    <row r="37" spans="5:10" x14ac:dyDescent="0.2">
      <c r="E37" s="440" t="s">
        <v>119</v>
      </c>
      <c r="F37" s="441" t="str">
        <f t="shared" si="3"/>
        <v>December</v>
      </c>
      <c r="G37" s="442">
        <f t="shared" si="4"/>
        <v>1.5</v>
      </c>
      <c r="H37" s="440" t="s">
        <v>119</v>
      </c>
      <c r="I37" s="1" t="str">
        <f t="shared" si="5"/>
        <v>November</v>
      </c>
      <c r="J37" s="442">
        <f t="shared" si="7"/>
        <v>0.5</v>
      </c>
    </row>
    <row r="38" spans="5:10" x14ac:dyDescent="0.2">
      <c r="E38" s="440" t="s">
        <v>120</v>
      </c>
      <c r="F38" s="441" t="str">
        <f t="shared" si="3"/>
        <v>December</v>
      </c>
      <c r="G38" s="444">
        <f t="shared" si="4"/>
        <v>0.5</v>
      </c>
      <c r="H38" s="440" t="s">
        <v>120</v>
      </c>
      <c r="I38" s="1" t="str">
        <f t="shared" si="5"/>
        <v>November</v>
      </c>
      <c r="J38" s="444"/>
    </row>
    <row r="39" spans="5:10" x14ac:dyDescent="0.2">
      <c r="E39" s="440" t="s">
        <v>480</v>
      </c>
      <c r="F39" s="441"/>
      <c r="G39" s="445">
        <f>SUM(G27:G38)</f>
        <v>72</v>
      </c>
      <c r="H39" s="440" t="s">
        <v>480</v>
      </c>
      <c r="I39" s="1"/>
      <c r="J39" s="446">
        <f>SUM(J27:J38)</f>
        <v>60.5</v>
      </c>
    </row>
    <row r="40" spans="5:10" x14ac:dyDescent="0.2">
      <c r="E40" s="440" t="s">
        <v>481</v>
      </c>
      <c r="F40" s="447"/>
      <c r="G40" s="448">
        <v>144</v>
      </c>
      <c r="H40" s="440" t="s">
        <v>481</v>
      </c>
      <c r="I40" s="1"/>
      <c r="J40" s="448">
        <f>G40</f>
        <v>144</v>
      </c>
    </row>
    <row r="41" spans="5:10" x14ac:dyDescent="0.2">
      <c r="E41" s="440"/>
      <c r="F41" s="1"/>
      <c r="G41" s="443"/>
      <c r="H41" s="440"/>
      <c r="I41" s="1"/>
      <c r="J41" s="443"/>
    </row>
    <row r="42" spans="5:10" x14ac:dyDescent="0.2">
      <c r="E42" s="440" t="s">
        <v>482</v>
      </c>
      <c r="F42" s="1"/>
      <c r="G42" s="449">
        <f>G39/G40</f>
        <v>0.5</v>
      </c>
      <c r="H42" s="440" t="s">
        <v>482</v>
      </c>
      <c r="I42" s="1"/>
      <c r="J42" s="450">
        <f>J39/J40</f>
        <v>0.4201388888888889</v>
      </c>
    </row>
    <row r="43" spans="5:10" x14ac:dyDescent="0.2">
      <c r="E43" s="451" t="s">
        <v>483</v>
      </c>
      <c r="F43" s="452"/>
      <c r="G43" s="453">
        <f>1-G42</f>
        <v>0.5</v>
      </c>
      <c r="H43" s="451" t="s">
        <v>483</v>
      </c>
      <c r="I43" s="452"/>
      <c r="J43" s="454">
        <f>1-J42</f>
        <v>0.57986111111111116</v>
      </c>
    </row>
  </sheetData>
  <mergeCells count="13">
    <mergeCell ref="E25:G25"/>
    <mergeCell ref="H25:J25"/>
    <mergeCell ref="B2:K2"/>
    <mergeCell ref="B3:K3"/>
    <mergeCell ref="B4:B5"/>
    <mergeCell ref="C4:E4"/>
    <mergeCell ref="F4:H4"/>
    <mergeCell ref="I4:K4"/>
    <mergeCell ref="M5:N5"/>
    <mergeCell ref="N18:O18"/>
    <mergeCell ref="B16:L16"/>
    <mergeCell ref="C17:G17"/>
    <mergeCell ref="H17:L17"/>
  </mergeCells>
  <phoneticPr fontId="19"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2974-36FB-4576-BD7D-72B2170B8F0D}">
  <sheetPr codeName="Sheet22">
    <tabColor rgb="FFFF0000"/>
  </sheetPr>
  <dimension ref="B1:R53"/>
  <sheetViews>
    <sheetView tabSelected="1" topLeftCell="A12" workbookViewId="0">
      <selection activeCell="O35" sqref="O35"/>
    </sheetView>
  </sheetViews>
  <sheetFormatPr defaultColWidth="9.1640625" defaultRowHeight="12.75" x14ac:dyDescent="0.2"/>
  <cols>
    <col min="1" max="1" width="3" style="36" customWidth="1"/>
    <col min="2" max="2" width="19.5" style="36" customWidth="1"/>
    <col min="3" max="7" width="13.83203125" style="36" customWidth="1"/>
    <col min="8" max="10" width="15.83203125" style="36" customWidth="1"/>
    <col min="11" max="16384" width="9.1640625" style="36"/>
  </cols>
  <sheetData>
    <row r="1" spans="2:10" ht="16.5" thickBot="1" x14ac:dyDescent="0.3">
      <c r="B1" s="54" t="s">
        <v>363</v>
      </c>
    </row>
    <row r="2" spans="2:10" x14ac:dyDescent="0.2">
      <c r="B2" s="75" t="s">
        <v>127</v>
      </c>
      <c r="C2" s="56" t="s">
        <v>436</v>
      </c>
      <c r="D2" s="56" t="s">
        <v>437</v>
      </c>
      <c r="E2" s="56" t="s">
        <v>438</v>
      </c>
      <c r="F2" s="56" t="s">
        <v>439</v>
      </c>
      <c r="G2" s="56" t="s">
        <v>440</v>
      </c>
      <c r="H2" s="56" t="s">
        <v>441</v>
      </c>
      <c r="I2" s="56" t="s">
        <v>431</v>
      </c>
      <c r="J2" s="57" t="s">
        <v>432</v>
      </c>
    </row>
    <row r="3" spans="2:10" x14ac:dyDescent="0.2">
      <c r="B3" s="58" t="s">
        <v>91</v>
      </c>
      <c r="C3" s="37">
        <f ca="1">OFFSET('Normalized Annual Summary'!$C$10,COLUMN()-COLUMN($C3),0)</f>
        <v>375135884.99000001</v>
      </c>
      <c r="D3" s="37">
        <f ca="1">OFFSET('Normalized Annual Summary'!$C$10,COLUMN()-COLUMN($C3),0)</f>
        <v>381987925.02999997</v>
      </c>
      <c r="E3" s="37">
        <f ca="1">OFFSET('Normalized Annual Summary'!$C$10,COLUMN()-COLUMN($C3),0)</f>
        <v>374588272.57000005</v>
      </c>
      <c r="F3" s="37">
        <f ca="1">OFFSET('Normalized Annual Summary'!$C$10,COLUMN()-COLUMN($C3),0)</f>
        <v>380676140.48999995</v>
      </c>
      <c r="G3" s="37">
        <f ca="1">OFFSET('Normalized Annual Summary'!$C$10,COLUMN()-COLUMN($C3),0)</f>
        <v>372340611.97000003</v>
      </c>
      <c r="H3" s="37">
        <f ca="1">'Normalized Annual Summary'!$I$57</f>
        <v>381779487.38659549</v>
      </c>
      <c r="I3" s="37">
        <f ca="1">OFFSET('Normalized Annual Summary'!$K$14,COLUMN(I3)-COLUMN($H3),0)</f>
        <v>373586898.68600845</v>
      </c>
      <c r="J3" s="59">
        <f ca="1">OFFSET('Normalized Annual Summary'!$K$14,COLUMN(J3)-COLUMN($H3),0)</f>
        <v>370332781.73400217</v>
      </c>
    </row>
    <row r="4" spans="2:10" x14ac:dyDescent="0.2">
      <c r="B4" s="60" t="s">
        <v>349</v>
      </c>
      <c r="C4" s="37">
        <f ca="1">OFFSET('Normalized Annual Summary'!$N$10,COLUMN()-COLUMN($C4),0)</f>
        <v>135948289.22999999</v>
      </c>
      <c r="D4" s="37">
        <f ca="1">OFFSET('Normalized Annual Summary'!$N$10,COLUMN()-COLUMN($C4),0)</f>
        <v>128684916.41</v>
      </c>
      <c r="E4" s="37">
        <f ca="1">OFFSET('Normalized Annual Summary'!$N$10,COLUMN()-COLUMN($C4),0)</f>
        <v>128128422.44000001</v>
      </c>
      <c r="F4" s="37">
        <f ca="1">OFFSET('Normalized Annual Summary'!$N$10,COLUMN()-COLUMN($C4),0)</f>
        <v>132582254.64</v>
      </c>
      <c r="G4" s="37">
        <f ca="1">OFFSET('Normalized Annual Summary'!$N$10,COLUMN()-COLUMN($C4),0)</f>
        <v>136911221.69</v>
      </c>
      <c r="H4" s="37">
        <f ca="1">'Normalized Annual Summary'!$V$57</f>
        <v>138784183.96138984</v>
      </c>
      <c r="I4" s="37">
        <f ca="1">OFFSET('Normalized Annual Summary'!$V$14,COLUMN(I4)-COLUMN($H4),0)</f>
        <v>138995793.03964075</v>
      </c>
      <c r="J4" s="59">
        <f ca="1">OFFSET('Normalized Annual Summary'!$V$14,COLUMN(J4)-COLUMN($H4),0)</f>
        <v>140878308.70565671</v>
      </c>
    </row>
    <row r="5" spans="2:10" x14ac:dyDescent="0.2">
      <c r="B5" s="60" t="s">
        <v>375</v>
      </c>
      <c r="C5" s="37">
        <f ca="1">OFFSET('Normalized Annual Summary'!$Y$10,COLUMN()-COLUMN($C5),0)</f>
        <v>347530976.20000005</v>
      </c>
      <c r="D5" s="37">
        <f ca="1">OFFSET('Normalized Annual Summary'!$Y$10,COLUMN()-COLUMN($C5),0)</f>
        <v>319951981.80900002</v>
      </c>
      <c r="E5" s="37">
        <f ca="1">OFFSET('Normalized Annual Summary'!$Y$10,COLUMN()-COLUMN($C5),0)</f>
        <v>317045880.71200007</v>
      </c>
      <c r="F5" s="37">
        <f ca="1">OFFSET('Normalized Annual Summary'!$Y$10,COLUMN()-COLUMN($C5),0)</f>
        <v>331557996.88900006</v>
      </c>
      <c r="G5" s="37">
        <f ca="1">OFFSET('Normalized Annual Summary'!$Y$10,COLUMN()-COLUMN($C5),0)</f>
        <v>323871927.91100001</v>
      </c>
      <c r="H5" s="37">
        <f ca="1">'Normalized Annual Summary'!$AG$57</f>
        <v>328086243.92600167</v>
      </c>
      <c r="I5" s="37">
        <f ca="1">OFFSET('Normalized Annual Summary'!$AG$14,COLUMN(I5)-COLUMN($H5),0)</f>
        <v>326916847.66838825</v>
      </c>
      <c r="J5" s="59">
        <f ca="1">OFFSET('Normalized Annual Summary'!$AG$14,COLUMN(J5)-COLUMN($H5),0)</f>
        <v>324990553.30600399</v>
      </c>
    </row>
    <row r="6" spans="2:10" x14ac:dyDescent="0.2">
      <c r="B6" s="60" t="s">
        <v>353</v>
      </c>
      <c r="C6" s="37">
        <f ca="1">OFFSET('Normalized Annual Summary'!$AJ$10,COLUMN()-COLUMN($C6),0)</f>
        <v>7481251.9100000011</v>
      </c>
      <c r="D6" s="37">
        <f ca="1">OFFSET('Normalized Annual Summary'!$AJ$10,COLUMN()-COLUMN($C6),0)</f>
        <v>6391575.9499999993</v>
      </c>
      <c r="E6" s="37">
        <f ca="1">OFFSET('Normalized Annual Summary'!$AJ$10,COLUMN()-COLUMN($C6),0)</f>
        <v>3586468.2300000004</v>
      </c>
      <c r="F6" s="37">
        <f ca="1">OFFSET('Normalized Annual Summary'!$AJ$10,COLUMN()-COLUMN($C6),0)</f>
        <v>3599100.4</v>
      </c>
      <c r="G6" s="37">
        <f ca="1">OFFSET('Normalized Annual Summary'!$AJ$10,COLUMN()-COLUMN($C6),0)</f>
        <v>3626510.8</v>
      </c>
      <c r="H6" s="37">
        <f ca="1">OFFSET('Normalized Annual Summary'!$AM$14,COLUMN(H6)-COLUMN($H6),0)</f>
        <v>3626510.8</v>
      </c>
      <c r="I6" s="37">
        <f ca="1">OFFSET('Normalized Annual Summary'!$AM$14,COLUMN(I6)-COLUMN($H6),0)</f>
        <v>3641255.4245348559</v>
      </c>
      <c r="J6" s="59">
        <f ca="1">OFFSET('Normalized Annual Summary'!$AM$14,COLUMN(J6)-COLUMN($H6),0)</f>
        <v>3660141.1244483674</v>
      </c>
    </row>
    <row r="7" spans="2:10" x14ac:dyDescent="0.2">
      <c r="B7" s="60" t="s">
        <v>376</v>
      </c>
      <c r="C7" s="37">
        <f ca="1">OFFSET('Normalized Annual Summary'!$AP$10,COLUMN()-COLUMN($C7),0)</f>
        <v>372541.78</v>
      </c>
      <c r="D7" s="37">
        <f ca="1">OFFSET('Normalized Annual Summary'!$AP$10,COLUMN()-COLUMN($C7),0)</f>
        <v>363324.2</v>
      </c>
      <c r="E7" s="37">
        <f ca="1">OFFSET('Normalized Annual Summary'!$AP$10,COLUMN()-COLUMN($C7),0)</f>
        <v>360262.31</v>
      </c>
      <c r="F7" s="37">
        <f ca="1">OFFSET('Normalized Annual Summary'!$AP$10,COLUMN()-COLUMN($C7),0)</f>
        <v>348723.78</v>
      </c>
      <c r="G7" s="37">
        <f ca="1">OFFSET('Normalized Annual Summary'!$AP$10,COLUMN()-COLUMN($C7),0)</f>
        <v>324715.26</v>
      </c>
      <c r="H7" s="37">
        <f ca="1">OFFSET('Normalized Annual Summary'!$AS$14,COLUMN(H7)-COLUMN($H7),0)</f>
        <v>324715.26</v>
      </c>
      <c r="I7" s="37">
        <f ca="1">OFFSET('Normalized Annual Summary'!$AS$14,COLUMN(I7)-COLUMN($H7),0)</f>
        <v>322077.82119445776</v>
      </c>
      <c r="J7" s="59">
        <f ca="1">OFFSET('Normalized Annual Summary'!$AS$14,COLUMN(J7)-COLUMN($H7),0)</f>
        <v>316426.92026372469</v>
      </c>
    </row>
    <row r="8" spans="2:10" x14ac:dyDescent="0.2">
      <c r="B8" s="60" t="s">
        <v>94</v>
      </c>
      <c r="C8" s="37">
        <f ca="1">OFFSET('Normalized Annual Summary'!$AV$10,COLUMN()-COLUMN($C8),0)</f>
        <v>1133887</v>
      </c>
      <c r="D8" s="37">
        <f ca="1">OFFSET('Normalized Annual Summary'!$AV$10,COLUMN()-COLUMN($C8),0)</f>
        <v>1032903</v>
      </c>
      <c r="E8" s="37">
        <f ca="1">OFFSET('Normalized Annual Summary'!$AV$10,COLUMN()-COLUMN($C8),0)</f>
        <v>987840</v>
      </c>
      <c r="F8" s="37">
        <f ca="1">OFFSET('Normalized Annual Summary'!$AV$10,COLUMN()-COLUMN($C8),0)</f>
        <v>947504</v>
      </c>
      <c r="G8" s="37">
        <f ca="1">OFFSET('Normalized Annual Summary'!$AV$10,COLUMN()-COLUMN($C8),0)</f>
        <v>921828.41</v>
      </c>
      <c r="H8" s="37">
        <f ca="1">OFFSET('Normalized Annual Summary'!$AY$14,COLUMN(H8)-COLUMN($H8),0)</f>
        <v>921828.41</v>
      </c>
      <c r="I8" s="37">
        <f ca="1">OFFSET('Normalized Annual Summary'!$AY$14,COLUMN(I8)-COLUMN($H8),0)</f>
        <v>892259.62674432981</v>
      </c>
      <c r="J8" s="59">
        <f ca="1">OFFSET('Normalized Annual Summary'!$AY$14,COLUMN(J8)-COLUMN($H8),0)</f>
        <v>856205.19446467783</v>
      </c>
    </row>
    <row r="9" spans="2:10" ht="13.5" thickBot="1" x14ac:dyDescent="0.25">
      <c r="B9" s="61" t="s">
        <v>97</v>
      </c>
      <c r="C9" s="62">
        <f t="shared" ref="C9:J9" ca="1" si="0">SUM(C3:C8)</f>
        <v>867602831.11000001</v>
      </c>
      <c r="D9" s="62">
        <f t="shared" ca="1" si="0"/>
        <v>838412626.39900005</v>
      </c>
      <c r="E9" s="62">
        <f t="shared" ca="1" si="0"/>
        <v>824697146.26200008</v>
      </c>
      <c r="F9" s="62">
        <f t="shared" ca="1" si="0"/>
        <v>849711720.199</v>
      </c>
      <c r="G9" s="62">
        <f t="shared" ca="1" si="0"/>
        <v>837996816.04100001</v>
      </c>
      <c r="H9" s="62">
        <f t="shared" ref="H9:I9" ca="1" si="1">SUM(H3:H8)</f>
        <v>853522969.74398696</v>
      </c>
      <c r="I9" s="62">
        <f t="shared" ca="1" si="1"/>
        <v>844355132.26651096</v>
      </c>
      <c r="J9" s="63">
        <f t="shared" ca="1" si="0"/>
        <v>841034416.9848398</v>
      </c>
    </row>
    <row r="11" spans="2:10" ht="16.5" thickBot="1" x14ac:dyDescent="0.3">
      <c r="B11" s="54" t="s">
        <v>442</v>
      </c>
      <c r="F11" s="37"/>
      <c r="G11" s="37"/>
    </row>
    <row r="12" spans="2:10" ht="51" x14ac:dyDescent="0.2">
      <c r="B12" s="250" t="s">
        <v>127</v>
      </c>
      <c r="C12" s="64" t="s">
        <v>443</v>
      </c>
      <c r="D12" s="64" t="s">
        <v>444</v>
      </c>
      <c r="E12" s="65" t="s">
        <v>445</v>
      </c>
    </row>
    <row r="13" spans="2:10" x14ac:dyDescent="0.2">
      <c r="B13" s="58" t="str">
        <f t="shared" ref="B13:B18" si="2">B3</f>
        <v>Residential</v>
      </c>
      <c r="C13" s="37">
        <f t="shared" ref="C13:C18" ca="1" si="3">J3</f>
        <v>370332781.73400217</v>
      </c>
      <c r="D13" s="37">
        <f>'CDM Adjustment'!N7</f>
        <v>1030788.248414699</v>
      </c>
      <c r="E13" s="59">
        <f ca="1">C13-D13</f>
        <v>369301993.48558748</v>
      </c>
    </row>
    <row r="14" spans="2:10" x14ac:dyDescent="0.2">
      <c r="B14" s="60" t="str">
        <f t="shared" si="2"/>
        <v>GS &lt; 50</v>
      </c>
      <c r="C14" s="37">
        <f t="shared" ca="1" si="3"/>
        <v>140878308.70565671</v>
      </c>
      <c r="D14" s="37">
        <f>'CDM Adjustment'!N8</f>
        <v>1452260.31333037</v>
      </c>
      <c r="E14" s="59">
        <f ca="1">C14-D14</f>
        <v>139426048.39232633</v>
      </c>
    </row>
    <row r="15" spans="2:10" x14ac:dyDescent="0.2">
      <c r="B15" s="60" t="str">
        <f t="shared" si="2"/>
        <v>GS &gt; 50</v>
      </c>
      <c r="C15" s="37">
        <f t="shared" ca="1" si="3"/>
        <v>324990553.30600399</v>
      </c>
      <c r="D15" s="37">
        <f>'CDM Adjustment'!N9</f>
        <v>3798900.4537727358</v>
      </c>
      <c r="E15" s="59">
        <f t="shared" ref="E15:E18" ca="1" si="4">C15-D15</f>
        <v>321191652.85223126</v>
      </c>
    </row>
    <row r="16" spans="2:10" x14ac:dyDescent="0.2">
      <c r="B16" s="60" t="str">
        <f t="shared" si="2"/>
        <v>Street Light</v>
      </c>
      <c r="C16" s="37">
        <f t="shared" ca="1" si="3"/>
        <v>3660141.1244483674</v>
      </c>
      <c r="D16" s="37"/>
      <c r="E16" s="59">
        <f t="shared" ca="1" si="4"/>
        <v>3660141.1244483674</v>
      </c>
    </row>
    <row r="17" spans="2:10" x14ac:dyDescent="0.2">
      <c r="B17" s="60" t="str">
        <f t="shared" si="2"/>
        <v>Sentinel Light</v>
      </c>
      <c r="C17" s="37">
        <f t="shared" ca="1" si="3"/>
        <v>316426.92026372469</v>
      </c>
      <c r="D17" s="37"/>
      <c r="E17" s="59">
        <f t="shared" ca="1" si="4"/>
        <v>316426.92026372469</v>
      </c>
    </row>
    <row r="18" spans="2:10" x14ac:dyDescent="0.2">
      <c r="B18" s="60" t="str">
        <f t="shared" si="2"/>
        <v>USL</v>
      </c>
      <c r="C18" s="37">
        <f t="shared" ca="1" si="3"/>
        <v>856205.19446467783</v>
      </c>
      <c r="D18" s="37"/>
      <c r="E18" s="59">
        <f t="shared" ca="1" si="4"/>
        <v>856205.19446467783</v>
      </c>
    </row>
    <row r="19" spans="2:10" ht="13.5" thickBot="1" x14ac:dyDescent="0.25">
      <c r="B19" s="61" t="s">
        <v>97</v>
      </c>
      <c r="C19" s="62">
        <f ca="1">SUM(C13:C18)</f>
        <v>841034416.9848398</v>
      </c>
      <c r="D19" s="62">
        <f>SUM(D13:D18)</f>
        <v>6281949.0155178048</v>
      </c>
      <c r="E19" s="63">
        <f ca="1">SUM(E13:E18)</f>
        <v>834752467.96932197</v>
      </c>
    </row>
    <row r="21" spans="2:10" ht="16.5" thickBot="1" x14ac:dyDescent="0.3">
      <c r="B21" s="54" t="s">
        <v>363</v>
      </c>
    </row>
    <row r="22" spans="2:10" x14ac:dyDescent="0.2">
      <c r="B22" s="250" t="s">
        <v>130</v>
      </c>
      <c r="C22" s="56" t="s">
        <v>436</v>
      </c>
      <c r="D22" s="56" t="s">
        <v>437</v>
      </c>
      <c r="E22" s="56" t="s">
        <v>438</v>
      </c>
      <c r="F22" s="56" t="s">
        <v>439</v>
      </c>
      <c r="G22" s="56" t="s">
        <v>440</v>
      </c>
      <c r="H22" s="367" t="s">
        <v>441</v>
      </c>
      <c r="I22" s="56" t="s">
        <v>431</v>
      </c>
      <c r="J22" s="57" t="s">
        <v>432</v>
      </c>
    </row>
    <row r="23" spans="2:10" x14ac:dyDescent="0.2">
      <c r="B23" s="60" t="s">
        <v>375</v>
      </c>
      <c r="C23" s="37">
        <f ca="1">OFFSET('kW Forecast'!$D$10,COLUMN()-COLUMN($C23),0)</f>
        <v>846326.70999999985</v>
      </c>
      <c r="D23" s="37">
        <f ca="1">OFFSET('kW Forecast'!$D$10,COLUMN()-COLUMN($C23),0)</f>
        <v>757330.51</v>
      </c>
      <c r="E23" s="37">
        <f ca="1">OFFSET('kW Forecast'!$D$10,COLUMN()-COLUMN($C23),0)</f>
        <v>761568.5199999999</v>
      </c>
      <c r="F23" s="37">
        <f ca="1">OFFSET('kW Forecast'!$D$10,COLUMN()-COLUMN($C23),0)</f>
        <v>792668.42999999993</v>
      </c>
      <c r="G23" s="37">
        <f ca="1">OFFSET('kW Forecast'!$D$10,COLUMN()-COLUMN($C23),0)</f>
        <v>797792.85</v>
      </c>
      <c r="H23" s="37">
        <f ca="1">OFFSET('kW Forecast'!$D$19,COLUMN()-COLUMN($H23)-1,0)</f>
        <v>805883.7345767013</v>
      </c>
      <c r="I23" s="37">
        <f ca="1">OFFSET('kW Forecast'!$G$19,COLUMN()-COLUMN($H23)-1,0)</f>
        <v>803183.11573038541</v>
      </c>
      <c r="J23" s="59">
        <f ca="1">OFFSET('kW Forecast'!$G$19,COLUMN()-COLUMN($H23)-1,0)</f>
        <v>801640.10138076812</v>
      </c>
    </row>
    <row r="24" spans="2:10" x14ac:dyDescent="0.2">
      <c r="B24" s="60" t="s">
        <v>353</v>
      </c>
      <c r="C24" s="37">
        <f ca="1">OFFSET('kW Forecast'!$L$10,COLUMN()-COLUMN($C24),0)</f>
        <v>20902.350000000006</v>
      </c>
      <c r="D24" s="37">
        <f ca="1">OFFSET('kW Forecast'!$L$10,COLUMN()-COLUMN($C24),0)</f>
        <v>18315.38</v>
      </c>
      <c r="E24" s="37">
        <f ca="1">OFFSET('kW Forecast'!$L$10,COLUMN()-COLUMN($C24),0)</f>
        <v>10093.359999999999</v>
      </c>
      <c r="F24" s="37">
        <f ca="1">OFFSET('kW Forecast'!$L$10,COLUMN()-COLUMN($C24),0)</f>
        <v>10056.859999999999</v>
      </c>
      <c r="G24" s="37">
        <f ca="1">OFFSET('kW Forecast'!$L$10,COLUMN()-COLUMN($C24),0)</f>
        <v>10133.210000000001</v>
      </c>
      <c r="H24" s="37">
        <f ca="1">OFFSET('kW Forecast'!$L$19,COLUMN()-COLUMN($H24)-1,0)</f>
        <v>10163.901468233958</v>
      </c>
      <c r="I24" s="37">
        <f ca="1">OFFSET('kW Forecast'!$L$19,COLUMN()-COLUMN($H24)-1,0)</f>
        <v>10205.225738096433</v>
      </c>
      <c r="J24" s="59">
        <f ca="1">OFFSET('kW Forecast'!$L$19,COLUMN()-COLUMN($H24)-1,0)</f>
        <v>10258.156062495182</v>
      </c>
    </row>
    <row r="25" spans="2:10" x14ac:dyDescent="0.2">
      <c r="B25" s="60" t="s">
        <v>376</v>
      </c>
      <c r="C25" s="37">
        <f ca="1">OFFSET('kW Forecast'!$R$10,COLUMN()-COLUMN($C25),0)</f>
        <v>1027.9099999999999</v>
      </c>
      <c r="D25" s="37">
        <f ca="1">OFFSET('kW Forecast'!$R$10,COLUMN()-COLUMN($C25),0)</f>
        <v>999.2600000000001</v>
      </c>
      <c r="E25" s="37">
        <f ca="1">OFFSET('kW Forecast'!$R$10,COLUMN()-COLUMN($C25),0)</f>
        <v>992.44000000000017</v>
      </c>
      <c r="F25" s="37">
        <f ca="1">OFFSET('kW Forecast'!$R$10,COLUMN()-COLUMN($C25),0)</f>
        <v>960.91</v>
      </c>
      <c r="G25" s="37">
        <f ca="1">OFFSET('kW Forecast'!$R$10,COLUMN()-COLUMN($C25),0)</f>
        <v>894.81000000000017</v>
      </c>
      <c r="H25" s="37">
        <f ca="1">OFFSET('kW Forecast'!$R$19,COLUMN()-COLUMN($H25)-1,0)</f>
        <v>894.4535333168684</v>
      </c>
      <c r="I25" s="37">
        <f ca="1">OFFSET('kW Forecast'!$R$19,COLUMN()-COLUMN($H25)-1,0)</f>
        <v>887.18850222924948</v>
      </c>
      <c r="J25" s="59">
        <f ca="1">OFFSET('kW Forecast'!$R$19,COLUMN()-COLUMN($H25)-1,0)</f>
        <v>871.6226544649104</v>
      </c>
    </row>
    <row r="26" spans="2:10" ht="13.5" thickBot="1" x14ac:dyDescent="0.25">
      <c r="B26" s="61" t="s">
        <v>97</v>
      </c>
      <c r="C26" s="62">
        <f t="shared" ref="C26:J26" ca="1" si="5">SUM(C20:C25)</f>
        <v>868256.96999999986</v>
      </c>
      <c r="D26" s="62">
        <f t="shared" ca="1" si="5"/>
        <v>776645.15</v>
      </c>
      <c r="E26" s="62">
        <f t="shared" ca="1" si="5"/>
        <v>772654.31999999983</v>
      </c>
      <c r="F26" s="62">
        <f t="shared" ca="1" si="5"/>
        <v>803686.2</v>
      </c>
      <c r="G26" s="62">
        <f t="shared" ca="1" si="5"/>
        <v>808820.87</v>
      </c>
      <c r="H26" s="62">
        <f t="shared" ca="1" si="5"/>
        <v>816942.08957825205</v>
      </c>
      <c r="I26" s="62">
        <f t="shared" ca="1" si="5"/>
        <v>814275.5299707111</v>
      </c>
      <c r="J26" s="63">
        <f t="shared" ca="1" si="5"/>
        <v>812769.88009772822</v>
      </c>
    </row>
    <row r="28" spans="2:10" ht="16.5" thickBot="1" x14ac:dyDescent="0.3">
      <c r="B28" s="54" t="s">
        <v>442</v>
      </c>
    </row>
    <row r="29" spans="2:10" ht="39.6" customHeight="1" x14ac:dyDescent="0.2">
      <c r="B29" s="250" t="s">
        <v>130</v>
      </c>
      <c r="C29" s="64" t="s">
        <v>443</v>
      </c>
      <c r="D29" s="64" t="s">
        <v>444</v>
      </c>
      <c r="E29" s="65" t="s">
        <v>445</v>
      </c>
    </row>
    <row r="30" spans="2:10" x14ac:dyDescent="0.2">
      <c r="B30" s="60" t="str">
        <f>B23</f>
        <v>GS &gt; 50</v>
      </c>
      <c r="C30" s="37">
        <f ca="1">J23</f>
        <v>801640.10138076812</v>
      </c>
      <c r="D30" s="37">
        <f ca="1">'CDM Adjustment'!O20</f>
        <v>9331.302795072379</v>
      </c>
      <c r="E30" s="59">
        <f ca="1">C30-D30</f>
        <v>792308.79858569568</v>
      </c>
    </row>
    <row r="31" spans="2:10" x14ac:dyDescent="0.2">
      <c r="B31" s="60" t="str">
        <f>B24</f>
        <v>Street Light</v>
      </c>
      <c r="C31" s="37">
        <f ca="1">J24</f>
        <v>10258.156062495182</v>
      </c>
      <c r="D31" s="37"/>
      <c r="E31" s="59">
        <f t="shared" ref="E31:E32" ca="1" si="6">C31-D31</f>
        <v>10258.156062495182</v>
      </c>
    </row>
    <row r="32" spans="2:10" x14ac:dyDescent="0.2">
      <c r="B32" s="60" t="str">
        <f>B25</f>
        <v>Sentinel Light</v>
      </c>
      <c r="C32" s="37">
        <f ca="1">J25</f>
        <v>871.6226544649104</v>
      </c>
      <c r="D32" s="37"/>
      <c r="E32" s="59">
        <f t="shared" ca="1" si="6"/>
        <v>871.6226544649104</v>
      </c>
    </row>
    <row r="33" spans="2:18" ht="13.5" thickBot="1" x14ac:dyDescent="0.25">
      <c r="B33" s="61" t="s">
        <v>97</v>
      </c>
      <c r="C33" s="62">
        <f ca="1">SUM(C30:C32)</f>
        <v>812769.88009772822</v>
      </c>
      <c r="D33" s="62">
        <f ca="1">SUM(D30:D32)</f>
        <v>9331.302795072379</v>
      </c>
      <c r="E33" s="63">
        <f ca="1">SUM(E30:E32)</f>
        <v>803438.57730265579</v>
      </c>
      <c r="R33" s="37"/>
    </row>
    <row r="34" spans="2:18" x14ac:dyDescent="0.2">
      <c r="R34" s="37"/>
    </row>
    <row r="35" spans="2:18" ht="16.5" thickBot="1" x14ac:dyDescent="0.3">
      <c r="B35" s="54" t="s">
        <v>446</v>
      </c>
      <c r="R35" s="37"/>
    </row>
    <row r="36" spans="2:18" x14ac:dyDescent="0.2">
      <c r="B36" s="55" t="s">
        <v>377</v>
      </c>
      <c r="C36" s="56" t="s">
        <v>436</v>
      </c>
      <c r="D36" s="56" t="s">
        <v>437</v>
      </c>
      <c r="E36" s="56" t="s">
        <v>438</v>
      </c>
      <c r="F36" s="56" t="s">
        <v>439</v>
      </c>
      <c r="G36" s="56" t="s">
        <v>440</v>
      </c>
      <c r="H36" s="56" t="s">
        <v>431</v>
      </c>
      <c r="I36" s="57" t="s">
        <v>432</v>
      </c>
    </row>
    <row r="37" spans="2:18" x14ac:dyDescent="0.2">
      <c r="B37" s="58" t="str">
        <f t="shared" ref="B37:B42" si="7">B3</f>
        <v>Residential</v>
      </c>
      <c r="C37" s="37">
        <f ca="1">OFFSET('Customer Count'!$C$9,COLUMN()-COLUMN($C37),0)</f>
        <v>43011.25</v>
      </c>
      <c r="D37" s="37">
        <f ca="1">OFFSET('Customer Count'!$C$9,COLUMN()-COLUMN($C37),0)</f>
        <v>43072.833333333336</v>
      </c>
      <c r="E37" s="37">
        <f ca="1">OFFSET('Customer Count'!$C$9,COLUMN()-COLUMN($C37),0)</f>
        <v>43112.5</v>
      </c>
      <c r="F37" s="37">
        <f ca="1">OFFSET('Customer Count'!$C$9,COLUMN()-COLUMN($C37),0)</f>
        <v>43131.25</v>
      </c>
      <c r="G37" s="37">
        <f ca="1">OFFSET('Customer Count'!$C$9,COLUMN()-COLUMN($C37),0)</f>
        <v>43277.75</v>
      </c>
      <c r="H37" s="37">
        <f ca="1">OFFSET('Customer Count'!$C$9,COLUMN()-COLUMN($C37),0)</f>
        <v>43407.333333333336</v>
      </c>
      <c r="I37" s="59">
        <f ca="1">OFFSET('Customer Count'!$C$9,COLUMN()-COLUMN($C37),0)</f>
        <v>43485.255520673287</v>
      </c>
    </row>
    <row r="38" spans="2:18" x14ac:dyDescent="0.2">
      <c r="B38" s="60" t="str">
        <f t="shared" si="7"/>
        <v>GS &lt; 50</v>
      </c>
      <c r="C38" s="37">
        <f ca="1">OFFSET('Customer Count'!$G$9,COLUMN()-COLUMN($C38),0)</f>
        <v>4167</v>
      </c>
      <c r="D38" s="37">
        <f ca="1">OFFSET('Customer Count'!$G$9,COLUMN()-COLUMN($C38),0)</f>
        <v>4214.416666666667</v>
      </c>
      <c r="E38" s="37">
        <f ca="1">OFFSET('Customer Count'!$G$9,COLUMN()-COLUMN($C38),0)</f>
        <v>4258.5</v>
      </c>
      <c r="F38" s="37">
        <f ca="1">OFFSET('Customer Count'!$G$9,COLUMN()-COLUMN($C38),0)</f>
        <v>4272.916666666667</v>
      </c>
      <c r="G38" s="37">
        <f ca="1">OFFSET('Customer Count'!$G$9,COLUMN()-COLUMN($C38),0)</f>
        <v>4325.666666666667</v>
      </c>
      <c r="H38" s="37">
        <f ca="1">OFFSET('Customer Count'!$G$9,COLUMN()-COLUMN($C38),0)</f>
        <v>4331.5</v>
      </c>
      <c r="I38" s="59">
        <f ca="1">OFFSET('Customer Count'!$G$9,COLUMN()-COLUMN($C38),0)</f>
        <v>4367.3821119341483</v>
      </c>
    </row>
    <row r="39" spans="2:18" ht="13.5" customHeight="1" x14ac:dyDescent="0.2">
      <c r="B39" s="60" t="str">
        <f t="shared" si="7"/>
        <v>GS &gt; 50</v>
      </c>
      <c r="C39" s="37">
        <f ca="1">OFFSET('Customer Count'!$K$9,COLUMN()-COLUMN($C39),0)</f>
        <v>501.25</v>
      </c>
      <c r="D39" s="37">
        <f ca="1">OFFSET('Customer Count'!$K$9,COLUMN()-COLUMN($C39),0)</f>
        <v>481</v>
      </c>
      <c r="E39" s="37">
        <f ca="1">OFFSET('Customer Count'!$K$9,COLUMN()-COLUMN($C39),0)</f>
        <v>476.5</v>
      </c>
      <c r="F39" s="37">
        <f ca="1">OFFSET('Customer Count'!$K$9,COLUMN()-COLUMN($C39),0)</f>
        <v>485.58333333333331</v>
      </c>
      <c r="G39" s="37">
        <f ca="1">OFFSET('Customer Count'!$K$9,COLUMN()-COLUMN($C39),0)</f>
        <v>447.25</v>
      </c>
      <c r="H39" s="37">
        <f ca="1">OFFSET('Customer Count'!$K$9,COLUMN()-COLUMN($C39),0)</f>
        <v>432</v>
      </c>
      <c r="I39" s="59">
        <f ca="1">OFFSET('Customer Count'!$K$9,COLUMN()-COLUMN($C39),0)</f>
        <v>425.05560782675974</v>
      </c>
    </row>
    <row r="40" spans="2:18" x14ac:dyDescent="0.2">
      <c r="B40" s="60" t="str">
        <f t="shared" si="7"/>
        <v>Street Light</v>
      </c>
      <c r="C40" s="37">
        <f ca="1">OFFSET('Customer Count'!$O$9,COLUMN()-COLUMN($C40),0)</f>
        <v>9916.75</v>
      </c>
      <c r="D40" s="37">
        <f ca="1">OFFSET('Customer Count'!$O$9,COLUMN()-COLUMN($C40),0)</f>
        <v>10029.583333333334</v>
      </c>
      <c r="E40" s="37">
        <f ca="1">OFFSET('Customer Count'!$O$9,COLUMN()-COLUMN($C40),0)</f>
        <v>10091.916666666666</v>
      </c>
      <c r="F40" s="37">
        <f ca="1">OFFSET('Customer Count'!$O$9,COLUMN()-COLUMN($C40),0)</f>
        <v>10154.833333333334</v>
      </c>
      <c r="G40" s="37">
        <f ca="1">OFFSET('Customer Count'!$O$9,COLUMN()-COLUMN($C40),0)</f>
        <v>10197.5</v>
      </c>
      <c r="H40" s="37">
        <f ca="1">OFFSET('Customer Count'!$O$9,COLUMN()-COLUMN($C40),0)</f>
        <v>10252.916666666666</v>
      </c>
      <c r="I40" s="59">
        <f ca="1">OFFSET('Customer Count'!$O$9,COLUMN()-COLUMN($C40),0)</f>
        <v>10306.094344370955</v>
      </c>
    </row>
    <row r="41" spans="2:18" x14ac:dyDescent="0.2">
      <c r="B41" s="60" t="str">
        <f t="shared" si="7"/>
        <v>Sentinel Light</v>
      </c>
      <c r="C41" s="37">
        <f ca="1">OFFSET('Customer Count'!$S$9,COLUMN()-COLUMN($C41),0)</f>
        <v>366.25</v>
      </c>
      <c r="D41" s="37">
        <f ca="1">OFFSET('Customer Count'!$S$9,COLUMN()-COLUMN($C41),0)</f>
        <v>354.08333333333331</v>
      </c>
      <c r="E41" s="37">
        <f ca="1">OFFSET('Customer Count'!$S$9,COLUMN()-COLUMN($C41),0)</f>
        <v>352.16666666666669</v>
      </c>
      <c r="F41" s="37">
        <f ca="1">OFFSET('Customer Count'!$S$9,COLUMN()-COLUMN($C41),0)</f>
        <v>350.5</v>
      </c>
      <c r="G41" s="37">
        <f ca="1">OFFSET('Customer Count'!$S$9,COLUMN()-COLUMN($C41),0)</f>
        <v>348.83333333333331</v>
      </c>
      <c r="H41" s="37">
        <f ca="1">OFFSET('Customer Count'!$S$9,COLUMN()-COLUMN($C41),0)</f>
        <v>346</v>
      </c>
      <c r="I41" s="59">
        <f ca="1">OFFSET('Customer Count'!$S$9,COLUMN()-COLUMN($C41),0)</f>
        <v>339.92938105833389</v>
      </c>
    </row>
    <row r="42" spans="2:18" x14ac:dyDescent="0.2">
      <c r="B42" s="60" t="str">
        <f t="shared" si="7"/>
        <v>USL</v>
      </c>
      <c r="C42" s="37">
        <f ca="1">OFFSET('Customer Count'!$W$9,COLUMN()-COLUMN($C42),0)</f>
        <v>293.5</v>
      </c>
      <c r="D42" s="37">
        <f ca="1">OFFSET('Customer Count'!$W$9,COLUMN()-COLUMN($C42),0)</f>
        <v>279.33333333333331</v>
      </c>
      <c r="E42" s="37">
        <f ca="1">OFFSET('Customer Count'!$W$9,COLUMN()-COLUMN($C42),0)</f>
        <v>268</v>
      </c>
      <c r="F42" s="37">
        <f ca="1">OFFSET('Customer Count'!$W$9,COLUMN()-COLUMN($C42),0)</f>
        <v>261.33333333333331</v>
      </c>
      <c r="G42" s="37">
        <f ca="1">OFFSET('Customer Count'!$W$9,COLUMN()-COLUMN($C42),0)</f>
        <v>259.58333333333331</v>
      </c>
      <c r="H42" s="37">
        <f ca="1">OFFSET('Customer Count'!$W$9,COLUMN()-COLUMN($C42),0)</f>
        <v>253.83333333333334</v>
      </c>
      <c r="I42" s="59">
        <f ca="1">OFFSET('Customer Count'!$W$9,COLUMN()-COLUMN($C42),0)</f>
        <v>247.09105249306646</v>
      </c>
    </row>
    <row r="43" spans="2:18" ht="13.5" thickBot="1" x14ac:dyDescent="0.25">
      <c r="B43" s="61" t="s">
        <v>97</v>
      </c>
      <c r="C43" s="62">
        <f t="shared" ref="C43:I43" ca="1" si="8">SUM(C37:C42)</f>
        <v>58256</v>
      </c>
      <c r="D43" s="62">
        <f t="shared" ca="1" si="8"/>
        <v>58431.250000000007</v>
      </c>
      <c r="E43" s="62">
        <f t="shared" ca="1" si="8"/>
        <v>58559.583333333328</v>
      </c>
      <c r="F43" s="62">
        <f t="shared" ca="1" si="8"/>
        <v>58656.416666666672</v>
      </c>
      <c r="G43" s="62">
        <f t="shared" ca="1" si="8"/>
        <v>58856.583333333336</v>
      </c>
      <c r="H43" s="62">
        <f t="shared" ca="1" si="8"/>
        <v>59023.583333333336</v>
      </c>
      <c r="I43" s="63">
        <f t="shared" ca="1" si="8"/>
        <v>59170.808018356554</v>
      </c>
    </row>
    <row r="45" spans="2:18" ht="16.5" thickBot="1" x14ac:dyDescent="0.3">
      <c r="B45" s="54" t="s">
        <v>447</v>
      </c>
    </row>
    <row r="46" spans="2:18" ht="38.25" x14ac:dyDescent="0.2">
      <c r="B46" s="250">
        <v>2025</v>
      </c>
      <c r="C46" s="64" t="s">
        <v>127</v>
      </c>
      <c r="D46" s="64" t="s">
        <v>130</v>
      </c>
      <c r="E46" s="65" t="s">
        <v>446</v>
      </c>
    </row>
    <row r="47" spans="2:18" x14ac:dyDescent="0.2">
      <c r="B47" s="58" t="str">
        <f>B37</f>
        <v>Residential</v>
      </c>
      <c r="C47" s="37">
        <f ca="1">E13</f>
        <v>369301993.48558748</v>
      </c>
      <c r="D47" s="37"/>
      <c r="E47" s="59">
        <f ca="1">I37</f>
        <v>43485.255520673287</v>
      </c>
      <c r="G47" s="456"/>
      <c r="H47" s="456"/>
      <c r="I47" s="456"/>
      <c r="J47" s="456"/>
    </row>
    <row r="48" spans="2:18" x14ac:dyDescent="0.2">
      <c r="B48" s="60" t="str">
        <f t="shared" ref="B48:B53" si="9">B38</f>
        <v>GS &lt; 50</v>
      </c>
      <c r="C48" s="37">
        <f t="shared" ref="C48:C52" ca="1" si="10">E14</f>
        <v>139426048.39232633</v>
      </c>
      <c r="D48" s="37"/>
      <c r="E48" s="59">
        <f t="shared" ref="E48:E52" ca="1" si="11">I38</f>
        <v>4367.3821119341483</v>
      </c>
      <c r="G48" s="456"/>
      <c r="H48" s="456"/>
      <c r="I48" s="456"/>
      <c r="J48" s="456"/>
    </row>
    <row r="49" spans="2:10" x14ac:dyDescent="0.2">
      <c r="B49" s="60" t="str">
        <f t="shared" si="9"/>
        <v>GS &gt; 50</v>
      </c>
      <c r="C49" s="37">
        <f t="shared" ca="1" si="10"/>
        <v>321191652.85223126</v>
      </c>
      <c r="D49" s="37">
        <f ca="1">E30</f>
        <v>792308.79858569568</v>
      </c>
      <c r="E49" s="59">
        <f t="shared" ca="1" si="11"/>
        <v>425.05560782675974</v>
      </c>
      <c r="G49" s="456"/>
      <c r="H49" s="456"/>
      <c r="I49" s="456"/>
      <c r="J49" s="456"/>
    </row>
    <row r="50" spans="2:10" x14ac:dyDescent="0.2">
      <c r="B50" s="60" t="str">
        <f t="shared" si="9"/>
        <v>Street Light</v>
      </c>
      <c r="C50" s="37">
        <f t="shared" ca="1" si="10"/>
        <v>3660141.1244483674</v>
      </c>
      <c r="D50" s="37">
        <f t="shared" ref="D50:D51" ca="1" si="12">E31</f>
        <v>10258.156062495182</v>
      </c>
      <c r="E50" s="59">
        <f t="shared" ca="1" si="11"/>
        <v>10306.094344370955</v>
      </c>
      <c r="G50" s="456"/>
      <c r="H50" s="456"/>
      <c r="I50" s="456"/>
      <c r="J50" s="456"/>
    </row>
    <row r="51" spans="2:10" x14ac:dyDescent="0.2">
      <c r="B51" s="60" t="str">
        <f t="shared" si="9"/>
        <v>Sentinel Light</v>
      </c>
      <c r="C51" s="37">
        <f t="shared" ca="1" si="10"/>
        <v>316426.92026372469</v>
      </c>
      <c r="D51" s="37">
        <f t="shared" ca="1" si="12"/>
        <v>871.6226544649104</v>
      </c>
      <c r="E51" s="59">
        <f t="shared" ca="1" si="11"/>
        <v>339.92938105833389</v>
      </c>
      <c r="G51" s="456"/>
      <c r="H51" s="456"/>
      <c r="I51" s="456"/>
      <c r="J51" s="456"/>
    </row>
    <row r="52" spans="2:10" x14ac:dyDescent="0.2">
      <c r="B52" s="60" t="str">
        <f t="shared" si="9"/>
        <v>USL</v>
      </c>
      <c r="C52" s="37">
        <f t="shared" ca="1" si="10"/>
        <v>856205.19446467783</v>
      </c>
      <c r="D52" s="37"/>
      <c r="E52" s="59">
        <f t="shared" ca="1" si="11"/>
        <v>247.09105249306646</v>
      </c>
      <c r="G52" s="456"/>
      <c r="H52" s="456"/>
      <c r="I52" s="456"/>
    </row>
    <row r="53" spans="2:10" ht="13.5" thickBot="1" x14ac:dyDescent="0.25">
      <c r="B53" s="61" t="str">
        <f t="shared" si="9"/>
        <v>Total</v>
      </c>
      <c r="C53" s="62">
        <f ca="1">SUM(C47:C52)</f>
        <v>834752467.96932197</v>
      </c>
      <c r="D53" s="62">
        <f t="shared" ref="D53:E53" ca="1" si="13">SUM(D47:D52)</f>
        <v>803438.57730265579</v>
      </c>
      <c r="E53" s="63">
        <f t="shared" ca="1" si="13"/>
        <v>59170.808018356554</v>
      </c>
    </row>
  </sheetData>
  <phoneticPr fontId="19"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CC2B-757D-444F-BC68-232BF389283A}">
  <sheetPr>
    <tabColor theme="8" tint="0.79998168889431442"/>
  </sheetPr>
  <dimension ref="A1:Y146"/>
  <sheetViews>
    <sheetView workbookViewId="0">
      <selection activeCell="U2" sqref="U2:Y22"/>
    </sheetView>
  </sheetViews>
  <sheetFormatPr defaultRowHeight="12.75" x14ac:dyDescent="0.2"/>
  <cols>
    <col min="1" max="1" width="12" style="28" customWidth="1"/>
    <col min="4" max="4" width="14.6640625" style="18" bestFit="1" customWidth="1"/>
    <col min="13" max="13" width="13.6640625" bestFit="1" customWidth="1"/>
    <col min="14" max="14" width="13.83203125" bestFit="1" customWidth="1"/>
    <col min="15" max="15" width="10.6640625" customWidth="1"/>
    <col min="16" max="16" width="13.83203125" bestFit="1" customWidth="1"/>
    <col min="17" max="17" width="14.33203125" bestFit="1" customWidth="1"/>
    <col min="18" max="19" width="14.1640625" customWidth="1"/>
    <col min="21" max="21" width="14.83203125" bestFit="1" customWidth="1"/>
    <col min="22" max="22" width="11.6640625" customWidth="1"/>
  </cols>
  <sheetData>
    <row r="1" spans="1:25" x14ac:dyDescent="0.2">
      <c r="A1" s="28" t="str">
        <f>'Monthly Data'!A1</f>
        <v>Date</v>
      </c>
      <c r="B1" t="str">
        <f>'Monthly Data'!C1</f>
        <v>Month</v>
      </c>
      <c r="C1" t="str">
        <f>'Monthly Data'!B1</f>
        <v>Year</v>
      </c>
      <c r="D1" s="18" t="str">
        <f>'Monthly Data'!F1</f>
        <v>Res_NoCDM</v>
      </c>
      <c r="E1" t="s">
        <v>448</v>
      </c>
      <c r="F1" s="98" t="s">
        <v>449</v>
      </c>
      <c r="G1" s="98" t="str">
        <f>'Monthly Data'!AG1</f>
        <v>HDD12</v>
      </c>
      <c r="H1" s="98" t="str">
        <f>'Monthly Data'!AB1</f>
        <v>CDD18</v>
      </c>
      <c r="I1" t="str">
        <f>'Monthly Data'!BO1</f>
        <v>MonthDays</v>
      </c>
      <c r="J1" t="str">
        <f>'Monthly Data'!BS1</f>
        <v>COVID_WFH</v>
      </c>
      <c r="K1" t="str">
        <f>'Monthly Data'!BK1</f>
        <v>Shoulder</v>
      </c>
      <c r="M1" t="s">
        <v>134</v>
      </c>
      <c r="N1" t="str">
        <f t="shared" ref="N1:O1" si="0">G1</f>
        <v>HDD12</v>
      </c>
      <c r="O1" t="str">
        <f t="shared" si="0"/>
        <v>CDD18</v>
      </c>
      <c r="P1" t="str">
        <f>I1</f>
        <v>MonthDays</v>
      </c>
      <c r="Q1" t="str">
        <f>J1</f>
        <v>COVID_WFH</v>
      </c>
      <c r="R1" t="str">
        <f>K1</f>
        <v>Shoulder</v>
      </c>
      <c r="S1" t="s">
        <v>450</v>
      </c>
    </row>
    <row r="2" spans="1:25" x14ac:dyDescent="0.2">
      <c r="A2" s="28">
        <f>'Monthly Data'!A2</f>
        <v>41640</v>
      </c>
      <c r="B2">
        <f>'Monthly Data'!C2</f>
        <v>1</v>
      </c>
      <c r="C2">
        <f>'Monthly Data'!B2</f>
        <v>2014</v>
      </c>
      <c r="D2" s="18">
        <f>'Monthly Data'!F2</f>
        <v>49739999.203906089</v>
      </c>
      <c r="E2" s="215">
        <f ca="1">Weather!CE36</f>
        <v>728.68367523535153</v>
      </c>
      <c r="F2" s="216">
        <f ca="1">Weather!AM36</f>
        <v>0</v>
      </c>
      <c r="G2" s="98">
        <f>'Monthly Data'!AG2</f>
        <v>837.07916666666665</v>
      </c>
      <c r="H2" s="98">
        <f>'Monthly Data'!AB2</f>
        <v>0</v>
      </c>
      <c r="I2">
        <f>'Monthly Data'!BO2</f>
        <v>31</v>
      </c>
      <c r="J2">
        <f>'Monthly Data'!BS2</f>
        <v>0</v>
      </c>
      <c r="K2">
        <f>'Monthly Data'!BK2</f>
        <v>0</v>
      </c>
      <c r="M2" s="17"/>
      <c r="N2" s="17">
        <f ca="1">(E2-G2)*$V$8</f>
        <v>-2706553.5471122568</v>
      </c>
      <c r="O2" s="17">
        <f ca="1">(F2-H2)*$V$9</f>
        <v>0</v>
      </c>
      <c r="P2" s="17"/>
      <c r="Q2" s="17"/>
      <c r="R2" s="17"/>
      <c r="S2" s="17">
        <f ca="1">D2+SUM(M2:R2)</f>
        <v>47033445.656793833</v>
      </c>
      <c r="U2" t="s">
        <v>484</v>
      </c>
    </row>
    <row r="3" spans="1:25" x14ac:dyDescent="0.2">
      <c r="A3" s="28">
        <f>'Monthly Data'!A3</f>
        <v>41671</v>
      </c>
      <c r="B3">
        <f>'Monthly Data'!C3</f>
        <v>2</v>
      </c>
      <c r="C3">
        <f>'Monthly Data'!B3</f>
        <v>2014</v>
      </c>
      <c r="D3" s="18">
        <f>'Monthly Data'!F3</f>
        <v>42862938.403064542</v>
      </c>
      <c r="E3" s="215">
        <f ca="1">Weather!CE37</f>
        <v>655.75083333333328</v>
      </c>
      <c r="F3" s="216">
        <f ca="1">Weather!AM37</f>
        <v>0</v>
      </c>
      <c r="G3" s="98">
        <f>'Monthly Data'!AG3</f>
        <v>705.85208333333344</v>
      </c>
      <c r="H3" s="98">
        <f>'Monthly Data'!AB3</f>
        <v>0</v>
      </c>
      <c r="I3">
        <f>'Monthly Data'!BO3</f>
        <v>28</v>
      </c>
      <c r="J3">
        <f>'Monthly Data'!BS3</f>
        <v>0</v>
      </c>
      <c r="K3">
        <f>'Monthly Data'!BK3</f>
        <v>0</v>
      </c>
      <c r="M3" s="17"/>
      <c r="N3" s="17">
        <f t="shared" ref="N3:N66" ca="1" si="1">(E3-G3)*$V$8</f>
        <v>-1250990.3697256865</v>
      </c>
      <c r="O3" s="17">
        <f t="shared" ref="O3:O66" ca="1" si="2">(F3-H3)*$V$9</f>
        <v>0</v>
      </c>
      <c r="P3" s="17"/>
      <c r="Q3" s="17"/>
      <c r="R3" s="17"/>
      <c r="S3" s="17">
        <f t="shared" ref="S3:S66" ca="1" si="3">D3+SUM(M3:R3)</f>
        <v>41611948.033338852</v>
      </c>
      <c r="U3" t="s">
        <v>138</v>
      </c>
    </row>
    <row r="4" spans="1:25" x14ac:dyDescent="0.2">
      <c r="A4" s="28">
        <f>'Monthly Data'!A4</f>
        <v>41699</v>
      </c>
      <c r="B4">
        <f>'Monthly Data'!C4</f>
        <v>3</v>
      </c>
      <c r="C4">
        <f>'Monthly Data'!B4</f>
        <v>2014</v>
      </c>
      <c r="D4" s="18">
        <f>'Monthly Data'!F4</f>
        <v>41151306.654312156</v>
      </c>
      <c r="E4" s="215">
        <f ca="1">Weather!CE38</f>
        <v>531.1185376765136</v>
      </c>
      <c r="F4" s="216">
        <f ca="1">Weather!AM38</f>
        <v>0</v>
      </c>
      <c r="G4" s="98">
        <f>'Monthly Data'!AG4</f>
        <v>679.39791666666656</v>
      </c>
      <c r="H4" s="98">
        <f>'Monthly Data'!AB4</f>
        <v>0</v>
      </c>
      <c r="I4">
        <f>'Monthly Data'!BO4</f>
        <v>31</v>
      </c>
      <c r="J4">
        <f>'Monthly Data'!BS4</f>
        <v>0</v>
      </c>
      <c r="K4">
        <f>'Monthly Data'!BK4</f>
        <v>1</v>
      </c>
      <c r="M4" s="17"/>
      <c r="N4" s="17">
        <f t="shared" ca="1" si="1"/>
        <v>-3702424.0941211255</v>
      </c>
      <c r="O4" s="17">
        <f t="shared" ca="1" si="2"/>
        <v>0</v>
      </c>
      <c r="P4" s="17"/>
      <c r="Q4" s="17"/>
      <c r="R4" s="17"/>
      <c r="S4" s="17">
        <f t="shared" ca="1" si="3"/>
        <v>37448882.560191028</v>
      </c>
      <c r="U4" t="s">
        <v>490</v>
      </c>
    </row>
    <row r="5" spans="1:25" x14ac:dyDescent="0.2">
      <c r="A5" s="28">
        <f>'Monthly Data'!A5</f>
        <v>41730</v>
      </c>
      <c r="B5">
        <f>'Monthly Data'!C5</f>
        <v>4</v>
      </c>
      <c r="C5">
        <f>'Monthly Data'!B5</f>
        <v>2014</v>
      </c>
      <c r="D5" s="18">
        <f>'Monthly Data'!F5</f>
        <v>33726515.482850805</v>
      </c>
      <c r="E5" s="215">
        <f ca="1">Weather!CE39</f>
        <v>291.21791666666667</v>
      </c>
      <c r="F5" s="216">
        <f ca="1">Weather!AM39</f>
        <v>0</v>
      </c>
      <c r="G5" s="98">
        <f>'Monthly Data'!AG5</f>
        <v>317.06666666666666</v>
      </c>
      <c r="H5" s="98">
        <f>'Monthly Data'!AB5</f>
        <v>0</v>
      </c>
      <c r="I5">
        <f>'Monthly Data'!BO5</f>
        <v>30</v>
      </c>
      <c r="J5">
        <f>'Monthly Data'!BS5</f>
        <v>0</v>
      </c>
      <c r="K5">
        <f>'Monthly Data'!BK5</f>
        <v>1</v>
      </c>
      <c r="M5" s="17"/>
      <c r="N5" s="17">
        <f t="shared" ca="1" si="1"/>
        <v>-645423.76326831616</v>
      </c>
      <c r="O5" s="17">
        <f t="shared" ca="1" si="2"/>
        <v>0</v>
      </c>
      <c r="P5" s="17"/>
      <c r="Q5" s="17"/>
      <c r="R5" s="17"/>
      <c r="S5" s="17">
        <f t="shared" ca="1" si="3"/>
        <v>33081091.719582491</v>
      </c>
    </row>
    <row r="6" spans="1:25" x14ac:dyDescent="0.2">
      <c r="A6" s="28">
        <f>'Monthly Data'!A6</f>
        <v>41760</v>
      </c>
      <c r="B6">
        <f>'Monthly Data'!C6</f>
        <v>5</v>
      </c>
      <c r="C6">
        <f>'Monthly Data'!B6</f>
        <v>2014</v>
      </c>
      <c r="D6" s="18">
        <f>'Monthly Data'!F6</f>
        <v>27384700.889515348</v>
      </c>
      <c r="E6" s="215">
        <f ca="1">Weather!CE40</f>
        <v>76.006595892171191</v>
      </c>
      <c r="F6" s="216">
        <f ca="1">Weather!AM40</f>
        <v>9.6293749999999996</v>
      </c>
      <c r="G6" s="98">
        <f>'Monthly Data'!AG6</f>
        <v>74.822916666666671</v>
      </c>
      <c r="H6" s="98">
        <f>'Monthly Data'!AB6</f>
        <v>2.4458333333333329</v>
      </c>
      <c r="I6">
        <f>'Monthly Data'!BO6</f>
        <v>31</v>
      </c>
      <c r="J6">
        <f>'Monthly Data'!BS6</f>
        <v>0</v>
      </c>
      <c r="K6">
        <f>'Monthly Data'!BK6</f>
        <v>1</v>
      </c>
      <c r="M6" s="17"/>
      <c r="N6" s="17">
        <f t="shared" ca="1" si="1"/>
        <v>29555.576197210816</v>
      </c>
      <c r="O6" s="17">
        <f t="shared" ca="1" si="2"/>
        <v>378298.79008084926</v>
      </c>
      <c r="P6" s="17"/>
      <c r="Q6" s="17"/>
      <c r="R6" s="17"/>
      <c r="S6" s="17">
        <f t="shared" ca="1" si="3"/>
        <v>27792555.255793408</v>
      </c>
      <c r="V6" t="s">
        <v>139</v>
      </c>
      <c r="W6" t="s">
        <v>140</v>
      </c>
      <c r="X6" t="s">
        <v>141</v>
      </c>
      <c r="Y6" t="s">
        <v>142</v>
      </c>
    </row>
    <row r="7" spans="1:25" x14ac:dyDescent="0.2">
      <c r="A7" s="28">
        <f>'Monthly Data'!A7</f>
        <v>41791</v>
      </c>
      <c r="B7">
        <f>'Monthly Data'!C7</f>
        <v>6</v>
      </c>
      <c r="C7">
        <f>'Monthly Data'!B7</f>
        <v>2014</v>
      </c>
      <c r="D7" s="18">
        <f>'Monthly Data'!F7</f>
        <v>24640954.003170546</v>
      </c>
      <c r="E7" s="215">
        <f ca="1">Weather!CE41</f>
        <v>4.2034708921711843</v>
      </c>
      <c r="F7" s="216">
        <f ca="1">Weather!AM41</f>
        <v>25.077154107828811</v>
      </c>
      <c r="G7" s="98">
        <f>'Monthly Data'!AG7</f>
        <v>0.90833333333333144</v>
      </c>
      <c r="H7" s="98">
        <f>'Monthly Data'!AB7</f>
        <v>21.445833333333336</v>
      </c>
      <c r="I7">
        <f>'Monthly Data'!BO7</f>
        <v>30</v>
      </c>
      <c r="J7">
        <f>'Monthly Data'!BS7</f>
        <v>0</v>
      </c>
      <c r="K7">
        <f>'Monthly Data'!BK7</f>
        <v>0</v>
      </c>
      <c r="M7" s="17"/>
      <c r="N7" s="17">
        <f t="shared" ca="1" si="1"/>
        <v>82277.095941269887</v>
      </c>
      <c r="O7" s="17">
        <f t="shared" ca="1" si="2"/>
        <v>191232.16919051172</v>
      </c>
      <c r="P7" s="17"/>
      <c r="Q7" s="17"/>
      <c r="R7" s="17"/>
      <c r="S7" s="17">
        <f t="shared" ca="1" si="3"/>
        <v>24914463.268302329</v>
      </c>
      <c r="U7" t="s">
        <v>134</v>
      </c>
      <c r="V7" s="105">
        <v>-1956373.74241439</v>
      </c>
      <c r="W7" s="105">
        <v>3040014.5087131201</v>
      </c>
      <c r="X7" s="76">
        <v>-0.64354092284992304</v>
      </c>
      <c r="Y7" s="251">
        <v>0.52105209471446901</v>
      </c>
    </row>
    <row r="8" spans="1:25" x14ac:dyDescent="0.2">
      <c r="A8" s="28">
        <f>'Monthly Data'!A8</f>
        <v>41821</v>
      </c>
      <c r="B8">
        <f>'Monthly Data'!C8</f>
        <v>7</v>
      </c>
      <c r="C8">
        <f>'Monthly Data'!B8</f>
        <v>2014</v>
      </c>
      <c r="D8" s="18">
        <f>'Monthly Data'!F8</f>
        <v>24994769.104995698</v>
      </c>
      <c r="E8" s="215">
        <f ca="1">Weather!CE42</f>
        <v>0</v>
      </c>
      <c r="F8" s="216">
        <f ca="1">Weather!AM42</f>
        <v>56.475141548990976</v>
      </c>
      <c r="G8" s="98">
        <f>'Monthly Data'!AG8</f>
        <v>0</v>
      </c>
      <c r="H8" s="98">
        <f>'Monthly Data'!AB8</f>
        <v>15.170833333333327</v>
      </c>
      <c r="I8">
        <f>'Monthly Data'!BO8</f>
        <v>31</v>
      </c>
      <c r="J8">
        <f>'Monthly Data'!BS8</f>
        <v>0</v>
      </c>
      <c r="K8">
        <f>'Monthly Data'!BK8</f>
        <v>0</v>
      </c>
      <c r="M8" s="17"/>
      <c r="N8" s="17">
        <f t="shared" ca="1" si="1"/>
        <v>0</v>
      </c>
      <c r="O8" s="17">
        <f t="shared" ca="1" si="2"/>
        <v>2175162.4126599259</v>
      </c>
      <c r="P8" s="17"/>
      <c r="Q8" s="17"/>
      <c r="R8" s="17"/>
      <c r="S8" s="17">
        <f t="shared" ca="1" si="3"/>
        <v>27169931.517655622</v>
      </c>
      <c r="U8" t="s">
        <v>32</v>
      </c>
      <c r="V8" s="105">
        <v>24969.244674048699</v>
      </c>
      <c r="W8" s="105">
        <v>570.37956726039602</v>
      </c>
      <c r="X8" s="76">
        <v>43.776541284567998</v>
      </c>
      <c r="Y8" s="251">
        <v>1.12895231545913E-77</v>
      </c>
    </row>
    <row r="9" spans="1:25" x14ac:dyDescent="0.2">
      <c r="A9" s="28">
        <f>'Monthly Data'!A9</f>
        <v>41852</v>
      </c>
      <c r="B9">
        <f>'Monthly Data'!C9</f>
        <v>8</v>
      </c>
      <c r="C9">
        <f>'Monthly Data'!B9</f>
        <v>2014</v>
      </c>
      <c r="D9" s="18">
        <f>'Monthly Data'!F9</f>
        <v>25099596.710185621</v>
      </c>
      <c r="E9" s="215">
        <f ca="1">Weather!CE43</f>
        <v>0.73208333333333309</v>
      </c>
      <c r="F9" s="216">
        <f ca="1">Weather!AM43</f>
        <v>35.296250000000008</v>
      </c>
      <c r="G9" s="98">
        <f>'Monthly Data'!AG9</f>
        <v>3.9541666666666693</v>
      </c>
      <c r="H9" s="98">
        <f>'Monthly Data'!AB9</f>
        <v>20.833333333333353</v>
      </c>
      <c r="I9">
        <f>'Monthly Data'!BO9</f>
        <v>31</v>
      </c>
      <c r="J9">
        <f>'Monthly Data'!BS9</f>
        <v>0</v>
      </c>
      <c r="K9">
        <f>'Monthly Data'!BK9</f>
        <v>0</v>
      </c>
      <c r="M9" s="17"/>
      <c r="N9" s="17">
        <f t="shared" ca="1" si="1"/>
        <v>-80452.987110174479</v>
      </c>
      <c r="O9" s="17">
        <f t="shared" ca="1" si="2"/>
        <v>761644.34340630192</v>
      </c>
      <c r="P9" s="17"/>
      <c r="Q9" s="17"/>
      <c r="R9" s="17"/>
      <c r="S9" s="17">
        <f t="shared" ca="1" si="3"/>
        <v>25780788.066481747</v>
      </c>
      <c r="U9" t="s">
        <v>27</v>
      </c>
      <c r="V9" s="105">
        <v>52661.877334998302</v>
      </c>
      <c r="W9" s="105">
        <v>6971.8459227396997</v>
      </c>
      <c r="X9" s="76">
        <v>7.5535056165303303</v>
      </c>
      <c r="Y9" s="251">
        <v>7.789641813815E-12</v>
      </c>
    </row>
    <row r="10" spans="1:25" x14ac:dyDescent="0.2">
      <c r="A10" s="28">
        <f>'Monthly Data'!A10</f>
        <v>41883</v>
      </c>
      <c r="B10">
        <f>'Monthly Data'!C10</f>
        <v>9</v>
      </c>
      <c r="C10">
        <f>'Monthly Data'!B10</f>
        <v>2014</v>
      </c>
      <c r="D10" s="18">
        <f>'Monthly Data'!F10</f>
        <v>25409916.865108382</v>
      </c>
      <c r="E10" s="215">
        <f ca="1">Weather!CE44</f>
        <v>26.6509001176757</v>
      </c>
      <c r="F10" s="216">
        <f ca="1">Weather!AM44</f>
        <v>11.128958333333333</v>
      </c>
      <c r="G10" s="98">
        <f>'Monthly Data'!AG10</f>
        <v>60.024999999999991</v>
      </c>
      <c r="H10" s="98">
        <f>'Monthly Data'!AB10</f>
        <v>1.2416666666666636</v>
      </c>
      <c r="I10">
        <f>'Monthly Data'!BO10</f>
        <v>30</v>
      </c>
      <c r="J10">
        <f>'Monthly Data'!BS10</f>
        <v>0</v>
      </c>
      <c r="K10">
        <f>'Monthly Data'!BK10</f>
        <v>1</v>
      </c>
      <c r="M10" s="17"/>
      <c r="N10" s="17">
        <f t="shared" ca="1" si="1"/>
        <v>-833326.06573789509</v>
      </c>
      <c r="O10" s="17">
        <f t="shared" ca="1" si="2"/>
        <v>520683.34092535108</v>
      </c>
      <c r="P10" s="17"/>
      <c r="Q10" s="17"/>
      <c r="R10" s="17"/>
      <c r="S10" s="17">
        <f t="shared" ca="1" si="3"/>
        <v>25097274.140295837</v>
      </c>
      <c r="U10" t="s">
        <v>66</v>
      </c>
      <c r="V10" s="105">
        <v>884688.72581306705</v>
      </c>
      <c r="W10" s="105">
        <v>100950.069331437</v>
      </c>
      <c r="X10" s="76">
        <v>8.7636267282638105</v>
      </c>
      <c r="Y10" s="251">
        <v>1.13799902645692E-14</v>
      </c>
    </row>
    <row r="11" spans="1:25" x14ac:dyDescent="0.2">
      <c r="A11" s="28">
        <f>'Monthly Data'!A11</f>
        <v>41913</v>
      </c>
      <c r="B11">
        <f>'Monthly Data'!C11</f>
        <v>10</v>
      </c>
      <c r="C11">
        <f>'Monthly Data'!B11</f>
        <v>2014</v>
      </c>
      <c r="D11" s="18">
        <f>'Monthly Data'!F11</f>
        <v>30084252.514873486</v>
      </c>
      <c r="E11" s="215">
        <f ca="1">Weather!CE45</f>
        <v>177.51367324027484</v>
      </c>
      <c r="F11" s="216">
        <f ca="1">Weather!AM45</f>
        <v>0.44687499999999963</v>
      </c>
      <c r="G11" s="98">
        <f>'Monthly Data'!AG11</f>
        <v>186.66039671590113</v>
      </c>
      <c r="H11" s="98">
        <f>'Monthly Data'!AB11</f>
        <v>0</v>
      </c>
      <c r="I11">
        <f>'Monthly Data'!BO11</f>
        <v>31</v>
      </c>
      <c r="J11">
        <f>'Monthly Data'!BS11</f>
        <v>0</v>
      </c>
      <c r="K11">
        <f>'Monthly Data'!BK11</f>
        <v>1</v>
      </c>
      <c r="M11" s="17"/>
      <c r="N11" s="17">
        <f t="shared" ca="1" si="1"/>
        <v>-228386.7764287779</v>
      </c>
      <c r="O11" s="17">
        <f t="shared" ca="1" si="2"/>
        <v>23533.276434077346</v>
      </c>
      <c r="P11" s="17"/>
      <c r="Q11" s="17"/>
      <c r="R11" s="17"/>
      <c r="S11" s="17">
        <f t="shared" ca="1" si="3"/>
        <v>29879399.014878787</v>
      </c>
      <c r="U11" t="s">
        <v>70</v>
      </c>
      <c r="V11" s="105">
        <v>2103852.6986380499</v>
      </c>
      <c r="W11" s="105">
        <v>448006.62902908103</v>
      </c>
      <c r="X11" s="76">
        <v>4.6960302868676802</v>
      </c>
      <c r="Y11" s="251">
        <v>6.8678879659091402E-6</v>
      </c>
    </row>
    <row r="12" spans="1:25" x14ac:dyDescent="0.2">
      <c r="A12" s="28">
        <f>'Monthly Data'!A12</f>
        <v>41944</v>
      </c>
      <c r="B12">
        <f>'Monthly Data'!C12</f>
        <v>11</v>
      </c>
      <c r="C12">
        <f>'Monthly Data'!B12</f>
        <v>2014</v>
      </c>
      <c r="D12" s="18">
        <f>'Monthly Data'!F12</f>
        <v>35778259.692600749</v>
      </c>
      <c r="E12" s="215">
        <f ca="1">Weather!CE46</f>
        <v>390.8187460098469</v>
      </c>
      <c r="F12" s="216">
        <f ca="1">Weather!AM46</f>
        <v>0</v>
      </c>
      <c r="G12" s="98">
        <f>'Monthly Data'!AG12</f>
        <v>473.34929225504521</v>
      </c>
      <c r="H12" s="98">
        <f>'Monthly Data'!AB12</f>
        <v>0</v>
      </c>
      <c r="I12">
        <f>'Monthly Data'!BO12</f>
        <v>30</v>
      </c>
      <c r="J12">
        <f>'Monthly Data'!BS12</f>
        <v>0</v>
      </c>
      <c r="K12">
        <f>'Monthly Data'!BK12</f>
        <v>1</v>
      </c>
      <c r="M12" s="17"/>
      <c r="N12" s="17">
        <f t="shared" ca="1" si="1"/>
        <v>-2060725.4022792478</v>
      </c>
      <c r="O12" s="17">
        <f t="shared" ca="1" si="2"/>
        <v>0</v>
      </c>
      <c r="P12" s="17"/>
      <c r="Q12" s="17"/>
      <c r="R12" s="17"/>
      <c r="S12" s="17">
        <f t="shared" ca="1" si="3"/>
        <v>33717534.290321499</v>
      </c>
      <c r="U12" t="s">
        <v>62</v>
      </c>
      <c r="V12" s="105">
        <v>-1149094.2112539201</v>
      </c>
      <c r="W12" s="105">
        <v>239076.156899044</v>
      </c>
      <c r="X12" s="76">
        <v>-4.8063940217139596</v>
      </c>
      <c r="Y12" s="251">
        <v>4.3263619654112698E-6</v>
      </c>
    </row>
    <row r="13" spans="1:25" x14ac:dyDescent="0.2">
      <c r="A13" s="28">
        <f>'Monthly Data'!A13</f>
        <v>41974</v>
      </c>
      <c r="B13">
        <f>'Monthly Data'!C13</f>
        <v>12</v>
      </c>
      <c r="C13">
        <f>'Monthly Data'!B13</f>
        <v>2014</v>
      </c>
      <c r="D13" s="18">
        <f>'Monthly Data'!F13</f>
        <v>42258828.755309202</v>
      </c>
      <c r="E13" s="215">
        <f ca="1">Weather!CE47</f>
        <v>570.62936502461719</v>
      </c>
      <c r="F13" s="216">
        <f ca="1">Weather!AM47</f>
        <v>0</v>
      </c>
      <c r="G13" s="98">
        <f>'Monthly Data'!AG13</f>
        <v>576.76666666666654</v>
      </c>
      <c r="H13" s="98">
        <f>'Monthly Data'!AB13</f>
        <v>0</v>
      </c>
      <c r="I13">
        <f>'Monthly Data'!BO13</f>
        <v>31</v>
      </c>
      <c r="J13">
        <f>'Monthly Data'!BS13</f>
        <v>0</v>
      </c>
      <c r="K13">
        <f>'Monthly Data'!BK13</f>
        <v>0</v>
      </c>
      <c r="M13" s="17"/>
      <c r="N13" s="17">
        <f t="shared" ca="1" si="1"/>
        <v>-153243.78633877111</v>
      </c>
      <c r="O13" s="17">
        <f t="shared" ca="1" si="2"/>
        <v>0</v>
      </c>
      <c r="P13" s="17"/>
      <c r="Q13" s="17"/>
      <c r="R13" s="17"/>
      <c r="S13" s="17">
        <f t="shared" ca="1" si="3"/>
        <v>42105584.968970433</v>
      </c>
    </row>
    <row r="14" spans="1:25" x14ac:dyDescent="0.2">
      <c r="A14" s="28">
        <f>'Monthly Data'!A14</f>
        <v>42005</v>
      </c>
      <c r="B14">
        <f>'Monthly Data'!C14</f>
        <v>1</v>
      </c>
      <c r="C14">
        <f>'Monthly Data'!B14</f>
        <v>2015</v>
      </c>
      <c r="D14" s="18">
        <f>'Monthly Data'!F14</f>
        <v>47554511.246614844</v>
      </c>
      <c r="E14" s="10">
        <f ca="1">E2</f>
        <v>728.68367523535153</v>
      </c>
      <c r="F14" s="10">
        <f ca="1">F2</f>
        <v>0</v>
      </c>
      <c r="G14" s="98">
        <f>'Monthly Data'!AG14</f>
        <v>825.31875000000002</v>
      </c>
      <c r="H14" s="98">
        <f>'Monthly Data'!AB14</f>
        <v>0</v>
      </c>
      <c r="I14">
        <f>'Monthly Data'!BO14</f>
        <v>31</v>
      </c>
      <c r="J14">
        <f>'Monthly Data'!BS14</f>
        <v>0</v>
      </c>
      <c r="K14">
        <f>'Monthly Data'!BK14</f>
        <v>0</v>
      </c>
      <c r="M14" s="17"/>
      <c r="N14" s="17">
        <f t="shared" ca="1" si="1"/>
        <v>-2412904.8258934971</v>
      </c>
      <c r="O14" s="17">
        <f t="shared" ca="1" si="2"/>
        <v>0</v>
      </c>
      <c r="P14" s="17"/>
      <c r="Q14" s="17"/>
      <c r="R14" s="17"/>
      <c r="S14" s="17">
        <f t="shared" ca="1" si="3"/>
        <v>45141606.420721345</v>
      </c>
      <c r="U14" t="s">
        <v>143</v>
      </c>
    </row>
    <row r="15" spans="1:25" x14ac:dyDescent="0.2">
      <c r="A15" s="28">
        <f>'Monthly Data'!A15</f>
        <v>42036</v>
      </c>
      <c r="B15">
        <f>'Monthly Data'!C15</f>
        <v>2</v>
      </c>
      <c r="C15">
        <f>'Monthly Data'!B15</f>
        <v>2015</v>
      </c>
      <c r="D15" s="18">
        <f>'Monthly Data'!F15</f>
        <v>42204351.624248534</v>
      </c>
      <c r="E15" s="10">
        <f t="shared" ref="E15:F30" ca="1" si="4">E3</f>
        <v>655.75083333333328</v>
      </c>
      <c r="F15" s="10">
        <f t="shared" ca="1" si="4"/>
        <v>0</v>
      </c>
      <c r="G15" s="98">
        <f>'Monthly Data'!AG15</f>
        <v>861.05624999999998</v>
      </c>
      <c r="H15" s="98">
        <f>'Monthly Data'!AB15</f>
        <v>0</v>
      </c>
      <c r="I15">
        <f>'Monthly Data'!BO15</f>
        <v>28</v>
      </c>
      <c r="J15">
        <f>'Monthly Data'!BS15</f>
        <v>0</v>
      </c>
      <c r="K15">
        <f>'Monthly Data'!BK15</f>
        <v>0</v>
      </c>
      <c r="M15" s="17"/>
      <c r="N15" s="17">
        <f t="shared" ca="1" si="1"/>
        <v>-5126321.1816575164</v>
      </c>
      <c r="O15" s="17">
        <f t="shared" ca="1" si="2"/>
        <v>0</v>
      </c>
      <c r="P15" s="17"/>
      <c r="Q15" s="17"/>
      <c r="R15" s="17"/>
      <c r="S15" s="17">
        <f t="shared" ca="1" si="3"/>
        <v>37078030.442591019</v>
      </c>
      <c r="U15" t="s">
        <v>144</v>
      </c>
      <c r="V15">
        <v>148352832191464</v>
      </c>
      <c r="W15" t="s">
        <v>145</v>
      </c>
      <c r="X15" s="105">
        <v>1089413.90551604</v>
      </c>
    </row>
    <row r="16" spans="1:25" x14ac:dyDescent="0.2">
      <c r="A16" s="28">
        <f>'Monthly Data'!A16</f>
        <v>42064</v>
      </c>
      <c r="B16">
        <f>'Monthly Data'!C16</f>
        <v>3</v>
      </c>
      <c r="C16">
        <f>'Monthly Data'!B16</f>
        <v>2015</v>
      </c>
      <c r="D16" s="18">
        <f>'Monthly Data'!F16</f>
        <v>39410637.810047477</v>
      </c>
      <c r="E16" s="10">
        <f t="shared" ca="1" si="4"/>
        <v>531.1185376765136</v>
      </c>
      <c r="F16" s="10">
        <f t="shared" ca="1" si="4"/>
        <v>0</v>
      </c>
      <c r="G16" s="98">
        <f>'Monthly Data'!AG16</f>
        <v>576.78333333333353</v>
      </c>
      <c r="H16" s="98">
        <f>'Monthly Data'!AB16</f>
        <v>0</v>
      </c>
      <c r="I16">
        <f>'Monthly Data'!BO16</f>
        <v>31</v>
      </c>
      <c r="J16">
        <f>'Monthly Data'!BS16</f>
        <v>0</v>
      </c>
      <c r="K16">
        <f>'Monthly Data'!BK16</f>
        <v>1</v>
      </c>
      <c r="M16" s="17"/>
      <c r="N16" s="17">
        <f t="shared" ca="1" si="1"/>
        <v>-1140215.4557455734</v>
      </c>
      <c r="O16" s="17">
        <f t="shared" ca="1" si="2"/>
        <v>0</v>
      </c>
      <c r="P16" s="17"/>
      <c r="Q16" s="17"/>
      <c r="R16" s="17"/>
      <c r="S16" s="17">
        <f t="shared" ca="1" si="3"/>
        <v>38270422.354301907</v>
      </c>
      <c r="U16" t="s">
        <v>146</v>
      </c>
      <c r="V16" s="252">
        <v>0.97226032536850804</v>
      </c>
      <c r="W16" t="s">
        <v>147</v>
      </c>
      <c r="X16" s="252">
        <v>0.97115073838324895</v>
      </c>
    </row>
    <row r="17" spans="1:24" x14ac:dyDescent="0.2">
      <c r="A17" s="28">
        <f>'Monthly Data'!A17</f>
        <v>42095</v>
      </c>
      <c r="B17">
        <f>'Monthly Data'!C17</f>
        <v>4</v>
      </c>
      <c r="C17">
        <f>'Monthly Data'!B17</f>
        <v>2015</v>
      </c>
      <c r="D17" s="18">
        <f>'Monthly Data'!F17</f>
        <v>31522989.511739235</v>
      </c>
      <c r="E17" s="10">
        <f t="shared" ca="1" si="4"/>
        <v>291.21791666666667</v>
      </c>
      <c r="F17" s="10">
        <f t="shared" ca="1" si="4"/>
        <v>0</v>
      </c>
      <c r="G17" s="98">
        <f>'Monthly Data'!AG17</f>
        <v>264.73333333333335</v>
      </c>
      <c r="H17" s="98">
        <f>'Monthly Data'!AB17</f>
        <v>0</v>
      </c>
      <c r="I17">
        <f>'Monthly Data'!BO17</f>
        <v>30</v>
      </c>
      <c r="J17">
        <f>'Monthly Data'!BS17</f>
        <v>0</v>
      </c>
      <c r="K17">
        <f>'Monthly Data'!BK17</f>
        <v>1</v>
      </c>
      <c r="M17" s="17"/>
      <c r="N17" s="17">
        <f t="shared" ca="1" si="1"/>
        <v>661300.0413402319</v>
      </c>
      <c r="O17" s="17">
        <f t="shared" ca="1" si="2"/>
        <v>0</v>
      </c>
      <c r="P17" s="17"/>
      <c r="Q17" s="17"/>
      <c r="R17" s="17"/>
      <c r="S17" s="17">
        <f t="shared" ca="1" si="3"/>
        <v>32184289.553079467</v>
      </c>
      <c r="U17" t="s">
        <v>485</v>
      </c>
      <c r="V17" s="76">
        <v>575.04462718739796</v>
      </c>
      <c r="W17" t="s">
        <v>148</v>
      </c>
      <c r="X17" s="252">
        <v>1.9524379408792601E-84</v>
      </c>
    </row>
    <row r="18" spans="1:24" x14ac:dyDescent="0.2">
      <c r="A18" s="28">
        <f>'Monthly Data'!A18</f>
        <v>42125</v>
      </c>
      <c r="B18">
        <f>'Monthly Data'!C18</f>
        <v>5</v>
      </c>
      <c r="C18">
        <f>'Monthly Data'!B18</f>
        <v>2015</v>
      </c>
      <c r="D18" s="18">
        <f>'Monthly Data'!F18</f>
        <v>25792582.373976927</v>
      </c>
      <c r="E18" s="10">
        <f t="shared" ca="1" si="4"/>
        <v>76.006595892171191</v>
      </c>
      <c r="F18" s="10">
        <f t="shared" ca="1" si="4"/>
        <v>9.6293749999999996</v>
      </c>
      <c r="G18" s="98">
        <f>'Monthly Data'!AG18</f>
        <v>46.254166666666663</v>
      </c>
      <c r="H18" s="98">
        <f>'Monthly Data'!AB18</f>
        <v>3.587499999999995</v>
      </c>
      <c r="I18">
        <f>'Monthly Data'!BO18</f>
        <v>31</v>
      </c>
      <c r="J18">
        <f>'Monthly Data'!BS18</f>
        <v>0</v>
      </c>
      <c r="K18">
        <f>'Monthly Data'!BK18</f>
        <v>1</v>
      </c>
      <c r="M18" s="17"/>
      <c r="N18" s="17">
        <f t="shared" ca="1" si="1"/>
        <v>742895.68497893983</v>
      </c>
      <c r="O18" s="17">
        <f t="shared" ca="1" si="2"/>
        <v>318176.48012339312</v>
      </c>
      <c r="P18" s="17"/>
      <c r="Q18" s="17"/>
      <c r="R18" s="17"/>
      <c r="S18" s="17">
        <f t="shared" ca="1" si="3"/>
        <v>26853654.53907926</v>
      </c>
      <c r="U18" t="s">
        <v>149</v>
      </c>
      <c r="V18" s="252">
        <v>-3.9947005231748503E-2</v>
      </c>
      <c r="W18" t="s">
        <v>150</v>
      </c>
      <c r="X18" s="252">
        <v>1.9973966565849599</v>
      </c>
    </row>
    <row r="19" spans="1:24" x14ac:dyDescent="0.2">
      <c r="A19" s="28">
        <f>'Monthly Data'!A19</f>
        <v>42156</v>
      </c>
      <c r="B19">
        <f>'Monthly Data'!C19</f>
        <v>6</v>
      </c>
      <c r="C19">
        <f>'Monthly Data'!B19</f>
        <v>2015</v>
      </c>
      <c r="D19" s="18">
        <f>'Monthly Data'!F19</f>
        <v>24102849.621862877</v>
      </c>
      <c r="E19" s="10">
        <f t="shared" ca="1" si="4"/>
        <v>4.2034708921711843</v>
      </c>
      <c r="F19" s="10">
        <f t="shared" ca="1" si="4"/>
        <v>25.077154107828811</v>
      </c>
      <c r="G19" s="98">
        <f>'Monthly Data'!AG19</f>
        <v>1.7604166666666696</v>
      </c>
      <c r="H19" s="98">
        <f>'Monthly Data'!AB19</f>
        <v>4.09791666666667</v>
      </c>
      <c r="I19">
        <f>'Monthly Data'!BO19</f>
        <v>30</v>
      </c>
      <c r="J19">
        <f>'Monthly Data'!BS19</f>
        <v>0</v>
      </c>
      <c r="K19">
        <f>'Monthly Data'!BK19</f>
        <v>0</v>
      </c>
      <c r="M19" s="17"/>
      <c r="N19" s="17">
        <f t="shared" ca="1" si="1"/>
        <v>61001.218708590772</v>
      </c>
      <c r="O19" s="17">
        <f t="shared" ca="1" si="2"/>
        <v>1104806.0287082843</v>
      </c>
      <c r="P19" s="17"/>
      <c r="Q19" s="17"/>
      <c r="R19" s="17"/>
      <c r="S19" s="17">
        <f t="shared" ca="1" si="3"/>
        <v>25268656.869279753</v>
      </c>
    </row>
    <row r="20" spans="1:24" x14ac:dyDescent="0.2">
      <c r="A20" s="28">
        <f>'Monthly Data'!A20</f>
        <v>42186</v>
      </c>
      <c r="B20">
        <f>'Monthly Data'!C20</f>
        <v>7</v>
      </c>
      <c r="C20">
        <f>'Monthly Data'!B20</f>
        <v>2015</v>
      </c>
      <c r="D20" s="18">
        <f>'Monthly Data'!F20</f>
        <v>25673766.616705209</v>
      </c>
      <c r="E20" s="10">
        <f t="shared" ca="1" si="4"/>
        <v>0</v>
      </c>
      <c r="F20" s="10">
        <f t="shared" ca="1" si="4"/>
        <v>56.475141548990976</v>
      </c>
      <c r="G20" s="98">
        <f>'Monthly Data'!AG20</f>
        <v>0</v>
      </c>
      <c r="H20" s="98">
        <f>'Monthly Data'!AB20</f>
        <v>54.720833333333339</v>
      </c>
      <c r="I20">
        <f>'Monthly Data'!BO20</f>
        <v>31</v>
      </c>
      <c r="J20">
        <f>'Monthly Data'!BS20</f>
        <v>0</v>
      </c>
      <c r="K20">
        <f>'Monthly Data'!BK20</f>
        <v>0</v>
      </c>
      <c r="M20" s="17"/>
      <c r="N20" s="17">
        <f t="shared" ca="1" si="1"/>
        <v>0</v>
      </c>
      <c r="O20" s="17">
        <f t="shared" ca="1" si="2"/>
        <v>92385.16406074226</v>
      </c>
      <c r="P20" s="17"/>
      <c r="Q20" s="17"/>
      <c r="R20" s="17"/>
      <c r="S20" s="17">
        <f t="shared" ca="1" si="3"/>
        <v>25766151.780765951</v>
      </c>
      <c r="U20" t="s">
        <v>151</v>
      </c>
    </row>
    <row r="21" spans="1:24" x14ac:dyDescent="0.2">
      <c r="A21" s="28">
        <f>'Monthly Data'!A21</f>
        <v>42217</v>
      </c>
      <c r="B21">
        <f>'Monthly Data'!C21</f>
        <v>8</v>
      </c>
      <c r="C21">
        <f>'Monthly Data'!B21</f>
        <v>2015</v>
      </c>
      <c r="D21" s="18">
        <f>'Monthly Data'!F21</f>
        <v>25829204.73398304</v>
      </c>
      <c r="E21" s="10">
        <f t="shared" ca="1" si="4"/>
        <v>0.73208333333333309</v>
      </c>
      <c r="F21" s="10">
        <f t="shared" ca="1" si="4"/>
        <v>35.296250000000008</v>
      </c>
      <c r="G21" s="98">
        <f>'Monthly Data'!AG21</f>
        <v>0</v>
      </c>
      <c r="H21" s="98">
        <f>'Monthly Data'!AB21</f>
        <v>28.762500000000021</v>
      </c>
      <c r="I21">
        <f>'Monthly Data'!BO21</f>
        <v>31</v>
      </c>
      <c r="J21">
        <f>'Monthly Data'!BS21</f>
        <v>0</v>
      </c>
      <c r="K21">
        <f>'Monthly Data'!BK21</f>
        <v>0</v>
      </c>
      <c r="M21" s="17"/>
      <c r="N21" s="17">
        <f t="shared" ca="1" si="1"/>
        <v>18279.567871793144</v>
      </c>
      <c r="O21" s="17">
        <f t="shared" ca="1" si="2"/>
        <v>344079.54103754449</v>
      </c>
      <c r="P21" s="17"/>
      <c r="Q21" s="17"/>
      <c r="R21" s="17"/>
      <c r="S21" s="17">
        <f t="shared" ca="1" si="3"/>
        <v>26191563.842892379</v>
      </c>
      <c r="U21" t="s">
        <v>152</v>
      </c>
      <c r="V21">
        <v>32495719.496887598</v>
      </c>
      <c r="W21" t="s">
        <v>153</v>
      </c>
      <c r="X21">
        <v>6403745.97615878</v>
      </c>
    </row>
    <row r="22" spans="1:24" x14ac:dyDescent="0.2">
      <c r="A22" s="28">
        <f>'Monthly Data'!A22</f>
        <v>42248</v>
      </c>
      <c r="B22">
        <f>'Monthly Data'!C22</f>
        <v>9</v>
      </c>
      <c r="C22">
        <f>'Monthly Data'!B22</f>
        <v>2015</v>
      </c>
      <c r="D22" s="18">
        <f>'Monthly Data'!F22</f>
        <v>25236217.744057812</v>
      </c>
      <c r="E22" s="10">
        <f t="shared" ca="1" si="4"/>
        <v>26.6509001176757</v>
      </c>
      <c r="F22" s="10">
        <f t="shared" ca="1" si="4"/>
        <v>11.128958333333333</v>
      </c>
      <c r="G22" s="98">
        <f>'Monthly Data'!AG22</f>
        <v>10.968749999999995</v>
      </c>
      <c r="H22" s="98">
        <f>'Monthly Data'!AB22</f>
        <v>27.039583333333312</v>
      </c>
      <c r="I22">
        <f>'Monthly Data'!BO22</f>
        <v>30</v>
      </c>
      <c r="J22">
        <f>'Monthly Data'!BS22</f>
        <v>0</v>
      </c>
      <c r="K22">
        <f>'Monthly Data'!BK22</f>
        <v>1</v>
      </c>
      <c r="M22" s="17"/>
      <c r="N22" s="17">
        <f t="shared" ca="1" si="1"/>
        <v>391571.4433034063</v>
      </c>
      <c r="O22" s="17">
        <f t="shared" ca="1" si="2"/>
        <v>-837883.38207315619</v>
      </c>
      <c r="P22" s="17"/>
      <c r="Q22" s="17"/>
      <c r="R22" s="17"/>
      <c r="S22" s="17">
        <f t="shared" ca="1" si="3"/>
        <v>24789905.805288061</v>
      </c>
    </row>
    <row r="23" spans="1:24" x14ac:dyDescent="0.2">
      <c r="A23" s="28">
        <f>'Monthly Data'!A23</f>
        <v>42278</v>
      </c>
      <c r="B23">
        <f>'Monthly Data'!C23</f>
        <v>10</v>
      </c>
      <c r="C23">
        <f>'Monthly Data'!B23</f>
        <v>2015</v>
      </c>
      <c r="D23" s="18">
        <f>'Monthly Data'!F23</f>
        <v>28041945.938314706</v>
      </c>
      <c r="E23" s="10">
        <f t="shared" ca="1" si="4"/>
        <v>177.51367324027484</v>
      </c>
      <c r="F23" s="10">
        <f t="shared" ca="1" si="4"/>
        <v>0.44687499999999963</v>
      </c>
      <c r="G23" s="98">
        <f>'Monthly Data'!AG23</f>
        <v>209.20416666666668</v>
      </c>
      <c r="H23" s="98">
        <f>'Monthly Data'!AB23</f>
        <v>0</v>
      </c>
      <c r="I23">
        <f>'Monthly Data'!BO23</f>
        <v>31</v>
      </c>
      <c r="J23">
        <f>'Monthly Data'!BS23</f>
        <v>0</v>
      </c>
      <c r="K23">
        <f>'Monthly Data'!BK23</f>
        <v>1</v>
      </c>
      <c r="M23" s="17"/>
      <c r="N23" s="17">
        <f t="shared" ca="1" si="1"/>
        <v>-791287.68420490972</v>
      </c>
      <c r="O23" s="17">
        <f t="shared" ca="1" si="2"/>
        <v>23533.276434077346</v>
      </c>
      <c r="P23" s="17"/>
      <c r="Q23" s="17"/>
      <c r="R23" s="17"/>
      <c r="S23" s="17">
        <f t="shared" ca="1" si="3"/>
        <v>27274191.530543875</v>
      </c>
    </row>
    <row r="24" spans="1:24" x14ac:dyDescent="0.2">
      <c r="A24" s="28">
        <f>'Monthly Data'!A24</f>
        <v>42309</v>
      </c>
      <c r="B24">
        <f>'Monthly Data'!C24</f>
        <v>11</v>
      </c>
      <c r="C24">
        <f>'Monthly Data'!B24</f>
        <v>2015</v>
      </c>
      <c r="D24" s="18">
        <f>'Monthly Data'!F24</f>
        <v>31333244.388989836</v>
      </c>
      <c r="E24" s="10">
        <f t="shared" ca="1" si="4"/>
        <v>390.8187460098469</v>
      </c>
      <c r="F24" s="10">
        <f t="shared" ca="1" si="4"/>
        <v>0</v>
      </c>
      <c r="G24" s="98">
        <f>'Monthly Data'!AG24</f>
        <v>304.27499999999998</v>
      </c>
      <c r="H24" s="98">
        <f>'Monthly Data'!AB24</f>
        <v>0</v>
      </c>
      <c r="I24">
        <f>'Monthly Data'!BO24</f>
        <v>30</v>
      </c>
      <c r="J24">
        <f>'Monthly Data'!BS24</f>
        <v>0</v>
      </c>
      <c r="K24">
        <f>'Monthly Data'!BK24</f>
        <v>1</v>
      </c>
      <c r="M24" s="17"/>
      <c r="N24" s="17">
        <f t="shared" ca="1" si="1"/>
        <v>2160931.9691285938</v>
      </c>
      <c r="O24" s="17">
        <f t="shared" ca="1" si="2"/>
        <v>0</v>
      </c>
      <c r="P24" s="17"/>
      <c r="Q24" s="17"/>
      <c r="R24" s="17"/>
      <c r="S24" s="17">
        <f t="shared" ca="1" si="3"/>
        <v>33494176.35811843</v>
      </c>
    </row>
    <row r="25" spans="1:24" x14ac:dyDescent="0.2">
      <c r="A25" s="28">
        <f>'Monthly Data'!A25</f>
        <v>42339</v>
      </c>
      <c r="B25">
        <f>'Monthly Data'!C25</f>
        <v>12</v>
      </c>
      <c r="C25">
        <f>'Monthly Data'!B25</f>
        <v>2015</v>
      </c>
      <c r="D25" s="18">
        <f>'Monthly Data'!F25</f>
        <v>36693303.595950089</v>
      </c>
      <c r="E25" s="10">
        <f t="shared" ca="1" si="4"/>
        <v>570.62936502461719</v>
      </c>
      <c r="F25" s="10">
        <f t="shared" ca="1" si="4"/>
        <v>0</v>
      </c>
      <c r="G25" s="98">
        <f>'Monthly Data'!AG25</f>
        <v>414.51249999999999</v>
      </c>
      <c r="H25" s="98">
        <f>'Monthly Data'!AB25</f>
        <v>0</v>
      </c>
      <c r="I25">
        <f>'Monthly Data'!BO25</f>
        <v>31</v>
      </c>
      <c r="J25">
        <f>'Monthly Data'!BS25</f>
        <v>0</v>
      </c>
      <c r="K25">
        <f>'Monthly Data'!BK25</f>
        <v>0</v>
      </c>
      <c r="M25" s="17"/>
      <c r="N25" s="17">
        <f t="shared" ca="1" si="1"/>
        <v>3898120.2005451028</v>
      </c>
      <c r="O25" s="17">
        <f t="shared" ca="1" si="2"/>
        <v>0</v>
      </c>
      <c r="P25" s="17"/>
      <c r="Q25" s="17"/>
      <c r="R25" s="17"/>
      <c r="S25" s="17">
        <f t="shared" ca="1" si="3"/>
        <v>40591423.796495192</v>
      </c>
    </row>
    <row r="26" spans="1:24" x14ac:dyDescent="0.2">
      <c r="A26" s="28">
        <f>'Monthly Data'!A26</f>
        <v>42370</v>
      </c>
      <c r="B26">
        <f>'Monthly Data'!C26</f>
        <v>1</v>
      </c>
      <c r="C26">
        <f>'Monthly Data'!B26</f>
        <v>2016</v>
      </c>
      <c r="D26" s="18">
        <f>'Monthly Data'!F26</f>
        <v>41372173.652349353</v>
      </c>
      <c r="E26" s="10">
        <f t="shared" ca="1" si="4"/>
        <v>728.68367523535153</v>
      </c>
      <c r="F26" s="10">
        <f t="shared" ca="1" si="4"/>
        <v>0</v>
      </c>
      <c r="G26" s="98">
        <f>'Monthly Data'!AG26</f>
        <v>677.80416666666667</v>
      </c>
      <c r="H26" s="98">
        <f>'Monthly Data'!AB26</f>
        <v>0</v>
      </c>
      <c r="I26">
        <f>'Monthly Data'!BO26</f>
        <v>31</v>
      </c>
      <c r="J26">
        <f>'Monthly Data'!BS26</f>
        <v>0</v>
      </c>
      <c r="K26">
        <f>'Monthly Data'!BK26</f>
        <v>0</v>
      </c>
      <c r="M26" s="17"/>
      <c r="N26" s="17">
        <f t="shared" ca="1" si="1"/>
        <v>1270422.8983468495</v>
      </c>
      <c r="O26" s="17">
        <f t="shared" ca="1" si="2"/>
        <v>0</v>
      </c>
      <c r="P26" s="17"/>
      <c r="Q26" s="17"/>
      <c r="R26" s="17"/>
      <c r="S26" s="17">
        <f t="shared" ca="1" si="3"/>
        <v>42642596.550696202</v>
      </c>
    </row>
    <row r="27" spans="1:24" x14ac:dyDescent="0.2">
      <c r="A27" s="28">
        <f>'Monthly Data'!A27</f>
        <v>42401</v>
      </c>
      <c r="B27">
        <f>'Monthly Data'!C27</f>
        <v>2</v>
      </c>
      <c r="C27">
        <f>'Monthly Data'!B27</f>
        <v>2016</v>
      </c>
      <c r="D27" s="18">
        <f>'Monthly Data'!F27</f>
        <v>38274735.283061758</v>
      </c>
      <c r="E27" s="10">
        <f t="shared" ca="1" si="4"/>
        <v>655.75083333333328</v>
      </c>
      <c r="F27" s="10">
        <f t="shared" ca="1" si="4"/>
        <v>0</v>
      </c>
      <c r="G27" s="98">
        <f>'Monthly Data'!AG27</f>
        <v>665.26874999999995</v>
      </c>
      <c r="H27" s="98">
        <f>'Monthly Data'!AB27</f>
        <v>0</v>
      </c>
      <c r="I27">
        <f>'Monthly Data'!BO27</f>
        <v>29</v>
      </c>
      <c r="J27">
        <f>'Monthly Data'!BS27</f>
        <v>0</v>
      </c>
      <c r="K27">
        <f>'Monthly Data'!BK27</f>
        <v>0</v>
      </c>
      <c r="M27" s="17"/>
      <c r="N27" s="17">
        <f t="shared" ca="1" si="1"/>
        <v>-237655.19003720631</v>
      </c>
      <c r="O27" s="17">
        <f t="shared" ca="1" si="2"/>
        <v>0</v>
      </c>
      <c r="P27" s="17"/>
      <c r="Q27" s="17"/>
      <c r="R27" s="17"/>
      <c r="S27" s="17">
        <f t="shared" ca="1" si="3"/>
        <v>38037080.093024552</v>
      </c>
    </row>
    <row r="28" spans="1:24" x14ac:dyDescent="0.2">
      <c r="A28" s="28">
        <f>'Monthly Data'!A28</f>
        <v>42430</v>
      </c>
      <c r="B28">
        <f>'Monthly Data'!C28</f>
        <v>3</v>
      </c>
      <c r="C28">
        <f>'Monthly Data'!B28</f>
        <v>2016</v>
      </c>
      <c r="D28" s="18">
        <f>'Monthly Data'!F28</f>
        <v>36337940.50300879</v>
      </c>
      <c r="E28" s="10">
        <f t="shared" ca="1" si="4"/>
        <v>531.1185376765136</v>
      </c>
      <c r="F28" s="10">
        <f t="shared" ca="1" si="4"/>
        <v>0</v>
      </c>
      <c r="G28" s="98">
        <f>'Monthly Data'!AG28</f>
        <v>463.5020833333333</v>
      </c>
      <c r="H28" s="98">
        <f>'Monthly Data'!AB28</f>
        <v>0</v>
      </c>
      <c r="I28">
        <f>'Monthly Data'!BO28</f>
        <v>31</v>
      </c>
      <c r="J28">
        <f>'Monthly Data'!BS28</f>
        <v>0</v>
      </c>
      <c r="K28">
        <f>'Monthly Data'!BK28</f>
        <v>1</v>
      </c>
      <c r="M28" s="17"/>
      <c r="N28" s="17">
        <f t="shared" ca="1" si="1"/>
        <v>1688331.7924865116</v>
      </c>
      <c r="O28" s="17">
        <f t="shared" ca="1" si="2"/>
        <v>0</v>
      </c>
      <c r="P28" s="17"/>
      <c r="Q28" s="17"/>
      <c r="R28" s="17"/>
      <c r="S28" s="17">
        <f t="shared" ca="1" si="3"/>
        <v>38026272.295495301</v>
      </c>
    </row>
    <row r="29" spans="1:24" x14ac:dyDescent="0.2">
      <c r="A29" s="28">
        <f>'Monthly Data'!A29</f>
        <v>42461</v>
      </c>
      <c r="B29">
        <f>'Monthly Data'!C29</f>
        <v>4</v>
      </c>
      <c r="C29">
        <f>'Monthly Data'!B29</f>
        <v>2016</v>
      </c>
      <c r="D29" s="18">
        <f>'Monthly Data'!F29</f>
        <v>30505983.058929548</v>
      </c>
      <c r="E29" s="10">
        <f t="shared" ca="1" si="4"/>
        <v>291.21791666666667</v>
      </c>
      <c r="F29" s="10">
        <f t="shared" ca="1" si="4"/>
        <v>0</v>
      </c>
      <c r="G29" s="98">
        <f>'Monthly Data'!AG29</f>
        <v>351.29166666666657</v>
      </c>
      <c r="H29" s="98">
        <f>'Monthly Data'!AB29</f>
        <v>0</v>
      </c>
      <c r="I29">
        <f>'Monthly Data'!BO29</f>
        <v>30</v>
      </c>
      <c r="J29">
        <f>'Monthly Data'!BS29</f>
        <v>0</v>
      </c>
      <c r="K29">
        <f>'Monthly Data'!BK29</f>
        <v>1</v>
      </c>
      <c r="M29" s="17"/>
      <c r="N29" s="17">
        <f t="shared" ca="1" si="1"/>
        <v>-1499996.1622376307</v>
      </c>
      <c r="O29" s="17">
        <f t="shared" ca="1" si="2"/>
        <v>0</v>
      </c>
      <c r="P29" s="17"/>
      <c r="Q29" s="17"/>
      <c r="R29" s="17"/>
      <c r="S29" s="17">
        <f t="shared" ca="1" si="3"/>
        <v>29005986.896691918</v>
      </c>
    </row>
    <row r="30" spans="1:24" x14ac:dyDescent="0.2">
      <c r="A30" s="28">
        <f>'Monthly Data'!A30</f>
        <v>42491</v>
      </c>
      <c r="B30">
        <f>'Monthly Data'!C30</f>
        <v>5</v>
      </c>
      <c r="C30">
        <f>'Monthly Data'!B30</f>
        <v>2016</v>
      </c>
      <c r="D30" s="18">
        <f>'Monthly Data'!F30</f>
        <v>26057753.769623701</v>
      </c>
      <c r="E30" s="10">
        <f t="shared" ca="1" si="4"/>
        <v>76.006595892171191</v>
      </c>
      <c r="F30" s="10">
        <f t="shared" ca="1" si="4"/>
        <v>9.6293749999999996</v>
      </c>
      <c r="G30" s="98">
        <f>'Monthly Data'!AG30</f>
        <v>57.731249999999996</v>
      </c>
      <c r="H30" s="98">
        <f>'Monthly Data'!AB30</f>
        <v>10.241666666666671</v>
      </c>
      <c r="I30">
        <f>'Monthly Data'!BO30</f>
        <v>31</v>
      </c>
      <c r="J30">
        <f>'Monthly Data'!BS30</f>
        <v>0</v>
      </c>
      <c r="K30">
        <f>'Monthly Data'!BK30</f>
        <v>1</v>
      </c>
      <c r="M30" s="17"/>
      <c r="N30" s="17">
        <f t="shared" ca="1" si="1"/>
        <v>456321.58308449341</v>
      </c>
      <c r="O30" s="17">
        <f t="shared" ca="1" si="2"/>
        <v>-32244.428643241903</v>
      </c>
      <c r="P30" s="17"/>
      <c r="Q30" s="17"/>
      <c r="R30" s="17"/>
      <c r="S30" s="17">
        <f t="shared" ca="1" si="3"/>
        <v>26481830.924064953</v>
      </c>
    </row>
    <row r="31" spans="1:24" x14ac:dyDescent="0.2">
      <c r="A31" s="28">
        <f>'Monthly Data'!A31</f>
        <v>42522</v>
      </c>
      <c r="B31">
        <f>'Monthly Data'!C31</f>
        <v>6</v>
      </c>
      <c r="C31">
        <f>'Monthly Data'!B31</f>
        <v>2016</v>
      </c>
      <c r="D31" s="18">
        <f>'Monthly Data'!F31</f>
        <v>25131212.759782858</v>
      </c>
      <c r="E31" s="10">
        <f t="shared" ref="E31:F46" ca="1" si="5">E19</f>
        <v>4.2034708921711843</v>
      </c>
      <c r="F31" s="10">
        <f t="shared" ca="1" si="5"/>
        <v>25.077154107828811</v>
      </c>
      <c r="G31" s="98">
        <f>'Monthly Data'!AG31</f>
        <v>5.7208333333333341</v>
      </c>
      <c r="H31" s="98">
        <f>'Monthly Data'!AB31</f>
        <v>36.485416666666666</v>
      </c>
      <c r="I31">
        <f>'Monthly Data'!BO31</f>
        <v>30</v>
      </c>
      <c r="J31">
        <f>'Monthly Data'!BS31</f>
        <v>0</v>
      </c>
      <c r="K31">
        <f>'Monthly Data'!BK31</f>
        <v>0</v>
      </c>
      <c r="M31" s="17"/>
      <c r="N31" s="17">
        <f t="shared" ca="1" si="1"/>
        <v>-37887.394052589545</v>
      </c>
      <c r="O31" s="17">
        <f t="shared" ca="1" si="2"/>
        <v>-600780.52347897296</v>
      </c>
      <c r="P31" s="17"/>
      <c r="Q31" s="17"/>
      <c r="R31" s="17"/>
      <c r="S31" s="17">
        <f t="shared" ca="1" si="3"/>
        <v>24492544.842251297</v>
      </c>
    </row>
    <row r="32" spans="1:24" x14ac:dyDescent="0.2">
      <c r="A32" s="28">
        <f>'Monthly Data'!A32</f>
        <v>42552</v>
      </c>
      <c r="B32">
        <f>'Monthly Data'!C32</f>
        <v>7</v>
      </c>
      <c r="C32">
        <f>'Monthly Data'!B32</f>
        <v>2016</v>
      </c>
      <c r="D32" s="18">
        <f>'Monthly Data'!F32</f>
        <v>27482089.560612053</v>
      </c>
      <c r="E32" s="10">
        <f t="shared" ca="1" si="5"/>
        <v>0</v>
      </c>
      <c r="F32" s="10">
        <f t="shared" ca="1" si="5"/>
        <v>56.475141548990976</v>
      </c>
      <c r="G32" s="98">
        <f>'Monthly Data'!AG32</f>
        <v>0</v>
      </c>
      <c r="H32" s="98">
        <f>'Monthly Data'!AB32</f>
        <v>69.933333333333337</v>
      </c>
      <c r="I32">
        <f>'Monthly Data'!BO32</f>
        <v>31</v>
      </c>
      <c r="J32">
        <f>'Monthly Data'!BS32</f>
        <v>0</v>
      </c>
      <c r="K32">
        <f>'Monthly Data'!BK32</f>
        <v>0</v>
      </c>
      <c r="M32" s="17"/>
      <c r="N32" s="17">
        <f t="shared" ca="1" si="1"/>
        <v>0</v>
      </c>
      <c r="O32" s="17">
        <f t="shared" ca="1" si="2"/>
        <v>-708733.64489791938</v>
      </c>
      <c r="P32" s="17"/>
      <c r="Q32" s="17"/>
      <c r="R32" s="17"/>
      <c r="S32" s="17">
        <f t="shared" ca="1" si="3"/>
        <v>26773355.915714134</v>
      </c>
    </row>
    <row r="33" spans="1:19" x14ac:dyDescent="0.2">
      <c r="A33" s="28">
        <f>'Monthly Data'!A33</f>
        <v>42583</v>
      </c>
      <c r="B33">
        <f>'Monthly Data'!C33</f>
        <v>8</v>
      </c>
      <c r="C33">
        <f>'Monthly Data'!B33</f>
        <v>2016</v>
      </c>
      <c r="D33" s="18">
        <f>'Monthly Data'!F33</f>
        <v>26892456.97727035</v>
      </c>
      <c r="E33" s="10">
        <f t="shared" ca="1" si="5"/>
        <v>0.73208333333333309</v>
      </c>
      <c r="F33" s="10">
        <f t="shared" ca="1" si="5"/>
        <v>35.296250000000008</v>
      </c>
      <c r="G33" s="98">
        <f>'Monthly Data'!AG33</f>
        <v>0</v>
      </c>
      <c r="H33" s="98">
        <f>'Monthly Data'!AB33</f>
        <v>64.395833333333357</v>
      </c>
      <c r="I33">
        <f>'Monthly Data'!BO33</f>
        <v>31</v>
      </c>
      <c r="J33">
        <f>'Monthly Data'!BS33</f>
        <v>0</v>
      </c>
      <c r="K33">
        <f>'Monthly Data'!BK33</f>
        <v>0</v>
      </c>
      <c r="M33" s="17"/>
      <c r="N33" s="17">
        <f t="shared" ca="1" si="1"/>
        <v>18279.567871793144</v>
      </c>
      <c r="O33" s="17">
        <f t="shared" ca="1" si="2"/>
        <v>-1532438.6879995619</v>
      </c>
      <c r="P33" s="17"/>
      <c r="Q33" s="17"/>
      <c r="R33" s="17"/>
      <c r="S33" s="17">
        <f t="shared" ca="1" si="3"/>
        <v>25378297.857142583</v>
      </c>
    </row>
    <row r="34" spans="1:19" x14ac:dyDescent="0.2">
      <c r="A34" s="28">
        <f>'Monthly Data'!A34</f>
        <v>42614</v>
      </c>
      <c r="B34">
        <f>'Monthly Data'!C34</f>
        <v>9</v>
      </c>
      <c r="C34">
        <f>'Monthly Data'!B34</f>
        <v>2016</v>
      </c>
      <c r="D34" s="18">
        <f>'Monthly Data'!F34</f>
        <v>24816050.515237778</v>
      </c>
      <c r="E34" s="10">
        <f t="shared" ca="1" si="5"/>
        <v>26.6509001176757</v>
      </c>
      <c r="F34" s="10">
        <f t="shared" ca="1" si="5"/>
        <v>11.128958333333333</v>
      </c>
      <c r="G34" s="98">
        <f>'Monthly Data'!AG34</f>
        <v>8.9458333333333382</v>
      </c>
      <c r="H34" s="98">
        <f>'Monthly Data'!AB34</f>
        <v>7.9291666666666671</v>
      </c>
      <c r="I34">
        <f>'Monthly Data'!BO34</f>
        <v>30</v>
      </c>
      <c r="J34">
        <f>'Monthly Data'!BS34</f>
        <v>0</v>
      </c>
      <c r="K34">
        <f>'Monthly Data'!BK34</f>
        <v>1</v>
      </c>
      <c r="M34" s="17"/>
      <c r="N34" s="17">
        <f t="shared" ca="1" si="1"/>
        <v>442082.14450861712</v>
      </c>
      <c r="O34" s="17">
        <f t="shared" ca="1" si="2"/>
        <v>168507.03624754975</v>
      </c>
      <c r="P34" s="17"/>
      <c r="Q34" s="17"/>
      <c r="R34" s="17"/>
      <c r="S34" s="17">
        <f t="shared" ca="1" si="3"/>
        <v>25426639.695993945</v>
      </c>
    </row>
    <row r="35" spans="1:19" x14ac:dyDescent="0.2">
      <c r="A35" s="28">
        <f>'Monthly Data'!A35</f>
        <v>42644</v>
      </c>
      <c r="B35">
        <f>'Monthly Data'!C35</f>
        <v>10</v>
      </c>
      <c r="C35">
        <f>'Monthly Data'!B35</f>
        <v>2016</v>
      </c>
      <c r="D35" s="18">
        <f>'Monthly Data'!F35</f>
        <v>26301016.269701853</v>
      </c>
      <c r="E35" s="10">
        <f t="shared" ca="1" si="5"/>
        <v>177.51367324027484</v>
      </c>
      <c r="F35" s="10">
        <f t="shared" ca="1" si="5"/>
        <v>0.44687499999999963</v>
      </c>
      <c r="G35" s="98">
        <f>'Monthly Data'!AG35</f>
        <v>163.39166666666668</v>
      </c>
      <c r="H35" s="98">
        <f>'Monthly Data'!AB35</f>
        <v>0</v>
      </c>
      <c r="I35">
        <f>'Monthly Data'!BO35</f>
        <v>31</v>
      </c>
      <c r="J35">
        <f>'Monthly Data'!BS35</f>
        <v>0</v>
      </c>
      <c r="K35">
        <f>'Monthly Data'!BK35</f>
        <v>1</v>
      </c>
      <c r="M35" s="17"/>
      <c r="N35" s="17">
        <f t="shared" ca="1" si="1"/>
        <v>352615.83742494631</v>
      </c>
      <c r="O35" s="17">
        <f t="shared" ca="1" si="2"/>
        <v>23533.276434077346</v>
      </c>
      <c r="P35" s="17"/>
      <c r="Q35" s="17"/>
      <c r="R35" s="17"/>
      <c r="S35" s="17">
        <f t="shared" ca="1" si="3"/>
        <v>26677165.383560877</v>
      </c>
    </row>
    <row r="36" spans="1:19" x14ac:dyDescent="0.2">
      <c r="A36" s="28">
        <f>'Monthly Data'!A36</f>
        <v>42675</v>
      </c>
      <c r="B36">
        <f>'Monthly Data'!C36</f>
        <v>11</v>
      </c>
      <c r="C36">
        <f>'Monthly Data'!B36</f>
        <v>2016</v>
      </c>
      <c r="D36" s="18">
        <f>'Monthly Data'!F36</f>
        <v>30154736.379422963</v>
      </c>
      <c r="E36" s="10">
        <f t="shared" ca="1" si="5"/>
        <v>390.8187460098469</v>
      </c>
      <c r="F36" s="10">
        <f t="shared" ca="1" si="5"/>
        <v>0</v>
      </c>
      <c r="G36" s="98">
        <f>'Monthly Data'!AG36</f>
        <v>283.76250000000005</v>
      </c>
      <c r="H36" s="98">
        <f>'Monthly Data'!AB36</f>
        <v>0</v>
      </c>
      <c r="I36">
        <f>'Monthly Data'!BO36</f>
        <v>30</v>
      </c>
      <c r="J36">
        <f>'Monthly Data'!BS36</f>
        <v>0</v>
      </c>
      <c r="K36">
        <f>'Monthly Data'!BK36</f>
        <v>1</v>
      </c>
      <c r="M36" s="17"/>
      <c r="N36" s="17">
        <f t="shared" ca="1" si="1"/>
        <v>2673113.6005050158</v>
      </c>
      <c r="O36" s="17">
        <f t="shared" ca="1" si="2"/>
        <v>0</v>
      </c>
      <c r="P36" s="17"/>
      <c r="Q36" s="17"/>
      <c r="R36" s="17"/>
      <c r="S36" s="17">
        <f t="shared" ca="1" si="3"/>
        <v>32827849.979927979</v>
      </c>
    </row>
    <row r="37" spans="1:19" x14ac:dyDescent="0.2">
      <c r="A37" s="28">
        <f>'Monthly Data'!A37</f>
        <v>42705</v>
      </c>
      <c r="B37">
        <f>'Monthly Data'!C37</f>
        <v>12</v>
      </c>
      <c r="C37">
        <f>'Monthly Data'!B37</f>
        <v>2016</v>
      </c>
      <c r="D37" s="18">
        <f>'Monthly Data'!F37</f>
        <v>39354812.091523588</v>
      </c>
      <c r="E37" s="10">
        <f t="shared" ca="1" si="5"/>
        <v>570.62936502461719</v>
      </c>
      <c r="F37" s="10">
        <f t="shared" ca="1" si="5"/>
        <v>0</v>
      </c>
      <c r="G37" s="98">
        <f>'Monthly Data'!AG37</f>
        <v>596.79583333333335</v>
      </c>
      <c r="H37" s="98">
        <f>'Monthly Data'!AB37</f>
        <v>0</v>
      </c>
      <c r="I37">
        <f>'Monthly Data'!BO37</f>
        <v>31</v>
      </c>
      <c r="J37">
        <f>'Monthly Data'!BS37</f>
        <v>0</v>
      </c>
      <c r="K37">
        <f>'Monthly Data'!BK37</f>
        <v>0</v>
      </c>
      <c r="M37" s="17"/>
      <c r="N37" s="17">
        <f t="shared" ca="1" si="1"/>
        <v>-653356.94945607509</v>
      </c>
      <c r="O37" s="17">
        <f t="shared" ca="1" si="2"/>
        <v>0</v>
      </c>
      <c r="P37" s="17"/>
      <c r="Q37" s="17"/>
      <c r="R37" s="17"/>
      <c r="S37" s="17">
        <f t="shared" ca="1" si="3"/>
        <v>38701455.142067514</v>
      </c>
    </row>
    <row r="38" spans="1:19" x14ac:dyDescent="0.2">
      <c r="A38" s="28">
        <f>'Monthly Data'!A38</f>
        <v>42736</v>
      </c>
      <c r="B38">
        <f>'Monthly Data'!C38</f>
        <v>1</v>
      </c>
      <c r="C38">
        <f>'Monthly Data'!B38</f>
        <v>2017</v>
      </c>
      <c r="D38" s="18">
        <f>'Monthly Data'!F38</f>
        <v>40174272.583988234</v>
      </c>
      <c r="E38" s="10">
        <f t="shared" ca="1" si="5"/>
        <v>728.68367523535153</v>
      </c>
      <c r="F38" s="10">
        <f t="shared" ca="1" si="5"/>
        <v>0</v>
      </c>
      <c r="G38" s="98">
        <f>'Monthly Data'!AG38</f>
        <v>602.22916666666686</v>
      </c>
      <c r="H38" s="98">
        <f>'Monthly Data'!AB38</f>
        <v>0</v>
      </c>
      <c r="I38">
        <f>'Monthly Data'!BO38</f>
        <v>31</v>
      </c>
      <c r="J38">
        <f>'Monthly Data'!BS38</f>
        <v>0</v>
      </c>
      <c r="K38">
        <f>'Monthly Data'!BK38</f>
        <v>0</v>
      </c>
      <c r="M38" s="17"/>
      <c r="N38" s="17">
        <f t="shared" ca="1" si="1"/>
        <v>3157473.5645880755</v>
      </c>
      <c r="O38" s="17">
        <f t="shared" ca="1" si="2"/>
        <v>0</v>
      </c>
      <c r="P38" s="17"/>
      <c r="Q38" s="17"/>
      <c r="R38" s="17"/>
      <c r="S38" s="17">
        <f t="shared" ca="1" si="3"/>
        <v>43331746.148576312</v>
      </c>
    </row>
    <row r="39" spans="1:19" x14ac:dyDescent="0.2">
      <c r="A39" s="28">
        <f>'Monthly Data'!A39</f>
        <v>42767</v>
      </c>
      <c r="B39">
        <f>'Monthly Data'!C39</f>
        <v>2</v>
      </c>
      <c r="C39">
        <f>'Monthly Data'!B39</f>
        <v>2017</v>
      </c>
      <c r="D39" s="18">
        <f>'Monthly Data'!F39</f>
        <v>35385413.861019395</v>
      </c>
      <c r="E39" s="10">
        <f t="shared" ca="1" si="5"/>
        <v>655.75083333333328</v>
      </c>
      <c r="F39" s="10">
        <f t="shared" ca="1" si="5"/>
        <v>0</v>
      </c>
      <c r="G39" s="98">
        <f>'Monthly Data'!AG39</f>
        <v>531.37916666666683</v>
      </c>
      <c r="H39" s="98">
        <f>'Monthly Data'!AB39</f>
        <v>0</v>
      </c>
      <c r="I39">
        <f>'Monthly Data'!BO39</f>
        <v>28</v>
      </c>
      <c r="J39">
        <f>'Monthly Data'!BS39</f>
        <v>0</v>
      </c>
      <c r="K39">
        <f>'Monthly Data'!BK39</f>
        <v>0</v>
      </c>
      <c r="M39" s="17"/>
      <c r="N39" s="17">
        <f t="shared" ca="1" si="1"/>
        <v>3105466.5755192214</v>
      </c>
      <c r="O39" s="17">
        <f t="shared" ca="1" si="2"/>
        <v>0</v>
      </c>
      <c r="P39" s="17"/>
      <c r="Q39" s="17"/>
      <c r="R39" s="17"/>
      <c r="S39" s="17">
        <f t="shared" ca="1" si="3"/>
        <v>38490880.436538614</v>
      </c>
    </row>
    <row r="40" spans="1:19" x14ac:dyDescent="0.2">
      <c r="A40" s="28">
        <f>'Monthly Data'!A40</f>
        <v>42795</v>
      </c>
      <c r="B40">
        <f>'Monthly Data'!C40</f>
        <v>3</v>
      </c>
      <c r="C40">
        <f>'Monthly Data'!B40</f>
        <v>2017</v>
      </c>
      <c r="D40" s="18">
        <f>'Monthly Data'!F40</f>
        <v>36573863.20518063</v>
      </c>
      <c r="E40" s="10">
        <f t="shared" ca="1" si="5"/>
        <v>531.1185376765136</v>
      </c>
      <c r="F40" s="10">
        <f t="shared" ca="1" si="5"/>
        <v>0</v>
      </c>
      <c r="G40" s="98">
        <f>'Monthly Data'!AG40</f>
        <v>579.80416666666656</v>
      </c>
      <c r="H40" s="98">
        <f>'Monthly Data'!AB40</f>
        <v>0</v>
      </c>
      <c r="I40">
        <f>'Monthly Data'!BO40</f>
        <v>31</v>
      </c>
      <c r="J40">
        <f>'Monthly Data'!BS40</f>
        <v>0</v>
      </c>
      <c r="K40">
        <f>'Monthly Data'!BK40</f>
        <v>1</v>
      </c>
      <c r="M40" s="17"/>
      <c r="N40" s="17">
        <f t="shared" ca="1" si="1"/>
        <v>-1215643.3823650877</v>
      </c>
      <c r="O40" s="17">
        <f t="shared" ca="1" si="2"/>
        <v>0</v>
      </c>
      <c r="P40" s="17"/>
      <c r="Q40" s="17"/>
      <c r="R40" s="17"/>
      <c r="S40" s="17">
        <f t="shared" ca="1" si="3"/>
        <v>35358219.822815545</v>
      </c>
    </row>
    <row r="41" spans="1:19" x14ac:dyDescent="0.2">
      <c r="A41" s="28">
        <f>'Monthly Data'!A41</f>
        <v>42826</v>
      </c>
      <c r="B41">
        <f>'Monthly Data'!C41</f>
        <v>4</v>
      </c>
      <c r="C41">
        <f>'Monthly Data'!B41</f>
        <v>2017</v>
      </c>
      <c r="D41" s="18">
        <f>'Monthly Data'!F41</f>
        <v>29225148.14688924</v>
      </c>
      <c r="E41" s="10">
        <f t="shared" ca="1" si="5"/>
        <v>291.21791666666667</v>
      </c>
      <c r="F41" s="10">
        <f t="shared" ca="1" si="5"/>
        <v>0</v>
      </c>
      <c r="G41" s="98">
        <f>'Monthly Data'!AG41</f>
        <v>236.36666666666676</v>
      </c>
      <c r="H41" s="98">
        <f>'Monthly Data'!AB41</f>
        <v>0</v>
      </c>
      <c r="I41">
        <f>'Monthly Data'!BO41</f>
        <v>30</v>
      </c>
      <c r="J41">
        <f>'Monthly Data'!BS41</f>
        <v>0</v>
      </c>
      <c r="K41">
        <f>'Monthly Data'!BK41</f>
        <v>1</v>
      </c>
      <c r="M41" s="17"/>
      <c r="N41" s="17">
        <f t="shared" ca="1" si="1"/>
        <v>1369594.2819274114</v>
      </c>
      <c r="O41" s="17">
        <f t="shared" ca="1" si="2"/>
        <v>0</v>
      </c>
      <c r="P41" s="17"/>
      <c r="Q41" s="17"/>
      <c r="R41" s="17"/>
      <c r="S41" s="17">
        <f t="shared" ca="1" si="3"/>
        <v>30594742.42881665</v>
      </c>
    </row>
    <row r="42" spans="1:19" x14ac:dyDescent="0.2">
      <c r="A42" s="28">
        <f>'Monthly Data'!A42</f>
        <v>42856</v>
      </c>
      <c r="B42">
        <f>'Monthly Data'!C42</f>
        <v>5</v>
      </c>
      <c r="C42">
        <f>'Monthly Data'!B42</f>
        <v>2017</v>
      </c>
      <c r="D42" s="18">
        <f>'Monthly Data'!F42</f>
        <v>25362616.954719719</v>
      </c>
      <c r="E42" s="10">
        <f t="shared" ca="1" si="5"/>
        <v>76.006595892171191</v>
      </c>
      <c r="F42" s="10">
        <f t="shared" ca="1" si="5"/>
        <v>9.6293749999999996</v>
      </c>
      <c r="G42" s="98">
        <f>'Monthly Data'!AG42</f>
        <v>90.116666666666674</v>
      </c>
      <c r="H42" s="98">
        <f>'Monthly Data'!AB42</f>
        <v>1.9583333333333321</v>
      </c>
      <c r="I42">
        <f>'Monthly Data'!BO42</f>
        <v>31</v>
      </c>
      <c r="J42">
        <f>'Monthly Data'!BS42</f>
        <v>0</v>
      </c>
      <c r="K42">
        <f>'Monthly Data'!BK42</f>
        <v>1</v>
      </c>
      <c r="M42" s="17"/>
      <c r="N42" s="17">
        <f t="shared" ca="1" si="1"/>
        <v>-352317.80953652156</v>
      </c>
      <c r="O42" s="17">
        <f t="shared" ca="1" si="2"/>
        <v>403971.45528166095</v>
      </c>
      <c r="P42" s="17"/>
      <c r="Q42" s="17"/>
      <c r="R42" s="17"/>
      <c r="S42" s="17">
        <f t="shared" ca="1" si="3"/>
        <v>25414270.600464858</v>
      </c>
    </row>
    <row r="43" spans="1:19" x14ac:dyDescent="0.2">
      <c r="A43" s="28">
        <f>'Monthly Data'!A43</f>
        <v>42887</v>
      </c>
      <c r="B43">
        <f>'Monthly Data'!C43</f>
        <v>6</v>
      </c>
      <c r="C43">
        <f>'Monthly Data'!B43</f>
        <v>2017</v>
      </c>
      <c r="D43" s="18">
        <f>'Monthly Data'!F43</f>
        <v>23651666.519475527</v>
      </c>
      <c r="E43" s="10">
        <f t="shared" ca="1" si="5"/>
        <v>4.2034708921711843</v>
      </c>
      <c r="F43" s="10">
        <f t="shared" ca="1" si="5"/>
        <v>25.077154107828811</v>
      </c>
      <c r="G43" s="98">
        <f>'Monthly Data'!AG43</f>
        <v>4.0458333333333361</v>
      </c>
      <c r="H43" s="98">
        <f>'Monthly Data'!AB43</f>
        <v>11.541666666666657</v>
      </c>
      <c r="I43">
        <f>'Monthly Data'!BO43</f>
        <v>30</v>
      </c>
      <c r="J43">
        <f>'Monthly Data'!BS43</f>
        <v>0</v>
      </c>
      <c r="K43">
        <f>'Monthly Data'!BK43</f>
        <v>0</v>
      </c>
      <c r="M43" s="17"/>
      <c r="N43" s="17">
        <f t="shared" ca="1" si="1"/>
        <v>3936.0907764419808</v>
      </c>
      <c r="O43" s="17">
        <f t="shared" ca="1" si="2"/>
        <v>712804.17929589143</v>
      </c>
      <c r="P43" s="17"/>
      <c r="Q43" s="17"/>
      <c r="R43" s="17"/>
      <c r="S43" s="17">
        <f t="shared" ca="1" si="3"/>
        <v>24368406.789547861</v>
      </c>
    </row>
    <row r="44" spans="1:19" x14ac:dyDescent="0.2">
      <c r="A44" s="28">
        <f>'Monthly Data'!A44</f>
        <v>42917</v>
      </c>
      <c r="B44">
        <f>'Monthly Data'!C44</f>
        <v>7</v>
      </c>
      <c r="C44">
        <f>'Monthly Data'!B44</f>
        <v>2017</v>
      </c>
      <c r="D44" s="18">
        <f>'Monthly Data'!F44</f>
        <v>25687567.091892406</v>
      </c>
      <c r="E44" s="10">
        <f t="shared" ca="1" si="5"/>
        <v>0</v>
      </c>
      <c r="F44" s="10">
        <f t="shared" ca="1" si="5"/>
        <v>56.475141548990976</v>
      </c>
      <c r="G44" s="98">
        <f>'Monthly Data'!AG44</f>
        <v>0</v>
      </c>
      <c r="H44" s="98">
        <f>'Monthly Data'!AB44</f>
        <v>31.645833333333339</v>
      </c>
      <c r="I44">
        <f>'Monthly Data'!BO44</f>
        <v>31</v>
      </c>
      <c r="J44">
        <f>'Monthly Data'!BS44</f>
        <v>0</v>
      </c>
      <c r="K44">
        <f>'Monthly Data'!BK44</f>
        <v>0</v>
      </c>
      <c r="M44" s="17"/>
      <c r="N44" s="17">
        <f t="shared" ca="1" si="1"/>
        <v>0</v>
      </c>
      <c r="O44" s="17">
        <f t="shared" ca="1" si="2"/>
        <v>1307557.9835658281</v>
      </c>
      <c r="P44" s="17"/>
      <c r="Q44" s="17"/>
      <c r="R44" s="17"/>
      <c r="S44" s="17">
        <f t="shared" ca="1" si="3"/>
        <v>26995125.075458236</v>
      </c>
    </row>
    <row r="45" spans="1:19" x14ac:dyDescent="0.2">
      <c r="A45" s="28">
        <f>'Monthly Data'!A45</f>
        <v>42948</v>
      </c>
      <c r="B45">
        <f>'Monthly Data'!C45</f>
        <v>8</v>
      </c>
      <c r="C45">
        <f>'Monthly Data'!B45</f>
        <v>2017</v>
      </c>
      <c r="D45" s="18">
        <f>'Monthly Data'!F45</f>
        <v>24822990.21198979</v>
      </c>
      <c r="E45" s="10">
        <f t="shared" ca="1" si="5"/>
        <v>0.73208333333333309</v>
      </c>
      <c r="F45" s="10">
        <f t="shared" ca="1" si="5"/>
        <v>35.296250000000008</v>
      </c>
      <c r="G45" s="98">
        <f>'Monthly Data'!AG45</f>
        <v>2.2291666666666643</v>
      </c>
      <c r="H45" s="98">
        <f>'Monthly Data'!AB45</f>
        <v>10.208333333333339</v>
      </c>
      <c r="I45">
        <f>'Monthly Data'!BO45</f>
        <v>31</v>
      </c>
      <c r="J45">
        <f>'Monthly Data'!BS45</f>
        <v>0</v>
      </c>
      <c r="K45">
        <f>'Monthly Data'!BK45</f>
        <v>0</v>
      </c>
      <c r="M45" s="17"/>
      <c r="N45" s="17">
        <f t="shared" ca="1" si="1"/>
        <v>-37381.04004744035</v>
      </c>
      <c r="O45" s="17">
        <f t="shared" ca="1" si="2"/>
        <v>1321176.7900906596</v>
      </c>
      <c r="P45" s="17"/>
      <c r="Q45" s="17"/>
      <c r="R45" s="17"/>
      <c r="S45" s="17">
        <f t="shared" ca="1" si="3"/>
        <v>26106785.962033011</v>
      </c>
    </row>
    <row r="46" spans="1:19" x14ac:dyDescent="0.2">
      <c r="A46" s="28">
        <f>'Monthly Data'!A46</f>
        <v>42979</v>
      </c>
      <c r="B46">
        <f>'Monthly Data'!C46</f>
        <v>9</v>
      </c>
      <c r="C46">
        <f>'Monthly Data'!B46</f>
        <v>2017</v>
      </c>
      <c r="D46" s="18">
        <f>'Monthly Data'!F46</f>
        <v>24260809.784453958</v>
      </c>
      <c r="E46" s="10">
        <f t="shared" ca="1" si="5"/>
        <v>26.6509001176757</v>
      </c>
      <c r="F46" s="10">
        <f t="shared" ca="1" si="5"/>
        <v>11.128958333333333</v>
      </c>
      <c r="G46" s="98">
        <f>'Monthly Data'!AG46</f>
        <v>24.054166666666667</v>
      </c>
      <c r="H46" s="98">
        <f>'Monthly Data'!AB46</f>
        <v>25.850000000000005</v>
      </c>
      <c r="I46">
        <f>'Monthly Data'!BO46</f>
        <v>30</v>
      </c>
      <c r="J46">
        <f>'Monthly Data'!BS46</f>
        <v>0</v>
      </c>
      <c r="K46">
        <f>'Monthly Data'!BK46</f>
        <v>1</v>
      </c>
      <c r="M46" s="17"/>
      <c r="N46" s="17">
        <f t="shared" ca="1" si="1"/>
        <v>64838.472891531404</v>
      </c>
      <c r="O46" s="17">
        <f t="shared" ca="1" si="2"/>
        <v>-775237.69049339928</v>
      </c>
      <c r="P46" s="17"/>
      <c r="Q46" s="17"/>
      <c r="R46" s="17"/>
      <c r="S46" s="17">
        <f t="shared" ca="1" si="3"/>
        <v>23550410.566852089</v>
      </c>
    </row>
    <row r="47" spans="1:19" x14ac:dyDescent="0.2">
      <c r="A47" s="28">
        <f>'Monthly Data'!A47</f>
        <v>43009</v>
      </c>
      <c r="B47">
        <f>'Monthly Data'!C47</f>
        <v>10</v>
      </c>
      <c r="C47">
        <f>'Monthly Data'!B47</f>
        <v>2017</v>
      </c>
      <c r="D47" s="18">
        <f>'Monthly Data'!F47</f>
        <v>26789305.491885893</v>
      </c>
      <c r="E47" s="10">
        <f t="shared" ref="E47:F62" ca="1" si="6">E35</f>
        <v>177.51367324027484</v>
      </c>
      <c r="F47" s="10">
        <f t="shared" ca="1" si="6"/>
        <v>0.44687499999999963</v>
      </c>
      <c r="G47" s="98">
        <f>'Monthly Data'!AG47</f>
        <v>102.87708333333335</v>
      </c>
      <c r="H47" s="98">
        <f>'Monthly Data'!AB47</f>
        <v>0</v>
      </c>
      <c r="I47">
        <f>'Monthly Data'!BO47</f>
        <v>31</v>
      </c>
      <c r="J47">
        <f>'Monthly Data'!BS47</f>
        <v>0</v>
      </c>
      <c r="K47">
        <f>'Monthly Data'!BK47</f>
        <v>1</v>
      </c>
      <c r="M47" s="17"/>
      <c r="N47" s="17">
        <f t="shared" ca="1" si="1"/>
        <v>1863619.2750230557</v>
      </c>
      <c r="O47" s="17">
        <f t="shared" ca="1" si="2"/>
        <v>23533.276434077346</v>
      </c>
      <c r="P47" s="17"/>
      <c r="Q47" s="17"/>
      <c r="R47" s="17"/>
      <c r="S47" s="17">
        <f t="shared" ca="1" si="3"/>
        <v>28676458.043343026</v>
      </c>
    </row>
    <row r="48" spans="1:19" x14ac:dyDescent="0.2">
      <c r="A48" s="28">
        <f>'Monthly Data'!A48</f>
        <v>43040</v>
      </c>
      <c r="B48">
        <f>'Monthly Data'!C48</f>
        <v>11</v>
      </c>
      <c r="C48">
        <f>'Monthly Data'!B48</f>
        <v>2017</v>
      </c>
      <c r="D48" s="18">
        <f>'Monthly Data'!F48</f>
        <v>33472091.689021043</v>
      </c>
      <c r="E48" s="10">
        <f t="shared" ca="1" si="6"/>
        <v>390.8187460098469</v>
      </c>
      <c r="F48" s="10">
        <f t="shared" ca="1" si="6"/>
        <v>0</v>
      </c>
      <c r="G48" s="98">
        <f>'Monthly Data'!AG48</f>
        <v>428.26250000000005</v>
      </c>
      <c r="H48" s="98">
        <f>'Monthly Data'!AB48</f>
        <v>0</v>
      </c>
      <c r="I48">
        <f>'Monthly Data'!BO48</f>
        <v>30</v>
      </c>
      <c r="J48">
        <f>'Monthly Data'!BS48</f>
        <v>0</v>
      </c>
      <c r="K48">
        <f>'Monthly Data'!BK48</f>
        <v>1</v>
      </c>
      <c r="M48" s="17"/>
      <c r="N48" s="17">
        <f t="shared" ca="1" si="1"/>
        <v>-934942.25489502109</v>
      </c>
      <c r="O48" s="17">
        <f t="shared" ca="1" si="2"/>
        <v>0</v>
      </c>
      <c r="P48" s="17"/>
      <c r="Q48" s="17"/>
      <c r="R48" s="17"/>
      <c r="S48" s="17">
        <f t="shared" ca="1" si="3"/>
        <v>32537149.434126023</v>
      </c>
    </row>
    <row r="49" spans="1:19" x14ac:dyDescent="0.2">
      <c r="A49" s="28">
        <f>'Monthly Data'!A49</f>
        <v>43070</v>
      </c>
      <c r="B49">
        <f>'Monthly Data'!C49</f>
        <v>12</v>
      </c>
      <c r="C49">
        <f>'Monthly Data'!B49</f>
        <v>2017</v>
      </c>
      <c r="D49" s="18">
        <f>'Monthly Data'!F49</f>
        <v>44424054.277723424</v>
      </c>
      <c r="E49" s="10">
        <f t="shared" ca="1" si="6"/>
        <v>570.62936502461719</v>
      </c>
      <c r="F49" s="10">
        <f t="shared" ca="1" si="6"/>
        <v>0</v>
      </c>
      <c r="G49" s="98">
        <f>'Monthly Data'!AG49</f>
        <v>771.36249999999995</v>
      </c>
      <c r="H49" s="98">
        <f>'Monthly Data'!AB49</f>
        <v>0</v>
      </c>
      <c r="I49">
        <f>'Monthly Data'!BO49</f>
        <v>31</v>
      </c>
      <c r="J49">
        <f>'Monthly Data'!BS49</f>
        <v>0</v>
      </c>
      <c r="K49">
        <f>'Monthly Data'!BK49</f>
        <v>0</v>
      </c>
      <c r="M49" s="17"/>
      <c r="N49" s="17">
        <f t="shared" ca="1" si="1"/>
        <v>-5012154.7613891745</v>
      </c>
      <c r="O49" s="17">
        <f t="shared" ca="1" si="2"/>
        <v>0</v>
      </c>
      <c r="P49" s="17"/>
      <c r="Q49" s="17"/>
      <c r="R49" s="17"/>
      <c r="S49" s="17">
        <f t="shared" ca="1" si="3"/>
        <v>39411899.516334251</v>
      </c>
    </row>
    <row r="50" spans="1:19" x14ac:dyDescent="0.2">
      <c r="A50" s="28">
        <f>'Monthly Data'!A50</f>
        <v>43101</v>
      </c>
      <c r="B50">
        <f>'Monthly Data'!C50</f>
        <v>1</v>
      </c>
      <c r="C50">
        <f>'Monthly Data'!B50</f>
        <v>2018</v>
      </c>
      <c r="D50" s="18">
        <f>'Monthly Data'!F50</f>
        <v>45520581.955199547</v>
      </c>
      <c r="E50" s="10">
        <f t="shared" ca="1" si="6"/>
        <v>728.68367523535153</v>
      </c>
      <c r="F50" s="10">
        <f t="shared" ca="1" si="6"/>
        <v>0</v>
      </c>
      <c r="G50" s="98">
        <f>'Monthly Data'!AG50</f>
        <v>729.3104166666667</v>
      </c>
      <c r="H50" s="98">
        <f>'Monthly Data'!AB50</f>
        <v>0</v>
      </c>
      <c r="I50">
        <f>'Monthly Data'!BO50</f>
        <v>31</v>
      </c>
      <c r="J50">
        <f>'Monthly Data'!BS50</f>
        <v>0</v>
      </c>
      <c r="K50">
        <f>'Monthly Data'!BK50</f>
        <v>0</v>
      </c>
      <c r="M50" s="17"/>
      <c r="N50" s="17">
        <f t="shared" ca="1" si="1"/>
        <v>-15649.260145871907</v>
      </c>
      <c r="O50" s="17">
        <f t="shared" ca="1" si="2"/>
        <v>0</v>
      </c>
      <c r="P50" s="17"/>
      <c r="Q50" s="17"/>
      <c r="R50" s="17"/>
      <c r="S50" s="17">
        <f t="shared" ca="1" si="3"/>
        <v>45504932.695053674</v>
      </c>
    </row>
    <row r="51" spans="1:19" x14ac:dyDescent="0.2">
      <c r="A51" s="28">
        <f>'Monthly Data'!A51</f>
        <v>43132</v>
      </c>
      <c r="B51">
        <f>'Monthly Data'!C51</f>
        <v>2</v>
      </c>
      <c r="C51">
        <f>'Monthly Data'!B51</f>
        <v>2018</v>
      </c>
      <c r="D51" s="18">
        <f>'Monthly Data'!F51</f>
        <v>37472089.839686185</v>
      </c>
      <c r="E51" s="10">
        <f t="shared" ca="1" si="6"/>
        <v>655.75083333333328</v>
      </c>
      <c r="F51" s="10">
        <f t="shared" ca="1" si="6"/>
        <v>0</v>
      </c>
      <c r="G51" s="98">
        <f>'Monthly Data'!AG51</f>
        <v>593.08958333333339</v>
      </c>
      <c r="H51" s="98">
        <f>'Monthly Data'!AB51</f>
        <v>0</v>
      </c>
      <c r="I51">
        <f>'Monthly Data'!BO51</f>
        <v>28</v>
      </c>
      <c r="J51">
        <f>'Monthly Data'!BS51</f>
        <v>0</v>
      </c>
      <c r="K51">
        <f>'Monthly Data'!BK51</f>
        <v>0</v>
      </c>
      <c r="M51" s="17"/>
      <c r="N51" s="17">
        <f t="shared" ca="1" si="1"/>
        <v>1564604.0828317311</v>
      </c>
      <c r="O51" s="17">
        <f t="shared" ca="1" si="2"/>
        <v>0</v>
      </c>
      <c r="P51" s="17"/>
      <c r="Q51" s="17"/>
      <c r="R51" s="17"/>
      <c r="S51" s="17">
        <f t="shared" ca="1" si="3"/>
        <v>39036693.922517918</v>
      </c>
    </row>
    <row r="52" spans="1:19" x14ac:dyDescent="0.2">
      <c r="A52" s="28">
        <f>'Monthly Data'!A52</f>
        <v>43160</v>
      </c>
      <c r="B52">
        <f>'Monthly Data'!C52</f>
        <v>3</v>
      </c>
      <c r="C52">
        <f>'Monthly Data'!B52</f>
        <v>2018</v>
      </c>
      <c r="D52" s="18">
        <f>'Monthly Data'!F52</f>
        <v>36600167.801154256</v>
      </c>
      <c r="E52" s="10">
        <f t="shared" ca="1" si="6"/>
        <v>531.1185376765136</v>
      </c>
      <c r="F52" s="10">
        <f t="shared" ca="1" si="6"/>
        <v>0</v>
      </c>
      <c r="G52" s="98">
        <f>'Monthly Data'!AG52</f>
        <v>530.80624999999986</v>
      </c>
      <c r="H52" s="98">
        <f>'Monthly Data'!AB52</f>
        <v>0</v>
      </c>
      <c r="I52">
        <f>'Monthly Data'!BO52</f>
        <v>31</v>
      </c>
      <c r="J52">
        <f>'Monthly Data'!BS52</f>
        <v>0</v>
      </c>
      <c r="K52">
        <f>'Monthly Data'!BK52</f>
        <v>1</v>
      </c>
      <c r="M52" s="17"/>
      <c r="N52" s="17">
        <f t="shared" ca="1" si="1"/>
        <v>7797.5874035615825</v>
      </c>
      <c r="O52" s="17">
        <f t="shared" ca="1" si="2"/>
        <v>0</v>
      </c>
      <c r="P52" s="17"/>
      <c r="Q52" s="17"/>
      <c r="R52" s="17"/>
      <c r="S52" s="17">
        <f t="shared" ca="1" si="3"/>
        <v>36607965.388557814</v>
      </c>
    </row>
    <row r="53" spans="1:19" x14ac:dyDescent="0.2">
      <c r="A53" s="28">
        <f>'Monthly Data'!A53</f>
        <v>43191</v>
      </c>
      <c r="B53">
        <f>'Monthly Data'!C53</f>
        <v>4</v>
      </c>
      <c r="C53">
        <f>'Monthly Data'!B53</f>
        <v>2018</v>
      </c>
      <c r="D53" s="18">
        <f>'Monthly Data'!F53</f>
        <v>31766180.561929934</v>
      </c>
      <c r="E53" s="10">
        <f t="shared" ca="1" si="6"/>
        <v>291.21791666666667</v>
      </c>
      <c r="F53" s="10">
        <f t="shared" ca="1" si="6"/>
        <v>0</v>
      </c>
      <c r="G53" s="98">
        <f>'Monthly Data'!AG53</f>
        <v>396.60624999999999</v>
      </c>
      <c r="H53" s="98">
        <f>'Monthly Data'!AB53</f>
        <v>0</v>
      </c>
      <c r="I53">
        <f>'Monthly Data'!BO53</f>
        <v>30</v>
      </c>
      <c r="J53">
        <f>'Monthly Data'!BS53</f>
        <v>0</v>
      </c>
      <c r="K53">
        <f>'Monthly Data'!BK53</f>
        <v>1</v>
      </c>
      <c r="M53" s="17"/>
      <c r="N53" s="17">
        <f t="shared" ca="1" si="1"/>
        <v>-2631467.0807902021</v>
      </c>
      <c r="O53" s="17">
        <f t="shared" ca="1" si="2"/>
        <v>0</v>
      </c>
      <c r="P53" s="17"/>
      <c r="Q53" s="17"/>
      <c r="R53" s="17"/>
      <c r="S53" s="17">
        <f t="shared" ca="1" si="3"/>
        <v>29134713.481139731</v>
      </c>
    </row>
    <row r="54" spans="1:19" x14ac:dyDescent="0.2">
      <c r="A54" s="28">
        <f>'Monthly Data'!A54</f>
        <v>43221</v>
      </c>
      <c r="B54">
        <f>'Monthly Data'!C54</f>
        <v>5</v>
      </c>
      <c r="C54">
        <f>'Monthly Data'!B54</f>
        <v>2018</v>
      </c>
      <c r="D54" s="18">
        <f>'Monthly Data'!F54</f>
        <v>26041589.172468107</v>
      </c>
      <c r="E54" s="10">
        <f t="shared" ca="1" si="6"/>
        <v>76.006595892171191</v>
      </c>
      <c r="F54" s="10">
        <f t="shared" ca="1" si="6"/>
        <v>9.6293749999999996</v>
      </c>
      <c r="G54" s="98">
        <f>'Monthly Data'!AG54</f>
        <v>41.137500000000003</v>
      </c>
      <c r="H54" s="98">
        <f>'Monthly Data'!AB54</f>
        <v>14.637499999999996</v>
      </c>
      <c r="I54">
        <f>'Monthly Data'!BO54</f>
        <v>31</v>
      </c>
      <c r="J54">
        <f>'Monthly Data'!BS54</f>
        <v>0</v>
      </c>
      <c r="K54">
        <f>'Monthly Data'!BK54</f>
        <v>1</v>
      </c>
      <c r="M54" s="17"/>
      <c r="N54" s="17">
        <f t="shared" ca="1" si="1"/>
        <v>870654.9868944888</v>
      </c>
      <c r="O54" s="17">
        <f t="shared" ca="1" si="2"/>
        <v>-263737.26442833815</v>
      </c>
      <c r="P54" s="17"/>
      <c r="Q54" s="17"/>
      <c r="R54" s="17"/>
      <c r="S54" s="17">
        <f t="shared" ca="1" si="3"/>
        <v>26648506.894934259</v>
      </c>
    </row>
    <row r="55" spans="1:19" x14ac:dyDescent="0.2">
      <c r="A55" s="28">
        <f>'Monthly Data'!A55</f>
        <v>43252</v>
      </c>
      <c r="B55">
        <f>'Monthly Data'!C55</f>
        <v>6</v>
      </c>
      <c r="C55">
        <f>'Monthly Data'!B55</f>
        <v>2018</v>
      </c>
      <c r="D55" s="18">
        <f>'Monthly Data'!F55</f>
        <v>26204691.073098194</v>
      </c>
      <c r="E55" s="10">
        <f t="shared" ca="1" si="6"/>
        <v>4.2034708921711843</v>
      </c>
      <c r="F55" s="10">
        <f t="shared" ca="1" si="6"/>
        <v>25.077154107828811</v>
      </c>
      <c r="G55" s="98">
        <f>'Monthly Data'!AG55</f>
        <v>4.9208333333333307</v>
      </c>
      <c r="H55" s="98">
        <f>'Monthly Data'!AB55</f>
        <v>24.545833333333317</v>
      </c>
      <c r="I55">
        <f>'Monthly Data'!BO55</f>
        <v>30</v>
      </c>
      <c r="J55">
        <f>'Monthly Data'!BS55</f>
        <v>0</v>
      </c>
      <c r="K55">
        <f>'Monthly Data'!BK55</f>
        <v>0</v>
      </c>
      <c r="M55" s="17"/>
      <c r="N55" s="17">
        <f t="shared" ca="1" si="1"/>
        <v>-17911.998313350497</v>
      </c>
      <c r="O55" s="17">
        <f t="shared" ca="1" si="2"/>
        <v>27980.349452018021</v>
      </c>
      <c r="P55" s="17"/>
      <c r="Q55" s="17"/>
      <c r="R55" s="17"/>
      <c r="S55" s="17">
        <f t="shared" ca="1" si="3"/>
        <v>26214759.42423686</v>
      </c>
    </row>
    <row r="56" spans="1:19" x14ac:dyDescent="0.2">
      <c r="A56" s="28">
        <f>'Monthly Data'!A56</f>
        <v>43282</v>
      </c>
      <c r="B56">
        <f>'Monthly Data'!C56</f>
        <v>7</v>
      </c>
      <c r="C56">
        <f>'Monthly Data'!B56</f>
        <v>2018</v>
      </c>
      <c r="D56" s="18">
        <f>'Monthly Data'!F56</f>
        <v>29942956.550238851</v>
      </c>
      <c r="E56" s="10">
        <f t="shared" ca="1" si="6"/>
        <v>0</v>
      </c>
      <c r="F56" s="10">
        <f t="shared" ca="1" si="6"/>
        <v>56.475141548990976</v>
      </c>
      <c r="G56" s="98">
        <f>'Monthly Data'!AG56</f>
        <v>0</v>
      </c>
      <c r="H56" s="98">
        <f>'Monthly Data'!AB56</f>
        <v>91.926415489909644</v>
      </c>
      <c r="I56">
        <f>'Monthly Data'!BO56</f>
        <v>31</v>
      </c>
      <c r="J56">
        <f>'Monthly Data'!BS56</f>
        <v>0</v>
      </c>
      <c r="K56">
        <f>'Monthly Data'!BK56</f>
        <v>0</v>
      </c>
      <c r="M56" s="17"/>
      <c r="N56" s="17">
        <f t="shared" ca="1" si="1"/>
        <v>0</v>
      </c>
      <c r="O56" s="17">
        <f t="shared" ca="1" si="2"/>
        <v>-1866930.6396460808</v>
      </c>
      <c r="P56" s="17"/>
      <c r="Q56" s="17"/>
      <c r="R56" s="17"/>
      <c r="S56" s="17">
        <f t="shared" ca="1" si="3"/>
        <v>28076025.910592772</v>
      </c>
    </row>
    <row r="57" spans="1:19" x14ac:dyDescent="0.2">
      <c r="A57" s="28">
        <f>'Monthly Data'!A57</f>
        <v>43313</v>
      </c>
      <c r="B57">
        <f>'Monthly Data'!C57</f>
        <v>8</v>
      </c>
      <c r="C57">
        <f>'Monthly Data'!B57</f>
        <v>2018</v>
      </c>
      <c r="D57" s="18">
        <f>'Monthly Data'!F57</f>
        <v>28759316.024186172</v>
      </c>
      <c r="E57" s="10">
        <f t="shared" ca="1" si="6"/>
        <v>0.73208333333333309</v>
      </c>
      <c r="F57" s="10">
        <f t="shared" ca="1" si="6"/>
        <v>35.296250000000008</v>
      </c>
      <c r="G57" s="98">
        <f>'Monthly Data'!AG57</f>
        <v>0</v>
      </c>
      <c r="H57" s="98">
        <f>'Monthly Data'!AB57</f>
        <v>56.750000000000014</v>
      </c>
      <c r="I57">
        <f>'Monthly Data'!BO57</f>
        <v>31</v>
      </c>
      <c r="J57">
        <f>'Monthly Data'!BS57</f>
        <v>0</v>
      </c>
      <c r="K57">
        <f>'Monthly Data'!BK57</f>
        <v>0</v>
      </c>
      <c r="M57" s="17"/>
      <c r="N57" s="17">
        <f t="shared" ca="1" si="1"/>
        <v>18279.567871793144</v>
      </c>
      <c r="O57" s="17">
        <f t="shared" ca="1" si="2"/>
        <v>-1129794.7508757201</v>
      </c>
      <c r="P57" s="17"/>
      <c r="Q57" s="17"/>
      <c r="R57" s="17"/>
      <c r="S57" s="17">
        <f t="shared" ca="1" si="3"/>
        <v>27647800.841182243</v>
      </c>
    </row>
    <row r="58" spans="1:19" x14ac:dyDescent="0.2">
      <c r="A58" s="28">
        <f>'Monthly Data'!A58</f>
        <v>43344</v>
      </c>
      <c r="B58">
        <f>'Monthly Data'!C58</f>
        <v>9</v>
      </c>
      <c r="C58">
        <f>'Monthly Data'!B58</f>
        <v>2018</v>
      </c>
      <c r="D58" s="18">
        <f>'Monthly Data'!F58</f>
        <v>25634956.45174019</v>
      </c>
      <c r="E58" s="10">
        <f t="shared" ca="1" si="6"/>
        <v>26.6509001176757</v>
      </c>
      <c r="F58" s="10">
        <f t="shared" ca="1" si="6"/>
        <v>11.128958333333333</v>
      </c>
      <c r="G58" s="98">
        <f>'Monthly Data'!AG58</f>
        <v>39.441666666666656</v>
      </c>
      <c r="H58" s="98">
        <f>'Monthly Data'!AB58</f>
        <v>20.450000000000006</v>
      </c>
      <c r="I58">
        <f>'Monthly Data'!BO58</f>
        <v>30</v>
      </c>
      <c r="J58">
        <f>'Monthly Data'!BS58</f>
        <v>0</v>
      </c>
      <c r="K58">
        <f>'Monthly Data'!BK58</f>
        <v>1</v>
      </c>
      <c r="M58" s="17"/>
      <c r="N58" s="17">
        <f t="shared" ca="1" si="1"/>
        <v>-319375.77953039267</v>
      </c>
      <c r="O58" s="17">
        <f t="shared" ca="1" si="2"/>
        <v>-490863.55288440845</v>
      </c>
      <c r="P58" s="17"/>
      <c r="Q58" s="17"/>
      <c r="R58" s="17"/>
      <c r="S58" s="17">
        <f t="shared" ca="1" si="3"/>
        <v>24824717.119325388</v>
      </c>
    </row>
    <row r="59" spans="1:19" x14ac:dyDescent="0.2">
      <c r="A59" s="28">
        <f>'Monthly Data'!A59</f>
        <v>43374</v>
      </c>
      <c r="B59">
        <f>'Monthly Data'!C59</f>
        <v>10</v>
      </c>
      <c r="C59">
        <f>'Monthly Data'!B59</f>
        <v>2018</v>
      </c>
      <c r="D59" s="18">
        <f>'Monthly Data'!F59</f>
        <v>29875577.738693967</v>
      </c>
      <c r="E59" s="10">
        <f t="shared" ca="1" si="6"/>
        <v>177.51367324027484</v>
      </c>
      <c r="F59" s="10">
        <f t="shared" ca="1" si="6"/>
        <v>0.44687499999999963</v>
      </c>
      <c r="G59" s="98">
        <f>'Monthly Data'!AG59</f>
        <v>260.22916666666669</v>
      </c>
      <c r="H59" s="98">
        <f>'Monthly Data'!AB59</f>
        <v>0</v>
      </c>
      <c r="I59">
        <f>'Monthly Data'!BO59</f>
        <v>31</v>
      </c>
      <c r="J59">
        <f>'Monthly Data'!BS59</f>
        <v>0</v>
      </c>
      <c r="K59">
        <f>'Monthly Data'!BK59</f>
        <v>1</v>
      </c>
      <c r="M59" s="17"/>
      <c r="N59" s="17">
        <f t="shared" ca="1" si="1"/>
        <v>-2065343.3936982448</v>
      </c>
      <c r="O59" s="17">
        <f t="shared" ca="1" si="2"/>
        <v>23533.276434077346</v>
      </c>
      <c r="P59" s="17"/>
      <c r="Q59" s="17"/>
      <c r="R59" s="17"/>
      <c r="S59" s="17">
        <f t="shared" ca="1" si="3"/>
        <v>27833767.621429801</v>
      </c>
    </row>
    <row r="60" spans="1:19" x14ac:dyDescent="0.2">
      <c r="A60" s="28">
        <f>'Monthly Data'!A60</f>
        <v>43405</v>
      </c>
      <c r="B60">
        <f>'Monthly Data'!C60</f>
        <v>11</v>
      </c>
      <c r="C60">
        <f>'Monthly Data'!B60</f>
        <v>2018</v>
      </c>
      <c r="D60" s="18">
        <f>'Monthly Data'!F60</f>
        <v>35543400.996821858</v>
      </c>
      <c r="E60" s="10">
        <f t="shared" ca="1" si="6"/>
        <v>390.8187460098469</v>
      </c>
      <c r="F60" s="10">
        <f t="shared" ca="1" si="6"/>
        <v>0</v>
      </c>
      <c r="G60" s="98">
        <f>'Monthly Data'!AG60</f>
        <v>496.37708333333336</v>
      </c>
      <c r="H60" s="98">
        <f>'Monthly Data'!AB60</f>
        <v>0</v>
      </c>
      <c r="I60">
        <f>'Monthly Data'!BO60</f>
        <v>30</v>
      </c>
      <c r="J60">
        <f>'Monthly Data'!BS60</f>
        <v>0</v>
      </c>
      <c r="K60">
        <f>'Monthly Data'!BK60</f>
        <v>1</v>
      </c>
      <c r="M60" s="17"/>
      <c r="N60" s="17">
        <f t="shared" ca="1" si="1"/>
        <v>-2635711.9520159001</v>
      </c>
      <c r="O60" s="17">
        <f t="shared" ca="1" si="2"/>
        <v>0</v>
      </c>
      <c r="P60" s="17"/>
      <c r="Q60" s="17"/>
      <c r="R60" s="17"/>
      <c r="S60" s="17">
        <f t="shared" ca="1" si="3"/>
        <v>32907689.044805959</v>
      </c>
    </row>
    <row r="61" spans="1:19" x14ac:dyDescent="0.2">
      <c r="A61" s="28">
        <f>'Monthly Data'!A61</f>
        <v>43435</v>
      </c>
      <c r="B61">
        <f>'Monthly Data'!C61</f>
        <v>12</v>
      </c>
      <c r="C61">
        <f>'Monthly Data'!B61</f>
        <v>2018</v>
      </c>
      <c r="D61" s="18">
        <f>'Monthly Data'!F61</f>
        <v>41267204.336152174</v>
      </c>
      <c r="E61" s="10">
        <f t="shared" ca="1" si="6"/>
        <v>570.62936502461719</v>
      </c>
      <c r="F61" s="10">
        <f t="shared" ca="1" si="6"/>
        <v>0</v>
      </c>
      <c r="G61" s="98">
        <f>'Monthly Data'!AG61</f>
        <v>598.44791666666663</v>
      </c>
      <c r="H61" s="98">
        <f>'Monthly Data'!AB61</f>
        <v>0</v>
      </c>
      <c r="I61">
        <f>'Monthly Data'!BO61</f>
        <v>31</v>
      </c>
      <c r="J61">
        <f>'Monthly Data'!BS61</f>
        <v>0</v>
      </c>
      <c r="K61">
        <f>'Monthly Data'!BK61</f>
        <v>0</v>
      </c>
      <c r="M61" s="17"/>
      <c r="N61" s="17">
        <f t="shared" ca="1" si="1"/>
        <v>-694608.22242799168</v>
      </c>
      <c r="O61" s="17">
        <f t="shared" ca="1" si="2"/>
        <v>0</v>
      </c>
      <c r="P61" s="17"/>
      <c r="Q61" s="17"/>
      <c r="R61" s="17"/>
      <c r="S61" s="17">
        <f t="shared" ca="1" si="3"/>
        <v>40572596.11372418</v>
      </c>
    </row>
    <row r="62" spans="1:19" x14ac:dyDescent="0.2">
      <c r="A62" s="28">
        <f>'Monthly Data'!A62</f>
        <v>43466</v>
      </c>
      <c r="B62">
        <f>'Monthly Data'!C62</f>
        <v>1</v>
      </c>
      <c r="C62">
        <f>'Monthly Data'!B62</f>
        <v>2019</v>
      </c>
      <c r="D62" s="18">
        <f>'Monthly Data'!F62</f>
        <v>46349988.259634361</v>
      </c>
      <c r="E62" s="10">
        <f t="shared" ca="1" si="6"/>
        <v>728.68367523535153</v>
      </c>
      <c r="F62" s="10">
        <f t="shared" ca="1" si="6"/>
        <v>0</v>
      </c>
      <c r="G62" s="98">
        <f>'Monthly Data'!AG62</f>
        <v>861.23958333333326</v>
      </c>
      <c r="H62" s="98">
        <f>'Monthly Data'!AB62</f>
        <v>0</v>
      </c>
      <c r="I62">
        <f>'Monthly Data'!BO62</f>
        <v>31</v>
      </c>
      <c r="J62">
        <f>'Monthly Data'!BS62</f>
        <v>0</v>
      </c>
      <c r="K62">
        <f>'Monthly Data'!BK62</f>
        <v>0</v>
      </c>
      <c r="M62" s="17"/>
      <c r="N62" s="17">
        <f t="shared" ca="1" si="1"/>
        <v>-3309820.9022892192</v>
      </c>
      <c r="O62" s="17">
        <f t="shared" ca="1" si="2"/>
        <v>0</v>
      </c>
      <c r="P62" s="17"/>
      <c r="Q62" s="17"/>
      <c r="R62" s="17"/>
      <c r="S62" s="17">
        <f t="shared" ca="1" si="3"/>
        <v>43040167.357345141</v>
      </c>
    </row>
    <row r="63" spans="1:19" x14ac:dyDescent="0.2">
      <c r="A63" s="28">
        <f>'Monthly Data'!A63</f>
        <v>43497</v>
      </c>
      <c r="B63">
        <f>'Monthly Data'!C63</f>
        <v>2</v>
      </c>
      <c r="C63">
        <f>'Monthly Data'!B63</f>
        <v>2019</v>
      </c>
      <c r="D63" s="18">
        <f>'Monthly Data'!F63</f>
        <v>40264271.143208794</v>
      </c>
      <c r="E63" s="10">
        <f t="shared" ref="E63:F78" ca="1" si="7">E51</f>
        <v>655.75083333333328</v>
      </c>
      <c r="F63" s="10">
        <f t="shared" ca="1" si="7"/>
        <v>0</v>
      </c>
      <c r="G63" s="98">
        <f>'Monthly Data'!AG63</f>
        <v>670.45833333333337</v>
      </c>
      <c r="H63" s="98">
        <f>'Monthly Data'!AB63</f>
        <v>0</v>
      </c>
      <c r="I63">
        <f>'Monthly Data'!BO63</f>
        <v>28</v>
      </c>
      <c r="J63">
        <f>'Monthly Data'!BS63</f>
        <v>0</v>
      </c>
      <c r="K63">
        <f>'Monthly Data'!BK63</f>
        <v>0</v>
      </c>
      <c r="M63" s="17"/>
      <c r="N63" s="17">
        <f t="shared" ca="1" si="1"/>
        <v>-367235.16604357364</v>
      </c>
      <c r="O63" s="17">
        <f t="shared" ca="1" si="2"/>
        <v>0</v>
      </c>
      <c r="P63" s="17"/>
      <c r="Q63" s="17"/>
      <c r="R63" s="17"/>
      <c r="S63" s="17">
        <f t="shared" ca="1" si="3"/>
        <v>39897035.977165222</v>
      </c>
    </row>
    <row r="64" spans="1:19" x14ac:dyDescent="0.2">
      <c r="A64" s="28">
        <f>'Monthly Data'!A64</f>
        <v>43525</v>
      </c>
      <c r="B64">
        <f>'Monthly Data'!C64</f>
        <v>3</v>
      </c>
      <c r="C64">
        <f>'Monthly Data'!B64</f>
        <v>2019</v>
      </c>
      <c r="D64" s="18">
        <f>'Monthly Data'!F64</f>
        <v>38046077.156783223</v>
      </c>
      <c r="E64" s="10">
        <f t="shared" ca="1" si="7"/>
        <v>531.1185376765136</v>
      </c>
      <c r="F64" s="10">
        <f t="shared" ca="1" si="7"/>
        <v>0</v>
      </c>
      <c r="G64" s="98">
        <f>'Monthly Data'!AG64</f>
        <v>555.16666666666674</v>
      </c>
      <c r="H64" s="98">
        <f>'Monthly Data'!AB64</f>
        <v>0</v>
      </c>
      <c r="I64">
        <f>'Monthly Data'!BO64</f>
        <v>31</v>
      </c>
      <c r="J64">
        <f>'Monthly Data'!BS64</f>
        <v>0</v>
      </c>
      <c r="K64">
        <f>'Monthly Data'!BK64</f>
        <v>1</v>
      </c>
      <c r="M64" s="17"/>
      <c r="N64" s="17">
        <f t="shared" ca="1" si="1"/>
        <v>-600463.61670821754</v>
      </c>
      <c r="O64" s="17">
        <f t="shared" ca="1" si="2"/>
        <v>0</v>
      </c>
      <c r="P64" s="17"/>
      <c r="Q64" s="17"/>
      <c r="R64" s="17"/>
      <c r="S64" s="17">
        <f t="shared" ca="1" si="3"/>
        <v>37445613.540075004</v>
      </c>
    </row>
    <row r="65" spans="1:19" x14ac:dyDescent="0.2">
      <c r="A65" s="28">
        <f>'Monthly Data'!A65</f>
        <v>43556</v>
      </c>
      <c r="B65">
        <f>'Monthly Data'!C65</f>
        <v>4</v>
      </c>
      <c r="C65">
        <f>'Monthly Data'!B65</f>
        <v>2019</v>
      </c>
      <c r="D65" s="18">
        <f>'Monthly Data'!F65</f>
        <v>31820714.450357649</v>
      </c>
      <c r="E65" s="10">
        <f t="shared" ca="1" si="7"/>
        <v>291.21791666666667</v>
      </c>
      <c r="F65" s="10">
        <f t="shared" ca="1" si="7"/>
        <v>0</v>
      </c>
      <c r="G65" s="98">
        <f>'Monthly Data'!AG65</f>
        <v>307.67708333333331</v>
      </c>
      <c r="H65" s="98">
        <f>'Monthly Data'!AB65</f>
        <v>0</v>
      </c>
      <c r="I65">
        <f>'Monthly Data'!BO65</f>
        <v>30</v>
      </c>
      <c r="J65">
        <f>'Monthly Data'!BS65</f>
        <v>0</v>
      </c>
      <c r="K65">
        <f>'Monthly Data'!BK65</f>
        <v>1</v>
      </c>
      <c r="M65" s="17"/>
      <c r="N65" s="17">
        <f t="shared" ca="1" si="1"/>
        <v>-410972.95963094605</v>
      </c>
      <c r="O65" s="17">
        <f t="shared" ca="1" si="2"/>
        <v>0</v>
      </c>
      <c r="P65" s="17"/>
      <c r="Q65" s="17"/>
      <c r="R65" s="17"/>
      <c r="S65" s="17">
        <f t="shared" ca="1" si="3"/>
        <v>31409741.490726702</v>
      </c>
    </row>
    <row r="66" spans="1:19" x14ac:dyDescent="0.2">
      <c r="A66" s="28">
        <f>'Monthly Data'!A66</f>
        <v>43586</v>
      </c>
      <c r="B66">
        <f>'Monthly Data'!C66</f>
        <v>5</v>
      </c>
      <c r="C66">
        <f>'Monthly Data'!B66</f>
        <v>2019</v>
      </c>
      <c r="D66" s="18">
        <f>'Monthly Data'!F66</f>
        <v>26566440.643932082</v>
      </c>
      <c r="E66" s="10">
        <f t="shared" ca="1" si="7"/>
        <v>76.006595892171191</v>
      </c>
      <c r="F66" s="10">
        <f t="shared" ca="1" si="7"/>
        <v>9.6293749999999996</v>
      </c>
      <c r="G66" s="98">
        <f>'Monthly Data'!AG66</f>
        <v>108.52291666666665</v>
      </c>
      <c r="H66" s="98">
        <f>'Monthly Data'!AB66</f>
        <v>0</v>
      </c>
      <c r="I66">
        <f>'Monthly Data'!BO66</f>
        <v>31</v>
      </c>
      <c r="J66">
        <f>'Monthly Data'!BS66</f>
        <v>0</v>
      </c>
      <c r="K66">
        <f>'Monthly Data'!BK66</f>
        <v>1</v>
      </c>
      <c r="M66" s="17"/>
      <c r="N66" s="17">
        <f t="shared" ca="1" si="1"/>
        <v>-811907.96931822971</v>
      </c>
      <c r="O66" s="17">
        <f t="shared" ca="1" si="2"/>
        <v>507100.96506269928</v>
      </c>
      <c r="P66" s="17"/>
      <c r="Q66" s="17"/>
      <c r="R66" s="17"/>
      <c r="S66" s="17">
        <f t="shared" ca="1" si="3"/>
        <v>26261633.639676552</v>
      </c>
    </row>
    <row r="67" spans="1:19" x14ac:dyDescent="0.2">
      <c r="A67" s="28">
        <f>'Monthly Data'!A67</f>
        <v>43617</v>
      </c>
      <c r="B67">
        <f>'Monthly Data'!C67</f>
        <v>6</v>
      </c>
      <c r="C67">
        <f>'Monthly Data'!B67</f>
        <v>2019</v>
      </c>
      <c r="D67" s="18">
        <f>'Monthly Data'!F67</f>
        <v>25527424.167506509</v>
      </c>
      <c r="E67" s="10">
        <f t="shared" ca="1" si="7"/>
        <v>4.2034708921711843</v>
      </c>
      <c r="F67" s="10">
        <f t="shared" ca="1" si="7"/>
        <v>25.077154107828811</v>
      </c>
      <c r="G67" s="98">
        <f>'Monthly Data'!AG67</f>
        <v>10.513875588378506</v>
      </c>
      <c r="H67" s="98">
        <f>'Monthly Data'!AB67</f>
        <v>13.45</v>
      </c>
      <c r="I67">
        <f>'Monthly Data'!BO67</f>
        <v>30</v>
      </c>
      <c r="J67">
        <f>'Monthly Data'!BS67</f>
        <v>0</v>
      </c>
      <c r="K67">
        <f>'Monthly Data'!BK67</f>
        <v>0</v>
      </c>
      <c r="M67" s="17"/>
      <c r="N67" s="17">
        <f t="shared" ref="N67:N121" ca="1" si="8">(E67-G67)*$V$8</f>
        <v>-157566.03885186656</v>
      </c>
      <c r="O67" s="17">
        <f t="shared" ref="O67:O121" ca="1" si="9">(F67-H67)*$V$9</f>
        <v>612307.76338160248</v>
      </c>
      <c r="P67" s="17"/>
      <c r="Q67" s="17"/>
      <c r="R67" s="17"/>
      <c r="S67" s="17">
        <f t="shared" ref="S67:S121" ca="1" si="10">D67+SUM(M67:R67)</f>
        <v>25982165.892036244</v>
      </c>
    </row>
    <row r="68" spans="1:19" x14ac:dyDescent="0.2">
      <c r="A68" s="28">
        <f>'Monthly Data'!A68</f>
        <v>43647</v>
      </c>
      <c r="B68">
        <f>'Monthly Data'!C68</f>
        <v>7</v>
      </c>
      <c r="C68">
        <f>'Monthly Data'!B68</f>
        <v>2019</v>
      </c>
      <c r="D68" s="18">
        <f>'Monthly Data'!F68</f>
        <v>29663002.171080936</v>
      </c>
      <c r="E68" s="10">
        <f t="shared" ca="1" si="7"/>
        <v>0</v>
      </c>
      <c r="F68" s="10">
        <f t="shared" ca="1" si="7"/>
        <v>56.475141548990976</v>
      </c>
      <c r="G68" s="98">
        <f>'Monthly Data'!AG68</f>
        <v>0</v>
      </c>
      <c r="H68" s="98">
        <f>'Monthly Data'!AB68</f>
        <v>75.160416666666691</v>
      </c>
      <c r="I68">
        <f>'Monthly Data'!BO68</f>
        <v>31</v>
      </c>
      <c r="J68">
        <f>'Monthly Data'!BS68</f>
        <v>0</v>
      </c>
      <c r="K68">
        <f>'Monthly Data'!BK68</f>
        <v>0</v>
      </c>
      <c r="M68" s="17"/>
      <c r="N68" s="17">
        <f t="shared" ca="1" si="8"/>
        <v>0</v>
      </c>
      <c r="O68" s="17">
        <f t="shared" ca="1" si="9"/>
        <v>-984001.66621773446</v>
      </c>
      <c r="P68" s="17"/>
      <c r="Q68" s="17"/>
      <c r="R68" s="17"/>
      <c r="S68" s="17">
        <f t="shared" ca="1" si="10"/>
        <v>28679000.504863203</v>
      </c>
    </row>
    <row r="69" spans="1:19" x14ac:dyDescent="0.2">
      <c r="A69" s="28">
        <f>'Monthly Data'!A69</f>
        <v>43678</v>
      </c>
      <c r="B69">
        <f>'Monthly Data'!C69</f>
        <v>8</v>
      </c>
      <c r="C69">
        <f>'Monthly Data'!B69</f>
        <v>2019</v>
      </c>
      <c r="D69" s="18">
        <f>'Monthly Data'!F69</f>
        <v>27101734.964655366</v>
      </c>
      <c r="E69" s="10">
        <f t="shared" ca="1" si="7"/>
        <v>0.73208333333333309</v>
      </c>
      <c r="F69" s="10">
        <f t="shared" ca="1" si="7"/>
        <v>35.296250000000008</v>
      </c>
      <c r="G69" s="98">
        <f>'Monthly Data'!AG69</f>
        <v>0</v>
      </c>
      <c r="H69" s="98">
        <f>'Monthly Data'!AB69</f>
        <v>22.158333333333331</v>
      </c>
      <c r="I69">
        <f>'Monthly Data'!BO69</f>
        <v>31</v>
      </c>
      <c r="J69">
        <f>'Monthly Data'!BS69</f>
        <v>0</v>
      </c>
      <c r="K69">
        <f>'Monthly Data'!BK69</f>
        <v>0</v>
      </c>
      <c r="M69" s="17"/>
      <c r="N69" s="17">
        <f t="shared" ca="1" si="8"/>
        <v>18279.567871793144</v>
      </c>
      <c r="O69" s="17">
        <f t="shared" ca="1" si="9"/>
        <v>691867.35593743029</v>
      </c>
      <c r="P69" s="17"/>
      <c r="Q69" s="17"/>
      <c r="R69" s="17"/>
      <c r="S69" s="17">
        <f t="shared" ca="1" si="10"/>
        <v>27811881.888464589</v>
      </c>
    </row>
    <row r="70" spans="1:19" x14ac:dyDescent="0.2">
      <c r="A70" s="28">
        <f>'Monthly Data'!A70</f>
        <v>43709</v>
      </c>
      <c r="B70">
        <f>'Monthly Data'!C70</f>
        <v>9</v>
      </c>
      <c r="C70">
        <f>'Monthly Data'!B70</f>
        <v>2019</v>
      </c>
      <c r="D70" s="18">
        <f>'Monthly Data'!F70</f>
        <v>24213463.878229793</v>
      </c>
      <c r="E70" s="10">
        <f t="shared" ca="1" si="7"/>
        <v>26.6509001176757</v>
      </c>
      <c r="F70" s="10">
        <f t="shared" ca="1" si="7"/>
        <v>11.128958333333333</v>
      </c>
      <c r="G70" s="98">
        <f>'Monthly Data'!AG70</f>
        <v>15.400000000000002</v>
      </c>
      <c r="H70" s="98">
        <f>'Monthly Data'!AB70</f>
        <v>2.3249999999999993</v>
      </c>
      <c r="I70">
        <f>'Monthly Data'!BO70</f>
        <v>30</v>
      </c>
      <c r="J70">
        <f>'Monthly Data'!BS70</f>
        <v>0</v>
      </c>
      <c r="K70">
        <f>'Monthly Data'!BK70</f>
        <v>1</v>
      </c>
      <c r="M70" s="17"/>
      <c r="N70" s="17">
        <f t="shared" ca="1" si="8"/>
        <v>280926.47784152778</v>
      </c>
      <c r="O70" s="17">
        <f t="shared" ca="1" si="9"/>
        <v>463632.9738124361</v>
      </c>
      <c r="P70" s="17"/>
      <c r="Q70" s="17"/>
      <c r="R70" s="17"/>
      <c r="S70" s="17">
        <f t="shared" ca="1" si="10"/>
        <v>24958023.329883758</v>
      </c>
    </row>
    <row r="71" spans="1:19" x14ac:dyDescent="0.2">
      <c r="A71" s="28">
        <f>'Monthly Data'!A71</f>
        <v>43739</v>
      </c>
      <c r="B71">
        <f>'Monthly Data'!C71</f>
        <v>10</v>
      </c>
      <c r="C71">
        <f>'Monthly Data'!B71</f>
        <v>2019</v>
      </c>
      <c r="D71" s="18">
        <f>'Monthly Data'!F71</f>
        <v>27632465.091804221</v>
      </c>
      <c r="E71" s="10">
        <f t="shared" ca="1" si="7"/>
        <v>177.51367324027484</v>
      </c>
      <c r="F71" s="10">
        <f t="shared" ca="1" si="7"/>
        <v>0.44687499999999963</v>
      </c>
      <c r="G71" s="98">
        <f>'Monthly Data'!AG71</f>
        <v>179.78262558837852</v>
      </c>
      <c r="H71" s="98">
        <f>'Monthly Data'!AB71</f>
        <v>0</v>
      </c>
      <c r="I71">
        <f>'Monthly Data'!BO71</f>
        <v>31</v>
      </c>
      <c r="J71">
        <f>'Monthly Data'!BS71</f>
        <v>0</v>
      </c>
      <c r="K71">
        <f>'Monthly Data'!BK71</f>
        <v>1</v>
      </c>
      <c r="M71" s="17"/>
      <c r="N71" s="17">
        <f t="shared" ca="1" si="8"/>
        <v>-56654.02633355814</v>
      </c>
      <c r="O71" s="17">
        <f t="shared" ca="1" si="9"/>
        <v>23533.276434077346</v>
      </c>
      <c r="P71" s="17"/>
      <c r="Q71" s="17"/>
      <c r="R71" s="17"/>
      <c r="S71" s="17">
        <f t="shared" ca="1" si="10"/>
        <v>27599344.341904741</v>
      </c>
    </row>
    <row r="72" spans="1:19" x14ac:dyDescent="0.2">
      <c r="A72" s="28">
        <f>'Monthly Data'!A72</f>
        <v>43770</v>
      </c>
      <c r="B72">
        <f>'Monthly Data'!C72</f>
        <v>11</v>
      </c>
      <c r="C72">
        <f>'Monthly Data'!B72</f>
        <v>2019</v>
      </c>
      <c r="D72" s="18">
        <f>'Monthly Data'!F72</f>
        <v>36562187.96537865</v>
      </c>
      <c r="E72" s="10">
        <f t="shared" ca="1" si="7"/>
        <v>390.8187460098469</v>
      </c>
      <c r="F72" s="10">
        <f t="shared" ca="1" si="7"/>
        <v>0</v>
      </c>
      <c r="G72" s="98">
        <f>'Monthly Data'!AG72</f>
        <v>491.92083333333318</v>
      </c>
      <c r="H72" s="98">
        <f>'Monthly Data'!AB72</f>
        <v>0</v>
      </c>
      <c r="I72">
        <f>'Monthly Data'!BO72</f>
        <v>30</v>
      </c>
      <c r="J72">
        <f>'Monthly Data'!BS72</f>
        <v>0</v>
      </c>
      <c r="K72">
        <f>'Monthly Data'!BK72</f>
        <v>1</v>
      </c>
      <c r="M72" s="17"/>
      <c r="N72" s="17">
        <f t="shared" ca="1" si="8"/>
        <v>-2524442.755437166</v>
      </c>
      <c r="O72" s="17">
        <f t="shared" ca="1" si="9"/>
        <v>0</v>
      </c>
      <c r="P72" s="17"/>
      <c r="Q72" s="17"/>
      <c r="R72" s="17"/>
      <c r="S72" s="17">
        <f t="shared" ca="1" si="10"/>
        <v>34037745.209941484</v>
      </c>
    </row>
    <row r="73" spans="1:19" x14ac:dyDescent="0.2">
      <c r="A73" s="28">
        <f>'Monthly Data'!A73</f>
        <v>43800</v>
      </c>
      <c r="B73">
        <f>'Monthly Data'!C73</f>
        <v>12</v>
      </c>
      <c r="C73">
        <f>'Monthly Data'!B73</f>
        <v>2019</v>
      </c>
      <c r="D73" s="18">
        <f>'Monthly Data'!F73</f>
        <v>40960320.168953083</v>
      </c>
      <c r="E73" s="10">
        <f t="shared" ca="1" si="7"/>
        <v>570.62936502461719</v>
      </c>
      <c r="F73" s="10">
        <f t="shared" ca="1" si="7"/>
        <v>0</v>
      </c>
      <c r="G73" s="98">
        <f>'Monthly Data'!AG73</f>
        <v>604.69583333333333</v>
      </c>
      <c r="H73" s="98">
        <f>'Monthly Data'!AB73</f>
        <v>0</v>
      </c>
      <c r="I73">
        <f>'Monthly Data'!BO73</f>
        <v>31</v>
      </c>
      <c r="J73">
        <f>'Monthly Data'!BS73</f>
        <v>0</v>
      </c>
      <c r="K73">
        <f>'Monthly Data'!BK73</f>
        <v>0</v>
      </c>
      <c r="M73" s="17"/>
      <c r="N73" s="17">
        <f t="shared" ca="1" si="8"/>
        <v>-850613.98238105932</v>
      </c>
      <c r="O73" s="17">
        <f t="shared" ca="1" si="9"/>
        <v>0</v>
      </c>
      <c r="P73" s="17"/>
      <c r="Q73" s="17"/>
      <c r="R73" s="17"/>
      <c r="S73" s="17">
        <f t="shared" ca="1" si="10"/>
        <v>40109706.186572023</v>
      </c>
    </row>
    <row r="74" spans="1:19" x14ac:dyDescent="0.2">
      <c r="A74" s="28">
        <f>'Monthly Data'!A74</f>
        <v>43831</v>
      </c>
      <c r="B74">
        <f>'Monthly Data'!C74</f>
        <v>1</v>
      </c>
      <c r="C74">
        <f>'Monthly Data'!B74</f>
        <v>2020</v>
      </c>
      <c r="D74" s="18">
        <f>'Monthly Data'!F74</f>
        <v>41114550.962867439</v>
      </c>
      <c r="E74" s="10">
        <f t="shared" ca="1" si="7"/>
        <v>728.68367523535153</v>
      </c>
      <c r="F74" s="10">
        <f t="shared" ca="1" si="7"/>
        <v>0</v>
      </c>
      <c r="G74" s="98">
        <f>'Monthly Data'!AG74</f>
        <v>622.02637558837841</v>
      </c>
      <c r="H74" s="98">
        <f>'Monthly Data'!AB74</f>
        <v>0</v>
      </c>
      <c r="I74">
        <f>'Monthly Data'!BO74</f>
        <v>31</v>
      </c>
      <c r="J74">
        <f>'Monthly Data'!BS74</f>
        <v>0</v>
      </c>
      <c r="K74">
        <f>'Monthly Data'!BK74</f>
        <v>0</v>
      </c>
      <c r="M74" s="17"/>
      <c r="N74" s="17">
        <f t="shared" ca="1" si="8"/>
        <v>2663152.2111585997</v>
      </c>
      <c r="O74" s="17">
        <f t="shared" ca="1" si="9"/>
        <v>0</v>
      </c>
      <c r="P74" s="17"/>
      <c r="Q74" s="17"/>
      <c r="R74" s="17"/>
      <c r="S74" s="17">
        <f t="shared" ca="1" si="10"/>
        <v>43777703.174026042</v>
      </c>
    </row>
    <row r="75" spans="1:19" x14ac:dyDescent="0.2">
      <c r="A75" s="28">
        <f>'Monthly Data'!A75</f>
        <v>43862</v>
      </c>
      <c r="B75">
        <f>'Monthly Data'!C75</f>
        <v>2</v>
      </c>
      <c r="C75">
        <f>'Monthly Data'!B75</f>
        <v>2020</v>
      </c>
      <c r="D75" s="18">
        <f>'Monthly Data'!F75</f>
        <v>37817384.928010598</v>
      </c>
      <c r="E75" s="10">
        <f t="shared" ca="1" si="7"/>
        <v>655.75083333333328</v>
      </c>
      <c r="F75" s="10">
        <f t="shared" ca="1" si="7"/>
        <v>0</v>
      </c>
      <c r="G75" s="98">
        <f>'Monthly Data'!AG75</f>
        <v>619.21666666666658</v>
      </c>
      <c r="H75" s="98">
        <f>'Monthly Data'!AB75</f>
        <v>0</v>
      </c>
      <c r="I75">
        <f>'Monthly Data'!BO75</f>
        <v>29</v>
      </c>
      <c r="J75">
        <f>'Monthly Data'!BS75</f>
        <v>0</v>
      </c>
      <c r="K75">
        <f>'Monthly Data'!BK75</f>
        <v>0</v>
      </c>
      <c r="M75" s="17"/>
      <c r="N75" s="17">
        <f t="shared" ca="1" si="8"/>
        <v>912230.54646247486</v>
      </c>
      <c r="O75" s="17">
        <f t="shared" ca="1" si="9"/>
        <v>0</v>
      </c>
      <c r="P75" s="17"/>
      <c r="Q75" s="17"/>
      <c r="R75" s="17"/>
      <c r="S75" s="17">
        <f t="shared" ca="1" si="10"/>
        <v>38729615.474473074</v>
      </c>
    </row>
    <row r="76" spans="1:19" x14ac:dyDescent="0.2">
      <c r="A76" s="28">
        <f>'Monthly Data'!A76</f>
        <v>43891</v>
      </c>
      <c r="B76">
        <f>'Monthly Data'!C76</f>
        <v>3</v>
      </c>
      <c r="C76">
        <f>'Monthly Data'!B76</f>
        <v>2020</v>
      </c>
      <c r="D76" s="18">
        <f>'Monthly Data'!F76</f>
        <v>36840381.413153768</v>
      </c>
      <c r="E76" s="10">
        <f t="shared" ca="1" si="7"/>
        <v>531.1185376765136</v>
      </c>
      <c r="F76" s="10">
        <f t="shared" ca="1" si="7"/>
        <v>0</v>
      </c>
      <c r="G76" s="98">
        <f>'Monthly Data'!AG76</f>
        <v>451.14720892171192</v>
      </c>
      <c r="H76" s="98">
        <f>'Monthly Data'!AB76</f>
        <v>0</v>
      </c>
      <c r="I76">
        <f>'Monthly Data'!BO76</f>
        <v>31</v>
      </c>
      <c r="J76">
        <f>'Monthly Data'!BS76</f>
        <v>0.5</v>
      </c>
      <c r="K76">
        <f>'Monthly Data'!BK76</f>
        <v>1</v>
      </c>
      <c r="M76" s="17"/>
      <c r="N76" s="17">
        <f t="shared" ca="1" si="8"/>
        <v>1996823.6745874293</v>
      </c>
      <c r="O76" s="17">
        <f t="shared" ca="1" si="9"/>
        <v>0</v>
      </c>
      <c r="P76" s="17"/>
      <c r="Q76" s="17"/>
      <c r="R76" s="17"/>
      <c r="S76" s="17">
        <f t="shared" ca="1" si="10"/>
        <v>38837205.087741196</v>
      </c>
    </row>
    <row r="77" spans="1:19" x14ac:dyDescent="0.2">
      <c r="A77" s="28">
        <f>'Monthly Data'!A77</f>
        <v>43922</v>
      </c>
      <c r="B77">
        <f>'Monthly Data'!C77</f>
        <v>4</v>
      </c>
      <c r="C77">
        <f>'Monthly Data'!B77</f>
        <v>2020</v>
      </c>
      <c r="D77" s="18">
        <f>'Monthly Data'!F77</f>
        <v>32323910.638296925</v>
      </c>
      <c r="E77" s="10">
        <f t="shared" ca="1" si="7"/>
        <v>291.21791666666667</v>
      </c>
      <c r="F77" s="10">
        <f t="shared" ca="1" si="7"/>
        <v>0</v>
      </c>
      <c r="G77" s="98">
        <f>'Monthly Data'!AG77</f>
        <v>299.53541666666661</v>
      </c>
      <c r="H77" s="98">
        <f>'Monthly Data'!AB77</f>
        <v>0</v>
      </c>
      <c r="I77">
        <f>'Monthly Data'!BO77</f>
        <v>30</v>
      </c>
      <c r="J77">
        <f>'Monthly Data'!BS77</f>
        <v>1</v>
      </c>
      <c r="K77">
        <f>'Monthly Data'!BK77</f>
        <v>1</v>
      </c>
      <c r="M77" s="17"/>
      <c r="N77" s="17">
        <f t="shared" ca="1" si="8"/>
        <v>-207681.69257639852</v>
      </c>
      <c r="O77" s="17">
        <f t="shared" ca="1" si="9"/>
        <v>0</v>
      </c>
      <c r="P77" s="17"/>
      <c r="Q77" s="17"/>
      <c r="R77" s="17"/>
      <c r="S77" s="17">
        <f t="shared" ca="1" si="10"/>
        <v>32116228.945720527</v>
      </c>
    </row>
    <row r="78" spans="1:19" x14ac:dyDescent="0.2">
      <c r="A78" s="28">
        <f>'Monthly Data'!A78</f>
        <v>43952</v>
      </c>
      <c r="B78">
        <f>'Monthly Data'!C78</f>
        <v>5</v>
      </c>
      <c r="C78">
        <f>'Monthly Data'!B78</f>
        <v>2020</v>
      </c>
      <c r="D78" s="18">
        <f>'Monthly Data'!F78</f>
        <v>29728529.533440087</v>
      </c>
      <c r="E78" s="10">
        <f t="shared" ca="1" si="7"/>
        <v>76.006595892171191</v>
      </c>
      <c r="F78" s="10">
        <f t="shared" ca="1" si="7"/>
        <v>9.6293749999999996</v>
      </c>
      <c r="G78" s="98">
        <f>'Monthly Data'!AG78</f>
        <v>140.3354166666667</v>
      </c>
      <c r="H78" s="98">
        <f>'Monthly Data'!AB78</f>
        <v>18.945833333333326</v>
      </c>
      <c r="I78">
        <f>'Monthly Data'!BO78</f>
        <v>31</v>
      </c>
      <c r="J78">
        <f>'Monthly Data'!BS78</f>
        <v>1</v>
      </c>
      <c r="K78">
        <f>'Monthly Data'!BK78</f>
        <v>1</v>
      </c>
      <c r="M78" s="17"/>
      <c r="N78" s="17">
        <f t="shared" ca="1" si="8"/>
        <v>-1606242.0655114055</v>
      </c>
      <c r="O78" s="17">
        <f t="shared" ca="1" si="9"/>
        <v>-490622.18594662234</v>
      </c>
      <c r="P78" s="17"/>
      <c r="Q78" s="17"/>
      <c r="R78" s="17"/>
      <c r="S78" s="17">
        <f t="shared" ca="1" si="10"/>
        <v>27631665.281982061</v>
      </c>
    </row>
    <row r="79" spans="1:19" x14ac:dyDescent="0.2">
      <c r="A79" s="28">
        <f>'Monthly Data'!A79</f>
        <v>43983</v>
      </c>
      <c r="B79">
        <f>'Monthly Data'!C79</f>
        <v>6</v>
      </c>
      <c r="C79">
        <f>'Monthly Data'!B79</f>
        <v>2020</v>
      </c>
      <c r="D79" s="18">
        <f>'Monthly Data'!F79</f>
        <v>29557827.458583251</v>
      </c>
      <c r="E79" s="10">
        <f t="shared" ref="E79:F94" ca="1" si="11">E67</f>
        <v>4.2034708921711843</v>
      </c>
      <c r="F79" s="10">
        <f t="shared" ca="1" si="11"/>
        <v>25.077154107828811</v>
      </c>
      <c r="G79" s="98">
        <f>'Monthly Data'!AG79</f>
        <v>5.8562500000000046</v>
      </c>
      <c r="H79" s="98">
        <f>'Monthly Data'!AB79</f>
        <v>43.943750000000009</v>
      </c>
      <c r="I79">
        <f>'Monthly Data'!BO79</f>
        <v>30</v>
      </c>
      <c r="J79">
        <f>'Monthly Data'!BS79</f>
        <v>1</v>
      </c>
      <c r="K79">
        <f>'Monthly Data'!BK79</f>
        <v>0</v>
      </c>
      <c r="M79" s="17"/>
      <c r="N79" s="17">
        <f t="shared" ca="1" si="8"/>
        <v>-41268.645935533736</v>
      </c>
      <c r="O79" s="17">
        <f t="shared" ca="1" si="9"/>
        <v>-993550.3586025025</v>
      </c>
      <c r="P79" s="17"/>
      <c r="Q79" s="17"/>
      <c r="R79" s="17"/>
      <c r="S79" s="17">
        <f t="shared" ca="1" si="10"/>
        <v>28523008.454045214</v>
      </c>
    </row>
    <row r="80" spans="1:19" x14ac:dyDescent="0.2">
      <c r="A80" s="28">
        <f>'Monthly Data'!A80</f>
        <v>44013</v>
      </c>
      <c r="B80">
        <f>'Monthly Data'!C80</f>
        <v>7</v>
      </c>
      <c r="C80">
        <f>'Monthly Data'!B80</f>
        <v>2020</v>
      </c>
      <c r="D80" s="18">
        <f>'Monthly Data'!F80</f>
        <v>33373151.203726415</v>
      </c>
      <c r="E80" s="10">
        <f t="shared" ca="1" si="11"/>
        <v>0</v>
      </c>
      <c r="F80" s="10">
        <f t="shared" ca="1" si="11"/>
        <v>56.475141548990976</v>
      </c>
      <c r="G80" s="98">
        <f>'Monthly Data'!AG80</f>
        <v>0</v>
      </c>
      <c r="H80" s="98">
        <f>'Monthly Data'!AB80</f>
        <v>94.325000000000017</v>
      </c>
      <c r="I80">
        <f>'Monthly Data'!BO80</f>
        <v>31</v>
      </c>
      <c r="J80">
        <f>'Monthly Data'!BS80</f>
        <v>1</v>
      </c>
      <c r="K80">
        <f>'Monthly Data'!BK80</f>
        <v>0</v>
      </c>
      <c r="M80" s="17"/>
      <c r="N80" s="17">
        <f t="shared" ca="1" si="8"/>
        <v>0</v>
      </c>
      <c r="O80" s="17">
        <f t="shared" ca="1" si="9"/>
        <v>-1993244.6028940869</v>
      </c>
      <c r="P80" s="17"/>
      <c r="Q80" s="17"/>
      <c r="R80" s="17"/>
      <c r="S80" s="17">
        <f t="shared" ca="1" si="10"/>
        <v>31379906.600832328</v>
      </c>
    </row>
    <row r="81" spans="1:19" x14ac:dyDescent="0.2">
      <c r="A81" s="28">
        <f>'Monthly Data'!A81</f>
        <v>44044</v>
      </c>
      <c r="B81">
        <f>'Monthly Data'!C81</f>
        <v>8</v>
      </c>
      <c r="C81">
        <f>'Monthly Data'!B81</f>
        <v>2020</v>
      </c>
      <c r="D81" s="18">
        <f>'Monthly Data'!F81</f>
        <v>29693676.668869577</v>
      </c>
      <c r="E81" s="10">
        <f t="shared" ca="1" si="11"/>
        <v>0.73208333333333309</v>
      </c>
      <c r="F81" s="10">
        <f t="shared" ca="1" si="11"/>
        <v>35.296250000000008</v>
      </c>
      <c r="G81" s="98">
        <f>'Monthly Data'!AG81</f>
        <v>0.56666666666666465</v>
      </c>
      <c r="H81" s="98">
        <f>'Monthly Data'!AB81</f>
        <v>37.895833333333343</v>
      </c>
      <c r="I81">
        <f>'Monthly Data'!BO81</f>
        <v>31</v>
      </c>
      <c r="J81">
        <f>'Monthly Data'!BS81</f>
        <v>1</v>
      </c>
      <c r="K81">
        <f>'Monthly Data'!BK81</f>
        <v>0</v>
      </c>
      <c r="M81" s="17"/>
      <c r="N81" s="17">
        <f t="shared" ca="1" si="8"/>
        <v>4130.3292231655996</v>
      </c>
      <c r="O81" s="17">
        <f t="shared" ca="1" si="9"/>
        <v>-136898.9386221061</v>
      </c>
      <c r="P81" s="17"/>
      <c r="Q81" s="17"/>
      <c r="R81" s="17"/>
      <c r="S81" s="17">
        <f t="shared" ca="1" si="10"/>
        <v>29560908.059470639</v>
      </c>
    </row>
    <row r="82" spans="1:19" x14ac:dyDescent="0.2">
      <c r="A82" s="28">
        <f>'Monthly Data'!A82</f>
        <v>44075</v>
      </c>
      <c r="B82">
        <f>'Monthly Data'!C82</f>
        <v>9</v>
      </c>
      <c r="C82">
        <f>'Monthly Data'!B82</f>
        <v>2020</v>
      </c>
      <c r="D82" s="18">
        <f>'Monthly Data'!F82</f>
        <v>25944890.22401274</v>
      </c>
      <c r="E82" s="10">
        <f t="shared" ca="1" si="11"/>
        <v>26.6509001176757</v>
      </c>
      <c r="F82" s="10">
        <f t="shared" ca="1" si="11"/>
        <v>11.128958333333333</v>
      </c>
      <c r="G82" s="98">
        <f>'Monthly Data'!AG82</f>
        <v>45.793042255045179</v>
      </c>
      <c r="H82" s="98">
        <f>'Monthly Data'!AB82</f>
        <v>0</v>
      </c>
      <c r="I82">
        <f>'Monthly Data'!BO82</f>
        <v>30</v>
      </c>
      <c r="J82">
        <f>'Monthly Data'!BS82</f>
        <v>1</v>
      </c>
      <c r="K82">
        <f>'Monthly Data'!BK82</f>
        <v>1</v>
      </c>
      <c r="M82" s="17"/>
      <c r="N82" s="17">
        <f t="shared" ca="1" si="8"/>
        <v>-477964.83061339607</v>
      </c>
      <c r="O82" s="17">
        <f t="shared" ca="1" si="9"/>
        <v>586071.83861630713</v>
      </c>
      <c r="P82" s="17"/>
      <c r="Q82" s="17"/>
      <c r="R82" s="17"/>
      <c r="S82" s="17">
        <f t="shared" ca="1" si="10"/>
        <v>26052997.232015651</v>
      </c>
    </row>
    <row r="83" spans="1:19" x14ac:dyDescent="0.2">
      <c r="A83" s="28">
        <f>'Monthly Data'!A83</f>
        <v>44105</v>
      </c>
      <c r="B83">
        <f>'Monthly Data'!C83</f>
        <v>10</v>
      </c>
      <c r="C83">
        <f>'Monthly Data'!B83</f>
        <v>2020</v>
      </c>
      <c r="D83" s="18">
        <f>'Monthly Data'!F83</f>
        <v>30180388.669155903</v>
      </c>
      <c r="E83" s="10">
        <f t="shared" ca="1" si="11"/>
        <v>177.51367324027484</v>
      </c>
      <c r="F83" s="10">
        <f t="shared" ca="1" si="11"/>
        <v>0.44687499999999963</v>
      </c>
      <c r="G83" s="98">
        <f>'Monthly Data'!AG83</f>
        <v>257.96041666666662</v>
      </c>
      <c r="H83" s="98">
        <f>'Monthly Data'!AB83</f>
        <v>0</v>
      </c>
      <c r="I83">
        <f>'Monthly Data'!BO83</f>
        <v>31</v>
      </c>
      <c r="J83">
        <f>'Monthly Data'!BS83</f>
        <v>1</v>
      </c>
      <c r="K83">
        <f>'Monthly Data'!BK83</f>
        <v>1</v>
      </c>
      <c r="M83" s="17"/>
      <c r="N83" s="17">
        <f t="shared" ca="1" si="8"/>
        <v>-2008694.419843995</v>
      </c>
      <c r="O83" s="17">
        <f t="shared" ca="1" si="9"/>
        <v>23533.276434077346</v>
      </c>
      <c r="P83" s="17"/>
      <c r="Q83" s="17"/>
      <c r="R83" s="17"/>
      <c r="S83" s="17">
        <f t="shared" ca="1" si="10"/>
        <v>28195227.525745984</v>
      </c>
    </row>
    <row r="84" spans="1:19" x14ac:dyDescent="0.2">
      <c r="A84" s="28">
        <f>'Monthly Data'!A84</f>
        <v>44136</v>
      </c>
      <c r="B84">
        <f>'Monthly Data'!C84</f>
        <v>11</v>
      </c>
      <c r="C84">
        <f>'Monthly Data'!B84</f>
        <v>2020</v>
      </c>
      <c r="D84" s="18">
        <f>'Monthly Data'!F84</f>
        <v>33811578.484299064</v>
      </c>
      <c r="E84" s="10">
        <f t="shared" ca="1" si="11"/>
        <v>390.8187460098469</v>
      </c>
      <c r="F84" s="10">
        <f t="shared" ca="1" si="11"/>
        <v>0</v>
      </c>
      <c r="G84" s="98">
        <f>'Monthly Data'!AG84</f>
        <v>317.25833333333338</v>
      </c>
      <c r="H84" s="98">
        <f>'Monthly Data'!AB84</f>
        <v>0</v>
      </c>
      <c r="I84">
        <f>'Monthly Data'!BO84</f>
        <v>30</v>
      </c>
      <c r="J84">
        <f>'Monthly Data'!BS84</f>
        <v>1</v>
      </c>
      <c r="K84">
        <f>'Monthly Data'!BK84</f>
        <v>1</v>
      </c>
      <c r="M84" s="17"/>
      <c r="N84" s="17">
        <f t="shared" ca="1" si="8"/>
        <v>1836747.9424438598</v>
      </c>
      <c r="O84" s="17">
        <f t="shared" ca="1" si="9"/>
        <v>0</v>
      </c>
      <c r="P84" s="17"/>
      <c r="Q84" s="17"/>
      <c r="R84" s="17"/>
      <c r="S84" s="17">
        <f t="shared" ca="1" si="10"/>
        <v>35648326.426742926</v>
      </c>
    </row>
    <row r="85" spans="1:19" x14ac:dyDescent="0.2">
      <c r="A85" s="28">
        <f>'Monthly Data'!A85</f>
        <v>44166</v>
      </c>
      <c r="B85">
        <f>'Monthly Data'!C85</f>
        <v>12</v>
      </c>
      <c r="C85">
        <f>'Monthly Data'!B85</f>
        <v>2020</v>
      </c>
      <c r="D85" s="18">
        <f>'Monthly Data'!F85</f>
        <v>40838337.479442224</v>
      </c>
      <c r="E85" s="10">
        <f t="shared" ca="1" si="11"/>
        <v>570.62936502461719</v>
      </c>
      <c r="F85" s="10">
        <f t="shared" ca="1" si="11"/>
        <v>0</v>
      </c>
      <c r="G85" s="98">
        <f>'Monthly Data'!AG85</f>
        <v>566.51387558837848</v>
      </c>
      <c r="H85" s="98">
        <f>'Monthly Data'!AB85</f>
        <v>0</v>
      </c>
      <c r="I85">
        <f>'Monthly Data'!BO85</f>
        <v>31</v>
      </c>
      <c r="J85">
        <f>'Monthly Data'!BS85</f>
        <v>1</v>
      </c>
      <c r="K85">
        <f>'Monthly Data'!BK85</f>
        <v>0</v>
      </c>
      <c r="M85" s="17"/>
      <c r="N85" s="17">
        <f t="shared" ca="1" si="8"/>
        <v>102760.66268690694</v>
      </c>
      <c r="O85" s="17">
        <f t="shared" ca="1" si="9"/>
        <v>0</v>
      </c>
      <c r="P85" s="17"/>
      <c r="Q85" s="17"/>
      <c r="R85" s="17"/>
      <c r="S85" s="17">
        <f t="shared" ca="1" si="10"/>
        <v>40941098.142129131</v>
      </c>
    </row>
    <row r="86" spans="1:19" x14ac:dyDescent="0.2">
      <c r="A86" s="28">
        <f>'Monthly Data'!A86</f>
        <v>44197</v>
      </c>
      <c r="B86">
        <f>'Monthly Data'!C86</f>
        <v>1</v>
      </c>
      <c r="C86">
        <f>'Monthly Data'!B86</f>
        <v>2021</v>
      </c>
      <c r="D86" s="18">
        <f>'Monthly Data'!F86</f>
        <v>42530208.31538289</v>
      </c>
      <c r="E86" s="10">
        <f t="shared" ca="1" si="11"/>
        <v>728.68367523535153</v>
      </c>
      <c r="F86" s="10">
        <f t="shared" ca="1" si="11"/>
        <v>0</v>
      </c>
      <c r="G86" s="98">
        <f>'Monthly Data'!AG86</f>
        <v>637.9242922550452</v>
      </c>
      <c r="H86" s="98">
        <f>'Monthly Data'!AB86</f>
        <v>0</v>
      </c>
      <c r="I86">
        <f>'Monthly Data'!BO86</f>
        <v>31</v>
      </c>
      <c r="J86">
        <f>'Monthly Data'!BS86</f>
        <v>0.75</v>
      </c>
      <c r="K86">
        <f>'Monthly Data'!BK86</f>
        <v>0</v>
      </c>
      <c r="M86" s="17"/>
      <c r="N86" s="17">
        <f t="shared" ca="1" si="8"/>
        <v>2266193.2401009598</v>
      </c>
      <c r="O86" s="17">
        <f t="shared" ca="1" si="9"/>
        <v>0</v>
      </c>
      <c r="P86" s="17"/>
      <c r="Q86" s="17"/>
      <c r="R86" s="17"/>
      <c r="S86" s="17">
        <f t="shared" ca="1" si="10"/>
        <v>44796401.555483848</v>
      </c>
    </row>
    <row r="87" spans="1:19" x14ac:dyDescent="0.2">
      <c r="A87" s="28">
        <f>'Monthly Data'!A87</f>
        <v>44228</v>
      </c>
      <c r="B87">
        <f>'Monthly Data'!C87</f>
        <v>2</v>
      </c>
      <c r="C87">
        <f>'Monthly Data'!B87</f>
        <v>2021</v>
      </c>
      <c r="D87" s="18">
        <f>'Monthly Data'!F87</f>
        <v>40231756.483946629</v>
      </c>
      <c r="E87" s="10">
        <f t="shared" ca="1" si="11"/>
        <v>655.75083333333328</v>
      </c>
      <c r="F87" s="10">
        <f t="shared" ca="1" si="11"/>
        <v>0</v>
      </c>
      <c r="G87" s="98">
        <f>'Monthly Data'!AG87</f>
        <v>639.86250000000018</v>
      </c>
      <c r="H87" s="98">
        <f>'Monthly Data'!AB87</f>
        <v>0</v>
      </c>
      <c r="I87">
        <f>'Monthly Data'!BO87</f>
        <v>28</v>
      </c>
      <c r="J87">
        <f>'Monthly Data'!BS87</f>
        <v>0.75</v>
      </c>
      <c r="K87">
        <f>'Monthly Data'!BK87</f>
        <v>0</v>
      </c>
      <c r="M87" s="17"/>
      <c r="N87" s="17">
        <f t="shared" ca="1" si="8"/>
        <v>396719.68246283778</v>
      </c>
      <c r="O87" s="17">
        <f t="shared" ca="1" si="9"/>
        <v>0</v>
      </c>
      <c r="P87" s="17"/>
      <c r="Q87" s="17"/>
      <c r="R87" s="17"/>
      <c r="S87" s="17">
        <f t="shared" ca="1" si="10"/>
        <v>40628476.16640947</v>
      </c>
    </row>
    <row r="88" spans="1:19" x14ac:dyDescent="0.2">
      <c r="A88" s="28">
        <f>'Monthly Data'!A88</f>
        <v>44256</v>
      </c>
      <c r="B88">
        <f>'Monthly Data'!C88</f>
        <v>3</v>
      </c>
      <c r="C88">
        <f>'Monthly Data'!B88</f>
        <v>2021</v>
      </c>
      <c r="D88" s="18">
        <f>'Monthly Data'!F88</f>
        <v>36730744.112510376</v>
      </c>
      <c r="E88" s="10">
        <f t="shared" ca="1" si="11"/>
        <v>531.1185376765136</v>
      </c>
      <c r="F88" s="10">
        <f t="shared" ca="1" si="11"/>
        <v>0</v>
      </c>
      <c r="G88" s="98">
        <f>'Monthly Data'!AG88</f>
        <v>442.87637558837849</v>
      </c>
      <c r="H88" s="98">
        <f>'Monthly Data'!AB88</f>
        <v>0</v>
      </c>
      <c r="I88">
        <f>'Monthly Data'!BO88</f>
        <v>31</v>
      </c>
      <c r="J88">
        <f>'Monthly Data'!BS88</f>
        <v>0.75</v>
      </c>
      <c r="K88">
        <f>'Monthly Data'!BK88</f>
        <v>1</v>
      </c>
      <c r="M88" s="17"/>
      <c r="N88" s="17">
        <f t="shared" ca="1" si="8"/>
        <v>2203340.1357457093</v>
      </c>
      <c r="O88" s="17">
        <f t="shared" ca="1" si="9"/>
        <v>0</v>
      </c>
      <c r="P88" s="17"/>
      <c r="Q88" s="17"/>
      <c r="R88" s="17"/>
      <c r="S88" s="17">
        <f t="shared" ca="1" si="10"/>
        <v>38934084.248256087</v>
      </c>
    </row>
    <row r="89" spans="1:19" x14ac:dyDescent="0.2">
      <c r="A89" s="28">
        <f>'Monthly Data'!A89</f>
        <v>44287</v>
      </c>
      <c r="B89">
        <f>'Monthly Data'!C89</f>
        <v>4</v>
      </c>
      <c r="C89">
        <f>'Monthly Data'!B89</f>
        <v>2021</v>
      </c>
      <c r="D89" s="18">
        <f>'Monthly Data'!F89</f>
        <v>29987134.981074113</v>
      </c>
      <c r="E89" s="10">
        <f t="shared" ca="1" si="11"/>
        <v>291.21791666666667</v>
      </c>
      <c r="F89" s="10">
        <f t="shared" ca="1" si="11"/>
        <v>0</v>
      </c>
      <c r="G89" s="98">
        <f>'Monthly Data'!AG89</f>
        <v>200.60624999999999</v>
      </c>
      <c r="H89" s="98">
        <f>'Monthly Data'!AB89</f>
        <v>0</v>
      </c>
      <c r="I89">
        <f>'Monthly Data'!BO89</f>
        <v>30</v>
      </c>
      <c r="J89">
        <f>'Monthly Data'!BS89</f>
        <v>0.75</v>
      </c>
      <c r="K89">
        <f>'Monthly Data'!BK89</f>
        <v>1</v>
      </c>
      <c r="M89" s="17"/>
      <c r="N89" s="17">
        <f t="shared" ca="1" si="8"/>
        <v>2262504.8753233431</v>
      </c>
      <c r="O89" s="17">
        <f t="shared" ca="1" si="9"/>
        <v>0</v>
      </c>
      <c r="P89" s="17"/>
      <c r="Q89" s="17"/>
      <c r="R89" s="17"/>
      <c r="S89" s="17">
        <f t="shared" ca="1" si="10"/>
        <v>32249639.856397457</v>
      </c>
    </row>
    <row r="90" spans="1:19" x14ac:dyDescent="0.2">
      <c r="A90" s="28">
        <f>'Monthly Data'!A90</f>
        <v>44317</v>
      </c>
      <c r="B90">
        <f>'Monthly Data'!C90</f>
        <v>5</v>
      </c>
      <c r="C90">
        <f>'Monthly Data'!B90</f>
        <v>2021</v>
      </c>
      <c r="D90" s="18">
        <f>'Monthly Data'!F90</f>
        <v>28148573.559637856</v>
      </c>
      <c r="E90" s="10">
        <f t="shared" ca="1" si="11"/>
        <v>76.006595892171191</v>
      </c>
      <c r="F90" s="10">
        <f t="shared" ca="1" si="11"/>
        <v>9.6293749999999996</v>
      </c>
      <c r="G90" s="98">
        <f>'Monthly Data'!AG90</f>
        <v>92.268749999999997</v>
      </c>
      <c r="H90" s="98">
        <f>'Monthly Data'!AB90</f>
        <v>12.579166666666673</v>
      </c>
      <c r="I90">
        <f>'Monthly Data'!BO90</f>
        <v>31</v>
      </c>
      <c r="J90">
        <f>'Monthly Data'!BS90</f>
        <v>0.75</v>
      </c>
      <c r="K90">
        <f>'Monthly Data'!BK90</f>
        <v>1</v>
      </c>
      <c r="M90" s="17"/>
      <c r="N90" s="17">
        <f t="shared" ca="1" si="8"/>
        <v>-406053.70484546362</v>
      </c>
      <c r="O90" s="17">
        <f t="shared" ca="1" si="9"/>
        <v>-155341.56691380055</v>
      </c>
      <c r="P90" s="17"/>
      <c r="Q90" s="17"/>
      <c r="R90" s="17"/>
      <c r="S90" s="17">
        <f t="shared" ca="1" si="10"/>
        <v>27587178.287878592</v>
      </c>
    </row>
    <row r="91" spans="1:19" x14ac:dyDescent="0.2">
      <c r="A91" s="28">
        <f>'Monthly Data'!A91</f>
        <v>44348</v>
      </c>
      <c r="B91">
        <f>'Monthly Data'!C91</f>
        <v>6</v>
      </c>
      <c r="C91">
        <f>'Monthly Data'!B91</f>
        <v>2021</v>
      </c>
      <c r="D91" s="18">
        <f>'Monthly Data'!F91</f>
        <v>27805602.948201597</v>
      </c>
      <c r="E91" s="10">
        <f t="shared" ca="1" si="11"/>
        <v>4.2034708921711843</v>
      </c>
      <c r="F91" s="10">
        <f t="shared" ca="1" si="11"/>
        <v>25.077154107828811</v>
      </c>
      <c r="G91" s="98">
        <f>'Monthly Data'!AG91</f>
        <v>3.3708333333333318</v>
      </c>
      <c r="H91" s="98">
        <f>'Monthly Data'!AB91</f>
        <v>25.816666666666659</v>
      </c>
      <c r="I91">
        <f>'Monthly Data'!BO91</f>
        <v>30</v>
      </c>
      <c r="J91">
        <f>'Monthly Data'!BS91</f>
        <v>0.75</v>
      </c>
      <c r="K91">
        <f>'Monthly Data'!BK91</f>
        <v>0</v>
      </c>
      <c r="M91" s="17"/>
      <c r="N91" s="17">
        <f t="shared" ca="1" si="8"/>
        <v>20790.33093142496</v>
      </c>
      <c r="O91" s="17">
        <f t="shared" ca="1" si="9"/>
        <v>-38944.119661209486</v>
      </c>
      <c r="P91" s="17"/>
      <c r="Q91" s="17"/>
      <c r="R91" s="17"/>
      <c r="S91" s="17">
        <f t="shared" ca="1" si="10"/>
        <v>27787449.159471814</v>
      </c>
    </row>
    <row r="92" spans="1:19" x14ac:dyDescent="0.2">
      <c r="A92" s="28">
        <f>'Monthly Data'!A92</f>
        <v>44378</v>
      </c>
      <c r="B92">
        <f>'Monthly Data'!C92</f>
        <v>7</v>
      </c>
      <c r="C92">
        <f>'Monthly Data'!B92</f>
        <v>2021</v>
      </c>
      <c r="D92" s="18">
        <f>'Monthly Data'!F92</f>
        <v>29964928.846765336</v>
      </c>
      <c r="E92" s="10">
        <f t="shared" ca="1" si="11"/>
        <v>0</v>
      </c>
      <c r="F92" s="10">
        <f t="shared" ca="1" si="11"/>
        <v>56.475141548990976</v>
      </c>
      <c r="G92" s="98">
        <f>'Monthly Data'!AG92</f>
        <v>0</v>
      </c>
      <c r="H92" s="98">
        <f>'Monthly Data'!AB92</f>
        <v>41.341666666666697</v>
      </c>
      <c r="I92">
        <f>'Monthly Data'!BO92</f>
        <v>31</v>
      </c>
      <c r="J92">
        <f>'Monthly Data'!BS92</f>
        <v>0.75</v>
      </c>
      <c r="K92">
        <f>'Monthly Data'!BK92</f>
        <v>0</v>
      </c>
      <c r="M92" s="17"/>
      <c r="N92" s="17">
        <f t="shared" ca="1" si="8"/>
        <v>0</v>
      </c>
      <c r="O92" s="17">
        <f t="shared" ca="1" si="9"/>
        <v>796957.19790523907</v>
      </c>
      <c r="P92" s="17"/>
      <c r="Q92" s="17"/>
      <c r="R92" s="17"/>
      <c r="S92" s="17">
        <f t="shared" ca="1" si="10"/>
        <v>30761886.044670574</v>
      </c>
    </row>
    <row r="93" spans="1:19" x14ac:dyDescent="0.2">
      <c r="A93" s="28">
        <f>'Monthly Data'!A93</f>
        <v>44409</v>
      </c>
      <c r="B93">
        <f>'Monthly Data'!C93</f>
        <v>8</v>
      </c>
      <c r="C93">
        <f>'Monthly Data'!B93</f>
        <v>2021</v>
      </c>
      <c r="D93" s="18">
        <f>'Monthly Data'!F93</f>
        <v>30815942.315329079</v>
      </c>
      <c r="E93" s="10">
        <f t="shared" ca="1" si="11"/>
        <v>0.73208333333333309</v>
      </c>
      <c r="F93" s="10">
        <f t="shared" ca="1" si="11"/>
        <v>35.296250000000008</v>
      </c>
      <c r="G93" s="98">
        <f>'Monthly Data'!AG93</f>
        <v>0</v>
      </c>
      <c r="H93" s="98">
        <f>'Monthly Data'!AB93</f>
        <v>69.433333333333337</v>
      </c>
      <c r="I93">
        <f>'Monthly Data'!BO93</f>
        <v>31</v>
      </c>
      <c r="J93">
        <f>'Monthly Data'!BS93</f>
        <v>0.75</v>
      </c>
      <c r="K93">
        <f>'Monthly Data'!BK93</f>
        <v>0</v>
      </c>
      <c r="M93" s="17"/>
      <c r="N93" s="17">
        <f t="shared" ca="1" si="8"/>
        <v>18279.567871793144</v>
      </c>
      <c r="O93" s="17">
        <f t="shared" ca="1" si="9"/>
        <v>-1797722.8950746148</v>
      </c>
      <c r="P93" s="17"/>
      <c r="Q93" s="17"/>
      <c r="R93" s="17"/>
      <c r="S93" s="17">
        <f t="shared" ca="1" si="10"/>
        <v>29036498.988126256</v>
      </c>
    </row>
    <row r="94" spans="1:19" x14ac:dyDescent="0.2">
      <c r="A94" s="28">
        <f>'Monthly Data'!A94</f>
        <v>44440</v>
      </c>
      <c r="B94">
        <f>'Monthly Data'!C94</f>
        <v>9</v>
      </c>
      <c r="C94">
        <f>'Monthly Data'!B94</f>
        <v>2021</v>
      </c>
      <c r="D94" s="18">
        <f>'Monthly Data'!F94</f>
        <v>25926319.283892822</v>
      </c>
      <c r="E94" s="10">
        <f t="shared" ca="1" si="11"/>
        <v>26.6509001176757</v>
      </c>
      <c r="F94" s="10">
        <f t="shared" ca="1" si="11"/>
        <v>11.128958333333333</v>
      </c>
      <c r="G94" s="98">
        <f>'Monthly Data'!AG94</f>
        <v>20.447916666666664</v>
      </c>
      <c r="H94" s="98">
        <f>'Monthly Data'!AB94</f>
        <v>0.25416666666666288</v>
      </c>
      <c r="I94">
        <f>'Monthly Data'!BO94</f>
        <v>30</v>
      </c>
      <c r="J94">
        <f>'Monthly Data'!BS94</f>
        <v>0.75</v>
      </c>
      <c r="K94">
        <f>'Monthly Data'!BK94</f>
        <v>1</v>
      </c>
      <c r="M94" s="17"/>
      <c r="N94" s="17">
        <f t="shared" ca="1" si="8"/>
        <v>154883.81149731961</v>
      </c>
      <c r="O94" s="17">
        <f t="shared" ca="1" si="9"/>
        <v>572686.94479366194</v>
      </c>
      <c r="P94" s="17"/>
      <c r="Q94" s="17"/>
      <c r="R94" s="17"/>
      <c r="S94" s="17">
        <f t="shared" ca="1" si="10"/>
        <v>26653890.040183805</v>
      </c>
    </row>
    <row r="95" spans="1:19" x14ac:dyDescent="0.2">
      <c r="A95" s="28">
        <f>'Monthly Data'!A95</f>
        <v>44470</v>
      </c>
      <c r="B95">
        <f>'Monthly Data'!C95</f>
        <v>10</v>
      </c>
      <c r="C95">
        <f>'Monthly Data'!B95</f>
        <v>2021</v>
      </c>
      <c r="D95" s="18">
        <f>'Monthly Data'!F95</f>
        <v>27354078.152456563</v>
      </c>
      <c r="E95" s="10">
        <f t="shared" ref="E95:F110" ca="1" si="12">E83</f>
        <v>177.51367324027484</v>
      </c>
      <c r="F95" s="10">
        <f t="shared" ca="1" si="12"/>
        <v>0.44687499999999963</v>
      </c>
      <c r="G95" s="98">
        <f>'Monthly Data'!AG95</f>
        <v>91.706250000000011</v>
      </c>
      <c r="H95" s="98">
        <f>'Monthly Data'!AB95</f>
        <v>0</v>
      </c>
      <c r="I95">
        <f>'Monthly Data'!BO95</f>
        <v>31</v>
      </c>
      <c r="J95">
        <f>'Monthly Data'!BS95</f>
        <v>0.75</v>
      </c>
      <c r="K95">
        <f>'Monthly Data'!BK95</f>
        <v>1</v>
      </c>
      <c r="M95" s="17"/>
      <c r="N95" s="17">
        <f t="shared" ca="1" si="8"/>
        <v>2142546.5457360749</v>
      </c>
      <c r="O95" s="17">
        <f t="shared" ca="1" si="9"/>
        <v>23533.276434077346</v>
      </c>
      <c r="P95" s="17"/>
      <c r="Q95" s="17"/>
      <c r="R95" s="17"/>
      <c r="S95" s="17">
        <f t="shared" ca="1" si="10"/>
        <v>29520157.974626716</v>
      </c>
    </row>
    <row r="96" spans="1:19" x14ac:dyDescent="0.2">
      <c r="A96" s="28">
        <f>'Monthly Data'!A96</f>
        <v>44501</v>
      </c>
      <c r="B96">
        <f>'Monthly Data'!C96</f>
        <v>11</v>
      </c>
      <c r="C96">
        <f>'Monthly Data'!B96</f>
        <v>2021</v>
      </c>
      <c r="D96" s="18">
        <f>'Monthly Data'!F96</f>
        <v>32953447.321020301</v>
      </c>
      <c r="E96" s="10">
        <f t="shared" ca="1" si="12"/>
        <v>390.8187460098469</v>
      </c>
      <c r="F96" s="10">
        <f t="shared" ca="1" si="12"/>
        <v>0</v>
      </c>
      <c r="G96" s="98">
        <f>'Monthly Data'!AG96</f>
        <v>376.3104166666667</v>
      </c>
      <c r="H96" s="98">
        <f>'Monthly Data'!AB96</f>
        <v>0</v>
      </c>
      <c r="I96">
        <f>'Monthly Data'!BO96</f>
        <v>30</v>
      </c>
      <c r="J96">
        <f>'Monthly Data'!BS96</f>
        <v>0.75</v>
      </c>
      <c r="K96">
        <f>'Monthly Data'!BK96</f>
        <v>1</v>
      </c>
      <c r="M96" s="17"/>
      <c r="N96" s="17">
        <f t="shared" ca="1" si="8"/>
        <v>362262.02518154687</v>
      </c>
      <c r="O96" s="17">
        <f t="shared" ca="1" si="9"/>
        <v>0</v>
      </c>
      <c r="P96" s="17"/>
      <c r="Q96" s="17"/>
      <c r="R96" s="17"/>
      <c r="S96" s="17">
        <f t="shared" ca="1" si="10"/>
        <v>33315709.346201848</v>
      </c>
    </row>
    <row r="97" spans="1:19" x14ac:dyDescent="0.2">
      <c r="A97" s="28">
        <f>'Monthly Data'!A97</f>
        <v>44531</v>
      </c>
      <c r="B97">
        <f>'Monthly Data'!C97</f>
        <v>12</v>
      </c>
      <c r="C97">
        <f>'Monthly Data'!B97</f>
        <v>2021</v>
      </c>
      <c r="D97" s="18">
        <f>'Monthly Data'!F97</f>
        <v>41398567.21958404</v>
      </c>
      <c r="E97" s="10">
        <f t="shared" ca="1" si="12"/>
        <v>570.62936502461719</v>
      </c>
      <c r="F97" s="10">
        <f t="shared" ca="1" si="12"/>
        <v>0</v>
      </c>
      <c r="G97" s="98">
        <f>'Monthly Data'!AG97</f>
        <v>571.20416666666665</v>
      </c>
      <c r="H97" s="98">
        <f>'Monthly Data'!AB97</f>
        <v>0</v>
      </c>
      <c r="I97">
        <f>'Monthly Data'!BO97</f>
        <v>31</v>
      </c>
      <c r="J97">
        <f>'Monthly Data'!BS97</f>
        <v>0.75</v>
      </c>
      <c r="K97">
        <f>'Monthly Data'!BK97</f>
        <v>0</v>
      </c>
      <c r="M97" s="17"/>
      <c r="N97" s="17">
        <f t="shared" ca="1" si="8"/>
        <v>-14352.362839378053</v>
      </c>
      <c r="O97" s="17">
        <f t="shared" ca="1" si="9"/>
        <v>0</v>
      </c>
      <c r="P97" s="17"/>
      <c r="Q97" s="17"/>
      <c r="R97" s="17"/>
      <c r="S97" s="17">
        <f t="shared" ca="1" si="10"/>
        <v>41384214.856744662</v>
      </c>
    </row>
    <row r="98" spans="1:19" x14ac:dyDescent="0.2">
      <c r="A98" s="28">
        <f>'Monthly Data'!A98</f>
        <v>44562</v>
      </c>
      <c r="B98">
        <f>'Monthly Data'!C98</f>
        <v>1</v>
      </c>
      <c r="C98">
        <f>'Monthly Data'!B98</f>
        <v>2022</v>
      </c>
      <c r="D98" s="18">
        <f>'Monthly Data'!F98</f>
        <v>48603336.169453375</v>
      </c>
      <c r="E98" s="10">
        <f t="shared" ca="1" si="12"/>
        <v>728.68367523535153</v>
      </c>
      <c r="F98" s="10">
        <f t="shared" ca="1" si="12"/>
        <v>0</v>
      </c>
      <c r="G98" s="98">
        <f>'Monthly Data'!AG98</f>
        <v>879.08333333333314</v>
      </c>
      <c r="H98" s="98">
        <f>'Monthly Data'!AB98</f>
        <v>0</v>
      </c>
      <c r="I98">
        <f>'Monthly Data'!BO98</f>
        <v>31</v>
      </c>
      <c r="J98">
        <f>'Monthly Data'!BS98</f>
        <v>0.5</v>
      </c>
      <c r="K98">
        <f>'Monthly Data'!BK98</f>
        <v>0</v>
      </c>
      <c r="M98" s="17"/>
      <c r="N98" s="17">
        <f t="shared" ca="1" si="8"/>
        <v>-3755365.861941773</v>
      </c>
      <c r="O98" s="17">
        <f t="shared" ca="1" si="9"/>
        <v>0</v>
      </c>
      <c r="P98" s="17"/>
      <c r="Q98" s="17"/>
      <c r="R98" s="17"/>
      <c r="S98" s="17">
        <f t="shared" ca="1" si="10"/>
        <v>44847970.307511605</v>
      </c>
    </row>
    <row r="99" spans="1:19" x14ac:dyDescent="0.2">
      <c r="A99" s="28">
        <f>'Monthly Data'!A99</f>
        <v>44593</v>
      </c>
      <c r="B99">
        <f>'Monthly Data'!C99</f>
        <v>2</v>
      </c>
      <c r="C99">
        <f>'Monthly Data'!B99</f>
        <v>2022</v>
      </c>
      <c r="D99" s="18">
        <f>'Monthly Data'!F99</f>
        <v>41341771.798382699</v>
      </c>
      <c r="E99" s="10">
        <f t="shared" ca="1" si="12"/>
        <v>655.75083333333328</v>
      </c>
      <c r="F99" s="10">
        <f t="shared" ca="1" si="12"/>
        <v>0</v>
      </c>
      <c r="G99" s="98">
        <f>'Monthly Data'!AG99</f>
        <v>683.50000000000023</v>
      </c>
      <c r="H99" s="98">
        <f>'Monthly Data'!AB99</f>
        <v>0</v>
      </c>
      <c r="I99">
        <f>'Monthly Data'!BO99</f>
        <v>28</v>
      </c>
      <c r="J99">
        <f>'Monthly Data'!BS99</f>
        <v>0.5</v>
      </c>
      <c r="K99">
        <f>'Monthly Data'!BK99</f>
        <v>0</v>
      </c>
      <c r="M99" s="17"/>
      <c r="N99" s="17">
        <f t="shared" ca="1" si="8"/>
        <v>-692875.73200096353</v>
      </c>
      <c r="O99" s="17">
        <f t="shared" ca="1" si="9"/>
        <v>0</v>
      </c>
      <c r="P99" s="17"/>
      <c r="Q99" s="17"/>
      <c r="R99" s="17"/>
      <c r="S99" s="17">
        <f t="shared" ca="1" si="10"/>
        <v>40648896.066381738</v>
      </c>
    </row>
    <row r="100" spans="1:19" x14ac:dyDescent="0.2">
      <c r="A100" s="28">
        <f>'Monthly Data'!A100</f>
        <v>44621</v>
      </c>
      <c r="B100">
        <f>'Monthly Data'!C100</f>
        <v>3</v>
      </c>
      <c r="C100">
        <f>'Monthly Data'!B100</f>
        <v>2022</v>
      </c>
      <c r="D100" s="18">
        <f>'Monthly Data'!F100</f>
        <v>39077708.027312025</v>
      </c>
      <c r="E100" s="10">
        <f t="shared" ca="1" si="12"/>
        <v>531.1185376765136</v>
      </c>
      <c r="F100" s="10">
        <f t="shared" ca="1" si="12"/>
        <v>0</v>
      </c>
      <c r="G100" s="98">
        <f>'Monthly Data'!AG100</f>
        <v>521.7680422550452</v>
      </c>
      <c r="H100" s="98">
        <f>'Monthly Data'!AB100</f>
        <v>0</v>
      </c>
      <c r="I100">
        <f>'Monthly Data'!BO100</f>
        <v>31</v>
      </c>
      <c r="J100">
        <f>'Monthly Data'!BS100</f>
        <v>0.5</v>
      </c>
      <c r="K100">
        <f>'Monthly Data'!BK100</f>
        <v>1</v>
      </c>
      <c r="M100" s="17"/>
      <c r="N100" s="17">
        <f t="shared" ca="1" si="8"/>
        <v>233474.80800221648</v>
      </c>
      <c r="O100" s="17">
        <f t="shared" ca="1" si="9"/>
        <v>0</v>
      </c>
      <c r="P100" s="17"/>
      <c r="Q100" s="17"/>
      <c r="R100" s="17"/>
      <c r="S100" s="17">
        <f t="shared" ca="1" si="10"/>
        <v>39311182.835314244</v>
      </c>
    </row>
    <row r="101" spans="1:19" x14ac:dyDescent="0.2">
      <c r="A101" s="28">
        <f>'Monthly Data'!A101</f>
        <v>44652</v>
      </c>
      <c r="B101">
        <f>'Monthly Data'!C101</f>
        <v>4</v>
      </c>
      <c r="C101">
        <f>'Monthly Data'!B101</f>
        <v>2022</v>
      </c>
      <c r="D101" s="18">
        <f>'Monthly Data'!F101</f>
        <v>31812872.776241343</v>
      </c>
      <c r="E101" s="10">
        <f t="shared" ca="1" si="12"/>
        <v>291.21791666666667</v>
      </c>
      <c r="F101" s="10">
        <f t="shared" ca="1" si="12"/>
        <v>0</v>
      </c>
      <c r="G101" s="98">
        <f>'Monthly Data'!AG101</f>
        <v>280.62291666666664</v>
      </c>
      <c r="H101" s="98">
        <f>'Monthly Data'!AB101</f>
        <v>0</v>
      </c>
      <c r="I101">
        <f>'Monthly Data'!BO101</f>
        <v>30</v>
      </c>
      <c r="J101">
        <f>'Monthly Data'!BS101</f>
        <v>0.5</v>
      </c>
      <c r="K101">
        <f>'Monthly Data'!BK101</f>
        <v>1</v>
      </c>
      <c r="M101" s="17"/>
      <c r="N101" s="17">
        <f t="shared" ca="1" si="8"/>
        <v>264549.14732154662</v>
      </c>
      <c r="O101" s="17">
        <f t="shared" ca="1" si="9"/>
        <v>0</v>
      </c>
      <c r="P101" s="17"/>
      <c r="Q101" s="17"/>
      <c r="R101" s="17"/>
      <c r="S101" s="17">
        <f t="shared" ca="1" si="10"/>
        <v>32077421.923562892</v>
      </c>
    </row>
    <row r="102" spans="1:19" x14ac:dyDescent="0.2">
      <c r="A102" s="28">
        <f>'Monthly Data'!A102</f>
        <v>44682</v>
      </c>
      <c r="B102">
        <f>'Monthly Data'!C102</f>
        <v>5</v>
      </c>
      <c r="C102">
        <f>'Monthly Data'!B102</f>
        <v>2022</v>
      </c>
      <c r="D102" s="18">
        <f>'Monthly Data'!F102</f>
        <v>27326711.455170669</v>
      </c>
      <c r="E102" s="10">
        <f t="shared" ca="1" si="12"/>
        <v>76.006595892171191</v>
      </c>
      <c r="F102" s="10">
        <f t="shared" ca="1" si="12"/>
        <v>9.6293749999999996</v>
      </c>
      <c r="G102" s="98">
        <f>'Monthly Data'!AG102</f>
        <v>38.105542255045179</v>
      </c>
      <c r="H102" s="98">
        <f>'Monthly Data'!AB102</f>
        <v>18.550000000000004</v>
      </c>
      <c r="I102">
        <f>'Monthly Data'!BO102</f>
        <v>31</v>
      </c>
      <c r="J102">
        <f>'Monthly Data'!BS102</f>
        <v>0.5</v>
      </c>
      <c r="K102">
        <f>'Monthly Data'!BK102</f>
        <v>1</v>
      </c>
      <c r="M102" s="17"/>
      <c r="N102" s="17">
        <f t="shared" ca="1" si="8"/>
        <v>946360.6816696428</v>
      </c>
      <c r="O102" s="17">
        <f t="shared" ca="1" si="9"/>
        <v>-469776.85950151947</v>
      </c>
      <c r="P102" s="17"/>
      <c r="Q102" s="17"/>
      <c r="R102" s="17"/>
      <c r="S102" s="17">
        <f t="shared" ca="1" si="10"/>
        <v>27803295.277338792</v>
      </c>
    </row>
    <row r="103" spans="1:19" x14ac:dyDescent="0.2">
      <c r="A103" s="28">
        <f>'Monthly Data'!A103</f>
        <v>44713</v>
      </c>
      <c r="B103">
        <f>'Monthly Data'!C103</f>
        <v>6</v>
      </c>
      <c r="C103">
        <f>'Monthly Data'!B103</f>
        <v>2022</v>
      </c>
      <c r="D103" s="18">
        <f>'Monthly Data'!F103</f>
        <v>26661606.264099989</v>
      </c>
      <c r="E103" s="10">
        <f t="shared" ca="1" si="12"/>
        <v>4.2034708921711843</v>
      </c>
      <c r="F103" s="10">
        <f t="shared" ca="1" si="12"/>
        <v>25.077154107828811</v>
      </c>
      <c r="G103" s="98">
        <f>'Monthly Data'!AG103</f>
        <v>0.94999999999999929</v>
      </c>
      <c r="H103" s="98">
        <f>'Monthly Data'!AB103</f>
        <v>24.42499999999999</v>
      </c>
      <c r="I103">
        <f>'Monthly Data'!BO103</f>
        <v>30</v>
      </c>
      <c r="J103">
        <f>'Monthly Data'!BS103</f>
        <v>0.5</v>
      </c>
      <c r="K103">
        <f>'Monthly Data'!BK103</f>
        <v>0</v>
      </c>
      <c r="M103" s="17"/>
      <c r="N103" s="17">
        <f t="shared" ca="1" si="8"/>
        <v>81236.710746517827</v>
      </c>
      <c r="O103" s="17">
        <f t="shared" ca="1" si="9"/>
        <v>34343.659629996619</v>
      </c>
      <c r="P103" s="17"/>
      <c r="Q103" s="17"/>
      <c r="R103" s="17"/>
      <c r="S103" s="17">
        <f t="shared" ca="1" si="10"/>
        <v>26777186.634476505</v>
      </c>
    </row>
    <row r="104" spans="1:19" x14ac:dyDescent="0.2">
      <c r="A104" s="28">
        <f>'Monthly Data'!A104</f>
        <v>44743</v>
      </c>
      <c r="B104">
        <f>'Monthly Data'!C104</f>
        <v>7</v>
      </c>
      <c r="C104">
        <f>'Monthly Data'!B104</f>
        <v>2022</v>
      </c>
      <c r="D104" s="18">
        <f>'Monthly Data'!F104</f>
        <v>29470184.383029308</v>
      </c>
      <c r="E104" s="10">
        <f t="shared" ca="1" si="12"/>
        <v>0</v>
      </c>
      <c r="F104" s="10">
        <f t="shared" ca="1" si="12"/>
        <v>56.475141548990976</v>
      </c>
      <c r="G104" s="98">
        <f>'Monthly Data'!AG104</f>
        <v>0</v>
      </c>
      <c r="H104" s="98">
        <f>'Monthly Data'!AB104</f>
        <v>40.464583333333323</v>
      </c>
      <c r="I104">
        <f>'Monthly Data'!BO104</f>
        <v>31</v>
      </c>
      <c r="J104">
        <f>'Monthly Data'!BS104</f>
        <v>0.5</v>
      </c>
      <c r="K104">
        <f>'Monthly Data'!BK104</f>
        <v>0</v>
      </c>
      <c r="M104" s="17"/>
      <c r="N104" s="17">
        <f t="shared" ca="1" si="8"/>
        <v>0</v>
      </c>
      <c r="O104" s="17">
        <f t="shared" ca="1" si="9"/>
        <v>843146.05281781266</v>
      </c>
      <c r="P104" s="17"/>
      <c r="Q104" s="17"/>
      <c r="R104" s="17"/>
      <c r="S104" s="17">
        <f t="shared" ca="1" si="10"/>
        <v>30313330.435847122</v>
      </c>
    </row>
    <row r="105" spans="1:19" x14ac:dyDescent="0.2">
      <c r="A105" s="28">
        <f>'Monthly Data'!A105</f>
        <v>44774</v>
      </c>
      <c r="B105">
        <f>'Monthly Data'!C105</f>
        <v>8</v>
      </c>
      <c r="C105">
        <f>'Monthly Data'!B105</f>
        <v>2022</v>
      </c>
      <c r="D105" s="18">
        <f>'Monthly Data'!F105</f>
        <v>29185319.021958631</v>
      </c>
      <c r="E105" s="10">
        <f t="shared" ca="1" si="12"/>
        <v>0.73208333333333309</v>
      </c>
      <c r="F105" s="10">
        <f t="shared" ca="1" si="12"/>
        <v>35.296250000000008</v>
      </c>
      <c r="G105" s="98">
        <f>'Monthly Data'!AG105</f>
        <v>0</v>
      </c>
      <c r="H105" s="98">
        <f>'Monthly Data'!AB105</f>
        <v>36.270833333333314</v>
      </c>
      <c r="I105">
        <f>'Monthly Data'!BO105</f>
        <v>31</v>
      </c>
      <c r="J105">
        <f>'Monthly Data'!BS105</f>
        <v>0.5</v>
      </c>
      <c r="K105">
        <f>'Monthly Data'!BK105</f>
        <v>0</v>
      </c>
      <c r="M105" s="17"/>
      <c r="N105" s="17">
        <f t="shared" ca="1" si="8"/>
        <v>18279.567871793144</v>
      </c>
      <c r="O105" s="17">
        <f t="shared" ca="1" si="9"/>
        <v>-51323.387952732359</v>
      </c>
      <c r="P105" s="17"/>
      <c r="Q105" s="17"/>
      <c r="R105" s="17"/>
      <c r="S105" s="17">
        <f t="shared" ca="1" si="10"/>
        <v>29152275.201877691</v>
      </c>
    </row>
    <row r="106" spans="1:19" x14ac:dyDescent="0.2">
      <c r="A106" s="28">
        <f>'Monthly Data'!A106</f>
        <v>44805</v>
      </c>
      <c r="B106">
        <f>'Monthly Data'!C106</f>
        <v>9</v>
      </c>
      <c r="C106">
        <f>'Monthly Data'!B106</f>
        <v>2022</v>
      </c>
      <c r="D106" s="18">
        <f>'Monthly Data'!F106</f>
        <v>26321435.78088795</v>
      </c>
      <c r="E106" s="10">
        <f t="shared" ca="1" si="12"/>
        <v>26.6509001176757</v>
      </c>
      <c r="F106" s="10">
        <f t="shared" ca="1" si="12"/>
        <v>11.128958333333333</v>
      </c>
      <c r="G106" s="98">
        <f>'Monthly Data'!AG106</f>
        <v>33.615958921711837</v>
      </c>
      <c r="H106" s="98">
        <f>'Monthly Data'!AB106</f>
        <v>8.2083333333333393</v>
      </c>
      <c r="I106">
        <f>'Monthly Data'!BO106</f>
        <v>30</v>
      </c>
      <c r="J106">
        <f>'Monthly Data'!BS106</f>
        <v>0.5</v>
      </c>
      <c r="K106">
        <f>'Monthly Data'!BK106</f>
        <v>1</v>
      </c>
      <c r="M106" s="17"/>
      <c r="N106" s="17">
        <f t="shared" ca="1" si="8"/>
        <v>-173912.25744711529</v>
      </c>
      <c r="O106" s="17">
        <f t="shared" ca="1" si="9"/>
        <v>153805.59549152909</v>
      </c>
      <c r="P106" s="17"/>
      <c r="Q106" s="17"/>
      <c r="R106" s="17"/>
      <c r="S106" s="17">
        <f t="shared" ca="1" si="10"/>
        <v>26301329.118932363</v>
      </c>
    </row>
    <row r="107" spans="1:19" x14ac:dyDescent="0.2">
      <c r="A107" s="28">
        <f>'Monthly Data'!A107</f>
        <v>44835</v>
      </c>
      <c r="B107">
        <f>'Monthly Data'!C107</f>
        <v>10</v>
      </c>
      <c r="C107">
        <f>'Monthly Data'!B107</f>
        <v>2022</v>
      </c>
      <c r="D107" s="18">
        <f>'Monthly Data'!F107</f>
        <v>27718622.209817275</v>
      </c>
      <c r="E107" s="10">
        <f t="shared" ca="1" si="12"/>
        <v>177.51367324027484</v>
      </c>
      <c r="F107" s="10">
        <f t="shared" ca="1" si="12"/>
        <v>0.44687499999999963</v>
      </c>
      <c r="G107" s="98">
        <f>'Monthly Data'!AG107</f>
        <v>162.45900117675706</v>
      </c>
      <c r="H107" s="98">
        <f>'Monthly Data'!AB107</f>
        <v>0</v>
      </c>
      <c r="I107">
        <f>'Monthly Data'!BO107</f>
        <v>31</v>
      </c>
      <c r="J107">
        <f>'Monthly Data'!BS107</f>
        <v>0.5</v>
      </c>
      <c r="K107">
        <f>'Monthly Data'!BK107</f>
        <v>1</v>
      </c>
      <c r="M107" s="17"/>
      <c r="N107" s="17">
        <f t="shared" ca="1" si="8"/>
        <v>375903.79024154117</v>
      </c>
      <c r="O107" s="17">
        <f t="shared" ca="1" si="9"/>
        <v>23533.276434077346</v>
      </c>
      <c r="P107" s="17"/>
      <c r="Q107" s="17"/>
      <c r="R107" s="17"/>
      <c r="S107" s="17">
        <f t="shared" ca="1" si="10"/>
        <v>28118059.276492894</v>
      </c>
    </row>
    <row r="108" spans="1:19" x14ac:dyDescent="0.2">
      <c r="A108" s="28">
        <f>'Monthly Data'!A108</f>
        <v>44866</v>
      </c>
      <c r="B108">
        <f>'Monthly Data'!C108</f>
        <v>11</v>
      </c>
      <c r="C108">
        <f>'Monthly Data'!B108</f>
        <v>2022</v>
      </c>
      <c r="D108" s="18">
        <f>'Monthly Data'!F108</f>
        <v>32699792.778746594</v>
      </c>
      <c r="E108" s="10">
        <f t="shared" ca="1" si="12"/>
        <v>390.8187460098469</v>
      </c>
      <c r="F108" s="10">
        <f t="shared" ca="1" si="12"/>
        <v>0</v>
      </c>
      <c r="G108" s="98">
        <f>'Monthly Data'!AG108</f>
        <v>337.18470892171183</v>
      </c>
      <c r="H108" s="98">
        <f>'Monthly Data'!AB108</f>
        <v>0</v>
      </c>
      <c r="I108">
        <f>'Monthly Data'!BO108</f>
        <v>30</v>
      </c>
      <c r="J108">
        <f>'Monthly Data'!BS108</f>
        <v>0.5</v>
      </c>
      <c r="K108">
        <f>'Monthly Data'!BK108</f>
        <v>1</v>
      </c>
      <c r="M108" s="17"/>
      <c r="N108" s="17">
        <f t="shared" ca="1" si="8"/>
        <v>1339201.3949106471</v>
      </c>
      <c r="O108" s="17">
        <f t="shared" ca="1" si="9"/>
        <v>0</v>
      </c>
      <c r="P108" s="17"/>
      <c r="Q108" s="17"/>
      <c r="R108" s="17"/>
      <c r="S108" s="17">
        <f t="shared" ca="1" si="10"/>
        <v>34038994.173657238</v>
      </c>
    </row>
    <row r="109" spans="1:19" x14ac:dyDescent="0.2">
      <c r="A109" s="28">
        <f>'Monthly Data'!A109</f>
        <v>44896</v>
      </c>
      <c r="B109">
        <f>'Monthly Data'!C109</f>
        <v>12</v>
      </c>
      <c r="C109">
        <f>'Monthly Data'!B109</f>
        <v>2022</v>
      </c>
      <c r="D109" s="18">
        <f>'Monthly Data'!F109</f>
        <v>39727803.907675914</v>
      </c>
      <c r="E109" s="10">
        <f t="shared" ca="1" si="12"/>
        <v>570.62936502461719</v>
      </c>
      <c r="F109" s="10">
        <f t="shared" ca="1" si="12"/>
        <v>0</v>
      </c>
      <c r="G109" s="98">
        <f>'Monthly Data'!AG109</f>
        <v>542.52218897094622</v>
      </c>
      <c r="H109" s="98">
        <f>'Monthly Data'!AB109</f>
        <v>0</v>
      </c>
      <c r="I109">
        <f>'Monthly Data'!BO109</f>
        <v>31</v>
      </c>
      <c r="J109">
        <f>'Monthly Data'!BS109</f>
        <v>0.5</v>
      </c>
      <c r="K109">
        <f>'Monthly Data'!BK109</f>
        <v>0</v>
      </c>
      <c r="M109" s="17"/>
      <c r="N109" s="17">
        <f t="shared" ca="1" si="8"/>
        <v>701814.95598067297</v>
      </c>
      <c r="O109" s="17">
        <f t="shared" ca="1" si="9"/>
        <v>0</v>
      </c>
      <c r="P109" s="17"/>
      <c r="Q109" s="17"/>
      <c r="R109" s="17"/>
      <c r="S109" s="17">
        <f t="shared" ca="1" si="10"/>
        <v>40429618.863656588</v>
      </c>
    </row>
    <row r="110" spans="1:19" x14ac:dyDescent="0.2">
      <c r="A110" s="28">
        <f>'Monthly Data'!A110</f>
        <v>44927</v>
      </c>
      <c r="B110">
        <f>'Monthly Data'!C110</f>
        <v>1</v>
      </c>
      <c r="C110">
        <f>'Monthly Data'!B110</f>
        <v>2023</v>
      </c>
      <c r="D110" s="18">
        <f>'Monthly Data'!F110</f>
        <v>41500301.622316256</v>
      </c>
      <c r="E110" s="10">
        <f t="shared" ca="1" si="12"/>
        <v>728.68367523535153</v>
      </c>
      <c r="F110" s="10">
        <f t="shared" ca="1" si="12"/>
        <v>0</v>
      </c>
      <c r="G110" s="98">
        <f>'Monthly Data'!AG110</f>
        <v>614.82150117675712</v>
      </c>
      <c r="H110" s="98">
        <f>'Monthly Data'!AB110</f>
        <v>0</v>
      </c>
      <c r="I110">
        <f>'Monthly Data'!BO110</f>
        <v>31</v>
      </c>
      <c r="J110">
        <f>'Monthly Data'!BS110</f>
        <v>0.25</v>
      </c>
      <c r="K110">
        <f>'Monthly Data'!BK110</f>
        <v>0</v>
      </c>
      <c r="M110" s="17"/>
      <c r="N110" s="17">
        <f t="shared" ca="1" si="8"/>
        <v>2843052.4831881644</v>
      </c>
      <c r="O110" s="17">
        <f t="shared" ca="1" si="9"/>
        <v>0</v>
      </c>
      <c r="P110" s="17"/>
      <c r="Q110" s="17"/>
      <c r="R110" s="17"/>
      <c r="S110" s="17">
        <f t="shared" ca="1" si="10"/>
        <v>44343354.105504423</v>
      </c>
    </row>
    <row r="111" spans="1:19" x14ac:dyDescent="0.2">
      <c r="A111" s="28">
        <f>'Monthly Data'!A111</f>
        <v>44958</v>
      </c>
      <c r="B111">
        <f>'Monthly Data'!C111</f>
        <v>2</v>
      </c>
      <c r="C111">
        <f>'Monthly Data'!B111</f>
        <v>2023</v>
      </c>
      <c r="D111" s="18">
        <f>'Monthly Data'!F111</f>
        <v>37620293.28281647</v>
      </c>
      <c r="E111" s="10">
        <f t="shared" ref="E111:F126" ca="1" si="13">E99</f>
        <v>655.75083333333328</v>
      </c>
      <c r="F111" s="10">
        <f t="shared" ca="1" si="13"/>
        <v>0</v>
      </c>
      <c r="G111" s="98">
        <f>'Monthly Data'!AG111</f>
        <v>587.82499999999993</v>
      </c>
      <c r="H111" s="98">
        <f>'Monthly Data'!AB111</f>
        <v>0</v>
      </c>
      <c r="I111">
        <f>'Monthly Data'!BO111</f>
        <v>28</v>
      </c>
      <c r="J111">
        <f>'Monthly Data'!BS111</f>
        <v>0.25</v>
      </c>
      <c r="K111">
        <f>'Monthly Data'!BK111</f>
        <v>0</v>
      </c>
      <c r="M111" s="17"/>
      <c r="N111" s="17">
        <f t="shared" ca="1" si="8"/>
        <v>1696056.7521886532</v>
      </c>
      <c r="O111" s="17">
        <f t="shared" ca="1" si="9"/>
        <v>0</v>
      </c>
      <c r="P111" s="17"/>
      <c r="Q111" s="17"/>
      <c r="R111" s="17"/>
      <c r="S111" s="17">
        <f t="shared" ca="1" si="10"/>
        <v>39316350.035005122</v>
      </c>
    </row>
    <row r="112" spans="1:19" x14ac:dyDescent="0.2">
      <c r="A112" s="28">
        <f>'Monthly Data'!A112</f>
        <v>44986</v>
      </c>
      <c r="B112">
        <f>'Monthly Data'!C112</f>
        <v>3</v>
      </c>
      <c r="C112">
        <f>'Monthly Data'!B112</f>
        <v>2023</v>
      </c>
      <c r="D112" s="18">
        <f>'Monthly Data'!F112</f>
        <v>37731390.093316682</v>
      </c>
      <c r="E112" s="10">
        <f t="shared" ca="1" si="13"/>
        <v>531.1185376765136</v>
      </c>
      <c r="F112" s="10">
        <f t="shared" ca="1" si="13"/>
        <v>0</v>
      </c>
      <c r="G112" s="98">
        <f>'Monthly Data'!AG112</f>
        <v>509.93333333333345</v>
      </c>
      <c r="H112" s="98">
        <f>'Monthly Data'!AB112</f>
        <v>0</v>
      </c>
      <c r="I112">
        <f>'Monthly Data'!BO112</f>
        <v>31</v>
      </c>
      <c r="J112">
        <f>'Monthly Data'!BS112</f>
        <v>0.25</v>
      </c>
      <c r="K112">
        <f>'Monthly Data'!BK112</f>
        <v>1</v>
      </c>
      <c r="M112" s="17"/>
      <c r="N112" s="17">
        <f t="shared" ca="1" si="8"/>
        <v>528978.55071458418</v>
      </c>
      <c r="O112" s="17">
        <f t="shared" ca="1" si="9"/>
        <v>0</v>
      </c>
      <c r="P112" s="17"/>
      <c r="Q112" s="17"/>
      <c r="R112" s="17"/>
      <c r="S112" s="17">
        <f t="shared" ca="1" si="10"/>
        <v>38260368.644031264</v>
      </c>
    </row>
    <row r="113" spans="1:22" x14ac:dyDescent="0.2">
      <c r="A113" s="28">
        <f>'Monthly Data'!A113</f>
        <v>45017</v>
      </c>
      <c r="B113">
        <f>'Monthly Data'!C113</f>
        <v>4</v>
      </c>
      <c r="C113">
        <f>'Monthly Data'!B113</f>
        <v>2023</v>
      </c>
      <c r="D113" s="18">
        <f>'Monthly Data'!F113</f>
        <v>31188523.153816897</v>
      </c>
      <c r="E113" s="10">
        <f t="shared" ca="1" si="13"/>
        <v>291.21791666666667</v>
      </c>
      <c r="F113" s="10">
        <f t="shared" ca="1" si="13"/>
        <v>0</v>
      </c>
      <c r="G113" s="98">
        <f>'Monthly Data'!AG113</f>
        <v>257.67291666666665</v>
      </c>
      <c r="H113" s="98">
        <f>'Monthly Data'!AB113</f>
        <v>0</v>
      </c>
      <c r="I113">
        <f>'Monthly Data'!BO113</f>
        <v>30</v>
      </c>
      <c r="J113">
        <f>'Monthly Data'!BS113</f>
        <v>0.25</v>
      </c>
      <c r="K113">
        <f>'Monthly Data'!BK113</f>
        <v>1</v>
      </c>
      <c r="M113" s="17"/>
      <c r="N113" s="17">
        <f t="shared" ca="1" si="8"/>
        <v>837593.31259096402</v>
      </c>
      <c r="O113" s="17">
        <f t="shared" ca="1" si="9"/>
        <v>0</v>
      </c>
      <c r="P113" s="17"/>
      <c r="Q113" s="17"/>
      <c r="R113" s="17"/>
      <c r="S113" s="17">
        <f t="shared" ca="1" si="10"/>
        <v>32026116.466407862</v>
      </c>
    </row>
    <row r="114" spans="1:22" x14ac:dyDescent="0.2">
      <c r="A114" s="28">
        <f>'Monthly Data'!A114</f>
        <v>45047</v>
      </c>
      <c r="B114">
        <f>'Monthly Data'!C114</f>
        <v>5</v>
      </c>
      <c r="C114">
        <f>'Monthly Data'!B114</f>
        <v>2023</v>
      </c>
      <c r="D114" s="18">
        <f>'Monthly Data'!F114</f>
        <v>28061532.914317109</v>
      </c>
      <c r="E114" s="10">
        <f t="shared" ca="1" si="13"/>
        <v>76.006595892171191</v>
      </c>
      <c r="F114" s="10">
        <f t="shared" ca="1" si="13"/>
        <v>9.6293749999999996</v>
      </c>
      <c r="G114" s="98">
        <f>'Monthly Data'!AG114</f>
        <v>70.770833333333329</v>
      </c>
      <c r="H114" s="98">
        <f>'Monthly Data'!AB114</f>
        <v>13.347916666666674</v>
      </c>
      <c r="I114">
        <f>'Monthly Data'!BO114</f>
        <v>31</v>
      </c>
      <c r="J114">
        <f>'Monthly Data'!BS114</f>
        <v>0.25</v>
      </c>
      <c r="K114">
        <f>'Monthly Data'!BK114</f>
        <v>1</v>
      </c>
      <c r="M114" s="17"/>
      <c r="N114" s="17">
        <f t="shared" ca="1" si="8"/>
        <v>130733.03638684588</v>
      </c>
      <c r="O114" s="17">
        <f t="shared" ca="1" si="9"/>
        <v>-195825.38511508054</v>
      </c>
      <c r="P114" s="17"/>
      <c r="Q114" s="17"/>
      <c r="R114" s="17"/>
      <c r="S114" s="17">
        <f t="shared" ca="1" si="10"/>
        <v>27996440.565588873</v>
      </c>
    </row>
    <row r="115" spans="1:22" x14ac:dyDescent="0.2">
      <c r="A115" s="28">
        <f>'Monthly Data'!A115</f>
        <v>45078</v>
      </c>
      <c r="B115">
        <f>'Monthly Data'!C115</f>
        <v>6</v>
      </c>
      <c r="C115">
        <f>'Monthly Data'!B115</f>
        <v>2023</v>
      </c>
      <c r="D115" s="18">
        <f>'Monthly Data'!F115</f>
        <v>28907676.224817328</v>
      </c>
      <c r="E115" s="10">
        <f t="shared" ca="1" si="13"/>
        <v>4.2034708921711843</v>
      </c>
      <c r="F115" s="10">
        <f t="shared" ca="1" si="13"/>
        <v>25.077154107828811</v>
      </c>
      <c r="G115" s="98">
        <f>'Monthly Data'!AG115</f>
        <v>3.9875000000000025</v>
      </c>
      <c r="H115" s="98">
        <f>'Monthly Data'!AB115</f>
        <v>45.019457744954835</v>
      </c>
      <c r="I115">
        <f>'Monthly Data'!BO115</f>
        <v>30</v>
      </c>
      <c r="J115">
        <f>'Monthly Data'!BS115</f>
        <v>0.25</v>
      </c>
      <c r="K115">
        <f>'Monthly Data'!BK115</f>
        <v>0</v>
      </c>
      <c r="M115" s="17"/>
      <c r="N115" s="17">
        <f t="shared" ca="1" si="8"/>
        <v>5392.6300490948279</v>
      </c>
      <c r="O115" s="17">
        <f t="shared" ca="1" si="9"/>
        <v>-1050199.1479156211</v>
      </c>
      <c r="P115" s="17"/>
      <c r="Q115" s="17"/>
      <c r="R115" s="17"/>
      <c r="S115" s="17">
        <f t="shared" ca="1" si="10"/>
        <v>27862869.706950802</v>
      </c>
    </row>
    <row r="116" spans="1:22" x14ac:dyDescent="0.2">
      <c r="A116" s="28">
        <f>'Monthly Data'!A116</f>
        <v>45108</v>
      </c>
      <c r="B116">
        <f>'Monthly Data'!C116</f>
        <v>7</v>
      </c>
      <c r="C116">
        <f>'Monthly Data'!B116</f>
        <v>2023</v>
      </c>
      <c r="D116" s="18">
        <f>'Monthly Data'!F116</f>
        <v>30778974.405317537</v>
      </c>
      <c r="E116" s="10">
        <f t="shared" ca="1" si="13"/>
        <v>0</v>
      </c>
      <c r="F116" s="10">
        <f t="shared" ca="1" si="13"/>
        <v>56.475141548990976</v>
      </c>
      <c r="G116" s="98">
        <f>'Monthly Data'!AG116</f>
        <v>0</v>
      </c>
      <c r="H116" s="98">
        <f>'Monthly Data'!AB116</f>
        <v>50.0625</v>
      </c>
      <c r="I116">
        <f>'Monthly Data'!BO116</f>
        <v>31</v>
      </c>
      <c r="J116">
        <f>'Monthly Data'!BS116</f>
        <v>0.25</v>
      </c>
      <c r="K116">
        <f>'Monthly Data'!BK116</f>
        <v>0</v>
      </c>
      <c r="M116" s="17"/>
      <c r="N116" s="17">
        <f t="shared" ca="1" si="8"/>
        <v>0</v>
      </c>
      <c r="O116" s="17">
        <f t="shared" ca="1" si="9"/>
        <v>337701.74264627631</v>
      </c>
      <c r="P116" s="17"/>
      <c r="Q116" s="17"/>
      <c r="R116" s="17"/>
      <c r="S116" s="17">
        <f t="shared" ca="1" si="10"/>
        <v>31116676.147963814</v>
      </c>
    </row>
    <row r="117" spans="1:22" x14ac:dyDescent="0.2">
      <c r="A117" s="28">
        <f>'Monthly Data'!A117</f>
        <v>45139</v>
      </c>
      <c r="B117">
        <f>'Monthly Data'!C117</f>
        <v>8</v>
      </c>
      <c r="C117">
        <f>'Monthly Data'!B117</f>
        <v>2023</v>
      </c>
      <c r="D117" s="18">
        <f>'Monthly Data'!F117</f>
        <v>27909829.945817754</v>
      </c>
      <c r="E117" s="10">
        <f t="shared" ca="1" si="13"/>
        <v>0.73208333333333309</v>
      </c>
      <c r="F117" s="10">
        <f t="shared" ca="1" si="13"/>
        <v>35.296250000000008</v>
      </c>
      <c r="G117" s="98">
        <f>'Monthly Data'!AG117</f>
        <v>0.57083333333333286</v>
      </c>
      <c r="H117" s="98">
        <f>'Monthly Data'!AB117</f>
        <v>6.2541666666666629</v>
      </c>
      <c r="I117">
        <f>'Monthly Data'!BO117</f>
        <v>31</v>
      </c>
      <c r="J117">
        <f>'Monthly Data'!BS117</f>
        <v>0.25</v>
      </c>
      <c r="K117">
        <f>'Monthly Data'!BK117</f>
        <v>0</v>
      </c>
      <c r="M117" s="17"/>
      <c r="N117" s="17">
        <f t="shared" ca="1" si="8"/>
        <v>4026.2907036903584</v>
      </c>
      <c r="O117" s="17">
        <f t="shared" ca="1" si="9"/>
        <v>1529410.6300527991</v>
      </c>
      <c r="P117" s="17"/>
      <c r="Q117" s="17"/>
      <c r="R117" s="17"/>
      <c r="S117" s="17">
        <f t="shared" ca="1" si="10"/>
        <v>29443266.866574243</v>
      </c>
    </row>
    <row r="118" spans="1:22" x14ac:dyDescent="0.2">
      <c r="A118" s="28">
        <f>'Monthly Data'!A118</f>
        <v>45170</v>
      </c>
      <c r="B118">
        <f>'Monthly Data'!C118</f>
        <v>9</v>
      </c>
      <c r="C118">
        <f>'Monthly Data'!B118</f>
        <v>2023</v>
      </c>
      <c r="D118" s="18">
        <f>'Monthly Data'!F118</f>
        <v>25812443.776317969</v>
      </c>
      <c r="E118" s="10">
        <f t="shared" ca="1" si="13"/>
        <v>26.6509001176757</v>
      </c>
      <c r="F118" s="10">
        <f t="shared" ca="1" si="13"/>
        <v>11.128958333333333</v>
      </c>
      <c r="G118" s="98">
        <f>'Monthly Data'!AG118</f>
        <v>7.8166666666666664</v>
      </c>
      <c r="H118" s="98">
        <f>'Monthly Data'!AB118</f>
        <v>17.991666666666671</v>
      </c>
      <c r="I118">
        <f>'Monthly Data'!BO118</f>
        <v>30</v>
      </c>
      <c r="J118">
        <f>'Monthly Data'!BS118</f>
        <v>0.25</v>
      </c>
      <c r="K118">
        <f>'Monthly Data'!BK118</f>
        <v>1</v>
      </c>
      <c r="M118" s="17"/>
      <c r="N118" s="17">
        <f t="shared" ca="1" si="8"/>
        <v>470276.58328639716</v>
      </c>
      <c r="O118" s="17">
        <f t="shared" ca="1" si="9"/>
        <v>-361403.10443587083</v>
      </c>
      <c r="P118" s="17"/>
      <c r="Q118" s="17"/>
      <c r="R118" s="17"/>
      <c r="S118" s="17">
        <f t="shared" ca="1" si="10"/>
        <v>25921317.255168494</v>
      </c>
    </row>
    <row r="119" spans="1:22" x14ac:dyDescent="0.2">
      <c r="A119" s="28">
        <f>'Monthly Data'!A119</f>
        <v>45200</v>
      </c>
      <c r="B119">
        <f>'Monthly Data'!C119</f>
        <v>10</v>
      </c>
      <c r="C119">
        <f>'Monthly Data'!B119</f>
        <v>2023</v>
      </c>
      <c r="D119" s="18">
        <f>'Monthly Data'!F119</f>
        <v>28372607.836818181</v>
      </c>
      <c r="E119" s="10">
        <f t="shared" ca="1" si="13"/>
        <v>177.51367324027484</v>
      </c>
      <c r="F119" s="10">
        <f t="shared" ca="1" si="13"/>
        <v>0.44687499999999963</v>
      </c>
      <c r="G119" s="98">
        <f>'Monthly Data'!AG119</f>
        <v>160.86595892171184</v>
      </c>
      <c r="H119" s="98">
        <f>'Monthly Data'!AB119</f>
        <v>4.4687499999999964</v>
      </c>
      <c r="I119">
        <f>'Monthly Data'!BO119</f>
        <v>31</v>
      </c>
      <c r="J119">
        <f>'Monthly Data'!BS119</f>
        <v>0.25</v>
      </c>
      <c r="K119">
        <f>'Monthly Data'!BK119</f>
        <v>1</v>
      </c>
      <c r="M119" s="17"/>
      <c r="N119" s="17">
        <f t="shared" ca="1" si="8"/>
        <v>415680.85208386357</v>
      </c>
      <c r="O119" s="17">
        <f t="shared" ca="1" si="9"/>
        <v>-211799.48790669613</v>
      </c>
      <c r="P119" s="17"/>
      <c r="Q119" s="17"/>
      <c r="R119" s="17"/>
      <c r="S119" s="17">
        <f t="shared" ca="1" si="10"/>
        <v>28576489.200995348</v>
      </c>
    </row>
    <row r="120" spans="1:22" x14ac:dyDescent="0.2">
      <c r="A120" s="28">
        <f>'Monthly Data'!A120</f>
        <v>45231</v>
      </c>
      <c r="B120">
        <f>'Monthly Data'!C120</f>
        <v>11</v>
      </c>
      <c r="C120">
        <f>'Monthly Data'!B120</f>
        <v>2023</v>
      </c>
      <c r="D120" s="18">
        <f>'Monthly Data'!F120</f>
        <v>34902785.917318396</v>
      </c>
      <c r="E120" s="10">
        <f t="shared" ca="1" si="13"/>
        <v>390.8187460098469</v>
      </c>
      <c r="F120" s="10">
        <f t="shared" ca="1" si="13"/>
        <v>0</v>
      </c>
      <c r="G120" s="98">
        <f>'Monthly Data'!AG120</f>
        <v>399.48679225504515</v>
      </c>
      <c r="H120" s="98">
        <f>'Monthly Data'!AB120</f>
        <v>0</v>
      </c>
      <c r="I120">
        <f>'Monthly Data'!BO120</f>
        <v>30</v>
      </c>
      <c r="J120">
        <f>'Monthly Data'!BS120</f>
        <v>0.25</v>
      </c>
      <c r="K120">
        <f>'Monthly Data'!BK120</f>
        <v>1</v>
      </c>
      <c r="M120" s="17"/>
      <c r="N120" s="17">
        <f t="shared" ca="1" si="8"/>
        <v>-216434.56754232399</v>
      </c>
      <c r="O120" s="17">
        <f t="shared" ca="1" si="9"/>
        <v>0</v>
      </c>
      <c r="P120" s="17"/>
      <c r="Q120" s="17"/>
      <c r="R120" s="17"/>
      <c r="S120" s="17">
        <f t="shared" ca="1" si="10"/>
        <v>34686351.349776074</v>
      </c>
    </row>
    <row r="121" spans="1:22" x14ac:dyDescent="0.2">
      <c r="A121" s="28">
        <f>'Monthly Data'!A121</f>
        <v>45261</v>
      </c>
      <c r="B121">
        <f>'Monthly Data'!C121</f>
        <v>12</v>
      </c>
      <c r="C121">
        <f>'Monthly Data'!B121</f>
        <v>2023</v>
      </c>
      <c r="D121" s="18">
        <f>'Monthly Data'!F121</f>
        <v>38937199.157818608</v>
      </c>
      <c r="E121" s="10">
        <f t="shared" ca="1" si="13"/>
        <v>570.62936502461719</v>
      </c>
      <c r="F121" s="10">
        <f t="shared" ca="1" si="13"/>
        <v>0</v>
      </c>
      <c r="G121" s="98">
        <f>'Monthly Data'!AG121</f>
        <v>463.47216902018073</v>
      </c>
      <c r="H121" s="98">
        <f>'Monthly Data'!AB121</f>
        <v>0</v>
      </c>
      <c r="I121">
        <f>'Monthly Data'!BO121</f>
        <v>31</v>
      </c>
      <c r="J121">
        <f>'Monthly Data'!BS121</f>
        <v>0.25</v>
      </c>
      <c r="K121">
        <f>'Monthly Data'!BK121</f>
        <v>0</v>
      </c>
      <c r="M121" s="17"/>
      <c r="N121" s="17">
        <f t="shared" ca="1" si="8"/>
        <v>2675634.2456197678</v>
      </c>
      <c r="O121" s="17">
        <f t="shared" ca="1" si="9"/>
        <v>0</v>
      </c>
      <c r="P121" s="17"/>
      <c r="Q121" s="17"/>
      <c r="R121" s="17"/>
      <c r="S121" s="17">
        <f t="shared" ca="1" si="10"/>
        <v>41612833.403438374</v>
      </c>
    </row>
    <row r="122" spans="1:22" x14ac:dyDescent="0.2">
      <c r="A122" s="28">
        <f>EOMONTH(A121,0)+1</f>
        <v>45292</v>
      </c>
      <c r="B122">
        <f>MONTH(A122)</f>
        <v>1</v>
      </c>
      <c r="C122">
        <f>YEAR(A122)</f>
        <v>2024</v>
      </c>
      <c r="D122" s="18">
        <f>'Monthly Data'!F122</f>
        <v>42550291.360408448</v>
      </c>
      <c r="E122" s="10">
        <f t="shared" ca="1" si="13"/>
        <v>728.68367523535153</v>
      </c>
      <c r="F122" s="10">
        <f t="shared" ca="1" si="13"/>
        <v>0</v>
      </c>
      <c r="G122" s="98">
        <f>'Monthly Data'!AG122</f>
        <v>625.51250000000005</v>
      </c>
      <c r="H122" s="98">
        <f>'Monthly Data'!AB122</f>
        <v>0</v>
      </c>
      <c r="I122">
        <f>I74</f>
        <v>31</v>
      </c>
      <c r="J122">
        <f>'Monthly Data'!BS122</f>
        <v>0.25</v>
      </c>
      <c r="K122">
        <f>K110</f>
        <v>0</v>
      </c>
      <c r="M122" s="17">
        <f t="shared" ref="M122:M145" si="14">$V$7</f>
        <v>-1956373.74241439</v>
      </c>
      <c r="N122" s="17">
        <f t="shared" ref="N122:N130" ca="1" si="15">E122*$V$8</f>
        <v>18194680.976936534</v>
      </c>
      <c r="O122" s="17">
        <f t="shared" ref="O122:O130" ca="1" si="16">F122*$V$9</f>
        <v>0</v>
      </c>
      <c r="P122" s="17">
        <f t="shared" ref="P122:P130" si="17">I122*$V$10</f>
        <v>27425350.500205077</v>
      </c>
      <c r="Q122" s="17">
        <f t="shared" ref="Q122:Q130" si="18">J122*$V$11</f>
        <v>525963.17465951247</v>
      </c>
      <c r="R122" s="17">
        <f t="shared" ref="R122:R130" si="19">K122*$V$12</f>
        <v>0</v>
      </c>
      <c r="S122" s="17">
        <f t="shared" ref="S122:S130" ca="1" si="20">SUM(M122:R122)</f>
        <v>44189620.909386732</v>
      </c>
    </row>
    <row r="123" spans="1:22" x14ac:dyDescent="0.2">
      <c r="A123" s="28">
        <f t="shared" ref="A123:A145" si="21">EOMONTH(A122,0)+1</f>
        <v>45323</v>
      </c>
      <c r="B123">
        <f t="shared" ref="B123:B145" si="22">MONTH(A123)</f>
        <v>2</v>
      </c>
      <c r="C123">
        <f t="shared" ref="C123:C145" si="23">YEAR(A123)</f>
        <v>2024</v>
      </c>
      <c r="D123" s="18">
        <f>'Monthly Data'!F123</f>
        <v>37056034.478453927</v>
      </c>
      <c r="E123" s="10">
        <f t="shared" ca="1" si="13"/>
        <v>655.75083333333328</v>
      </c>
      <c r="F123" s="10">
        <f t="shared" ca="1" si="13"/>
        <v>0</v>
      </c>
      <c r="G123" s="98">
        <f>'Monthly Data'!AG123</f>
        <v>515.39166666666665</v>
      </c>
      <c r="H123" s="98">
        <f>'Monthly Data'!AB123</f>
        <v>0</v>
      </c>
      <c r="I123">
        <f t="shared" ref="I123:I145" si="24">I75</f>
        <v>29</v>
      </c>
      <c r="J123">
        <f>'Monthly Data'!BS123</f>
        <v>0.25</v>
      </c>
      <c r="K123">
        <f t="shared" ref="K123:K145" si="25">K111</f>
        <v>0</v>
      </c>
      <c r="M123" s="17">
        <f t="shared" si="14"/>
        <v>-1956373.74241439</v>
      </c>
      <c r="N123" s="17">
        <f t="shared" ca="1" si="15"/>
        <v>16373603.002711328</v>
      </c>
      <c r="O123" s="17">
        <f t="shared" ca="1" si="16"/>
        <v>0</v>
      </c>
      <c r="P123" s="17">
        <f t="shared" si="17"/>
        <v>25655973.048578944</v>
      </c>
      <c r="Q123" s="17">
        <f t="shared" si="18"/>
        <v>525963.17465951247</v>
      </c>
      <c r="R123" s="17">
        <f t="shared" si="19"/>
        <v>0</v>
      </c>
      <c r="S123" s="17">
        <f t="shared" ca="1" si="20"/>
        <v>40599165.483535394</v>
      </c>
    </row>
    <row r="124" spans="1:22" x14ac:dyDescent="0.2">
      <c r="A124" s="28">
        <f t="shared" si="21"/>
        <v>45352</v>
      </c>
      <c r="B124">
        <f t="shared" si="22"/>
        <v>3</v>
      </c>
      <c r="C124">
        <f t="shared" si="23"/>
        <v>2024</v>
      </c>
      <c r="D124" s="18">
        <f>'Monthly Data'!F124</f>
        <v>36272899.446499392</v>
      </c>
      <c r="E124" s="10">
        <f t="shared" ca="1" si="13"/>
        <v>531.1185376765136</v>
      </c>
      <c r="F124" s="10">
        <f t="shared" ca="1" si="13"/>
        <v>0</v>
      </c>
      <c r="G124" s="98">
        <f>'Monthly Data'!AG124</f>
        <v>403.45416666666671</v>
      </c>
      <c r="H124" s="98">
        <f>'Monthly Data'!AB124</f>
        <v>0</v>
      </c>
      <c r="I124">
        <f t="shared" si="24"/>
        <v>31</v>
      </c>
      <c r="J124">
        <f>'Monthly Data'!BS124</f>
        <v>0.25</v>
      </c>
      <c r="K124">
        <f t="shared" si="25"/>
        <v>1</v>
      </c>
      <c r="M124" s="17">
        <f t="shared" si="14"/>
        <v>-1956373.74241439</v>
      </c>
      <c r="N124" s="17">
        <f t="shared" ca="1" si="15"/>
        <v>13261628.718167821</v>
      </c>
      <c r="O124" s="17">
        <f t="shared" ca="1" si="16"/>
        <v>0</v>
      </c>
      <c r="P124" s="17">
        <f t="shared" si="17"/>
        <v>27425350.500205077</v>
      </c>
      <c r="Q124" s="17">
        <f t="shared" si="18"/>
        <v>525963.17465951247</v>
      </c>
      <c r="R124" s="17">
        <f t="shared" si="19"/>
        <v>-1149094.2112539201</v>
      </c>
      <c r="S124" s="17">
        <f t="shared" ca="1" si="20"/>
        <v>38107474.439364105</v>
      </c>
      <c r="U124" s="17"/>
      <c r="V124" s="30"/>
    </row>
    <row r="125" spans="1:22" x14ac:dyDescent="0.2">
      <c r="A125" s="28">
        <f t="shared" si="21"/>
        <v>45383</v>
      </c>
      <c r="B125">
        <f t="shared" si="22"/>
        <v>4</v>
      </c>
      <c r="C125">
        <f t="shared" si="23"/>
        <v>2024</v>
      </c>
      <c r="D125" s="18">
        <f>'Monthly Data'!F125</f>
        <v>30671220.704544861</v>
      </c>
      <c r="E125" s="10">
        <f t="shared" ca="1" si="13"/>
        <v>291.21791666666667</v>
      </c>
      <c r="F125" s="10">
        <f t="shared" ca="1" si="13"/>
        <v>0</v>
      </c>
      <c r="G125" s="98">
        <f>'Monthly Data'!AG125</f>
        <v>223.87916666666672</v>
      </c>
      <c r="H125" s="98">
        <f>'Monthly Data'!AB125</f>
        <v>0</v>
      </c>
      <c r="I125">
        <f t="shared" si="24"/>
        <v>30</v>
      </c>
      <c r="J125">
        <f>'Monthly Data'!BS125</f>
        <v>0.25</v>
      </c>
      <c r="K125">
        <f t="shared" si="25"/>
        <v>1</v>
      </c>
      <c r="M125" s="17">
        <f t="shared" si="14"/>
        <v>-1956373.74241439</v>
      </c>
      <c r="N125" s="17">
        <f t="shared" ca="1" si="15"/>
        <v>7271491.4147167243</v>
      </c>
      <c r="O125" s="17">
        <f t="shared" ca="1" si="16"/>
        <v>0</v>
      </c>
      <c r="P125" s="17">
        <f t="shared" si="17"/>
        <v>26540661.774392013</v>
      </c>
      <c r="Q125" s="17">
        <f t="shared" si="18"/>
        <v>525963.17465951247</v>
      </c>
      <c r="R125" s="17">
        <f t="shared" si="19"/>
        <v>-1149094.2112539201</v>
      </c>
      <c r="S125" s="17">
        <f t="shared" ca="1" si="20"/>
        <v>31232648.410099942</v>
      </c>
      <c r="U125" s="17"/>
      <c r="V125" s="30"/>
    </row>
    <row r="126" spans="1:22" x14ac:dyDescent="0.2">
      <c r="A126" s="28">
        <f t="shared" si="21"/>
        <v>45413</v>
      </c>
      <c r="B126">
        <f t="shared" si="22"/>
        <v>5</v>
      </c>
      <c r="C126">
        <f t="shared" si="23"/>
        <v>2024</v>
      </c>
      <c r="D126" s="18">
        <f>'Monthly Data'!F126</f>
        <v>27229430.51259033</v>
      </c>
      <c r="E126" s="10">
        <f t="shared" ca="1" si="13"/>
        <v>76.006595892171191</v>
      </c>
      <c r="F126" s="10">
        <f t="shared" ca="1" si="13"/>
        <v>9.6293749999999996</v>
      </c>
      <c r="G126" s="98">
        <f>'Monthly Data'!AG126</f>
        <v>20.881250000000001</v>
      </c>
      <c r="H126" s="98">
        <f>'Monthly Data'!AB126</f>
        <v>4.3416666666666721</v>
      </c>
      <c r="I126">
        <f t="shared" si="24"/>
        <v>31</v>
      </c>
      <c r="J126">
        <f>'Monthly Data'!BS126</f>
        <v>0.25</v>
      </c>
      <c r="K126">
        <f t="shared" si="25"/>
        <v>1</v>
      </c>
      <c r="M126" s="17">
        <f t="shared" si="14"/>
        <v>-1956373.74241439</v>
      </c>
      <c r="N126" s="17">
        <f t="shared" ca="1" si="15"/>
        <v>1897827.2896731673</v>
      </c>
      <c r="O126" s="17">
        <f t="shared" ca="1" si="16"/>
        <v>507100.96506269928</v>
      </c>
      <c r="P126" s="17">
        <f t="shared" si="17"/>
        <v>27425350.500205077</v>
      </c>
      <c r="Q126" s="17">
        <f t="shared" si="18"/>
        <v>525963.17465951247</v>
      </c>
      <c r="R126" s="17">
        <f t="shared" si="19"/>
        <v>-1149094.2112539201</v>
      </c>
      <c r="S126" s="17">
        <f t="shared" ca="1" si="20"/>
        <v>27250773.975932147</v>
      </c>
      <c r="U126" s="17"/>
      <c r="V126" s="30"/>
    </row>
    <row r="127" spans="1:22" x14ac:dyDescent="0.2">
      <c r="A127" s="28">
        <f t="shared" si="21"/>
        <v>45444</v>
      </c>
      <c r="B127">
        <f t="shared" si="22"/>
        <v>6</v>
      </c>
      <c r="C127">
        <f t="shared" si="23"/>
        <v>2024</v>
      </c>
      <c r="D127" s="18">
        <f>'Monthly Data'!F127</f>
        <v>27919240.450635798</v>
      </c>
      <c r="E127" s="10">
        <f t="shared" ref="E127:F142" ca="1" si="26">E115</f>
        <v>4.2034708921711843</v>
      </c>
      <c r="F127" s="10">
        <f t="shared" ca="1" si="26"/>
        <v>25.077154107828811</v>
      </c>
      <c r="G127" s="98">
        <f>'Monthly Data'!AG127</f>
        <v>1.4000000000000004</v>
      </c>
      <c r="H127" s="98">
        <f>'Monthly Data'!AB127</f>
        <v>33.293750000000003</v>
      </c>
      <c r="I127">
        <f t="shared" si="24"/>
        <v>30</v>
      </c>
      <c r="J127">
        <f>'Monthly Data'!BS127</f>
        <v>0.25</v>
      </c>
      <c r="K127">
        <f t="shared" si="25"/>
        <v>0</v>
      </c>
      <c r="M127" s="17">
        <f t="shared" si="14"/>
        <v>-1956373.74241439</v>
      </c>
      <c r="N127" s="17">
        <f t="shared" ca="1" si="15"/>
        <v>104957.49318686409</v>
      </c>
      <c r="O127" s="17">
        <f t="shared" ca="1" si="16"/>
        <v>1320610.0135373296</v>
      </c>
      <c r="P127" s="17">
        <f t="shared" si="17"/>
        <v>26540661.774392013</v>
      </c>
      <c r="Q127" s="17">
        <f t="shared" si="18"/>
        <v>525963.17465951247</v>
      </c>
      <c r="R127" s="17">
        <f t="shared" si="19"/>
        <v>0</v>
      </c>
      <c r="S127" s="17">
        <f t="shared" ca="1" si="20"/>
        <v>26535818.71336133</v>
      </c>
      <c r="U127" s="17"/>
      <c r="V127" s="30"/>
    </row>
    <row r="128" spans="1:22" x14ac:dyDescent="0.2">
      <c r="A128" s="28">
        <f t="shared" si="21"/>
        <v>45474</v>
      </c>
      <c r="B128">
        <f t="shared" si="22"/>
        <v>7</v>
      </c>
      <c r="C128">
        <f t="shared" si="23"/>
        <v>2024</v>
      </c>
      <c r="D128" s="18">
        <f>'Monthly Data'!F128</f>
        <v>32147068.698681269</v>
      </c>
      <c r="E128" s="10">
        <f t="shared" ca="1" si="26"/>
        <v>0</v>
      </c>
      <c r="F128" s="10">
        <f t="shared" ca="1" si="26"/>
        <v>56.475141548990976</v>
      </c>
      <c r="G128" s="98">
        <f>'Monthly Data'!AG128</f>
        <v>0</v>
      </c>
      <c r="H128" s="98">
        <f>'Monthly Data'!AB128</f>
        <v>62.587499999999991</v>
      </c>
      <c r="I128">
        <f t="shared" si="24"/>
        <v>31</v>
      </c>
      <c r="J128">
        <f>'Monthly Data'!BS128</f>
        <v>0.25</v>
      </c>
      <c r="K128">
        <f t="shared" si="25"/>
        <v>0</v>
      </c>
      <c r="M128" s="17">
        <f t="shared" si="14"/>
        <v>-1956373.74241439</v>
      </c>
      <c r="N128" s="17">
        <f t="shared" ca="1" si="15"/>
        <v>0</v>
      </c>
      <c r="O128" s="17">
        <f t="shared" ca="1" si="16"/>
        <v>2974086.9767296286</v>
      </c>
      <c r="P128" s="17">
        <f t="shared" si="17"/>
        <v>27425350.500205077</v>
      </c>
      <c r="Q128" s="17">
        <f t="shared" si="18"/>
        <v>525963.17465951247</v>
      </c>
      <c r="R128" s="17">
        <f t="shared" si="19"/>
        <v>0</v>
      </c>
      <c r="S128" s="17">
        <f t="shared" ca="1" si="20"/>
        <v>28969026.909179829</v>
      </c>
      <c r="U128" s="17"/>
      <c r="V128" s="30"/>
    </row>
    <row r="129" spans="1:22" x14ac:dyDescent="0.2">
      <c r="A129" s="28">
        <f t="shared" si="21"/>
        <v>45505</v>
      </c>
      <c r="B129">
        <f t="shared" si="22"/>
        <v>8</v>
      </c>
      <c r="C129">
        <f t="shared" si="23"/>
        <v>2024</v>
      </c>
      <c r="D129" s="18">
        <f>'Monthly Data'!F129</f>
        <v>30396598.476726737</v>
      </c>
      <c r="E129" s="10">
        <f t="shared" ca="1" si="26"/>
        <v>0.73208333333333309</v>
      </c>
      <c r="F129" s="10">
        <f t="shared" ca="1" si="26"/>
        <v>35.296250000000008</v>
      </c>
      <c r="G129" s="98">
        <f>'Monthly Data'!AG129</f>
        <v>0</v>
      </c>
      <c r="H129" s="98">
        <f>'Monthly Data'!AB129</f>
        <v>53.500000000000007</v>
      </c>
      <c r="I129">
        <f t="shared" si="24"/>
        <v>31</v>
      </c>
      <c r="J129">
        <f>'Monthly Data'!BS129</f>
        <v>0.25</v>
      </c>
      <c r="K129">
        <f t="shared" si="25"/>
        <v>0</v>
      </c>
      <c r="M129" s="17">
        <f t="shared" si="14"/>
        <v>-1956373.74241439</v>
      </c>
      <c r="N129" s="17">
        <f t="shared" ca="1" si="15"/>
        <v>18279.567871793144</v>
      </c>
      <c r="O129" s="17">
        <f t="shared" ca="1" si="16"/>
        <v>1858766.7878854342</v>
      </c>
      <c r="P129" s="17">
        <f t="shared" si="17"/>
        <v>27425350.500205077</v>
      </c>
      <c r="Q129" s="17">
        <f t="shared" si="18"/>
        <v>525963.17465951247</v>
      </c>
      <c r="R129" s="17">
        <f t="shared" si="19"/>
        <v>0</v>
      </c>
      <c r="S129" s="17">
        <f t="shared" ca="1" si="20"/>
        <v>27871986.288207427</v>
      </c>
      <c r="U129" s="17"/>
      <c r="V129" s="30"/>
    </row>
    <row r="130" spans="1:22" x14ac:dyDescent="0.2">
      <c r="A130" s="28">
        <f t="shared" si="21"/>
        <v>45536</v>
      </c>
      <c r="B130">
        <f t="shared" si="22"/>
        <v>9</v>
      </c>
      <c r="C130">
        <f t="shared" si="23"/>
        <v>2024</v>
      </c>
      <c r="D130" s="18">
        <f>'Monthly Data'!F130</f>
        <v>26738120.154772207</v>
      </c>
      <c r="E130" s="10">
        <f t="shared" ca="1" si="26"/>
        <v>26.6509001176757</v>
      </c>
      <c r="F130" s="10">
        <f t="shared" ca="1" si="26"/>
        <v>11.128958333333333</v>
      </c>
      <c r="G130" s="98">
        <f>'Monthly Data'!AG130</f>
        <v>7.5</v>
      </c>
      <c r="H130" s="98">
        <f>'Monthly Data'!AB130</f>
        <v>20.20000000000001</v>
      </c>
      <c r="I130">
        <f t="shared" si="24"/>
        <v>30</v>
      </c>
      <c r="J130">
        <f>'Monthly Data'!BS130</f>
        <v>0.25</v>
      </c>
      <c r="K130">
        <f t="shared" si="25"/>
        <v>1</v>
      </c>
      <c r="M130" s="17">
        <f t="shared" si="14"/>
        <v>-1956373.74241439</v>
      </c>
      <c r="N130" s="17">
        <f t="shared" ca="1" si="15"/>
        <v>665452.84582187783</v>
      </c>
      <c r="O130" s="17">
        <f t="shared" ca="1" si="16"/>
        <v>586071.83861630713</v>
      </c>
      <c r="P130" s="17">
        <f t="shared" si="17"/>
        <v>26540661.774392013</v>
      </c>
      <c r="Q130" s="17">
        <f t="shared" si="18"/>
        <v>525963.17465951247</v>
      </c>
      <c r="R130" s="17">
        <f t="shared" si="19"/>
        <v>-1149094.2112539201</v>
      </c>
      <c r="S130" s="17">
        <f t="shared" ca="1" si="20"/>
        <v>25212681.679821402</v>
      </c>
      <c r="U130" s="17"/>
      <c r="V130" s="30"/>
    </row>
    <row r="131" spans="1:22" x14ac:dyDescent="0.2">
      <c r="A131" s="28">
        <f t="shared" si="21"/>
        <v>45566</v>
      </c>
      <c r="B131">
        <f t="shared" si="22"/>
        <v>10</v>
      </c>
      <c r="C131">
        <f t="shared" si="23"/>
        <v>2024</v>
      </c>
      <c r="D131" s="18">
        <f>'Monthly Data'!F131</f>
        <v>27670076.812817674</v>
      </c>
      <c r="E131" s="10">
        <f t="shared" ca="1" si="26"/>
        <v>177.51367324027484</v>
      </c>
      <c r="F131" s="10">
        <f t="shared" ca="1" si="26"/>
        <v>0.44687499999999963</v>
      </c>
      <c r="G131" s="98">
        <f>'Monthly Data'!AG131</f>
        <v>141.66041666666669</v>
      </c>
      <c r="H131" s="98">
        <f>'Monthly Data'!AB131</f>
        <v>0</v>
      </c>
      <c r="I131">
        <f t="shared" si="24"/>
        <v>31</v>
      </c>
      <c r="J131">
        <f>'Monthly Data'!BS131</f>
        <v>0.25</v>
      </c>
      <c r="K131">
        <f t="shared" si="25"/>
        <v>1</v>
      </c>
      <c r="M131" s="17">
        <f t="shared" si="14"/>
        <v>-1956373.74241439</v>
      </c>
      <c r="N131" s="17">
        <f t="shared" ref="N131:N145" ca="1" si="27">E131*$V$8</f>
        <v>4432382.3401255533</v>
      </c>
      <c r="O131" s="17">
        <f t="shared" ref="O131:O145" ca="1" si="28">F131*$V$9</f>
        <v>23533.276434077346</v>
      </c>
      <c r="P131" s="17">
        <f t="shared" ref="P131:P145" si="29">I131*$V$10</f>
        <v>27425350.500205077</v>
      </c>
      <c r="Q131" s="17">
        <f t="shared" ref="Q131:Q145" si="30">J131*$V$11</f>
        <v>525963.17465951247</v>
      </c>
      <c r="R131" s="17">
        <f t="shared" ref="R131:R145" si="31">K131*$V$12</f>
        <v>-1149094.2112539201</v>
      </c>
      <c r="S131" s="17">
        <f t="shared" ref="S131:S145" ca="1" si="32">SUM(M131:R131)</f>
        <v>29301761.337755911</v>
      </c>
      <c r="U131" s="17"/>
      <c r="V131" s="30"/>
    </row>
    <row r="132" spans="1:22" x14ac:dyDescent="0.2">
      <c r="A132" s="28">
        <f t="shared" si="21"/>
        <v>45597</v>
      </c>
      <c r="B132">
        <f t="shared" si="22"/>
        <v>11</v>
      </c>
      <c r="C132">
        <f t="shared" si="23"/>
        <v>2024</v>
      </c>
      <c r="D132" s="18">
        <f>'Monthly Data'!F132</f>
        <v>33170432.200863145</v>
      </c>
      <c r="E132" s="10">
        <f t="shared" ca="1" si="26"/>
        <v>390.8187460098469</v>
      </c>
      <c r="F132" s="10">
        <f t="shared" ca="1" si="26"/>
        <v>0</v>
      </c>
      <c r="G132" s="98">
        <f>'Monthly Data'!AG132</f>
        <v>321.02291666666667</v>
      </c>
      <c r="H132" s="98">
        <f>'Monthly Data'!AB132</f>
        <v>0</v>
      </c>
      <c r="I132">
        <f t="shared" si="24"/>
        <v>30</v>
      </c>
      <c r="J132">
        <f>'Monthly Data'!BS132</f>
        <v>0.25</v>
      </c>
      <c r="K132">
        <f t="shared" si="25"/>
        <v>1</v>
      </c>
      <c r="M132" s="17">
        <f t="shared" si="14"/>
        <v>-1956373.74241439</v>
      </c>
      <c r="N132" s="17">
        <f t="shared" ca="1" si="27"/>
        <v>9758448.8923247606</v>
      </c>
      <c r="O132" s="17">
        <f t="shared" ca="1" si="28"/>
        <v>0</v>
      </c>
      <c r="P132" s="17">
        <f t="shared" si="29"/>
        <v>26540661.774392013</v>
      </c>
      <c r="Q132" s="17">
        <f t="shared" si="30"/>
        <v>525963.17465951247</v>
      </c>
      <c r="R132" s="17">
        <f t="shared" si="31"/>
        <v>-1149094.2112539201</v>
      </c>
      <c r="S132" s="17">
        <f t="shared" ca="1" si="32"/>
        <v>33719605.887707978</v>
      </c>
      <c r="U132" s="17"/>
      <c r="V132" s="30"/>
    </row>
    <row r="133" spans="1:22" x14ac:dyDescent="0.2">
      <c r="A133" s="28">
        <f t="shared" si="21"/>
        <v>45627</v>
      </c>
      <c r="B133">
        <f t="shared" si="22"/>
        <v>12</v>
      </c>
      <c r="C133">
        <f t="shared" si="23"/>
        <v>2024</v>
      </c>
      <c r="D133" s="18">
        <f>'Monthly Data'!F133</f>
        <v>0</v>
      </c>
      <c r="E133" s="10">
        <f t="shared" ca="1" si="26"/>
        <v>570.62936502461719</v>
      </c>
      <c r="F133" s="10">
        <f t="shared" ca="1" si="26"/>
        <v>0</v>
      </c>
      <c r="G133" s="98">
        <f>'Monthly Data'!AG133</f>
        <v>595.35625000000005</v>
      </c>
      <c r="H133" s="98">
        <f>'Monthly Data'!AB133</f>
        <v>0</v>
      </c>
      <c r="I133">
        <f t="shared" si="24"/>
        <v>31</v>
      </c>
      <c r="J133">
        <f>'Monthly Data'!BS133</f>
        <v>0.25</v>
      </c>
      <c r="K133">
        <f t="shared" si="25"/>
        <v>0</v>
      </c>
      <c r="M133" s="17">
        <f t="shared" si="14"/>
        <v>-1956373.74241439</v>
      </c>
      <c r="N133" s="17">
        <f t="shared" ca="1" si="27"/>
        <v>14248184.233496714</v>
      </c>
      <c r="O133" s="17">
        <f t="shared" ca="1" si="28"/>
        <v>0</v>
      </c>
      <c r="P133" s="17">
        <f t="shared" si="29"/>
        <v>27425350.500205077</v>
      </c>
      <c r="Q133" s="17">
        <f t="shared" si="30"/>
        <v>525963.17465951247</v>
      </c>
      <c r="R133" s="17">
        <f t="shared" si="31"/>
        <v>0</v>
      </c>
      <c r="S133" s="17">
        <f t="shared" ca="1" si="32"/>
        <v>40243124.165946916</v>
      </c>
      <c r="U133" s="17"/>
      <c r="V133" s="30"/>
    </row>
    <row r="134" spans="1:22" x14ac:dyDescent="0.2">
      <c r="A134" s="28">
        <f t="shared" si="21"/>
        <v>45658</v>
      </c>
      <c r="B134">
        <f t="shared" si="22"/>
        <v>1</v>
      </c>
      <c r="C134">
        <f t="shared" si="23"/>
        <v>2025</v>
      </c>
      <c r="D134" s="33"/>
      <c r="E134" s="10">
        <f t="shared" ca="1" si="26"/>
        <v>728.68367523535153</v>
      </c>
      <c r="F134" s="10">
        <f t="shared" ca="1" si="26"/>
        <v>0</v>
      </c>
      <c r="G134" s="98">
        <f>'Monthly Data'!AG134</f>
        <v>0</v>
      </c>
      <c r="H134" s="98">
        <f>'Monthly Data'!AB134</f>
        <v>0</v>
      </c>
      <c r="I134">
        <f t="shared" si="24"/>
        <v>31</v>
      </c>
      <c r="J134">
        <f>'Monthly Data'!BS134</f>
        <v>0</v>
      </c>
      <c r="K134">
        <f t="shared" si="25"/>
        <v>0</v>
      </c>
      <c r="L134" s="11"/>
      <c r="M134" s="17">
        <f t="shared" si="14"/>
        <v>-1956373.74241439</v>
      </c>
      <c r="N134" s="17">
        <f t="shared" ca="1" si="27"/>
        <v>18194680.976936534</v>
      </c>
      <c r="O134" s="17">
        <f t="shared" ca="1" si="28"/>
        <v>0</v>
      </c>
      <c r="P134" s="17">
        <f t="shared" si="29"/>
        <v>27425350.500205077</v>
      </c>
      <c r="Q134" s="17">
        <f t="shared" si="30"/>
        <v>0</v>
      </c>
      <c r="R134" s="17">
        <f t="shared" si="31"/>
        <v>0</v>
      </c>
      <c r="S134" s="17">
        <f t="shared" ca="1" si="32"/>
        <v>43663657.734727219</v>
      </c>
      <c r="U134" s="17"/>
      <c r="V134" s="30"/>
    </row>
    <row r="135" spans="1:22" x14ac:dyDescent="0.2">
      <c r="A135" s="28">
        <f t="shared" si="21"/>
        <v>45689</v>
      </c>
      <c r="B135">
        <f t="shared" si="22"/>
        <v>2</v>
      </c>
      <c r="C135">
        <f t="shared" si="23"/>
        <v>2025</v>
      </c>
      <c r="D135" s="33"/>
      <c r="E135" s="10">
        <f t="shared" ca="1" si="26"/>
        <v>655.75083333333328</v>
      </c>
      <c r="F135" s="10">
        <f t="shared" ca="1" si="26"/>
        <v>0</v>
      </c>
      <c r="G135" s="98">
        <f>'Monthly Data'!AG135</f>
        <v>0</v>
      </c>
      <c r="H135" s="98">
        <f>'Monthly Data'!AB135</f>
        <v>0</v>
      </c>
      <c r="I135">
        <f t="shared" si="24"/>
        <v>28</v>
      </c>
      <c r="J135">
        <f>'Monthly Data'!BS135</f>
        <v>0</v>
      </c>
      <c r="K135">
        <f t="shared" si="25"/>
        <v>0</v>
      </c>
      <c r="L135" s="11"/>
      <c r="M135" s="17">
        <f t="shared" si="14"/>
        <v>-1956373.74241439</v>
      </c>
      <c r="N135" s="17">
        <f t="shared" ca="1" si="27"/>
        <v>16373603.002711328</v>
      </c>
      <c r="O135" s="17">
        <f t="shared" ca="1" si="28"/>
        <v>0</v>
      </c>
      <c r="P135" s="17">
        <f t="shared" si="29"/>
        <v>24771284.322765879</v>
      </c>
      <c r="Q135" s="17">
        <f t="shared" si="30"/>
        <v>0</v>
      </c>
      <c r="R135" s="17">
        <f t="shared" si="31"/>
        <v>0</v>
      </c>
      <c r="S135" s="17">
        <f t="shared" ca="1" si="32"/>
        <v>39188513.583062813</v>
      </c>
      <c r="U135" s="17"/>
      <c r="V135" s="30"/>
    </row>
    <row r="136" spans="1:22" x14ac:dyDescent="0.2">
      <c r="A136" s="28">
        <f t="shared" si="21"/>
        <v>45717</v>
      </c>
      <c r="B136">
        <f t="shared" si="22"/>
        <v>3</v>
      </c>
      <c r="C136">
        <f t="shared" si="23"/>
        <v>2025</v>
      </c>
      <c r="D136" s="33"/>
      <c r="E136" s="10">
        <f t="shared" ca="1" si="26"/>
        <v>531.1185376765136</v>
      </c>
      <c r="F136" s="10">
        <f t="shared" ca="1" si="26"/>
        <v>0</v>
      </c>
      <c r="G136" s="98">
        <f>'Monthly Data'!AG136</f>
        <v>0</v>
      </c>
      <c r="H136" s="98">
        <f>'Monthly Data'!AB136</f>
        <v>0</v>
      </c>
      <c r="I136">
        <f t="shared" si="24"/>
        <v>31</v>
      </c>
      <c r="J136">
        <f>'Monthly Data'!BS136</f>
        <v>0</v>
      </c>
      <c r="K136">
        <f t="shared" si="25"/>
        <v>1</v>
      </c>
      <c r="L136" s="11"/>
      <c r="M136" s="17">
        <f t="shared" si="14"/>
        <v>-1956373.74241439</v>
      </c>
      <c r="N136" s="17">
        <f t="shared" ca="1" si="27"/>
        <v>13261628.718167821</v>
      </c>
      <c r="O136" s="17">
        <f t="shared" ca="1" si="28"/>
        <v>0</v>
      </c>
      <c r="P136" s="17">
        <f t="shared" si="29"/>
        <v>27425350.500205077</v>
      </c>
      <c r="Q136" s="17">
        <f t="shared" si="30"/>
        <v>0</v>
      </c>
      <c r="R136" s="17">
        <f t="shared" si="31"/>
        <v>-1149094.2112539201</v>
      </c>
      <c r="S136" s="17">
        <f t="shared" ca="1" si="32"/>
        <v>37581511.264704593</v>
      </c>
      <c r="U136" s="17"/>
      <c r="V136" s="30"/>
    </row>
    <row r="137" spans="1:22" x14ac:dyDescent="0.2">
      <c r="A137" s="28">
        <f t="shared" si="21"/>
        <v>45748</v>
      </c>
      <c r="B137">
        <f t="shared" si="22"/>
        <v>4</v>
      </c>
      <c r="C137">
        <f t="shared" si="23"/>
        <v>2025</v>
      </c>
      <c r="D137" s="33"/>
      <c r="E137" s="10">
        <f t="shared" ca="1" si="26"/>
        <v>291.21791666666667</v>
      </c>
      <c r="F137" s="10">
        <f t="shared" ca="1" si="26"/>
        <v>0</v>
      </c>
      <c r="G137" s="98">
        <f>'Monthly Data'!AG137</f>
        <v>0</v>
      </c>
      <c r="H137" s="98">
        <f>'Monthly Data'!AB137</f>
        <v>0</v>
      </c>
      <c r="I137">
        <f t="shared" si="24"/>
        <v>30</v>
      </c>
      <c r="J137">
        <f>'Monthly Data'!BS137</f>
        <v>0</v>
      </c>
      <c r="K137">
        <f t="shared" si="25"/>
        <v>1</v>
      </c>
      <c r="L137" s="11"/>
      <c r="M137" s="17">
        <f t="shared" si="14"/>
        <v>-1956373.74241439</v>
      </c>
      <c r="N137" s="17">
        <f t="shared" ca="1" si="27"/>
        <v>7271491.4147167243</v>
      </c>
      <c r="O137" s="17">
        <f t="shared" ca="1" si="28"/>
        <v>0</v>
      </c>
      <c r="P137" s="17">
        <f t="shared" si="29"/>
        <v>26540661.774392013</v>
      </c>
      <c r="Q137" s="17">
        <f t="shared" si="30"/>
        <v>0</v>
      </c>
      <c r="R137" s="17">
        <f t="shared" si="31"/>
        <v>-1149094.2112539201</v>
      </c>
      <c r="S137" s="17">
        <f t="shared" ca="1" si="32"/>
        <v>30706685.235440429</v>
      </c>
      <c r="U137" s="17"/>
      <c r="V137" s="31"/>
    </row>
    <row r="138" spans="1:22" x14ac:dyDescent="0.2">
      <c r="A138" s="28">
        <f t="shared" si="21"/>
        <v>45778</v>
      </c>
      <c r="B138">
        <f t="shared" si="22"/>
        <v>5</v>
      </c>
      <c r="C138">
        <f t="shared" si="23"/>
        <v>2025</v>
      </c>
      <c r="D138" s="33"/>
      <c r="E138" s="10">
        <f t="shared" ca="1" si="26"/>
        <v>76.006595892171191</v>
      </c>
      <c r="F138" s="10">
        <f t="shared" ca="1" si="26"/>
        <v>9.6293749999999996</v>
      </c>
      <c r="G138" s="98">
        <f>'Monthly Data'!AG138</f>
        <v>0</v>
      </c>
      <c r="H138" s="98">
        <f>'Monthly Data'!AB138</f>
        <v>0</v>
      </c>
      <c r="I138">
        <f t="shared" si="24"/>
        <v>31</v>
      </c>
      <c r="J138">
        <f>'Monthly Data'!BS138</f>
        <v>0</v>
      </c>
      <c r="K138">
        <f t="shared" si="25"/>
        <v>1</v>
      </c>
      <c r="L138" s="11"/>
      <c r="M138" s="17">
        <f t="shared" si="14"/>
        <v>-1956373.74241439</v>
      </c>
      <c r="N138" s="17">
        <f t="shared" ca="1" si="27"/>
        <v>1897827.2896731673</v>
      </c>
      <c r="O138" s="17">
        <f t="shared" ca="1" si="28"/>
        <v>507100.96506269928</v>
      </c>
      <c r="P138" s="17">
        <f t="shared" si="29"/>
        <v>27425350.500205077</v>
      </c>
      <c r="Q138" s="17">
        <f t="shared" si="30"/>
        <v>0</v>
      </c>
      <c r="R138" s="17">
        <f t="shared" si="31"/>
        <v>-1149094.2112539201</v>
      </c>
      <c r="S138" s="17">
        <f t="shared" ca="1" si="32"/>
        <v>26724810.801272634</v>
      </c>
      <c r="U138" s="17"/>
      <c r="V138" s="31"/>
    </row>
    <row r="139" spans="1:22" x14ac:dyDescent="0.2">
      <c r="A139" s="28">
        <f t="shared" si="21"/>
        <v>45809</v>
      </c>
      <c r="B139">
        <f t="shared" si="22"/>
        <v>6</v>
      </c>
      <c r="C139">
        <f t="shared" si="23"/>
        <v>2025</v>
      </c>
      <c r="D139" s="33"/>
      <c r="E139" s="10">
        <f t="shared" ca="1" si="26"/>
        <v>4.2034708921711843</v>
      </c>
      <c r="F139" s="10">
        <f t="shared" ca="1" si="26"/>
        <v>25.077154107828811</v>
      </c>
      <c r="G139" s="98">
        <f>'Monthly Data'!AG139</f>
        <v>0</v>
      </c>
      <c r="H139" s="98">
        <f>'Monthly Data'!AB139</f>
        <v>0</v>
      </c>
      <c r="I139">
        <f t="shared" si="24"/>
        <v>30</v>
      </c>
      <c r="J139">
        <f>'Monthly Data'!BS139</f>
        <v>0</v>
      </c>
      <c r="K139">
        <f t="shared" si="25"/>
        <v>0</v>
      </c>
      <c r="L139" s="11"/>
      <c r="M139" s="17">
        <f t="shared" si="14"/>
        <v>-1956373.74241439</v>
      </c>
      <c r="N139" s="17">
        <f t="shared" ca="1" si="27"/>
        <v>104957.49318686409</v>
      </c>
      <c r="O139" s="17">
        <f t="shared" ca="1" si="28"/>
        <v>1320610.0135373296</v>
      </c>
      <c r="P139" s="17">
        <f t="shared" si="29"/>
        <v>26540661.774392013</v>
      </c>
      <c r="Q139" s="17">
        <f t="shared" si="30"/>
        <v>0</v>
      </c>
      <c r="R139" s="17">
        <f t="shared" si="31"/>
        <v>0</v>
      </c>
      <c r="S139" s="17">
        <f t="shared" ca="1" si="32"/>
        <v>26009855.538701817</v>
      </c>
      <c r="U139" s="17"/>
      <c r="V139" s="31"/>
    </row>
    <row r="140" spans="1:22" x14ac:dyDescent="0.2">
      <c r="A140" s="28">
        <f t="shared" si="21"/>
        <v>45839</v>
      </c>
      <c r="B140">
        <f t="shared" si="22"/>
        <v>7</v>
      </c>
      <c r="C140">
        <f t="shared" si="23"/>
        <v>2025</v>
      </c>
      <c r="D140" s="33"/>
      <c r="E140" s="10">
        <f t="shared" ca="1" si="26"/>
        <v>0</v>
      </c>
      <c r="F140" s="10">
        <f t="shared" ca="1" si="26"/>
        <v>56.475141548990976</v>
      </c>
      <c r="G140" s="98">
        <f>'Monthly Data'!AG140</f>
        <v>0</v>
      </c>
      <c r="H140" s="98">
        <f>'Monthly Data'!AB140</f>
        <v>0</v>
      </c>
      <c r="I140">
        <f t="shared" si="24"/>
        <v>31</v>
      </c>
      <c r="J140">
        <f>'Monthly Data'!BS140</f>
        <v>0</v>
      </c>
      <c r="K140">
        <f t="shared" si="25"/>
        <v>0</v>
      </c>
      <c r="L140" s="11"/>
      <c r="M140" s="17">
        <f t="shared" si="14"/>
        <v>-1956373.74241439</v>
      </c>
      <c r="N140" s="17">
        <f t="shared" ca="1" si="27"/>
        <v>0</v>
      </c>
      <c r="O140" s="17">
        <f t="shared" ca="1" si="28"/>
        <v>2974086.9767296286</v>
      </c>
      <c r="P140" s="17">
        <f t="shared" si="29"/>
        <v>27425350.500205077</v>
      </c>
      <c r="Q140" s="17">
        <f t="shared" si="30"/>
        <v>0</v>
      </c>
      <c r="R140" s="17">
        <f t="shared" si="31"/>
        <v>0</v>
      </c>
      <c r="S140" s="17">
        <f t="shared" ca="1" si="32"/>
        <v>28443063.734520316</v>
      </c>
      <c r="U140" s="17"/>
      <c r="V140" s="31"/>
    </row>
    <row r="141" spans="1:22" x14ac:dyDescent="0.2">
      <c r="A141" s="28">
        <f t="shared" si="21"/>
        <v>45870</v>
      </c>
      <c r="B141">
        <f t="shared" si="22"/>
        <v>8</v>
      </c>
      <c r="C141">
        <f t="shared" si="23"/>
        <v>2025</v>
      </c>
      <c r="D141" s="33"/>
      <c r="E141" s="10">
        <f t="shared" ca="1" si="26"/>
        <v>0.73208333333333309</v>
      </c>
      <c r="F141" s="10">
        <f t="shared" ca="1" si="26"/>
        <v>35.296250000000008</v>
      </c>
      <c r="G141" s="98">
        <f>'Monthly Data'!AG141</f>
        <v>0</v>
      </c>
      <c r="H141" s="98">
        <f>'Monthly Data'!AB141</f>
        <v>0</v>
      </c>
      <c r="I141">
        <f t="shared" si="24"/>
        <v>31</v>
      </c>
      <c r="J141">
        <f>'Monthly Data'!BS141</f>
        <v>0</v>
      </c>
      <c r="K141">
        <f t="shared" si="25"/>
        <v>0</v>
      </c>
      <c r="L141" s="11"/>
      <c r="M141" s="17">
        <f t="shared" si="14"/>
        <v>-1956373.74241439</v>
      </c>
      <c r="N141" s="17">
        <f t="shared" ca="1" si="27"/>
        <v>18279.567871793144</v>
      </c>
      <c r="O141" s="17">
        <f t="shared" ca="1" si="28"/>
        <v>1858766.7878854342</v>
      </c>
      <c r="P141" s="17">
        <f t="shared" si="29"/>
        <v>27425350.500205077</v>
      </c>
      <c r="Q141" s="17">
        <f t="shared" si="30"/>
        <v>0</v>
      </c>
      <c r="R141" s="17">
        <f t="shared" si="31"/>
        <v>0</v>
      </c>
      <c r="S141" s="17">
        <f t="shared" ca="1" si="32"/>
        <v>27346023.113547914</v>
      </c>
      <c r="U141" s="17"/>
      <c r="V141" s="31"/>
    </row>
    <row r="142" spans="1:22" x14ac:dyDescent="0.2">
      <c r="A142" s="28">
        <f t="shared" si="21"/>
        <v>45901</v>
      </c>
      <c r="B142">
        <f t="shared" si="22"/>
        <v>9</v>
      </c>
      <c r="C142">
        <f t="shared" si="23"/>
        <v>2025</v>
      </c>
      <c r="D142" s="33"/>
      <c r="E142" s="10">
        <f t="shared" ca="1" si="26"/>
        <v>26.6509001176757</v>
      </c>
      <c r="F142" s="10">
        <f t="shared" ca="1" si="26"/>
        <v>11.128958333333333</v>
      </c>
      <c r="G142" s="98">
        <f>'Monthly Data'!AG142</f>
        <v>0</v>
      </c>
      <c r="H142" s="98">
        <f>'Monthly Data'!AB142</f>
        <v>0</v>
      </c>
      <c r="I142">
        <f t="shared" si="24"/>
        <v>30</v>
      </c>
      <c r="J142">
        <f>'Monthly Data'!BS142</f>
        <v>0</v>
      </c>
      <c r="K142">
        <f t="shared" si="25"/>
        <v>1</v>
      </c>
      <c r="L142" s="11"/>
      <c r="M142" s="17">
        <f t="shared" si="14"/>
        <v>-1956373.74241439</v>
      </c>
      <c r="N142" s="17">
        <f t="shared" ca="1" si="27"/>
        <v>665452.84582187783</v>
      </c>
      <c r="O142" s="17">
        <f t="shared" ca="1" si="28"/>
        <v>586071.83861630713</v>
      </c>
      <c r="P142" s="17">
        <f t="shared" si="29"/>
        <v>26540661.774392013</v>
      </c>
      <c r="Q142" s="17">
        <f t="shared" si="30"/>
        <v>0</v>
      </c>
      <c r="R142" s="17">
        <f t="shared" si="31"/>
        <v>-1149094.2112539201</v>
      </c>
      <c r="S142" s="17">
        <f t="shared" ca="1" si="32"/>
        <v>24686718.505161889</v>
      </c>
      <c r="U142" s="17"/>
      <c r="V142" s="31"/>
    </row>
    <row r="143" spans="1:22" x14ac:dyDescent="0.2">
      <c r="A143" s="28">
        <f t="shared" si="21"/>
        <v>45931</v>
      </c>
      <c r="B143">
        <f t="shared" si="22"/>
        <v>10</v>
      </c>
      <c r="C143">
        <f t="shared" si="23"/>
        <v>2025</v>
      </c>
      <c r="D143" s="33"/>
      <c r="E143" s="10">
        <f t="shared" ref="E143:F145" ca="1" si="33">E131</f>
        <v>177.51367324027484</v>
      </c>
      <c r="F143" s="10">
        <f t="shared" ca="1" si="33"/>
        <v>0.44687499999999963</v>
      </c>
      <c r="G143" s="98">
        <f>'Monthly Data'!AG143</f>
        <v>0</v>
      </c>
      <c r="H143" s="98">
        <f>'Monthly Data'!AB143</f>
        <v>0</v>
      </c>
      <c r="I143">
        <f t="shared" si="24"/>
        <v>31</v>
      </c>
      <c r="J143">
        <f>'Monthly Data'!BS143</f>
        <v>0</v>
      </c>
      <c r="K143">
        <f t="shared" si="25"/>
        <v>1</v>
      </c>
      <c r="L143" s="11"/>
      <c r="M143" s="17">
        <f t="shared" si="14"/>
        <v>-1956373.74241439</v>
      </c>
      <c r="N143" s="17">
        <f t="shared" ca="1" si="27"/>
        <v>4432382.3401255533</v>
      </c>
      <c r="O143" s="17">
        <f t="shared" ca="1" si="28"/>
        <v>23533.276434077346</v>
      </c>
      <c r="P143" s="17">
        <f t="shared" si="29"/>
        <v>27425350.500205077</v>
      </c>
      <c r="Q143" s="17">
        <f t="shared" si="30"/>
        <v>0</v>
      </c>
      <c r="R143" s="17">
        <f t="shared" si="31"/>
        <v>-1149094.2112539201</v>
      </c>
      <c r="S143" s="17">
        <f t="shared" ca="1" si="32"/>
        <v>28775798.163096398</v>
      </c>
      <c r="U143" s="17"/>
      <c r="V143" s="31"/>
    </row>
    <row r="144" spans="1:22" x14ac:dyDescent="0.2">
      <c r="A144" s="28">
        <f t="shared" si="21"/>
        <v>45962</v>
      </c>
      <c r="B144">
        <f t="shared" si="22"/>
        <v>11</v>
      </c>
      <c r="C144">
        <f t="shared" si="23"/>
        <v>2025</v>
      </c>
      <c r="D144" s="33"/>
      <c r="E144" s="10">
        <f t="shared" ca="1" si="33"/>
        <v>390.8187460098469</v>
      </c>
      <c r="F144" s="10">
        <f t="shared" ca="1" si="33"/>
        <v>0</v>
      </c>
      <c r="G144" s="98">
        <f>'Monthly Data'!AG144</f>
        <v>0</v>
      </c>
      <c r="H144" s="98">
        <f>'Monthly Data'!AB144</f>
        <v>0</v>
      </c>
      <c r="I144">
        <f t="shared" si="24"/>
        <v>30</v>
      </c>
      <c r="J144">
        <f>'Monthly Data'!BS144</f>
        <v>0</v>
      </c>
      <c r="K144">
        <f t="shared" si="25"/>
        <v>1</v>
      </c>
      <c r="L144" s="11"/>
      <c r="M144" s="17">
        <f t="shared" si="14"/>
        <v>-1956373.74241439</v>
      </c>
      <c r="N144" s="17">
        <f t="shared" ca="1" si="27"/>
        <v>9758448.8923247606</v>
      </c>
      <c r="O144" s="17">
        <f t="shared" ca="1" si="28"/>
        <v>0</v>
      </c>
      <c r="P144" s="17">
        <f t="shared" si="29"/>
        <v>26540661.774392013</v>
      </c>
      <c r="Q144" s="17">
        <f t="shared" si="30"/>
        <v>0</v>
      </c>
      <c r="R144" s="17">
        <f t="shared" si="31"/>
        <v>-1149094.2112539201</v>
      </c>
      <c r="S144" s="17">
        <f t="shared" ca="1" si="32"/>
        <v>33193642.713048466</v>
      </c>
      <c r="U144" s="17"/>
      <c r="V144" s="31"/>
    </row>
    <row r="145" spans="1:22" x14ac:dyDescent="0.2">
      <c r="A145" s="28">
        <f t="shared" si="21"/>
        <v>45992</v>
      </c>
      <c r="B145">
        <f t="shared" si="22"/>
        <v>12</v>
      </c>
      <c r="C145">
        <f t="shared" si="23"/>
        <v>2025</v>
      </c>
      <c r="D145" s="33"/>
      <c r="E145" s="10">
        <f t="shared" ca="1" si="33"/>
        <v>570.62936502461719</v>
      </c>
      <c r="F145" s="10">
        <f t="shared" ca="1" si="33"/>
        <v>0</v>
      </c>
      <c r="G145" s="98">
        <f>'Monthly Data'!AG145</f>
        <v>0</v>
      </c>
      <c r="H145" s="98">
        <f>'Monthly Data'!AB145</f>
        <v>0</v>
      </c>
      <c r="I145">
        <f t="shared" si="24"/>
        <v>31</v>
      </c>
      <c r="J145">
        <f>'Monthly Data'!BS145</f>
        <v>0</v>
      </c>
      <c r="K145">
        <f t="shared" si="25"/>
        <v>0</v>
      </c>
      <c r="L145" s="11"/>
      <c r="M145" s="17">
        <f t="shared" si="14"/>
        <v>-1956373.74241439</v>
      </c>
      <c r="N145" s="17">
        <f t="shared" ca="1" si="27"/>
        <v>14248184.233496714</v>
      </c>
      <c r="O145" s="17">
        <f t="shared" ca="1" si="28"/>
        <v>0</v>
      </c>
      <c r="P145" s="17">
        <f t="shared" si="29"/>
        <v>27425350.500205077</v>
      </c>
      <c r="Q145" s="17">
        <f t="shared" si="30"/>
        <v>0</v>
      </c>
      <c r="R145" s="17">
        <f t="shared" si="31"/>
        <v>0</v>
      </c>
      <c r="S145" s="17">
        <f t="shared" ca="1" si="32"/>
        <v>39717160.991287403</v>
      </c>
      <c r="U145" s="17"/>
      <c r="V145" s="31"/>
    </row>
    <row r="146" spans="1:22" x14ac:dyDescent="0.2">
      <c r="U146" s="17"/>
      <c r="V146" s="31"/>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E2824-68B1-4A28-AC04-41929891DB7A}">
  <sheetPr>
    <tabColor theme="8" tint="0.79998168889431442"/>
  </sheetPr>
  <dimension ref="A1:AA146"/>
  <sheetViews>
    <sheetView workbookViewId="0">
      <selection activeCell="W2" sqref="W2:AB22"/>
    </sheetView>
  </sheetViews>
  <sheetFormatPr defaultRowHeight="12.75" x14ac:dyDescent="0.2"/>
  <cols>
    <col min="1" max="1" width="12.83203125" style="28" customWidth="1"/>
    <col min="4" max="4" width="19.5" style="18" bestFit="1" customWidth="1"/>
    <col min="6" max="8" width="10.33203125" customWidth="1"/>
    <col min="11" max="11" width="9.33203125" bestFit="1" customWidth="1"/>
    <col min="14" max="14" width="12" bestFit="1" customWidth="1"/>
    <col min="15" max="15" width="12.83203125" bestFit="1" customWidth="1"/>
    <col min="16" max="16" width="12" customWidth="1"/>
    <col min="17" max="17" width="12.83203125" bestFit="1" customWidth="1"/>
    <col min="18" max="18" width="13.6640625" bestFit="1" customWidth="1"/>
    <col min="19" max="19" width="13.1640625" bestFit="1" customWidth="1"/>
    <col min="20" max="20" width="13" customWidth="1"/>
    <col min="21" max="21" width="14.83203125" bestFit="1" customWidth="1"/>
    <col min="23" max="23" width="14.83203125" bestFit="1" customWidth="1"/>
    <col min="24" max="24" width="12.1640625" bestFit="1" customWidth="1"/>
  </cols>
  <sheetData>
    <row r="1" spans="1:27" x14ac:dyDescent="0.2">
      <c r="A1" s="28" t="str">
        <f>'Monthly Data'!A1</f>
        <v>Date</v>
      </c>
      <c r="B1" t="str">
        <f>'Monthly Data'!C1</f>
        <v>Month</v>
      </c>
      <c r="C1" t="str">
        <f>'Monthly Data'!B1</f>
        <v>Year</v>
      </c>
      <c r="D1" s="18" t="str">
        <f>'Monthly Data'!J1</f>
        <v>GS_lt_50_NoCDM</v>
      </c>
      <c r="E1" t="s">
        <v>451</v>
      </c>
      <c r="F1" s="98" t="s">
        <v>449</v>
      </c>
      <c r="G1" s="98" t="str">
        <f>'Monthly Data'!AI1</f>
        <v>HDD10</v>
      </c>
      <c r="H1" s="98" t="str">
        <f>'Monthly Data'!AB1</f>
        <v>CDD18</v>
      </c>
      <c r="I1" t="str">
        <f>'Monthly Data'!BO1</f>
        <v>MonthDays</v>
      </c>
      <c r="J1" t="str">
        <f>'Monthly Data'!BR1</f>
        <v>COVID_AM</v>
      </c>
      <c r="K1" t="str">
        <f>'Monthly Data'!AO1</f>
        <v>OntFTEs</v>
      </c>
      <c r="L1" t="str">
        <f>'Monthly Data'!BM1</f>
        <v>FallA</v>
      </c>
      <c r="N1" t="s">
        <v>134</v>
      </c>
      <c r="O1" t="str">
        <f t="shared" ref="O1:P1" si="0">G1</f>
        <v>HDD10</v>
      </c>
      <c r="P1" t="str">
        <f t="shared" si="0"/>
        <v>CDD18</v>
      </c>
      <c r="Q1" t="str">
        <f>I1</f>
        <v>MonthDays</v>
      </c>
      <c r="R1" t="str">
        <f>J1</f>
        <v>COVID_AM</v>
      </c>
      <c r="S1" t="str">
        <f>K1</f>
        <v>OntFTEs</v>
      </c>
      <c r="T1" t="str">
        <f>L1</f>
        <v>FallA</v>
      </c>
      <c r="U1" t="s">
        <v>450</v>
      </c>
    </row>
    <row r="2" spans="1:27" x14ac:dyDescent="0.2">
      <c r="A2" s="28">
        <f>'Monthly Data'!A2</f>
        <v>41640</v>
      </c>
      <c r="B2">
        <f>'Monthly Data'!C2</f>
        <v>1</v>
      </c>
      <c r="C2">
        <f>'Monthly Data'!B2</f>
        <v>2014</v>
      </c>
      <c r="D2" s="18">
        <f>'Monthly Data'!J2</f>
        <v>15157471.269168407</v>
      </c>
      <c r="E2" s="215">
        <f ca="1">Weather!CT36</f>
        <v>666.68367523535153</v>
      </c>
      <c r="F2" s="217">
        <f ca="1">Weather!AM36</f>
        <v>0</v>
      </c>
      <c r="G2" s="98">
        <f>'Monthly Data'!AI2</f>
        <v>775.07916666666665</v>
      </c>
      <c r="H2" s="98">
        <f>'Monthly Data'!AB2</f>
        <v>0</v>
      </c>
      <c r="I2">
        <f>'Monthly Data'!BO2</f>
        <v>31</v>
      </c>
      <c r="J2">
        <f>'Monthly Data'!BR2</f>
        <v>0</v>
      </c>
      <c r="K2" s="17">
        <f>'Monthly Data'!AO2</f>
        <v>6770.4</v>
      </c>
      <c r="L2">
        <f>'Monthly Data'!BM2</f>
        <v>0</v>
      </c>
      <c r="N2" s="17"/>
      <c r="O2" s="17">
        <f ca="1">(E2-G2)*$X$8</f>
        <v>-558272.90147500311</v>
      </c>
      <c r="P2" s="17">
        <f ca="1">(F2-H2)*$X$9</f>
        <v>0</v>
      </c>
      <c r="Q2" s="17"/>
      <c r="R2" s="17"/>
      <c r="S2" s="17"/>
      <c r="T2" s="17"/>
      <c r="U2" s="17">
        <f ca="1">D2+SUM(N2:T2)</f>
        <v>14599198.367693404</v>
      </c>
      <c r="W2" t="s">
        <v>486</v>
      </c>
    </row>
    <row r="3" spans="1:27" x14ac:dyDescent="0.2">
      <c r="A3" s="28">
        <f>'Monthly Data'!A3</f>
        <v>41671</v>
      </c>
      <c r="B3">
        <f>'Monthly Data'!C3</f>
        <v>2</v>
      </c>
      <c r="C3">
        <f>'Monthly Data'!B3</f>
        <v>2014</v>
      </c>
      <c r="D3" s="18">
        <f>'Monthly Data'!J3</f>
        <v>13487868.740983315</v>
      </c>
      <c r="E3" s="215">
        <f ca="1">Weather!CT37</f>
        <v>599.3508333333333</v>
      </c>
      <c r="F3" s="217">
        <f ca="1">Weather!AM37</f>
        <v>0</v>
      </c>
      <c r="G3" s="98">
        <f>'Monthly Data'!AI3</f>
        <v>649.85208333333344</v>
      </c>
      <c r="H3" s="98">
        <f>'Monthly Data'!AB3</f>
        <v>0</v>
      </c>
      <c r="I3">
        <f>'Monthly Data'!BO3</f>
        <v>28</v>
      </c>
      <c r="J3">
        <f>'Monthly Data'!BR3</f>
        <v>0</v>
      </c>
      <c r="K3" s="17">
        <f>'Monthly Data'!AO3</f>
        <v>6732.3</v>
      </c>
      <c r="L3">
        <f>'Monthly Data'!BM3</f>
        <v>0</v>
      </c>
      <c r="N3" s="17"/>
      <c r="O3" s="17">
        <f t="shared" ref="O3:O19" ca="1" si="1">(E3-G3)*$X$8</f>
        <v>-260098.26601948103</v>
      </c>
      <c r="P3" s="17">
        <f t="shared" ref="P3:P19" ca="1" si="2">(F3-H3)*$X$9</f>
        <v>0</v>
      </c>
      <c r="Q3" s="17"/>
      <c r="R3" s="17"/>
      <c r="S3" s="17"/>
      <c r="T3" s="17"/>
      <c r="U3" s="17">
        <f t="shared" ref="U3:U19" ca="1" si="3">D3+SUM(N3:T3)</f>
        <v>13227770.474963835</v>
      </c>
      <c r="W3" t="s">
        <v>154</v>
      </c>
    </row>
    <row r="4" spans="1:27" x14ac:dyDescent="0.2">
      <c r="A4" s="28">
        <f>'Monthly Data'!A4</f>
        <v>41699</v>
      </c>
      <c r="B4">
        <f>'Monthly Data'!C4</f>
        <v>3</v>
      </c>
      <c r="C4">
        <f>'Monthly Data'!B4</f>
        <v>2014</v>
      </c>
      <c r="D4" s="18">
        <f>'Monthly Data'!J4</f>
        <v>13775543.68756731</v>
      </c>
      <c r="E4" s="215">
        <f ca="1">Weather!CT38</f>
        <v>469.11853767651354</v>
      </c>
      <c r="F4" s="217">
        <f ca="1">Weather!AM38</f>
        <v>0</v>
      </c>
      <c r="G4" s="98">
        <f>'Monthly Data'!AI4</f>
        <v>617.39791666666656</v>
      </c>
      <c r="H4" s="98">
        <f>'Monthly Data'!AB4</f>
        <v>0</v>
      </c>
      <c r="I4">
        <f>'Monthly Data'!BO4</f>
        <v>31</v>
      </c>
      <c r="J4">
        <f>'Monthly Data'!BR4</f>
        <v>0</v>
      </c>
      <c r="K4" s="17">
        <f>'Monthly Data'!AO4</f>
        <v>6704.5</v>
      </c>
      <c r="L4">
        <f>'Monthly Data'!BM4</f>
        <v>0</v>
      </c>
      <c r="N4" s="17"/>
      <c r="O4" s="17">
        <f t="shared" ca="1" si="1"/>
        <v>-763688.2129013472</v>
      </c>
      <c r="P4" s="17">
        <f t="shared" ca="1" si="2"/>
        <v>0</v>
      </c>
      <c r="Q4" s="17"/>
      <c r="R4" s="17"/>
      <c r="S4" s="17"/>
      <c r="T4" s="17"/>
      <c r="U4" s="17">
        <f t="shared" ca="1" si="3"/>
        <v>13011855.474665964</v>
      </c>
      <c r="W4" t="s">
        <v>491</v>
      </c>
    </row>
    <row r="5" spans="1:27" x14ac:dyDescent="0.2">
      <c r="A5" s="28">
        <f>'Monthly Data'!A5</f>
        <v>41730</v>
      </c>
      <c r="B5">
        <f>'Monthly Data'!C5</f>
        <v>4</v>
      </c>
      <c r="C5">
        <f>'Monthly Data'!B5</f>
        <v>2014</v>
      </c>
      <c r="D5" s="18">
        <f>'Monthly Data'!J5</f>
        <v>11881176.66165504</v>
      </c>
      <c r="E5" s="215">
        <f ca="1">Weather!CT39</f>
        <v>233.92395833333336</v>
      </c>
      <c r="F5" s="217">
        <f ca="1">Weather!AM39</f>
        <v>0</v>
      </c>
      <c r="G5" s="98">
        <f>'Monthly Data'!AI5</f>
        <v>257.06666666666666</v>
      </c>
      <c r="H5" s="98">
        <f>'Monthly Data'!AB5</f>
        <v>0</v>
      </c>
      <c r="I5">
        <f>'Monthly Data'!BO5</f>
        <v>30</v>
      </c>
      <c r="J5">
        <f>'Monthly Data'!BR5</f>
        <v>0</v>
      </c>
      <c r="K5" s="17">
        <f>'Monthly Data'!AO5</f>
        <v>6732.1</v>
      </c>
      <c r="L5">
        <f>'Monthly Data'!BM5</f>
        <v>0</v>
      </c>
      <c r="N5" s="17"/>
      <c r="O5" s="17">
        <f t="shared" ca="1" si="1"/>
        <v>-119192.65975583909</v>
      </c>
      <c r="P5" s="17">
        <f t="shared" ca="1" si="2"/>
        <v>0</v>
      </c>
      <c r="Q5" s="17"/>
      <c r="R5" s="17"/>
      <c r="S5" s="17"/>
      <c r="T5" s="17"/>
      <c r="U5" s="17">
        <f t="shared" ca="1" si="3"/>
        <v>11761984.001899201</v>
      </c>
    </row>
    <row r="6" spans="1:27" x14ac:dyDescent="0.2">
      <c r="A6" s="28">
        <f>'Monthly Data'!A6</f>
        <v>41760</v>
      </c>
      <c r="B6">
        <f>'Monthly Data'!C6</f>
        <v>5</v>
      </c>
      <c r="C6">
        <f>'Monthly Data'!B6</f>
        <v>2014</v>
      </c>
      <c r="D6" s="18">
        <f>'Monthly Data'!J6</f>
        <v>11035623.923947429</v>
      </c>
      <c r="E6" s="215">
        <f ca="1">Weather!CT40</f>
        <v>46.324929225504526</v>
      </c>
      <c r="F6" s="217">
        <f ca="1">Weather!AM40</f>
        <v>9.6293749999999996</v>
      </c>
      <c r="G6" s="98">
        <f>'Monthly Data'!AI6</f>
        <v>45.758333333333333</v>
      </c>
      <c r="H6" s="98">
        <f>'Monthly Data'!AB6</f>
        <v>2.4458333333333329</v>
      </c>
      <c r="I6">
        <f>'Monthly Data'!BO6</f>
        <v>31</v>
      </c>
      <c r="J6">
        <f>'Monthly Data'!BR6</f>
        <v>0</v>
      </c>
      <c r="K6" s="17">
        <f>'Monthly Data'!AO6</f>
        <v>6790.3</v>
      </c>
      <c r="L6">
        <f>'Monthly Data'!BM6</f>
        <v>0</v>
      </c>
      <c r="N6" s="17"/>
      <c r="O6" s="17">
        <f t="shared" ca="1" si="1"/>
        <v>2918.1576512955189</v>
      </c>
      <c r="P6" s="17">
        <f t="shared" ca="1" si="2"/>
        <v>89352.511019395999</v>
      </c>
      <c r="Q6" s="17"/>
      <c r="R6" s="17"/>
      <c r="S6" s="17"/>
      <c r="T6" s="17"/>
      <c r="U6" s="17">
        <f t="shared" ca="1" si="3"/>
        <v>11127894.592618121</v>
      </c>
      <c r="X6" t="s">
        <v>139</v>
      </c>
      <c r="Y6" t="s">
        <v>140</v>
      </c>
      <c r="Z6" t="s">
        <v>141</v>
      </c>
      <c r="AA6" t="s">
        <v>142</v>
      </c>
    </row>
    <row r="7" spans="1:27" x14ac:dyDescent="0.2">
      <c r="A7" s="28">
        <f>'Monthly Data'!A7</f>
        <v>41791</v>
      </c>
      <c r="B7">
        <f>'Monthly Data'!C7</f>
        <v>6</v>
      </c>
      <c r="C7">
        <f>'Monthly Data'!B7</f>
        <v>2014</v>
      </c>
      <c r="D7" s="18">
        <f>'Monthly Data'!J7</f>
        <v>10546392.712288998</v>
      </c>
      <c r="E7" s="215">
        <f ca="1">Weather!CT41</f>
        <v>1.25875</v>
      </c>
      <c r="F7" s="217">
        <f ca="1">Weather!AM41</f>
        <v>25.077154107828811</v>
      </c>
      <c r="G7" s="98">
        <f>'Monthly Data'!AI7</f>
        <v>0</v>
      </c>
      <c r="H7" s="98">
        <f>'Monthly Data'!AB7</f>
        <v>21.445833333333336</v>
      </c>
      <c r="I7">
        <f>'Monthly Data'!BO7</f>
        <v>30</v>
      </c>
      <c r="J7">
        <f>'Monthly Data'!BR7</f>
        <v>0</v>
      </c>
      <c r="K7" s="17">
        <f>'Monthly Data'!AO7</f>
        <v>6875.4</v>
      </c>
      <c r="L7">
        <f>'Monthly Data'!BM7</f>
        <v>0</v>
      </c>
      <c r="N7" s="17"/>
      <c r="O7" s="17">
        <f t="shared" ca="1" si="1"/>
        <v>6482.9819529619735</v>
      </c>
      <c r="P7" s="17">
        <f t="shared" ca="1" si="2"/>
        <v>45168.19760699309</v>
      </c>
      <c r="Q7" s="17"/>
      <c r="R7" s="17"/>
      <c r="S7" s="17"/>
      <c r="T7" s="17"/>
      <c r="U7" s="17">
        <f t="shared" ca="1" si="3"/>
        <v>10598043.891848953</v>
      </c>
      <c r="W7" t="s">
        <v>134</v>
      </c>
      <c r="X7" s="105">
        <v>-2608738.8393219002</v>
      </c>
      <c r="Y7" s="105">
        <v>1051118.6724243001</v>
      </c>
      <c r="Z7" s="76">
        <v>-2.48186899135289</v>
      </c>
      <c r="AA7" s="251">
        <v>1.4407810211055199E-2</v>
      </c>
    </row>
    <row r="8" spans="1:27" x14ac:dyDescent="0.2">
      <c r="A8" s="28">
        <f>'Monthly Data'!A8</f>
        <v>41821</v>
      </c>
      <c r="B8">
        <f>'Monthly Data'!C8</f>
        <v>7</v>
      </c>
      <c r="C8">
        <f>'Monthly Data'!B8</f>
        <v>2014</v>
      </c>
      <c r="D8" s="18">
        <f>'Monthly Data'!J8</f>
        <v>10827642.939978894</v>
      </c>
      <c r="E8" s="215">
        <f ca="1">Weather!CT42</f>
        <v>0</v>
      </c>
      <c r="F8" s="217">
        <f ca="1">Weather!AM42</f>
        <v>56.475141548990976</v>
      </c>
      <c r="G8" s="98">
        <f>'Monthly Data'!AI8</f>
        <v>0</v>
      </c>
      <c r="H8" s="98">
        <f>'Monthly Data'!AB8</f>
        <v>15.170833333333327</v>
      </c>
      <c r="I8">
        <f>'Monthly Data'!BO8</f>
        <v>31</v>
      </c>
      <c r="J8">
        <f>'Monthly Data'!BR8</f>
        <v>0</v>
      </c>
      <c r="K8" s="17">
        <f>'Monthly Data'!AO8</f>
        <v>6932</v>
      </c>
      <c r="L8">
        <f>'Monthly Data'!BM8</f>
        <v>0</v>
      </c>
      <c r="N8" s="17"/>
      <c r="O8" s="17">
        <f t="shared" ca="1" si="1"/>
        <v>0</v>
      </c>
      <c r="P8" s="17">
        <f t="shared" ca="1" si="2"/>
        <v>513763.79872807569</v>
      </c>
      <c r="Q8" s="17"/>
      <c r="R8" s="17"/>
      <c r="S8" s="17"/>
      <c r="T8" s="17"/>
      <c r="U8" s="17">
        <f t="shared" ca="1" si="3"/>
        <v>11341406.738706969</v>
      </c>
      <c r="W8" t="s">
        <v>34</v>
      </c>
      <c r="X8" s="105">
        <v>5150.3332297612496</v>
      </c>
      <c r="Y8" s="105">
        <v>162.75791618437401</v>
      </c>
      <c r="Z8" s="76">
        <v>31.6441335113119</v>
      </c>
      <c r="AA8" s="251">
        <v>3.1014345905792298E-61</v>
      </c>
    </row>
    <row r="9" spans="1:27" x14ac:dyDescent="0.2">
      <c r="A9" s="28">
        <f>'Monthly Data'!A9</f>
        <v>41852</v>
      </c>
      <c r="B9">
        <f>'Monthly Data'!C9</f>
        <v>8</v>
      </c>
      <c r="C9">
        <f>'Monthly Data'!B9</f>
        <v>2014</v>
      </c>
      <c r="D9" s="18">
        <f>'Monthly Data'!J9</f>
        <v>10734152.677535055</v>
      </c>
      <c r="E9" s="215">
        <f ca="1">Weather!CT43</f>
        <v>0.1158333333333335</v>
      </c>
      <c r="F9" s="217">
        <f ca="1">Weather!AM43</f>
        <v>35.296250000000008</v>
      </c>
      <c r="G9" s="98">
        <f>'Monthly Data'!AI9</f>
        <v>1.1333333333333346</v>
      </c>
      <c r="H9" s="98">
        <f>'Monthly Data'!AB9</f>
        <v>20.833333333333353</v>
      </c>
      <c r="I9">
        <f>'Monthly Data'!BO9</f>
        <v>31</v>
      </c>
      <c r="J9">
        <f>'Monthly Data'!BR9</f>
        <v>0</v>
      </c>
      <c r="K9" s="17">
        <f>'Monthly Data'!AO9</f>
        <v>6947.8</v>
      </c>
      <c r="L9">
        <f>'Monthly Data'!BM9</f>
        <v>0</v>
      </c>
      <c r="N9" s="17"/>
      <c r="O9" s="17">
        <f t="shared" ca="1" si="1"/>
        <v>-5240.4640612820776</v>
      </c>
      <c r="P9" s="17">
        <f t="shared" ca="1" si="2"/>
        <v>179897.04532897839</v>
      </c>
      <c r="Q9" s="17"/>
      <c r="R9" s="17"/>
      <c r="S9" s="17"/>
      <c r="T9" s="17"/>
      <c r="U9" s="17">
        <f t="shared" ca="1" si="3"/>
        <v>10908809.258802751</v>
      </c>
      <c r="W9" t="s">
        <v>27</v>
      </c>
      <c r="X9" s="105">
        <v>12438.503897598701</v>
      </c>
      <c r="Y9" s="105">
        <v>1499.5838294610701</v>
      </c>
      <c r="Z9" s="76">
        <v>8.2946372541700093</v>
      </c>
      <c r="AA9" s="251">
        <v>1.5398242365267599E-13</v>
      </c>
    </row>
    <row r="10" spans="1:27" x14ac:dyDescent="0.2">
      <c r="A10" s="28">
        <f>'Monthly Data'!A10</f>
        <v>41883</v>
      </c>
      <c r="B10">
        <f>'Monthly Data'!C10</f>
        <v>9</v>
      </c>
      <c r="C10">
        <f>'Monthly Data'!B10</f>
        <v>2014</v>
      </c>
      <c r="D10" s="18">
        <f>'Monthly Data'!J10</f>
        <v>10275750.483334154</v>
      </c>
      <c r="E10" s="215">
        <f ca="1">Weather!CT44</f>
        <v>11.597845892171184</v>
      </c>
      <c r="F10" s="217">
        <f ca="1">Weather!AM44</f>
        <v>11.128958333333333</v>
      </c>
      <c r="G10" s="98">
        <f>'Monthly Data'!AI10</f>
        <v>35.229166666666664</v>
      </c>
      <c r="H10" s="98">
        <f>'Monthly Data'!AB10</f>
        <v>1.2416666666666636</v>
      </c>
      <c r="I10">
        <f>'Monthly Data'!BO10</f>
        <v>30</v>
      </c>
      <c r="J10">
        <f>'Monthly Data'!BR10</f>
        <v>0</v>
      </c>
      <c r="K10" s="17">
        <f>'Monthly Data'!AO10</f>
        <v>6917.2</v>
      </c>
      <c r="L10">
        <f>'Monthly Data'!BM10</f>
        <v>1</v>
      </c>
      <c r="N10" s="17"/>
      <c r="O10" s="17">
        <f t="shared" ca="1" si="1"/>
        <v>-121709.17664803141</v>
      </c>
      <c r="P10" s="17">
        <f t="shared" ca="1" si="2"/>
        <v>122983.11593252853</v>
      </c>
      <c r="Q10" s="17"/>
      <c r="R10" s="17"/>
      <c r="S10" s="17"/>
      <c r="T10" s="17"/>
      <c r="U10" s="17">
        <f t="shared" ca="1" si="3"/>
        <v>10277024.422618652</v>
      </c>
      <c r="W10" t="s">
        <v>66</v>
      </c>
      <c r="X10" s="105">
        <v>298944.06736279302</v>
      </c>
      <c r="Y10" s="105">
        <v>21488.626850028701</v>
      </c>
      <c r="Z10" s="76">
        <v>13.9117343071362</v>
      </c>
      <c r="AA10" s="251">
        <v>4.3715773922929804E-27</v>
      </c>
    </row>
    <row r="11" spans="1:27" x14ac:dyDescent="0.2">
      <c r="A11" s="28">
        <f>'Monthly Data'!A11</f>
        <v>41913</v>
      </c>
      <c r="B11">
        <f>'Monthly Data'!C11</f>
        <v>10</v>
      </c>
      <c r="C11">
        <f>'Monthly Data'!B11</f>
        <v>2014</v>
      </c>
      <c r="D11" s="18">
        <f>'Monthly Data'!J11</f>
        <v>11285129.733190259</v>
      </c>
      <c r="E11" s="215">
        <f ca="1">Weather!CT45</f>
        <v>128.51888157360821</v>
      </c>
      <c r="F11" s="217">
        <f ca="1">Weather!AM45</f>
        <v>0.44687499999999963</v>
      </c>
      <c r="G11" s="98">
        <f>'Monthly Data'!AI11</f>
        <v>131.08956338256775</v>
      </c>
      <c r="H11" s="98">
        <f>'Monthly Data'!AB11</f>
        <v>0</v>
      </c>
      <c r="I11">
        <f>'Monthly Data'!BO11</f>
        <v>31</v>
      </c>
      <c r="J11">
        <f>'Monthly Data'!BR11</f>
        <v>0</v>
      </c>
      <c r="K11" s="17">
        <f>'Monthly Data'!AO11</f>
        <v>6898.9</v>
      </c>
      <c r="L11">
        <f>'Monthly Data'!BM11</f>
        <v>1</v>
      </c>
      <c r="N11" s="17"/>
      <c r="O11" s="17">
        <f t="shared" ca="1" si="1"/>
        <v>-13239.86794382705</v>
      </c>
      <c r="P11" s="17">
        <f t="shared" ca="1" si="2"/>
        <v>5558.4564292394152</v>
      </c>
      <c r="Q11" s="17"/>
      <c r="R11" s="17"/>
      <c r="S11" s="17"/>
      <c r="T11" s="17"/>
      <c r="U11" s="17">
        <f t="shared" ca="1" si="3"/>
        <v>11277448.321675671</v>
      </c>
      <c r="W11" t="s">
        <v>69</v>
      </c>
      <c r="X11" s="105">
        <v>-1187124.61941395</v>
      </c>
      <c r="Y11" s="105">
        <v>198020.08923501501</v>
      </c>
      <c r="Z11" s="76">
        <v>-5.9949706315152804</v>
      </c>
      <c r="AA11" s="251">
        <v>2.06168722112425E-8</v>
      </c>
    </row>
    <row r="12" spans="1:27" x14ac:dyDescent="0.2">
      <c r="A12" s="28">
        <f>'Monthly Data'!A12</f>
        <v>41944</v>
      </c>
      <c r="B12">
        <f>'Monthly Data'!C12</f>
        <v>11</v>
      </c>
      <c r="C12">
        <f>'Monthly Data'!B12</f>
        <v>2014</v>
      </c>
      <c r="D12" s="18">
        <f>'Monthly Data'!J12</f>
        <v>12156627.365140678</v>
      </c>
      <c r="E12" s="215">
        <f ca="1">Weather!CT46</f>
        <v>332.1049960098469</v>
      </c>
      <c r="F12" s="217">
        <f ca="1">Weather!AM46</f>
        <v>0</v>
      </c>
      <c r="G12" s="98">
        <f>'Monthly Data'!AI12</f>
        <v>413.34929225504521</v>
      </c>
      <c r="H12" s="98">
        <f>'Monthly Data'!AB12</f>
        <v>0</v>
      </c>
      <c r="I12">
        <f>'Monthly Data'!BO12</f>
        <v>30</v>
      </c>
      <c r="J12">
        <f>'Monthly Data'!BR12</f>
        <v>0</v>
      </c>
      <c r="K12" s="17">
        <f>'Monthly Data'!AO12</f>
        <v>6871.1</v>
      </c>
      <c r="L12">
        <f>'Monthly Data'!BM12</f>
        <v>0</v>
      </c>
      <c r="N12" s="17"/>
      <c r="O12" s="17">
        <f t="shared" ca="1" si="1"/>
        <v>-418435.19868021202</v>
      </c>
      <c r="P12" s="17">
        <f t="shared" ca="1" si="2"/>
        <v>0</v>
      </c>
      <c r="Q12" s="17"/>
      <c r="R12" s="17"/>
      <c r="S12" s="17"/>
      <c r="T12" s="17"/>
      <c r="U12" s="17">
        <f t="shared" ca="1" si="3"/>
        <v>11738192.166460466</v>
      </c>
      <c r="W12" t="s">
        <v>40</v>
      </c>
      <c r="X12" s="105">
        <v>549.99846443693104</v>
      </c>
      <c r="Y12" s="105">
        <v>112.929474893248</v>
      </c>
      <c r="Z12" s="76">
        <v>4.8702826693991303</v>
      </c>
      <c r="AA12" s="251">
        <v>3.3267379268060099E-6</v>
      </c>
    </row>
    <row r="13" spans="1:27" x14ac:dyDescent="0.2">
      <c r="A13" s="28">
        <f>'Monthly Data'!A13</f>
        <v>41974</v>
      </c>
      <c r="B13">
        <f>'Monthly Data'!C13</f>
        <v>12</v>
      </c>
      <c r="C13">
        <f>'Monthly Data'!B13</f>
        <v>2014</v>
      </c>
      <c r="D13" s="18">
        <f>'Monthly Data'!J13</f>
        <v>13612135.709697366</v>
      </c>
      <c r="E13" s="215">
        <f ca="1">Weather!CT47</f>
        <v>508.62936502461724</v>
      </c>
      <c r="F13" s="217">
        <f ca="1">Weather!AM47</f>
        <v>0</v>
      </c>
      <c r="G13" s="98">
        <f>'Monthly Data'!AI13</f>
        <v>514.76666666666665</v>
      </c>
      <c r="H13" s="98">
        <f>'Monthly Data'!AB13</f>
        <v>0</v>
      </c>
      <c r="I13">
        <f>'Monthly Data'!BO13</f>
        <v>31</v>
      </c>
      <c r="J13">
        <f>'Monthly Data'!BR13</f>
        <v>0</v>
      </c>
      <c r="K13" s="17">
        <f>'Monthly Data'!AO13</f>
        <v>6863.1</v>
      </c>
      <c r="L13">
        <f>'Monthly Data'!BM13</f>
        <v>0</v>
      </c>
      <c r="N13" s="17"/>
      <c r="O13" s="17">
        <f t="shared" ca="1" si="1"/>
        <v>-31609.148588115349</v>
      </c>
      <c r="P13" s="17">
        <f t="shared" ca="1" si="2"/>
        <v>0</v>
      </c>
      <c r="Q13" s="17"/>
      <c r="R13" s="17"/>
      <c r="S13" s="17"/>
      <c r="T13" s="17"/>
      <c r="U13" s="17">
        <f t="shared" ca="1" si="3"/>
        <v>13580526.56110925</v>
      </c>
      <c r="W13" t="s">
        <v>64</v>
      </c>
      <c r="X13" s="105">
        <v>-307328.60270320397</v>
      </c>
      <c r="Y13" s="105">
        <v>73222.724810860105</v>
      </c>
      <c r="Z13" s="76">
        <v>-4.1971751733776204</v>
      </c>
      <c r="AA13" s="251">
        <v>5.1108120246938802E-5</v>
      </c>
    </row>
    <row r="14" spans="1:27" x14ac:dyDescent="0.2">
      <c r="A14" s="28">
        <f>'Monthly Data'!A14</f>
        <v>42005</v>
      </c>
      <c r="B14">
        <f>'Monthly Data'!C14</f>
        <v>1</v>
      </c>
      <c r="C14">
        <f>'Monthly Data'!B14</f>
        <v>2015</v>
      </c>
      <c r="D14" s="18">
        <f>'Monthly Data'!J14</f>
        <v>14774362.688897101</v>
      </c>
      <c r="E14" s="10">
        <f ca="1">E2</f>
        <v>666.68367523535153</v>
      </c>
      <c r="F14" s="10">
        <f ca="1">F2</f>
        <v>0</v>
      </c>
      <c r="G14" s="98">
        <f>'Monthly Data'!AI14</f>
        <v>763.31875000000002</v>
      </c>
      <c r="H14" s="98">
        <f>'Monthly Data'!AB14</f>
        <v>0</v>
      </c>
      <c r="I14">
        <f>'Monthly Data'!BO14</f>
        <v>31</v>
      </c>
      <c r="J14">
        <f>'Monthly Data'!BR14</f>
        <v>0</v>
      </c>
      <c r="K14" s="17">
        <f>'Monthly Data'!AO14</f>
        <v>6809.7</v>
      </c>
      <c r="L14">
        <f>'Monthly Data'!BM14</f>
        <v>0</v>
      </c>
      <c r="N14" s="17"/>
      <c r="O14" s="17">
        <f t="shared" ca="1" si="1"/>
        <v>-497702.83672083193</v>
      </c>
      <c r="P14" s="17">
        <f t="shared" ca="1" si="2"/>
        <v>0</v>
      </c>
      <c r="Q14" s="17"/>
      <c r="R14" s="17"/>
      <c r="S14" s="17"/>
      <c r="T14" s="17"/>
      <c r="U14" s="17">
        <f t="shared" ca="1" si="3"/>
        <v>14276659.85217627</v>
      </c>
    </row>
    <row r="15" spans="1:27" x14ac:dyDescent="0.2">
      <c r="A15" s="28">
        <f>'Monthly Data'!A15</f>
        <v>42036</v>
      </c>
      <c r="B15">
        <f>'Monthly Data'!C15</f>
        <v>2</v>
      </c>
      <c r="C15">
        <f>'Monthly Data'!B15</f>
        <v>2015</v>
      </c>
      <c r="D15" s="18">
        <f>'Monthly Data'!J15</f>
        <v>13398276.584565323</v>
      </c>
      <c r="E15" s="10">
        <f t="shared" ref="E15:F30" ca="1" si="4">E3</f>
        <v>599.3508333333333</v>
      </c>
      <c r="F15" s="10">
        <f t="shared" ca="1" si="4"/>
        <v>0</v>
      </c>
      <c r="G15" s="98">
        <f>'Monthly Data'!AI15</f>
        <v>805.05624999999998</v>
      </c>
      <c r="H15" s="98">
        <f>'Monthly Data'!AB15</f>
        <v>0</v>
      </c>
      <c r="I15">
        <f>'Monthly Data'!BO15</f>
        <v>28</v>
      </c>
      <c r="J15">
        <f>'Monthly Data'!BR15</f>
        <v>0</v>
      </c>
      <c r="K15" s="17">
        <f>'Monthly Data'!AO15</f>
        <v>6782.7</v>
      </c>
      <c r="L15">
        <f>'Monthly Data'!BM15</f>
        <v>0</v>
      </c>
      <c r="N15" s="17"/>
      <c r="O15" s="17">
        <f t="shared" ca="1" si="1"/>
        <v>-1059451.443000217</v>
      </c>
      <c r="P15" s="17">
        <f t="shared" ca="1" si="2"/>
        <v>0</v>
      </c>
      <c r="Q15" s="17"/>
      <c r="R15" s="17"/>
      <c r="S15" s="17"/>
      <c r="T15" s="17"/>
      <c r="U15" s="17">
        <f t="shared" ca="1" si="3"/>
        <v>12338825.141565107</v>
      </c>
      <c r="W15" t="s">
        <v>143</v>
      </c>
    </row>
    <row r="16" spans="1:27" x14ac:dyDescent="0.2">
      <c r="A16" s="28">
        <f>'Monthly Data'!A16</f>
        <v>42064</v>
      </c>
      <c r="B16">
        <f>'Monthly Data'!C16</f>
        <v>3</v>
      </c>
      <c r="C16">
        <f>'Monthly Data'!B16</f>
        <v>2015</v>
      </c>
      <c r="D16" s="18">
        <f>'Monthly Data'!J16</f>
        <v>13367811.181566991</v>
      </c>
      <c r="E16" s="10">
        <f t="shared" ca="1" si="4"/>
        <v>469.11853767651354</v>
      </c>
      <c r="F16" s="10">
        <f t="shared" ca="1" si="4"/>
        <v>0</v>
      </c>
      <c r="G16" s="98">
        <f>'Monthly Data'!AI16</f>
        <v>514.78333333333342</v>
      </c>
      <c r="H16" s="98">
        <f>'Monthly Data'!AB16</f>
        <v>0</v>
      </c>
      <c r="I16">
        <f>'Monthly Data'!BO16</f>
        <v>31</v>
      </c>
      <c r="J16">
        <f>'Monthly Data'!BR16</f>
        <v>0</v>
      </c>
      <c r="K16" s="17">
        <f>'Monthly Data'!AO16</f>
        <v>6761.8</v>
      </c>
      <c r="L16">
        <f>'Monthly Data'!BM16</f>
        <v>0</v>
      </c>
      <c r="N16" s="17"/>
      <c r="O16" s="17">
        <f t="shared" ca="1" si="1"/>
        <v>-235188.9145015766</v>
      </c>
      <c r="P16" s="17">
        <f t="shared" ca="1" si="2"/>
        <v>0</v>
      </c>
      <c r="Q16" s="17"/>
      <c r="R16" s="17"/>
      <c r="S16" s="17"/>
      <c r="T16" s="17"/>
      <c r="U16" s="17">
        <f t="shared" ca="1" si="3"/>
        <v>13132622.267065415</v>
      </c>
      <c r="W16" t="s">
        <v>144</v>
      </c>
      <c r="X16">
        <v>8621438025103.5</v>
      </c>
      <c r="Y16" t="s">
        <v>145</v>
      </c>
      <c r="Z16" s="105">
        <v>263681.10665897001</v>
      </c>
    </row>
    <row r="17" spans="1:26" x14ac:dyDescent="0.2">
      <c r="A17" s="28">
        <f>'Monthly Data'!A17</f>
        <v>42095</v>
      </c>
      <c r="B17">
        <f>'Monthly Data'!C17</f>
        <v>4</v>
      </c>
      <c r="C17">
        <f>'Monthly Data'!B17</f>
        <v>2015</v>
      </c>
      <c r="D17" s="18">
        <f>'Monthly Data'!J17</f>
        <v>11459682.663342522</v>
      </c>
      <c r="E17" s="10">
        <f t="shared" ca="1" si="4"/>
        <v>233.92395833333336</v>
      </c>
      <c r="F17" s="10">
        <f t="shared" ca="1" si="4"/>
        <v>0</v>
      </c>
      <c r="G17" s="98">
        <f>'Monthly Data'!AI17</f>
        <v>206.76874999999998</v>
      </c>
      <c r="H17" s="98">
        <f>'Monthly Data'!AB17</f>
        <v>0</v>
      </c>
      <c r="I17">
        <f>'Monthly Data'!BO17</f>
        <v>30</v>
      </c>
      <c r="J17">
        <f>'Monthly Data'!BR17</f>
        <v>0</v>
      </c>
      <c r="K17" s="17">
        <f>'Monthly Data'!AO17</f>
        <v>6786.4</v>
      </c>
      <c r="L17">
        <f>'Monthly Data'!BM17</f>
        <v>0</v>
      </c>
      <c r="N17" s="17"/>
      <c r="O17" s="17">
        <f t="shared" ca="1" si="1"/>
        <v>139858.3718402565</v>
      </c>
      <c r="P17" s="17">
        <f t="shared" ca="1" si="2"/>
        <v>0</v>
      </c>
      <c r="Q17" s="17"/>
      <c r="R17" s="17"/>
      <c r="S17" s="17"/>
      <c r="T17" s="17"/>
      <c r="U17" s="17">
        <f t="shared" ca="1" si="3"/>
        <v>11599541.03518278</v>
      </c>
      <c r="W17" t="s">
        <v>146</v>
      </c>
      <c r="X17" s="252">
        <v>0.96046580848456398</v>
      </c>
      <c r="Y17" t="s">
        <v>147</v>
      </c>
      <c r="Z17" s="252">
        <v>0.95855286373381698</v>
      </c>
    </row>
    <row r="18" spans="1:26" x14ac:dyDescent="0.2">
      <c r="A18" s="28">
        <f>'Monthly Data'!A18</f>
        <v>42125</v>
      </c>
      <c r="B18">
        <f>'Monthly Data'!C18</f>
        <v>5</v>
      </c>
      <c r="C18">
        <f>'Monthly Data'!B18</f>
        <v>2015</v>
      </c>
      <c r="D18" s="18">
        <f>'Monthly Data'!J18</f>
        <v>10674881.061633488</v>
      </c>
      <c r="E18" s="10">
        <f t="shared" ca="1" si="4"/>
        <v>46.324929225504526</v>
      </c>
      <c r="F18" s="10">
        <f t="shared" ca="1" si="4"/>
        <v>9.6293749999999996</v>
      </c>
      <c r="G18" s="98">
        <f>'Monthly Data'!AI18</f>
        <v>22.945833333333329</v>
      </c>
      <c r="H18" s="98">
        <f>'Monthly Data'!AB18</f>
        <v>3.587499999999995</v>
      </c>
      <c r="I18">
        <f>'Monthly Data'!BO18</f>
        <v>31</v>
      </c>
      <c r="J18">
        <f>'Monthly Data'!BR18</f>
        <v>0</v>
      </c>
      <c r="K18" s="17">
        <f>'Monthly Data'!AO18</f>
        <v>6848.1</v>
      </c>
      <c r="L18">
        <f>'Monthly Data'!BM18</f>
        <v>0</v>
      </c>
      <c r="N18" s="17"/>
      <c r="O18" s="17">
        <f t="shared" ca="1" si="1"/>
        <v>120410.13445522405</v>
      </c>
      <c r="P18" s="17">
        <f t="shared" ca="1" si="2"/>
        <v>75151.885736304204</v>
      </c>
      <c r="Q18" s="17"/>
      <c r="R18" s="17"/>
      <c r="S18" s="17"/>
      <c r="T18" s="17"/>
      <c r="U18" s="17">
        <f t="shared" ca="1" si="3"/>
        <v>10870443.081825016</v>
      </c>
      <c r="W18" t="s">
        <v>487</v>
      </c>
      <c r="X18" s="76">
        <v>367.616847658094</v>
      </c>
      <c r="Y18" t="s">
        <v>148</v>
      </c>
      <c r="Z18" s="252">
        <v>1.8936096537482201E-76</v>
      </c>
    </row>
    <row r="19" spans="1:26" x14ac:dyDescent="0.2">
      <c r="A19" s="28">
        <f>'Monthly Data'!A19</f>
        <v>42156</v>
      </c>
      <c r="B19">
        <f>'Monthly Data'!C19</f>
        <v>6</v>
      </c>
      <c r="C19">
        <f>'Monthly Data'!B19</f>
        <v>2015</v>
      </c>
      <c r="D19" s="18">
        <f>'Monthly Data'!J19</f>
        <v>10334828.398293173</v>
      </c>
      <c r="E19" s="10">
        <f t="shared" ca="1" si="4"/>
        <v>1.25875</v>
      </c>
      <c r="F19" s="10">
        <f t="shared" ca="1" si="4"/>
        <v>25.077154107828811</v>
      </c>
      <c r="G19" s="98">
        <f>'Monthly Data'!AI19</f>
        <v>0</v>
      </c>
      <c r="H19" s="98">
        <f>'Monthly Data'!AB19</f>
        <v>4.09791666666667</v>
      </c>
      <c r="I19">
        <f>'Monthly Data'!BO19</f>
        <v>30</v>
      </c>
      <c r="J19">
        <f>'Monthly Data'!BR19</f>
        <v>0</v>
      </c>
      <c r="K19" s="17">
        <f>'Monthly Data'!AO19</f>
        <v>6930.1</v>
      </c>
      <c r="L19">
        <f>'Monthly Data'!BM19</f>
        <v>0</v>
      </c>
      <c r="N19" s="17"/>
      <c r="O19" s="17">
        <f t="shared" ca="1" si="1"/>
        <v>6482.9819529619735</v>
      </c>
      <c r="P19" s="17">
        <f t="shared" ca="1" si="2"/>
        <v>260950.32668054389</v>
      </c>
      <c r="Q19" s="17"/>
      <c r="R19" s="17"/>
      <c r="S19" s="17"/>
      <c r="T19" s="17"/>
      <c r="U19" s="17">
        <f t="shared" ca="1" si="3"/>
        <v>10602261.706926679</v>
      </c>
      <c r="W19" t="s">
        <v>149</v>
      </c>
      <c r="X19" s="252">
        <v>-8.1167203975215596E-2</v>
      </c>
      <c r="Y19" t="s">
        <v>150</v>
      </c>
      <c r="Z19" s="252">
        <v>2.10756922853502</v>
      </c>
    </row>
    <row r="20" spans="1:26" x14ac:dyDescent="0.2">
      <c r="A20" s="28">
        <f>'Monthly Data'!A20</f>
        <v>42186</v>
      </c>
      <c r="B20">
        <f>'Monthly Data'!C20</f>
        <v>7</v>
      </c>
      <c r="C20">
        <f>'Monthly Data'!B20</f>
        <v>2015</v>
      </c>
      <c r="D20" s="18">
        <f>'Monthly Data'!J20</f>
        <v>10941225.565238366</v>
      </c>
      <c r="E20" s="10">
        <f t="shared" ca="1" si="4"/>
        <v>0</v>
      </c>
      <c r="F20" s="10">
        <f t="shared" ca="1" si="4"/>
        <v>56.475141548990976</v>
      </c>
      <c r="G20" s="98">
        <f>'Monthly Data'!AI20</f>
        <v>0</v>
      </c>
      <c r="H20" s="98">
        <f>'Monthly Data'!AB20</f>
        <v>54.720833333333339</v>
      </c>
      <c r="I20">
        <f>'Monthly Data'!BO20</f>
        <v>31</v>
      </c>
      <c r="J20">
        <f>'Monthly Data'!BR20</f>
        <v>0</v>
      </c>
      <c r="K20" s="17">
        <f>'Monthly Data'!AO20</f>
        <v>6986.1</v>
      </c>
      <c r="L20">
        <f>'Monthly Data'!BM20</f>
        <v>0</v>
      </c>
      <c r="N20" s="17"/>
      <c r="O20" s="17">
        <f t="shared" ref="O20:O83" ca="1" si="5">(E20-G20)*$X$8</f>
        <v>0</v>
      </c>
      <c r="P20" s="17">
        <f t="shared" ref="P20:P83" ca="1" si="6">(F20-H20)*$X$9</f>
        <v>21820.969578046945</v>
      </c>
      <c r="Q20" s="17"/>
      <c r="R20" s="17"/>
      <c r="S20" s="17"/>
      <c r="T20" s="17"/>
      <c r="U20" s="17">
        <f t="shared" ref="U20:U83" ca="1" si="7">D20+SUM(N20:T20)</f>
        <v>10963046.534816412</v>
      </c>
    </row>
    <row r="21" spans="1:26" x14ac:dyDescent="0.2">
      <c r="A21" s="28">
        <f>'Monthly Data'!A21</f>
        <v>42217</v>
      </c>
      <c r="B21">
        <f>'Monthly Data'!C21</f>
        <v>8</v>
      </c>
      <c r="C21">
        <f>'Monthly Data'!B21</f>
        <v>2015</v>
      </c>
      <c r="D21" s="18">
        <f>'Monthly Data'!J21</f>
        <v>10861005.481768513</v>
      </c>
      <c r="E21" s="10">
        <f t="shared" ca="1" si="4"/>
        <v>0.1158333333333335</v>
      </c>
      <c r="F21" s="10">
        <f t="shared" ca="1" si="4"/>
        <v>35.296250000000008</v>
      </c>
      <c r="G21" s="98">
        <f>'Monthly Data'!AI21</f>
        <v>0</v>
      </c>
      <c r="H21" s="98">
        <f>'Monthly Data'!AB21</f>
        <v>28.762500000000021</v>
      </c>
      <c r="I21">
        <f>'Monthly Data'!BO21</f>
        <v>31</v>
      </c>
      <c r="J21">
        <f>'Monthly Data'!BR21</f>
        <v>0</v>
      </c>
      <c r="K21" s="17">
        <f>'Monthly Data'!AO21</f>
        <v>7000.2</v>
      </c>
      <c r="L21">
        <f>'Monthly Data'!BM21</f>
        <v>0</v>
      </c>
      <c r="N21" s="17"/>
      <c r="O21" s="17">
        <f t="shared" ca="1" si="5"/>
        <v>596.58026578067893</v>
      </c>
      <c r="P21" s="17">
        <f t="shared" ca="1" si="6"/>
        <v>81270.074840935355</v>
      </c>
      <c r="Q21" s="17"/>
      <c r="R21" s="17"/>
      <c r="S21" s="17"/>
      <c r="T21" s="17"/>
      <c r="U21" s="17">
        <f t="shared" ca="1" si="7"/>
        <v>10942872.136875229</v>
      </c>
      <c r="W21" t="s">
        <v>151</v>
      </c>
    </row>
    <row r="22" spans="1:26" x14ac:dyDescent="0.2">
      <c r="A22" s="28">
        <f>'Monthly Data'!A22</f>
        <v>42248</v>
      </c>
      <c r="B22">
        <f>'Monthly Data'!C22</f>
        <v>9</v>
      </c>
      <c r="C22">
        <f>'Monthly Data'!B22</f>
        <v>2015</v>
      </c>
      <c r="D22" s="18">
        <f>'Monthly Data'!J22</f>
        <v>10256857.476304401</v>
      </c>
      <c r="E22" s="10">
        <f t="shared" ca="1" si="4"/>
        <v>11.597845892171184</v>
      </c>
      <c r="F22" s="10">
        <f t="shared" ca="1" si="4"/>
        <v>11.128958333333333</v>
      </c>
      <c r="G22" s="98">
        <f>'Monthly Data'!AI22</f>
        <v>5.0249999999999986</v>
      </c>
      <c r="H22" s="98">
        <f>'Monthly Data'!AB22</f>
        <v>27.039583333333312</v>
      </c>
      <c r="I22">
        <f>'Monthly Data'!BO22</f>
        <v>30</v>
      </c>
      <c r="J22">
        <f>'Monthly Data'!BR22</f>
        <v>0</v>
      </c>
      <c r="K22" s="17">
        <f>'Monthly Data'!AO22</f>
        <v>6953.7</v>
      </c>
      <c r="L22">
        <f>'Monthly Data'!BM22</f>
        <v>1</v>
      </c>
      <c r="N22" s="17"/>
      <c r="O22" s="17">
        <f t="shared" ca="1" si="5"/>
        <v>33852.346612548987</v>
      </c>
      <c r="P22" s="17">
        <f t="shared" ca="1" si="6"/>
        <v>-197904.37107573106</v>
      </c>
      <c r="Q22" s="17"/>
      <c r="R22" s="17"/>
      <c r="S22" s="17"/>
      <c r="T22" s="17"/>
      <c r="U22" s="17">
        <f t="shared" ca="1" si="7"/>
        <v>10092805.451841218</v>
      </c>
      <c r="W22" t="s">
        <v>152</v>
      </c>
      <c r="X22">
        <v>11715552.110043401</v>
      </c>
      <c r="Y22" t="s">
        <v>153</v>
      </c>
      <c r="Z22">
        <v>1289848.4384339601</v>
      </c>
    </row>
    <row r="23" spans="1:26" x14ac:dyDescent="0.2">
      <c r="A23" s="28">
        <f>'Monthly Data'!A23</f>
        <v>42278</v>
      </c>
      <c r="B23">
        <f>'Monthly Data'!C23</f>
        <v>10</v>
      </c>
      <c r="C23">
        <f>'Monthly Data'!B23</f>
        <v>2015</v>
      </c>
      <c r="D23" s="18">
        <f>'Monthly Data'!J23</f>
        <v>10748501.67210874</v>
      </c>
      <c r="E23" s="10">
        <f t="shared" ca="1" si="4"/>
        <v>128.51888157360821</v>
      </c>
      <c r="F23" s="10">
        <f t="shared" ca="1" si="4"/>
        <v>0.44687499999999963</v>
      </c>
      <c r="G23" s="98">
        <f>'Monthly Data'!AI23</f>
        <v>151.64166666666668</v>
      </c>
      <c r="H23" s="98">
        <f>'Monthly Data'!AB23</f>
        <v>0</v>
      </c>
      <c r="I23">
        <f>'Monthly Data'!BO23</f>
        <v>31</v>
      </c>
      <c r="J23">
        <f>'Monthly Data'!BR23</f>
        <v>0</v>
      </c>
      <c r="K23" s="17">
        <f>'Monthly Data'!AO23</f>
        <v>6932.8</v>
      </c>
      <c r="L23">
        <f>'Monthly Data'!BM23</f>
        <v>1</v>
      </c>
      <c r="N23" s="17"/>
      <c r="O23" s="17">
        <f t="shared" ca="1" si="5"/>
        <v>-119090.04842940709</v>
      </c>
      <c r="P23" s="17">
        <f t="shared" ca="1" si="6"/>
        <v>5558.4564292394152</v>
      </c>
      <c r="Q23" s="17"/>
      <c r="R23" s="17"/>
      <c r="S23" s="17"/>
      <c r="T23" s="17"/>
      <c r="U23" s="17">
        <f t="shared" ca="1" si="7"/>
        <v>10634970.080108572</v>
      </c>
    </row>
    <row r="24" spans="1:26" x14ac:dyDescent="0.2">
      <c r="A24" s="28">
        <f>'Monthly Data'!A24</f>
        <v>42309</v>
      </c>
      <c r="B24">
        <f>'Monthly Data'!C24</f>
        <v>11</v>
      </c>
      <c r="C24">
        <f>'Monthly Data'!B24</f>
        <v>2015</v>
      </c>
      <c r="D24" s="18">
        <f>'Monthly Data'!J24</f>
        <v>11062002.298106223</v>
      </c>
      <c r="E24" s="10">
        <f t="shared" ca="1" si="4"/>
        <v>332.1049960098469</v>
      </c>
      <c r="F24" s="10">
        <f t="shared" ca="1" si="4"/>
        <v>0</v>
      </c>
      <c r="G24" s="98">
        <f>'Monthly Data'!AI24</f>
        <v>246.22083333333336</v>
      </c>
      <c r="H24" s="98">
        <f>'Monthly Data'!AB24</f>
        <v>0</v>
      </c>
      <c r="I24">
        <f>'Monthly Data'!BO24</f>
        <v>30</v>
      </c>
      <c r="J24">
        <f>'Monthly Data'!BR24</f>
        <v>0</v>
      </c>
      <c r="K24" s="17">
        <f>'Monthly Data'!AO24</f>
        <v>6898.2</v>
      </c>
      <c r="L24">
        <f>'Monthly Data'!BM24</f>
        <v>0</v>
      </c>
      <c r="N24" s="17"/>
      <c r="O24" s="17">
        <f t="shared" ca="1" si="5"/>
        <v>442332.05694306857</v>
      </c>
      <c r="P24" s="17">
        <f t="shared" ca="1" si="6"/>
        <v>0</v>
      </c>
      <c r="Q24" s="17"/>
      <c r="R24" s="17"/>
      <c r="S24" s="17"/>
      <c r="T24" s="17"/>
      <c r="U24" s="17">
        <f t="shared" ca="1" si="7"/>
        <v>11504334.355049292</v>
      </c>
    </row>
    <row r="25" spans="1:26" x14ac:dyDescent="0.2">
      <c r="A25" s="28">
        <f>'Monthly Data'!A25</f>
        <v>42339</v>
      </c>
      <c r="B25">
        <f>'Monthly Data'!C25</f>
        <v>12</v>
      </c>
      <c r="C25">
        <f>'Monthly Data'!B25</f>
        <v>2015</v>
      </c>
      <c r="D25" s="18">
        <f>'Monthly Data'!J25</f>
        <v>12342831.61718449</v>
      </c>
      <c r="E25" s="10">
        <f t="shared" ca="1" si="4"/>
        <v>508.62936502461724</v>
      </c>
      <c r="F25" s="10">
        <f t="shared" ca="1" si="4"/>
        <v>0</v>
      </c>
      <c r="G25" s="98">
        <f>'Monthly Data'!AI25</f>
        <v>352.51249999999993</v>
      </c>
      <c r="H25" s="98">
        <f>'Monthly Data'!AB25</f>
        <v>0</v>
      </c>
      <c r="I25">
        <f>'Monthly Data'!BO25</f>
        <v>31</v>
      </c>
      <c r="J25">
        <f>'Monthly Data'!BR25</f>
        <v>0</v>
      </c>
      <c r="K25" s="17">
        <f>'Monthly Data'!AO25</f>
        <v>6902.3</v>
      </c>
      <c r="L25">
        <f>'Monthly Data'!BM25</f>
        <v>0</v>
      </c>
      <c r="N25" s="17"/>
      <c r="O25" s="17">
        <f t="shared" ca="1" si="5"/>
        <v>804053.87766243832</v>
      </c>
      <c r="P25" s="17">
        <f t="shared" ca="1" si="6"/>
        <v>0</v>
      </c>
      <c r="Q25" s="17"/>
      <c r="R25" s="17"/>
      <c r="S25" s="17"/>
      <c r="T25" s="17"/>
      <c r="U25" s="17">
        <f t="shared" ca="1" si="7"/>
        <v>13146885.494846929</v>
      </c>
    </row>
    <row r="26" spans="1:26" x14ac:dyDescent="0.2">
      <c r="A26" s="28">
        <f>'Monthly Data'!A26</f>
        <v>42370</v>
      </c>
      <c r="B26">
        <f>'Monthly Data'!C26</f>
        <v>1</v>
      </c>
      <c r="C26">
        <f>'Monthly Data'!B26</f>
        <v>2016</v>
      </c>
      <c r="D26" s="18">
        <f>'Monthly Data'!J26</f>
        <v>13471487.177465362</v>
      </c>
      <c r="E26" s="10">
        <f t="shared" ca="1" si="4"/>
        <v>666.68367523535153</v>
      </c>
      <c r="F26" s="10">
        <f t="shared" ca="1" si="4"/>
        <v>0</v>
      </c>
      <c r="G26" s="98">
        <f>'Monthly Data'!AI26</f>
        <v>615.80416666666679</v>
      </c>
      <c r="H26" s="98">
        <f>'Monthly Data'!AB26</f>
        <v>0</v>
      </c>
      <c r="I26">
        <f>'Monthly Data'!BO26</f>
        <v>31</v>
      </c>
      <c r="J26">
        <f>'Monthly Data'!BR26</f>
        <v>0</v>
      </c>
      <c r="K26" s="17">
        <f>'Monthly Data'!AO26</f>
        <v>6871.2</v>
      </c>
      <c r="L26">
        <f>'Monthly Data'!BM26</f>
        <v>0</v>
      </c>
      <c r="N26" s="17"/>
      <c r="O26" s="17">
        <f t="shared" ca="1" si="5"/>
        <v>262046.42369521927</v>
      </c>
      <c r="P26" s="17">
        <f t="shared" ca="1" si="6"/>
        <v>0</v>
      </c>
      <c r="Q26" s="17"/>
      <c r="R26" s="17"/>
      <c r="S26" s="17"/>
      <c r="T26" s="17"/>
      <c r="U26" s="17">
        <f t="shared" ca="1" si="7"/>
        <v>13733533.601160582</v>
      </c>
    </row>
    <row r="27" spans="1:26" x14ac:dyDescent="0.2">
      <c r="A27" s="28">
        <f>'Monthly Data'!A27</f>
        <v>42401</v>
      </c>
      <c r="B27">
        <f>'Monthly Data'!C27</f>
        <v>2</v>
      </c>
      <c r="C27">
        <f>'Monthly Data'!B27</f>
        <v>2016</v>
      </c>
      <c r="D27" s="18">
        <f>'Monthly Data'!J27</f>
        <v>12695119.535019068</v>
      </c>
      <c r="E27" s="10">
        <f t="shared" ca="1" si="4"/>
        <v>599.3508333333333</v>
      </c>
      <c r="F27" s="10">
        <f t="shared" ca="1" si="4"/>
        <v>0</v>
      </c>
      <c r="G27" s="98">
        <f>'Monthly Data'!AI27</f>
        <v>607.26874999999995</v>
      </c>
      <c r="H27" s="98">
        <f>'Monthly Data'!AB27</f>
        <v>0</v>
      </c>
      <c r="I27">
        <f>'Monthly Data'!BO27</f>
        <v>29</v>
      </c>
      <c r="J27">
        <f>'Monthly Data'!BR27</f>
        <v>0</v>
      </c>
      <c r="K27" s="17">
        <f>'Monthly Data'!AO27</f>
        <v>6850.4</v>
      </c>
      <c r="L27">
        <f>'Monthly Data'!BM27</f>
        <v>0</v>
      </c>
      <c r="N27" s="17"/>
      <c r="O27" s="17">
        <f t="shared" ca="1" si="5"/>
        <v>-40779.909318813705</v>
      </c>
      <c r="P27" s="17">
        <f t="shared" ca="1" si="6"/>
        <v>0</v>
      </c>
      <c r="Q27" s="17"/>
      <c r="R27" s="17"/>
      <c r="S27" s="17"/>
      <c r="T27" s="17"/>
      <c r="U27" s="17">
        <f t="shared" ca="1" si="7"/>
        <v>12654339.625700254</v>
      </c>
    </row>
    <row r="28" spans="1:26" x14ac:dyDescent="0.2">
      <c r="A28" s="28">
        <f>'Monthly Data'!A28</f>
        <v>42430</v>
      </c>
      <c r="B28">
        <f>'Monthly Data'!C28</f>
        <v>3</v>
      </c>
      <c r="C28">
        <f>'Monthly Data'!B28</f>
        <v>2016</v>
      </c>
      <c r="D28" s="18">
        <f>'Monthly Data'!J28</f>
        <v>12739482.624929575</v>
      </c>
      <c r="E28" s="10">
        <f t="shared" ca="1" si="4"/>
        <v>469.11853767651354</v>
      </c>
      <c r="F28" s="10">
        <f t="shared" ca="1" si="4"/>
        <v>0</v>
      </c>
      <c r="G28" s="98">
        <f>'Monthly Data'!AI28</f>
        <v>401.50208333333336</v>
      </c>
      <c r="H28" s="98">
        <f>'Monthly Data'!AB28</f>
        <v>0</v>
      </c>
      <c r="I28">
        <f>'Monthly Data'!BO28</f>
        <v>31</v>
      </c>
      <c r="J28">
        <f>'Monthly Data'!BR28</f>
        <v>0</v>
      </c>
      <c r="K28" s="17">
        <f>'Monthly Data'!AO28</f>
        <v>6827.3</v>
      </c>
      <c r="L28">
        <f>'Monthly Data'!BM28</f>
        <v>0</v>
      </c>
      <c r="N28" s="17"/>
      <c r="O28" s="17">
        <f t="shared" ca="1" si="5"/>
        <v>348247.27168231527</v>
      </c>
      <c r="P28" s="17">
        <f t="shared" ca="1" si="6"/>
        <v>0</v>
      </c>
      <c r="Q28" s="17"/>
      <c r="R28" s="17"/>
      <c r="S28" s="17"/>
      <c r="T28" s="17"/>
      <c r="U28" s="17">
        <f t="shared" ca="1" si="7"/>
        <v>13087729.89661189</v>
      </c>
    </row>
    <row r="29" spans="1:26" x14ac:dyDescent="0.2">
      <c r="A29" s="28">
        <f>'Monthly Data'!A29</f>
        <v>42461</v>
      </c>
      <c r="B29">
        <f>'Monthly Data'!C29</f>
        <v>4</v>
      </c>
      <c r="C29">
        <f>'Monthly Data'!B29</f>
        <v>2016</v>
      </c>
      <c r="D29" s="18">
        <f>'Monthly Data'!J29</f>
        <v>11306329.364432665</v>
      </c>
      <c r="E29" s="10">
        <f t="shared" ca="1" si="4"/>
        <v>233.92395833333336</v>
      </c>
      <c r="F29" s="10">
        <f t="shared" ca="1" si="4"/>
        <v>0</v>
      </c>
      <c r="G29" s="98">
        <f>'Monthly Data'!AI29</f>
        <v>293.09999999999997</v>
      </c>
      <c r="H29" s="98">
        <f>'Monthly Data'!AB29</f>
        <v>0</v>
      </c>
      <c r="I29">
        <f>'Monthly Data'!BO29</f>
        <v>30</v>
      </c>
      <c r="J29">
        <f>'Monthly Data'!BR29</f>
        <v>0</v>
      </c>
      <c r="K29" s="17">
        <f>'Monthly Data'!AO29</f>
        <v>6843.7</v>
      </c>
      <c r="L29">
        <f>'Monthly Data'!BM29</f>
        <v>0</v>
      </c>
      <c r="N29" s="17"/>
      <c r="O29" s="17">
        <f t="shared" ca="1" si="5"/>
        <v>-304776.3338015693</v>
      </c>
      <c r="P29" s="17">
        <f t="shared" ca="1" si="6"/>
        <v>0</v>
      </c>
      <c r="Q29" s="17"/>
      <c r="R29" s="17"/>
      <c r="S29" s="17"/>
      <c r="T29" s="17"/>
      <c r="U29" s="17">
        <f t="shared" ca="1" si="7"/>
        <v>11001553.030631095</v>
      </c>
    </row>
    <row r="30" spans="1:26" x14ac:dyDescent="0.2">
      <c r="A30" s="28">
        <f>'Monthly Data'!A30</f>
        <v>42491</v>
      </c>
      <c r="B30">
        <f>'Monthly Data'!C30</f>
        <v>5</v>
      </c>
      <c r="C30">
        <f>'Monthly Data'!B30</f>
        <v>2016</v>
      </c>
      <c r="D30" s="18">
        <f>'Monthly Data'!J30</f>
        <v>10692228.025868321</v>
      </c>
      <c r="E30" s="10">
        <f t="shared" ca="1" si="4"/>
        <v>46.324929225504526</v>
      </c>
      <c r="F30" s="10">
        <f t="shared" ca="1" si="4"/>
        <v>9.6293749999999996</v>
      </c>
      <c r="G30" s="98">
        <f>'Monthly Data'!AI30</f>
        <v>34.1875</v>
      </c>
      <c r="H30" s="98">
        <f>'Monthly Data'!AB30</f>
        <v>10.241666666666671</v>
      </c>
      <c r="I30">
        <f>'Monthly Data'!BO30</f>
        <v>31</v>
      </c>
      <c r="J30">
        <f>'Monthly Data'!BR30</f>
        <v>0</v>
      </c>
      <c r="K30" s="17">
        <f>'Monthly Data'!AO30</f>
        <v>6913.7</v>
      </c>
      <c r="L30">
        <f>'Monthly Data'!BM30</f>
        <v>0</v>
      </c>
      <c r="N30" s="17"/>
      <c r="O30" s="17">
        <f t="shared" ca="1" si="5"/>
        <v>62511.805063991313</v>
      </c>
      <c r="P30" s="17">
        <f t="shared" ca="1" si="6"/>
        <v>-7615.9922823005936</v>
      </c>
      <c r="Q30" s="17"/>
      <c r="R30" s="17"/>
      <c r="S30" s="17"/>
      <c r="T30" s="17"/>
      <c r="U30" s="17">
        <f t="shared" ca="1" si="7"/>
        <v>10747123.838650012</v>
      </c>
    </row>
    <row r="31" spans="1:26" x14ac:dyDescent="0.2">
      <c r="A31" s="28">
        <f>'Monthly Data'!A31</f>
        <v>42522</v>
      </c>
      <c r="B31">
        <f>'Monthly Data'!C31</f>
        <v>6</v>
      </c>
      <c r="C31">
        <f>'Monthly Data'!B31</f>
        <v>2016</v>
      </c>
      <c r="D31" s="18">
        <f>'Monthly Data'!J31</f>
        <v>10467768.008548845</v>
      </c>
      <c r="E31" s="10">
        <f t="shared" ref="E31:F46" ca="1" si="8">E19</f>
        <v>1.25875</v>
      </c>
      <c r="F31" s="10">
        <f t="shared" ca="1" si="8"/>
        <v>25.077154107828811</v>
      </c>
      <c r="G31" s="98">
        <f>'Monthly Data'!AI31</f>
        <v>2.2375000000000016</v>
      </c>
      <c r="H31" s="98">
        <f>'Monthly Data'!AB31</f>
        <v>36.485416666666666</v>
      </c>
      <c r="I31">
        <f>'Monthly Data'!BO31</f>
        <v>30</v>
      </c>
      <c r="J31">
        <f>'Monthly Data'!BR31</f>
        <v>0</v>
      </c>
      <c r="K31" s="17">
        <f>'Monthly Data'!AO31</f>
        <v>7000.2</v>
      </c>
      <c r="L31">
        <f>'Monthly Data'!BM31</f>
        <v>0</v>
      </c>
      <c r="N31" s="17"/>
      <c r="O31" s="17">
        <f t="shared" ca="1" si="5"/>
        <v>-5040.8886486288311</v>
      </c>
      <c r="P31" s="17">
        <f t="shared" ca="1" si="6"/>
        <v>-141901.71830293399</v>
      </c>
      <c r="Q31" s="17"/>
      <c r="R31" s="17"/>
      <c r="S31" s="17"/>
      <c r="T31" s="17"/>
      <c r="U31" s="17">
        <f t="shared" ca="1" si="7"/>
        <v>10320825.401597282</v>
      </c>
    </row>
    <row r="32" spans="1:26" x14ac:dyDescent="0.2">
      <c r="A32" s="28">
        <f>'Monthly Data'!A32</f>
        <v>42552</v>
      </c>
      <c r="B32">
        <f>'Monthly Data'!C32</f>
        <v>7</v>
      </c>
      <c r="C32">
        <f>'Monthly Data'!B32</f>
        <v>2016</v>
      </c>
      <c r="D32" s="18">
        <f>'Monthly Data'!J32</f>
        <v>11133217.218561364</v>
      </c>
      <c r="E32" s="10">
        <f t="shared" ca="1" si="8"/>
        <v>0</v>
      </c>
      <c r="F32" s="10">
        <f t="shared" ca="1" si="8"/>
        <v>56.475141548990976</v>
      </c>
      <c r="G32" s="98">
        <f>'Monthly Data'!AI32</f>
        <v>0</v>
      </c>
      <c r="H32" s="98">
        <f>'Monthly Data'!AB32</f>
        <v>69.933333333333337</v>
      </c>
      <c r="I32">
        <f>'Monthly Data'!BO32</f>
        <v>31</v>
      </c>
      <c r="J32">
        <f>'Monthly Data'!BR32</f>
        <v>0</v>
      </c>
      <c r="K32" s="17">
        <f>'Monthly Data'!AO32</f>
        <v>7049.5</v>
      </c>
      <c r="L32">
        <f>'Monthly Data'!BM32</f>
        <v>0</v>
      </c>
      <c r="N32" s="17"/>
      <c r="O32" s="17">
        <f t="shared" ca="1" si="5"/>
        <v>0</v>
      </c>
      <c r="P32" s="17">
        <f t="shared" ca="1" si="6"/>
        <v>-167399.77096417328</v>
      </c>
      <c r="Q32" s="17"/>
      <c r="R32" s="17"/>
      <c r="S32" s="17"/>
      <c r="T32" s="17"/>
      <c r="U32" s="17">
        <f t="shared" ca="1" si="7"/>
        <v>10965817.447597191</v>
      </c>
    </row>
    <row r="33" spans="1:21" x14ac:dyDescent="0.2">
      <c r="A33" s="28">
        <f>'Monthly Data'!A33</f>
        <v>42583</v>
      </c>
      <c r="B33">
        <f>'Monthly Data'!C33</f>
        <v>8</v>
      </c>
      <c r="C33">
        <f>'Monthly Data'!B33</f>
        <v>2016</v>
      </c>
      <c r="D33" s="18">
        <f>'Monthly Data'!J33</f>
        <v>11008415.885954833</v>
      </c>
      <c r="E33" s="10">
        <f t="shared" ca="1" si="8"/>
        <v>0.1158333333333335</v>
      </c>
      <c r="F33" s="10">
        <f t="shared" ca="1" si="8"/>
        <v>35.296250000000008</v>
      </c>
      <c r="G33" s="98">
        <f>'Monthly Data'!AI33</f>
        <v>0</v>
      </c>
      <c r="H33" s="98">
        <f>'Monthly Data'!AB33</f>
        <v>64.395833333333357</v>
      </c>
      <c r="I33">
        <f>'Monthly Data'!BO33</f>
        <v>31</v>
      </c>
      <c r="J33">
        <f>'Monthly Data'!BR33</f>
        <v>0</v>
      </c>
      <c r="K33" s="17">
        <f>'Monthly Data'!AO33</f>
        <v>7045.6</v>
      </c>
      <c r="L33">
        <f>'Monthly Data'!BM33</f>
        <v>0</v>
      </c>
      <c r="N33" s="17"/>
      <c r="O33" s="17">
        <f t="shared" ca="1" si="5"/>
        <v>596.58026578067893</v>
      </c>
      <c r="P33" s="17">
        <f t="shared" ca="1" si="6"/>
        <v>-361955.28071016504</v>
      </c>
      <c r="Q33" s="17"/>
      <c r="R33" s="17"/>
      <c r="S33" s="17"/>
      <c r="T33" s="17"/>
      <c r="U33" s="17">
        <f t="shared" ca="1" si="7"/>
        <v>10647057.185510449</v>
      </c>
    </row>
    <row r="34" spans="1:21" x14ac:dyDescent="0.2">
      <c r="A34" s="28">
        <f>'Monthly Data'!A34</f>
        <v>42614</v>
      </c>
      <c r="B34">
        <f>'Monthly Data'!C34</f>
        <v>9</v>
      </c>
      <c r="C34">
        <f>'Monthly Data'!B34</f>
        <v>2016</v>
      </c>
      <c r="D34" s="18">
        <f>'Monthly Data'!J34</f>
        <v>10163034.278752638</v>
      </c>
      <c r="E34" s="10">
        <f t="shared" ca="1" si="8"/>
        <v>11.597845892171184</v>
      </c>
      <c r="F34" s="10">
        <f t="shared" ca="1" si="8"/>
        <v>11.128958333333333</v>
      </c>
      <c r="G34" s="98">
        <f>'Monthly Data'!AI34</f>
        <v>1.0041666666666682</v>
      </c>
      <c r="H34" s="98">
        <f>'Monthly Data'!AB34</f>
        <v>7.9291666666666671</v>
      </c>
      <c r="I34">
        <f>'Monthly Data'!BO34</f>
        <v>30</v>
      </c>
      <c r="J34">
        <f>'Monthly Data'!BR34</f>
        <v>0</v>
      </c>
      <c r="K34" s="17">
        <f>'Monthly Data'!AO34</f>
        <v>6998.1</v>
      </c>
      <c r="L34">
        <f>'Monthly Data'!BM34</f>
        <v>1</v>
      </c>
      <c r="N34" s="17"/>
      <c r="O34" s="17">
        <f t="shared" ca="1" si="5"/>
        <v>54560.978140547326</v>
      </c>
      <c r="P34" s="17">
        <f t="shared" ca="1" si="6"/>
        <v>39800.62111733717</v>
      </c>
      <c r="Q34" s="17"/>
      <c r="R34" s="17"/>
      <c r="S34" s="17"/>
      <c r="T34" s="17"/>
      <c r="U34" s="17">
        <f t="shared" ca="1" si="7"/>
        <v>10257395.878010523</v>
      </c>
    </row>
    <row r="35" spans="1:21" x14ac:dyDescent="0.2">
      <c r="A35" s="28">
        <f>'Monthly Data'!A35</f>
        <v>42644</v>
      </c>
      <c r="B35">
        <f>'Monthly Data'!C35</f>
        <v>10</v>
      </c>
      <c r="C35">
        <f>'Monthly Data'!B35</f>
        <v>2016</v>
      </c>
      <c r="D35" s="18">
        <f>'Monthly Data'!J35</f>
        <v>10408644.305427104</v>
      </c>
      <c r="E35" s="10">
        <f t="shared" ca="1" si="8"/>
        <v>128.51888157360821</v>
      </c>
      <c r="F35" s="10">
        <f t="shared" ca="1" si="8"/>
        <v>0.44687499999999963</v>
      </c>
      <c r="G35" s="98">
        <f>'Monthly Data'!AI35</f>
        <v>121.99583333333332</v>
      </c>
      <c r="H35" s="98">
        <f>'Monthly Data'!AB35</f>
        <v>0</v>
      </c>
      <c r="I35">
        <f>'Monthly Data'!BO35</f>
        <v>31</v>
      </c>
      <c r="J35">
        <f>'Monthly Data'!BR35</f>
        <v>0</v>
      </c>
      <c r="K35" s="17">
        <f>'Monthly Data'!AO35</f>
        <v>6990.5</v>
      </c>
      <c r="L35">
        <f>'Monthly Data'!BM35</f>
        <v>1</v>
      </c>
      <c r="N35" s="17"/>
      <c r="O35" s="17">
        <f t="shared" ca="1" si="5"/>
        <v>33595.872111223405</v>
      </c>
      <c r="P35" s="17">
        <f t="shared" ca="1" si="6"/>
        <v>5558.4564292394152</v>
      </c>
      <c r="Q35" s="17"/>
      <c r="R35" s="17"/>
      <c r="S35" s="17"/>
      <c r="T35" s="17"/>
      <c r="U35" s="17">
        <f t="shared" ca="1" si="7"/>
        <v>10447798.633967567</v>
      </c>
    </row>
    <row r="36" spans="1:21" x14ac:dyDescent="0.2">
      <c r="A36" s="28">
        <f>'Monthly Data'!A36</f>
        <v>42675</v>
      </c>
      <c r="B36">
        <f>'Monthly Data'!C36</f>
        <v>11</v>
      </c>
      <c r="C36">
        <f>'Monthly Data'!B36</f>
        <v>2016</v>
      </c>
      <c r="D36" s="18">
        <f>'Monthly Data'!J36</f>
        <v>11035358.439422198</v>
      </c>
      <c r="E36" s="10">
        <f t="shared" ca="1" si="8"/>
        <v>332.1049960098469</v>
      </c>
      <c r="F36" s="10">
        <f t="shared" ca="1" si="8"/>
        <v>0</v>
      </c>
      <c r="G36" s="98">
        <f>'Monthly Data'!AI36</f>
        <v>223.76250000000002</v>
      </c>
      <c r="H36" s="98">
        <f>'Monthly Data'!AB36</f>
        <v>0</v>
      </c>
      <c r="I36">
        <f>'Monthly Data'!BO36</f>
        <v>30</v>
      </c>
      <c r="J36">
        <f>'Monthly Data'!BR36</f>
        <v>0</v>
      </c>
      <c r="K36" s="17">
        <f>'Monthly Data'!AO36</f>
        <v>6983.4</v>
      </c>
      <c r="L36">
        <f>'Monthly Data'!BM36</f>
        <v>0</v>
      </c>
      <c r="N36" s="17"/>
      <c r="O36" s="17">
        <f t="shared" ca="1" si="5"/>
        <v>557999.95739479002</v>
      </c>
      <c r="P36" s="17">
        <f t="shared" ca="1" si="6"/>
        <v>0</v>
      </c>
      <c r="Q36" s="17"/>
      <c r="R36" s="17"/>
      <c r="S36" s="17"/>
      <c r="T36" s="17"/>
      <c r="U36" s="17">
        <f t="shared" ca="1" si="7"/>
        <v>11593358.396816988</v>
      </c>
    </row>
    <row r="37" spans="1:21" x14ac:dyDescent="0.2">
      <c r="A37" s="28">
        <f>'Monthly Data'!A37</f>
        <v>42705</v>
      </c>
      <c r="B37">
        <f>'Monthly Data'!C37</f>
        <v>12</v>
      </c>
      <c r="C37">
        <f>'Monthly Data'!B37</f>
        <v>2016</v>
      </c>
      <c r="D37" s="18">
        <f>'Monthly Data'!J37</f>
        <v>12855220.796200017</v>
      </c>
      <c r="E37" s="10">
        <f t="shared" ca="1" si="8"/>
        <v>508.62936502461724</v>
      </c>
      <c r="F37" s="10">
        <f t="shared" ca="1" si="8"/>
        <v>0</v>
      </c>
      <c r="G37" s="98">
        <f>'Monthly Data'!AI37</f>
        <v>534.79583333333335</v>
      </c>
      <c r="H37" s="98">
        <f>'Monthly Data'!AB37</f>
        <v>0</v>
      </c>
      <c r="I37">
        <f>'Monthly Data'!BO37</f>
        <v>31</v>
      </c>
      <c r="J37">
        <f>'Monthly Data'!BR37</f>
        <v>0</v>
      </c>
      <c r="K37" s="17">
        <f>'Monthly Data'!AO37</f>
        <v>6999.9</v>
      </c>
      <c r="L37">
        <f>'Monthly Data'!BM37</f>
        <v>0</v>
      </c>
      <c r="N37" s="17"/>
      <c r="O37" s="17">
        <f t="shared" ca="1" si="5"/>
        <v>-134766.03123587521</v>
      </c>
      <c r="P37" s="17">
        <f t="shared" ca="1" si="6"/>
        <v>0</v>
      </c>
      <c r="Q37" s="17"/>
      <c r="R37" s="17"/>
      <c r="S37" s="17"/>
      <c r="T37" s="17"/>
      <c r="U37" s="17">
        <f t="shared" ca="1" si="7"/>
        <v>12720454.764964141</v>
      </c>
    </row>
    <row r="38" spans="1:21" x14ac:dyDescent="0.2">
      <c r="A38" s="28">
        <f>'Monthly Data'!A38</f>
        <v>42736</v>
      </c>
      <c r="B38">
        <f>'Monthly Data'!C38</f>
        <v>1</v>
      </c>
      <c r="C38">
        <f>'Monthly Data'!B38</f>
        <v>2017</v>
      </c>
      <c r="D38" s="18">
        <f>'Monthly Data'!J38</f>
        <v>13238747.565795455</v>
      </c>
      <c r="E38" s="10">
        <f t="shared" ca="1" si="8"/>
        <v>666.68367523535153</v>
      </c>
      <c r="F38" s="10">
        <f t="shared" ca="1" si="8"/>
        <v>0</v>
      </c>
      <c r="G38" s="98">
        <f>'Monthly Data'!AI38</f>
        <v>540.22916666666674</v>
      </c>
      <c r="H38" s="98">
        <f>'Monthly Data'!AB38</f>
        <v>0</v>
      </c>
      <c r="I38">
        <f>'Monthly Data'!BO38</f>
        <v>31</v>
      </c>
      <c r="J38">
        <f>'Monthly Data'!BR38</f>
        <v>0</v>
      </c>
      <c r="K38" s="17">
        <f>'Monthly Data'!AO38</f>
        <v>6982.5</v>
      </c>
      <c r="L38">
        <f>'Monthly Data'!BM38</f>
        <v>0</v>
      </c>
      <c r="N38" s="17"/>
      <c r="O38" s="17">
        <f t="shared" ca="1" si="5"/>
        <v>651282.85753442592</v>
      </c>
      <c r="P38" s="17">
        <f t="shared" ca="1" si="6"/>
        <v>0</v>
      </c>
      <c r="Q38" s="17"/>
      <c r="R38" s="17"/>
      <c r="S38" s="17"/>
      <c r="T38" s="17"/>
      <c r="U38" s="17">
        <f t="shared" ca="1" si="7"/>
        <v>13890030.42332988</v>
      </c>
    </row>
    <row r="39" spans="1:21" x14ac:dyDescent="0.2">
      <c r="A39" s="28">
        <f>'Monthly Data'!A39</f>
        <v>42767</v>
      </c>
      <c r="B39">
        <f>'Monthly Data'!C39</f>
        <v>2</v>
      </c>
      <c r="C39">
        <f>'Monthly Data'!B39</f>
        <v>2017</v>
      </c>
      <c r="D39" s="18">
        <f>'Monthly Data'!J39</f>
        <v>11972000.088172954</v>
      </c>
      <c r="E39" s="10">
        <f t="shared" ca="1" si="8"/>
        <v>599.3508333333333</v>
      </c>
      <c r="F39" s="10">
        <f t="shared" ca="1" si="8"/>
        <v>0</v>
      </c>
      <c r="G39" s="98">
        <f>'Monthly Data'!AI39</f>
        <v>475.37916666666683</v>
      </c>
      <c r="H39" s="98">
        <f>'Monthly Data'!AB39</f>
        <v>0</v>
      </c>
      <c r="I39">
        <f>'Monthly Data'!BO39</f>
        <v>28</v>
      </c>
      <c r="J39">
        <f>'Monthly Data'!BR39</f>
        <v>0</v>
      </c>
      <c r="K39" s="17">
        <f>'Monthly Data'!AO39</f>
        <v>6962.5</v>
      </c>
      <c r="L39">
        <f>'Monthly Data'!BM39</f>
        <v>0</v>
      </c>
      <c r="N39" s="17"/>
      <c r="O39" s="17">
        <f t="shared" ca="1" si="5"/>
        <v>638495.39438221732</v>
      </c>
      <c r="P39" s="17">
        <f t="shared" ca="1" si="6"/>
        <v>0</v>
      </c>
      <c r="Q39" s="17"/>
      <c r="R39" s="17"/>
      <c r="S39" s="17"/>
      <c r="T39" s="17"/>
      <c r="U39" s="17">
        <f t="shared" ca="1" si="7"/>
        <v>12610495.482555171</v>
      </c>
    </row>
    <row r="40" spans="1:21" x14ac:dyDescent="0.2">
      <c r="A40" s="28">
        <f>'Monthly Data'!A40</f>
        <v>42795</v>
      </c>
      <c r="B40">
        <f>'Monthly Data'!C40</f>
        <v>3</v>
      </c>
      <c r="C40">
        <f>'Monthly Data'!B40</f>
        <v>2017</v>
      </c>
      <c r="D40" s="18">
        <f>'Monthly Data'!J40</f>
        <v>12634058.046692308</v>
      </c>
      <c r="E40" s="10">
        <f t="shared" ca="1" si="8"/>
        <v>469.11853767651354</v>
      </c>
      <c r="F40" s="10">
        <f t="shared" ca="1" si="8"/>
        <v>0</v>
      </c>
      <c r="G40" s="98">
        <f>'Monthly Data'!AI40</f>
        <v>517.80416666666656</v>
      </c>
      <c r="H40" s="98">
        <f>'Monthly Data'!AB40</f>
        <v>0</v>
      </c>
      <c r="I40">
        <f>'Monthly Data'!BO40</f>
        <v>31</v>
      </c>
      <c r="J40">
        <f>'Monthly Data'!BR40</f>
        <v>0</v>
      </c>
      <c r="K40" s="17">
        <f>'Monthly Data'!AO40</f>
        <v>6946</v>
      </c>
      <c r="L40">
        <f>'Monthly Data'!BM40</f>
        <v>0</v>
      </c>
      <c r="N40" s="17"/>
      <c r="O40" s="17">
        <f t="shared" ca="1" si="5"/>
        <v>-250747.21279981273</v>
      </c>
      <c r="P40" s="17">
        <f t="shared" ca="1" si="6"/>
        <v>0</v>
      </c>
      <c r="Q40" s="17"/>
      <c r="R40" s="17"/>
      <c r="S40" s="17"/>
      <c r="T40" s="17"/>
      <c r="U40" s="17">
        <f t="shared" ca="1" si="7"/>
        <v>12383310.833892494</v>
      </c>
    </row>
    <row r="41" spans="1:21" x14ac:dyDescent="0.2">
      <c r="A41" s="28">
        <f>'Monthly Data'!A41</f>
        <v>42826</v>
      </c>
      <c r="B41">
        <f>'Monthly Data'!C41</f>
        <v>4</v>
      </c>
      <c r="C41">
        <f>'Monthly Data'!B41</f>
        <v>2017</v>
      </c>
      <c r="D41" s="18">
        <f>'Monthly Data'!J41</f>
        <v>10680362.785959138</v>
      </c>
      <c r="E41" s="10">
        <f t="shared" ca="1" si="8"/>
        <v>233.92395833333336</v>
      </c>
      <c r="F41" s="10">
        <f t="shared" ca="1" si="8"/>
        <v>0</v>
      </c>
      <c r="G41" s="98">
        <f>'Monthly Data'!AI41</f>
        <v>178.72500000000002</v>
      </c>
      <c r="H41" s="98">
        <f>'Monthly Data'!AB41</f>
        <v>0</v>
      </c>
      <c r="I41">
        <f>'Monthly Data'!BO41</f>
        <v>30</v>
      </c>
      <c r="J41">
        <f>'Monthly Data'!BR41</f>
        <v>0</v>
      </c>
      <c r="K41" s="17">
        <f>'Monthly Data'!AO41</f>
        <v>6963.6</v>
      </c>
      <c r="L41">
        <f>'Monthly Data'!BM41</f>
        <v>0</v>
      </c>
      <c r="N41" s="17"/>
      <c r="O41" s="17">
        <f t="shared" ca="1" si="5"/>
        <v>284293.02935237333</v>
      </c>
      <c r="P41" s="17">
        <f t="shared" ca="1" si="6"/>
        <v>0</v>
      </c>
      <c r="Q41" s="17"/>
      <c r="R41" s="17"/>
      <c r="S41" s="17"/>
      <c r="T41" s="17"/>
      <c r="U41" s="17">
        <f t="shared" ca="1" si="7"/>
        <v>10964655.81531151</v>
      </c>
    </row>
    <row r="42" spans="1:21" x14ac:dyDescent="0.2">
      <c r="A42" s="28">
        <f>'Monthly Data'!A42</f>
        <v>42856</v>
      </c>
      <c r="B42">
        <f>'Monthly Data'!C42</f>
        <v>5</v>
      </c>
      <c r="C42">
        <f>'Monthly Data'!B42</f>
        <v>2017</v>
      </c>
      <c r="D42" s="18">
        <f>'Monthly Data'!J42</f>
        <v>10162413.65849488</v>
      </c>
      <c r="E42" s="10">
        <f t="shared" ca="1" si="8"/>
        <v>46.324929225504526</v>
      </c>
      <c r="F42" s="10">
        <f t="shared" ca="1" si="8"/>
        <v>9.6293749999999996</v>
      </c>
      <c r="G42" s="98">
        <f>'Monthly Data'!AI42</f>
        <v>56.574999999999996</v>
      </c>
      <c r="H42" s="98">
        <f>'Monthly Data'!AB42</f>
        <v>1.9583333333333321</v>
      </c>
      <c r="I42">
        <f>'Monthly Data'!BO42</f>
        <v>31</v>
      </c>
      <c r="J42">
        <f>'Monthly Data'!BR42</f>
        <v>0</v>
      </c>
      <c r="K42" s="17">
        <f>'Monthly Data'!AO42</f>
        <v>7033.4</v>
      </c>
      <c r="L42">
        <f>'Monthly Data'!BM42</f>
        <v>0</v>
      </c>
      <c r="N42" s="17"/>
      <c r="O42" s="17">
        <f t="shared" ca="1" si="5"/>
        <v>-52791.280117288647</v>
      </c>
      <c r="P42" s="17">
        <f t="shared" ca="1" si="6"/>
        <v>95416.281669475371</v>
      </c>
      <c r="Q42" s="17"/>
      <c r="R42" s="17"/>
      <c r="S42" s="17"/>
      <c r="T42" s="17"/>
      <c r="U42" s="17">
        <f t="shared" ca="1" si="7"/>
        <v>10205038.660047067</v>
      </c>
    </row>
    <row r="43" spans="1:21" x14ac:dyDescent="0.2">
      <c r="A43" s="28">
        <f>'Monthly Data'!A43</f>
        <v>42887</v>
      </c>
      <c r="B43">
        <f>'Monthly Data'!C43</f>
        <v>6</v>
      </c>
      <c r="C43">
        <f>'Monthly Data'!B43</f>
        <v>2017</v>
      </c>
      <c r="D43" s="18">
        <f>'Monthly Data'!J43</f>
        <v>9870806.2378251255</v>
      </c>
      <c r="E43" s="10">
        <f t="shared" ca="1" si="8"/>
        <v>1.25875</v>
      </c>
      <c r="F43" s="10">
        <f t="shared" ca="1" si="8"/>
        <v>25.077154107828811</v>
      </c>
      <c r="G43" s="98">
        <f>'Monthly Data'!AI43</f>
        <v>0.59999999999999964</v>
      </c>
      <c r="H43" s="98">
        <f>'Monthly Data'!AB43</f>
        <v>11.541666666666657</v>
      </c>
      <c r="I43">
        <f>'Monthly Data'!BO43</f>
        <v>30</v>
      </c>
      <c r="J43">
        <f>'Monthly Data'!BR43</f>
        <v>0</v>
      </c>
      <c r="K43" s="17">
        <f>'Monthly Data'!AO43</f>
        <v>7123</v>
      </c>
      <c r="L43">
        <f>'Monthly Data'!BM43</f>
        <v>0</v>
      </c>
      <c r="N43" s="17"/>
      <c r="O43" s="17">
        <f t="shared" ca="1" si="5"/>
        <v>3392.7820151052251</v>
      </c>
      <c r="P43" s="17">
        <f t="shared" ca="1" si="6"/>
        <v>168361.21329279372</v>
      </c>
      <c r="Q43" s="17"/>
      <c r="R43" s="17"/>
      <c r="S43" s="17"/>
      <c r="T43" s="17"/>
      <c r="U43" s="17">
        <f t="shared" ca="1" si="7"/>
        <v>10042560.233133024</v>
      </c>
    </row>
    <row r="44" spans="1:21" x14ac:dyDescent="0.2">
      <c r="A44" s="28">
        <f>'Monthly Data'!A44</f>
        <v>42917</v>
      </c>
      <c r="B44">
        <f>'Monthly Data'!C44</f>
        <v>7</v>
      </c>
      <c r="C44">
        <f>'Monthly Data'!B44</f>
        <v>2017</v>
      </c>
      <c r="D44" s="18">
        <f>'Monthly Data'!J44</f>
        <v>10728417.303016009</v>
      </c>
      <c r="E44" s="10">
        <f t="shared" ca="1" si="8"/>
        <v>0</v>
      </c>
      <c r="F44" s="10">
        <f t="shared" ca="1" si="8"/>
        <v>56.475141548990976</v>
      </c>
      <c r="G44" s="98">
        <f>'Monthly Data'!AI44</f>
        <v>0</v>
      </c>
      <c r="H44" s="98">
        <f>'Monthly Data'!AB44</f>
        <v>31.645833333333339</v>
      </c>
      <c r="I44">
        <f>'Monthly Data'!BO44</f>
        <v>31</v>
      </c>
      <c r="J44">
        <f>'Monthly Data'!BR44</f>
        <v>0</v>
      </c>
      <c r="K44" s="17">
        <f>'Monthly Data'!AO44</f>
        <v>7196</v>
      </c>
      <c r="L44">
        <f>'Monthly Data'!BM44</f>
        <v>0</v>
      </c>
      <c r="N44" s="17"/>
      <c r="O44" s="17">
        <f t="shared" ca="1" si="5"/>
        <v>0</v>
      </c>
      <c r="P44" s="17">
        <f t="shared" ca="1" si="6"/>
        <v>308839.44701513695</v>
      </c>
      <c r="Q44" s="17"/>
      <c r="R44" s="17"/>
      <c r="S44" s="17"/>
      <c r="T44" s="17"/>
      <c r="U44" s="17">
        <f t="shared" ca="1" si="7"/>
        <v>11037256.750031145</v>
      </c>
    </row>
    <row r="45" spans="1:21" x14ac:dyDescent="0.2">
      <c r="A45" s="28">
        <f>'Monthly Data'!A45</f>
        <v>42948</v>
      </c>
      <c r="B45">
        <f>'Monthly Data'!C45</f>
        <v>8</v>
      </c>
      <c r="C45">
        <f>'Monthly Data'!B45</f>
        <v>2017</v>
      </c>
      <c r="D45" s="18">
        <f>'Monthly Data'!J45</f>
        <v>10430002.785010062</v>
      </c>
      <c r="E45" s="10">
        <f t="shared" ca="1" si="8"/>
        <v>0.1158333333333335</v>
      </c>
      <c r="F45" s="10">
        <f t="shared" ca="1" si="8"/>
        <v>35.296250000000008</v>
      </c>
      <c r="G45" s="98">
        <f>'Monthly Data'!AI45</f>
        <v>2.5000000000000355E-2</v>
      </c>
      <c r="H45" s="98">
        <f>'Monthly Data'!AB45</f>
        <v>10.208333333333339</v>
      </c>
      <c r="I45">
        <f>'Monthly Data'!BO45</f>
        <v>31</v>
      </c>
      <c r="J45">
        <f>'Monthly Data'!BR45</f>
        <v>0</v>
      </c>
      <c r="K45" s="17">
        <f>'Monthly Data'!AO45</f>
        <v>7216.7</v>
      </c>
      <c r="L45">
        <f>'Monthly Data'!BM45</f>
        <v>0</v>
      </c>
      <c r="N45" s="17"/>
      <c r="O45" s="17">
        <f t="shared" ca="1" si="5"/>
        <v>467.82193503664587</v>
      </c>
      <c r="P45" s="17">
        <f t="shared" ca="1" si="6"/>
        <v>312056.14924096479</v>
      </c>
      <c r="Q45" s="17"/>
      <c r="R45" s="17"/>
      <c r="S45" s="17"/>
      <c r="T45" s="17"/>
      <c r="U45" s="17">
        <f t="shared" ca="1" si="7"/>
        <v>10742526.756186064</v>
      </c>
    </row>
    <row r="46" spans="1:21" x14ac:dyDescent="0.2">
      <c r="A46" s="28">
        <f>'Monthly Data'!A46</f>
        <v>42979</v>
      </c>
      <c r="B46">
        <f>'Monthly Data'!C46</f>
        <v>9</v>
      </c>
      <c r="C46">
        <f>'Monthly Data'!B46</f>
        <v>2017</v>
      </c>
      <c r="D46" s="18">
        <f>'Monthly Data'!J46</f>
        <v>10138877.280987848</v>
      </c>
      <c r="E46" s="10">
        <f t="shared" ca="1" si="8"/>
        <v>11.597845892171184</v>
      </c>
      <c r="F46" s="10">
        <f t="shared" ca="1" si="8"/>
        <v>11.128958333333333</v>
      </c>
      <c r="G46" s="98">
        <f>'Monthly Data'!AI46</f>
        <v>10.408333333333333</v>
      </c>
      <c r="H46" s="98">
        <f>'Monthly Data'!AB46</f>
        <v>25.850000000000005</v>
      </c>
      <c r="I46">
        <f>'Monthly Data'!BO46</f>
        <v>30</v>
      </c>
      <c r="J46">
        <f>'Monthly Data'!BR46</f>
        <v>0</v>
      </c>
      <c r="K46" s="17">
        <f>'Monthly Data'!AO46</f>
        <v>7193.4</v>
      </c>
      <c r="L46">
        <f>'Monthly Data'!BM46</f>
        <v>1</v>
      </c>
      <c r="N46" s="17"/>
      <c r="O46" s="17">
        <f t="shared" ca="1" si="5"/>
        <v>6126.386059000919</v>
      </c>
      <c r="P46" s="17">
        <f t="shared" ca="1" si="6"/>
        <v>-183107.73414754626</v>
      </c>
      <c r="Q46" s="17"/>
      <c r="R46" s="17"/>
      <c r="S46" s="17"/>
      <c r="T46" s="17"/>
      <c r="U46" s="17">
        <f t="shared" ca="1" si="7"/>
        <v>9961895.9328993019</v>
      </c>
    </row>
    <row r="47" spans="1:21" x14ac:dyDescent="0.2">
      <c r="A47" s="28">
        <f>'Monthly Data'!A47</f>
        <v>43009</v>
      </c>
      <c r="B47">
        <f>'Monthly Data'!C47</f>
        <v>10</v>
      </c>
      <c r="C47">
        <f>'Monthly Data'!B47</f>
        <v>2017</v>
      </c>
      <c r="D47" s="18">
        <f>'Monthly Data'!J47</f>
        <v>10563594.710277392</v>
      </c>
      <c r="E47" s="10">
        <f t="shared" ref="E47:F62" ca="1" si="9">E35</f>
        <v>128.51888157360821</v>
      </c>
      <c r="F47" s="10">
        <f t="shared" ca="1" si="9"/>
        <v>0.44687499999999963</v>
      </c>
      <c r="G47" s="98">
        <f>'Monthly Data'!AI47</f>
        <v>68.772916666666674</v>
      </c>
      <c r="H47" s="98">
        <f>'Monthly Data'!AB47</f>
        <v>0</v>
      </c>
      <c r="I47">
        <f>'Monthly Data'!BO47</f>
        <v>31</v>
      </c>
      <c r="J47">
        <f>'Monthly Data'!BR47</f>
        <v>0</v>
      </c>
      <c r="K47" s="17">
        <f>'Monthly Data'!AO47</f>
        <v>7185.2</v>
      </c>
      <c r="L47">
        <f>'Monthly Data'!BM47</f>
        <v>1</v>
      </c>
      <c r="N47" s="17"/>
      <c r="O47" s="17">
        <f t="shared" ca="1" si="5"/>
        <v>307711.62840437051</v>
      </c>
      <c r="P47" s="17">
        <f t="shared" ca="1" si="6"/>
        <v>5558.4564292394152</v>
      </c>
      <c r="Q47" s="17"/>
      <c r="R47" s="17"/>
      <c r="S47" s="17"/>
      <c r="T47" s="17"/>
      <c r="U47" s="17">
        <f t="shared" ca="1" si="7"/>
        <v>10876864.795111002</v>
      </c>
    </row>
    <row r="48" spans="1:21" x14ac:dyDescent="0.2">
      <c r="A48" s="28">
        <f>'Monthly Data'!A48</f>
        <v>43040</v>
      </c>
      <c r="B48">
        <f>'Monthly Data'!C48</f>
        <v>11</v>
      </c>
      <c r="C48">
        <f>'Monthly Data'!B48</f>
        <v>2017</v>
      </c>
      <c r="D48" s="18">
        <f>'Monthly Data'!J48</f>
        <v>11794734.034078825</v>
      </c>
      <c r="E48" s="10">
        <f t="shared" ca="1" si="9"/>
        <v>332.1049960098469</v>
      </c>
      <c r="F48" s="10">
        <f t="shared" ca="1" si="9"/>
        <v>0</v>
      </c>
      <c r="G48" s="98">
        <f>'Monthly Data'!AI48</f>
        <v>368.26250000000005</v>
      </c>
      <c r="H48" s="98">
        <f>'Monthly Data'!AB48</f>
        <v>0</v>
      </c>
      <c r="I48">
        <f>'Monthly Data'!BO48</f>
        <v>30</v>
      </c>
      <c r="J48">
        <f>'Monthly Data'!BR48</f>
        <v>0</v>
      </c>
      <c r="K48" s="17">
        <f>'Monthly Data'!AO48</f>
        <v>7186</v>
      </c>
      <c r="L48">
        <f>'Monthly Data'!BM48</f>
        <v>0</v>
      </c>
      <c r="N48" s="17"/>
      <c r="O48" s="17">
        <f t="shared" ca="1" si="5"/>
        <v>-186223.19430571073</v>
      </c>
      <c r="P48" s="17">
        <f t="shared" ca="1" si="6"/>
        <v>0</v>
      </c>
      <c r="Q48" s="17"/>
      <c r="R48" s="17"/>
      <c r="S48" s="17"/>
      <c r="T48" s="17"/>
      <c r="U48" s="17">
        <f t="shared" ca="1" si="7"/>
        <v>11608510.839773115</v>
      </c>
    </row>
    <row r="49" spans="1:21" x14ac:dyDescent="0.2">
      <c r="A49" s="28">
        <f>'Monthly Data'!A49</f>
        <v>43070</v>
      </c>
      <c r="B49">
        <f>'Monthly Data'!C49</f>
        <v>12</v>
      </c>
      <c r="C49">
        <f>'Monthly Data'!B49</f>
        <v>2017</v>
      </c>
      <c r="D49" s="18">
        <f>'Monthly Data'!J49</f>
        <v>13979384.236354139</v>
      </c>
      <c r="E49" s="10">
        <f t="shared" ca="1" si="9"/>
        <v>508.62936502461724</v>
      </c>
      <c r="F49" s="10">
        <f t="shared" ca="1" si="9"/>
        <v>0</v>
      </c>
      <c r="G49" s="98">
        <f>'Monthly Data'!AI49</f>
        <v>709.36250000000007</v>
      </c>
      <c r="H49" s="98">
        <f>'Monthly Data'!AB49</f>
        <v>0</v>
      </c>
      <c r="I49">
        <f>'Monthly Data'!BO49</f>
        <v>31</v>
      </c>
      <c r="J49">
        <f>'Monthly Data'!BR49</f>
        <v>0</v>
      </c>
      <c r="K49" s="17">
        <f>'Monthly Data'!AO49</f>
        <v>7206.8</v>
      </c>
      <c r="L49">
        <f>'Monthly Data'!BM49</f>
        <v>0</v>
      </c>
      <c r="N49" s="17"/>
      <c r="O49" s="17">
        <f t="shared" ca="1" si="5"/>
        <v>-1033842.5353778643</v>
      </c>
      <c r="P49" s="17">
        <f t="shared" ca="1" si="6"/>
        <v>0</v>
      </c>
      <c r="Q49" s="17"/>
      <c r="R49" s="17"/>
      <c r="S49" s="17"/>
      <c r="T49" s="17"/>
      <c r="U49" s="17">
        <f t="shared" ca="1" si="7"/>
        <v>12945541.700976275</v>
      </c>
    </row>
    <row r="50" spans="1:21" x14ac:dyDescent="0.2">
      <c r="A50" s="28">
        <f>'Monthly Data'!A50</f>
        <v>43101</v>
      </c>
      <c r="B50">
        <f>'Monthly Data'!C50</f>
        <v>1</v>
      </c>
      <c r="C50">
        <f>'Monthly Data'!B50</f>
        <v>2018</v>
      </c>
      <c r="D50" s="18">
        <f>'Monthly Data'!J50</f>
        <v>14589181.282457083</v>
      </c>
      <c r="E50" s="10">
        <f t="shared" ca="1" si="9"/>
        <v>666.68367523535153</v>
      </c>
      <c r="F50" s="10">
        <f t="shared" ca="1" si="9"/>
        <v>0</v>
      </c>
      <c r="G50" s="98">
        <f>'Monthly Data'!AI50</f>
        <v>667.31041666666681</v>
      </c>
      <c r="H50" s="98">
        <f>'Monthly Data'!AB50</f>
        <v>0</v>
      </c>
      <c r="I50">
        <f>'Monthly Data'!BO50</f>
        <v>31</v>
      </c>
      <c r="J50">
        <f>'Monthly Data'!BR50</f>
        <v>0</v>
      </c>
      <c r="K50" s="17">
        <f>'Monthly Data'!AO50</f>
        <v>7167.3</v>
      </c>
      <c r="L50">
        <f>'Monthly Data'!BM50</f>
        <v>0</v>
      </c>
      <c r="N50" s="17"/>
      <c r="O50" s="17">
        <f t="shared" ca="1" si="5"/>
        <v>-3227.9272201712211</v>
      </c>
      <c r="P50" s="17">
        <f t="shared" ca="1" si="6"/>
        <v>0</v>
      </c>
      <c r="Q50" s="17"/>
      <c r="R50" s="17"/>
      <c r="S50" s="17"/>
      <c r="T50" s="17"/>
      <c r="U50" s="17">
        <f t="shared" ca="1" si="7"/>
        <v>14585953.355236912</v>
      </c>
    </row>
    <row r="51" spans="1:21" x14ac:dyDescent="0.2">
      <c r="A51" s="28">
        <f>'Monthly Data'!A51</f>
        <v>43132</v>
      </c>
      <c r="B51">
        <f>'Monthly Data'!C51</f>
        <v>2</v>
      </c>
      <c r="C51">
        <f>'Monthly Data'!B51</f>
        <v>2018</v>
      </c>
      <c r="D51" s="18">
        <f>'Monthly Data'!J51</f>
        <v>12602065.043304538</v>
      </c>
      <c r="E51" s="10">
        <f t="shared" ca="1" si="9"/>
        <v>599.3508333333333</v>
      </c>
      <c r="F51" s="10">
        <f t="shared" ca="1" si="9"/>
        <v>0</v>
      </c>
      <c r="G51" s="98">
        <f>'Monthly Data'!AI51</f>
        <v>537.08958333333339</v>
      </c>
      <c r="H51" s="98">
        <f>'Monthly Data'!AB51</f>
        <v>0</v>
      </c>
      <c r="I51">
        <f>'Monthly Data'!BO51</f>
        <v>28</v>
      </c>
      <c r="J51">
        <f>'Monthly Data'!BR51</f>
        <v>0</v>
      </c>
      <c r="K51" s="17">
        <f>'Monthly Data'!AO51</f>
        <v>7120.1</v>
      </c>
      <c r="L51">
        <f>'Monthly Data'!BM51</f>
        <v>0</v>
      </c>
      <c r="N51" s="17"/>
      <c r="O51" s="17">
        <f t="shared" ca="1" si="5"/>
        <v>320666.18480147212</v>
      </c>
      <c r="P51" s="17">
        <f t="shared" ca="1" si="6"/>
        <v>0</v>
      </c>
      <c r="Q51" s="17"/>
      <c r="R51" s="17"/>
      <c r="S51" s="17"/>
      <c r="T51" s="17"/>
      <c r="U51" s="17">
        <f t="shared" ca="1" si="7"/>
        <v>12922731.228106011</v>
      </c>
    </row>
    <row r="52" spans="1:21" x14ac:dyDescent="0.2">
      <c r="A52" s="28">
        <f>'Monthly Data'!A52</f>
        <v>43160</v>
      </c>
      <c r="B52">
        <f>'Monthly Data'!C52</f>
        <v>3</v>
      </c>
      <c r="C52">
        <f>'Monthly Data'!B52</f>
        <v>2018</v>
      </c>
      <c r="D52" s="18">
        <f>'Monthly Data'!J52</f>
        <v>12838873.521702431</v>
      </c>
      <c r="E52" s="10">
        <f t="shared" ca="1" si="9"/>
        <v>469.11853767651354</v>
      </c>
      <c r="F52" s="10">
        <f t="shared" ca="1" si="9"/>
        <v>0</v>
      </c>
      <c r="G52" s="98">
        <f>'Monthly Data'!AI52</f>
        <v>468.80624999999998</v>
      </c>
      <c r="H52" s="98">
        <f>'Monthly Data'!AB52</f>
        <v>0</v>
      </c>
      <c r="I52">
        <f>'Monthly Data'!BO52</f>
        <v>31</v>
      </c>
      <c r="J52">
        <f>'Monthly Data'!BR52</f>
        <v>0</v>
      </c>
      <c r="K52" s="17">
        <f>'Monthly Data'!AO52</f>
        <v>7084.1</v>
      </c>
      <c r="L52">
        <f>'Monthly Data'!BM52</f>
        <v>0</v>
      </c>
      <c r="N52" s="17"/>
      <c r="O52" s="17">
        <f t="shared" ca="1" si="5"/>
        <v>1608.3855975927349</v>
      </c>
      <c r="P52" s="17">
        <f t="shared" ca="1" si="6"/>
        <v>0</v>
      </c>
      <c r="Q52" s="17"/>
      <c r="R52" s="17"/>
      <c r="S52" s="17"/>
      <c r="T52" s="17"/>
      <c r="U52" s="17">
        <f t="shared" ca="1" si="7"/>
        <v>12840481.907300023</v>
      </c>
    </row>
    <row r="53" spans="1:21" x14ac:dyDescent="0.2">
      <c r="A53" s="28">
        <f>'Monthly Data'!A53</f>
        <v>43191</v>
      </c>
      <c r="B53">
        <f>'Monthly Data'!C53</f>
        <v>4</v>
      </c>
      <c r="C53">
        <f>'Monthly Data'!B53</f>
        <v>2018</v>
      </c>
      <c r="D53" s="18">
        <f>'Monthly Data'!J53</f>
        <v>11595715.426247839</v>
      </c>
      <c r="E53" s="10">
        <f t="shared" ca="1" si="9"/>
        <v>233.92395833333336</v>
      </c>
      <c r="F53" s="10">
        <f t="shared" ca="1" si="9"/>
        <v>0</v>
      </c>
      <c r="G53" s="98">
        <f>'Monthly Data'!AI53</f>
        <v>336.60624999999999</v>
      </c>
      <c r="H53" s="98">
        <f>'Monthly Data'!AB53</f>
        <v>0</v>
      </c>
      <c r="I53">
        <f>'Monthly Data'!BO53</f>
        <v>30</v>
      </c>
      <c r="J53">
        <f>'Monthly Data'!BR53</f>
        <v>0</v>
      </c>
      <c r="K53" s="17">
        <f>'Monthly Data'!AO53</f>
        <v>7111.6</v>
      </c>
      <c r="L53">
        <f>'Monthly Data'!BM53</f>
        <v>0</v>
      </c>
      <c r="N53" s="17"/>
      <c r="O53" s="17">
        <f t="shared" ca="1" si="5"/>
        <v>-528848.01887886983</v>
      </c>
      <c r="P53" s="17">
        <f t="shared" ca="1" si="6"/>
        <v>0</v>
      </c>
      <c r="Q53" s="17"/>
      <c r="R53" s="17"/>
      <c r="S53" s="17"/>
      <c r="T53" s="17"/>
      <c r="U53" s="17">
        <f t="shared" ca="1" si="7"/>
        <v>11066867.407368969</v>
      </c>
    </row>
    <row r="54" spans="1:21" x14ac:dyDescent="0.2">
      <c r="A54" s="28">
        <f>'Monthly Data'!A54</f>
        <v>43221</v>
      </c>
      <c r="B54">
        <f>'Monthly Data'!C54</f>
        <v>5</v>
      </c>
      <c r="C54">
        <f>'Monthly Data'!B54</f>
        <v>2018</v>
      </c>
      <c r="D54" s="18">
        <f>'Monthly Data'!J54</f>
        <v>10804557.02921702</v>
      </c>
      <c r="E54" s="10">
        <f t="shared" ca="1" si="9"/>
        <v>46.324929225504526</v>
      </c>
      <c r="F54" s="10">
        <f t="shared" ca="1" si="9"/>
        <v>9.6293749999999996</v>
      </c>
      <c r="G54" s="98">
        <f>'Monthly Data'!AI54</f>
        <v>20.166666666666668</v>
      </c>
      <c r="H54" s="98">
        <f>'Monthly Data'!AB54</f>
        <v>14.637499999999996</v>
      </c>
      <c r="I54">
        <f>'Monthly Data'!BO54</f>
        <v>31</v>
      </c>
      <c r="J54">
        <f>'Monthly Data'!BR54</f>
        <v>0</v>
      </c>
      <c r="K54" s="17">
        <f>'Monthly Data'!AO54</f>
        <v>7176</v>
      </c>
      <c r="L54">
        <f>'Monthly Data'!BM54</f>
        <v>0</v>
      </c>
      <c r="N54" s="17"/>
      <c r="O54" s="17">
        <f t="shared" ca="1" si="5"/>
        <v>134723.76888960216</v>
      </c>
      <c r="P54" s="17">
        <f t="shared" ca="1" si="6"/>
        <v>-62293.582332161444</v>
      </c>
      <c r="Q54" s="17"/>
      <c r="R54" s="17"/>
      <c r="S54" s="17"/>
      <c r="T54" s="17"/>
      <c r="U54" s="17">
        <f t="shared" ca="1" si="7"/>
        <v>10876987.21577446</v>
      </c>
    </row>
    <row r="55" spans="1:21" x14ac:dyDescent="0.2">
      <c r="A55" s="28">
        <f>'Monthly Data'!A55</f>
        <v>43252</v>
      </c>
      <c r="B55">
        <f>'Monthly Data'!C55</f>
        <v>6</v>
      </c>
      <c r="C55">
        <f>'Monthly Data'!B55</f>
        <v>2018</v>
      </c>
      <c r="D55" s="18">
        <f>'Monthly Data'!J55</f>
        <v>10810056.585985513</v>
      </c>
      <c r="E55" s="10">
        <f t="shared" ca="1" si="9"/>
        <v>1.25875</v>
      </c>
      <c r="F55" s="10">
        <f t="shared" ca="1" si="9"/>
        <v>25.077154107828811</v>
      </c>
      <c r="G55" s="98">
        <f>'Monthly Data'!AI55</f>
        <v>1.0624999999999982</v>
      </c>
      <c r="H55" s="98">
        <f>'Monthly Data'!AB55</f>
        <v>24.545833333333317</v>
      </c>
      <c r="I55">
        <f>'Monthly Data'!BO55</f>
        <v>30</v>
      </c>
      <c r="J55">
        <f>'Monthly Data'!BR55</f>
        <v>0</v>
      </c>
      <c r="K55" s="17">
        <f>'Monthly Data'!AO55</f>
        <v>7264.3</v>
      </c>
      <c r="L55">
        <f>'Monthly Data'!BM55</f>
        <v>0</v>
      </c>
      <c r="N55" s="17"/>
      <c r="O55" s="17">
        <f t="shared" ca="1" si="5"/>
        <v>1010.7528963406546</v>
      </c>
      <c r="P55" s="17">
        <f t="shared" ca="1" si="6"/>
        <v>6608.8355244373679</v>
      </c>
      <c r="Q55" s="17"/>
      <c r="R55" s="17"/>
      <c r="S55" s="17"/>
      <c r="T55" s="17"/>
      <c r="U55" s="17">
        <f t="shared" ca="1" si="7"/>
        <v>10817676.174406292</v>
      </c>
    </row>
    <row r="56" spans="1:21" x14ac:dyDescent="0.2">
      <c r="A56" s="28">
        <f>'Monthly Data'!A56</f>
        <v>43282</v>
      </c>
      <c r="B56">
        <f>'Monthly Data'!C56</f>
        <v>7</v>
      </c>
      <c r="C56">
        <f>'Monthly Data'!B56</f>
        <v>2018</v>
      </c>
      <c r="D56" s="18">
        <f>'Monthly Data'!J56</f>
        <v>11738903.733938437</v>
      </c>
      <c r="E56" s="10">
        <f t="shared" ca="1" si="9"/>
        <v>0</v>
      </c>
      <c r="F56" s="10">
        <f t="shared" ca="1" si="9"/>
        <v>56.475141548990976</v>
      </c>
      <c r="G56" s="98">
        <f>'Monthly Data'!AI56</f>
        <v>0</v>
      </c>
      <c r="H56" s="98">
        <f>'Monthly Data'!AB56</f>
        <v>91.926415489909644</v>
      </c>
      <c r="I56">
        <f>'Monthly Data'!BO56</f>
        <v>31</v>
      </c>
      <c r="J56">
        <f>'Monthly Data'!BR56</f>
        <v>0</v>
      </c>
      <c r="K56" s="17">
        <f>'Monthly Data'!AO56</f>
        <v>7345.7</v>
      </c>
      <c r="L56">
        <f>'Monthly Data'!BM56</f>
        <v>0</v>
      </c>
      <c r="N56" s="17"/>
      <c r="O56" s="17">
        <f t="shared" ca="1" si="5"/>
        <v>0</v>
      </c>
      <c r="P56" s="17">
        <f t="shared" ca="1" si="6"/>
        <v>-440960.8090889561</v>
      </c>
      <c r="Q56" s="17"/>
      <c r="R56" s="17"/>
      <c r="S56" s="17"/>
      <c r="T56" s="17"/>
      <c r="U56" s="17">
        <f t="shared" ca="1" si="7"/>
        <v>11297942.92484948</v>
      </c>
    </row>
    <row r="57" spans="1:21" x14ac:dyDescent="0.2">
      <c r="A57" s="28">
        <f>'Monthly Data'!A57</f>
        <v>43313</v>
      </c>
      <c r="B57">
        <f>'Monthly Data'!C57</f>
        <v>8</v>
      </c>
      <c r="C57">
        <f>'Monthly Data'!B57</f>
        <v>2018</v>
      </c>
      <c r="D57" s="18">
        <f>'Monthly Data'!J57</f>
        <v>11370146.661835445</v>
      </c>
      <c r="E57" s="10">
        <f t="shared" ca="1" si="9"/>
        <v>0.1158333333333335</v>
      </c>
      <c r="F57" s="10">
        <f t="shared" ca="1" si="9"/>
        <v>35.296250000000008</v>
      </c>
      <c r="G57" s="98">
        <f>'Monthly Data'!AI57</f>
        <v>0</v>
      </c>
      <c r="H57" s="98">
        <f>'Monthly Data'!AB57</f>
        <v>56.750000000000014</v>
      </c>
      <c r="I57">
        <f>'Monthly Data'!BO57</f>
        <v>31</v>
      </c>
      <c r="J57">
        <f>'Monthly Data'!BR57</f>
        <v>0</v>
      </c>
      <c r="K57" s="17">
        <f>'Monthly Data'!AO57</f>
        <v>7359.5</v>
      </c>
      <c r="L57">
        <f>'Monthly Data'!BM57</f>
        <v>0</v>
      </c>
      <c r="N57" s="17"/>
      <c r="O57" s="17">
        <f t="shared" ca="1" si="5"/>
        <v>596.58026578067893</v>
      </c>
      <c r="P57" s="17">
        <f t="shared" ca="1" si="6"/>
        <v>-266852.55299310823</v>
      </c>
      <c r="Q57" s="17"/>
      <c r="R57" s="17"/>
      <c r="S57" s="17"/>
      <c r="T57" s="17"/>
      <c r="U57" s="17">
        <f t="shared" ca="1" si="7"/>
        <v>11103890.689108118</v>
      </c>
    </row>
    <row r="58" spans="1:21" x14ac:dyDescent="0.2">
      <c r="A58" s="28">
        <f>'Monthly Data'!A58</f>
        <v>43344</v>
      </c>
      <c r="B58">
        <f>'Monthly Data'!C58</f>
        <v>9</v>
      </c>
      <c r="C58">
        <f>'Monthly Data'!B58</f>
        <v>2018</v>
      </c>
      <c r="D58" s="18">
        <f>'Monthly Data'!J58</f>
        <v>10317381.425097212</v>
      </c>
      <c r="E58" s="10">
        <f t="shared" ca="1" si="9"/>
        <v>11.597845892171184</v>
      </c>
      <c r="F58" s="10">
        <f t="shared" ca="1" si="9"/>
        <v>11.128958333333333</v>
      </c>
      <c r="G58" s="98">
        <f>'Monthly Data'!AI58</f>
        <v>19.612499999999997</v>
      </c>
      <c r="H58" s="98">
        <f>'Monthly Data'!AB58</f>
        <v>20.450000000000006</v>
      </c>
      <c r="I58">
        <f>'Monthly Data'!BO58</f>
        <v>30</v>
      </c>
      <c r="J58">
        <f>'Monthly Data'!BR58</f>
        <v>0</v>
      </c>
      <c r="K58" s="17">
        <f>'Monthly Data'!AO58</f>
        <v>7324.4</v>
      </c>
      <c r="L58">
        <f>'Monthly Data'!BM58</f>
        <v>1</v>
      </c>
      <c r="N58" s="17"/>
      <c r="O58" s="17">
        <f t="shared" ca="1" si="5"/>
        <v>-41278.139376593237</v>
      </c>
      <c r="P58" s="17">
        <f t="shared" ca="1" si="6"/>
        <v>-115939.8131005133</v>
      </c>
      <c r="Q58" s="17"/>
      <c r="R58" s="17"/>
      <c r="S58" s="17"/>
      <c r="T58" s="17"/>
      <c r="U58" s="17">
        <f t="shared" ca="1" si="7"/>
        <v>10160163.472620105</v>
      </c>
    </row>
    <row r="59" spans="1:21" x14ac:dyDescent="0.2">
      <c r="A59" s="28">
        <f>'Monthly Data'!A59</f>
        <v>43374</v>
      </c>
      <c r="B59">
        <f>'Monthly Data'!C59</f>
        <v>10</v>
      </c>
      <c r="C59">
        <f>'Monthly Data'!B59</f>
        <v>2018</v>
      </c>
      <c r="D59" s="18">
        <f>'Monthly Data'!J59</f>
        <v>11056318.15399784</v>
      </c>
      <c r="E59" s="10">
        <f t="shared" ca="1" si="9"/>
        <v>128.51888157360821</v>
      </c>
      <c r="F59" s="10">
        <f t="shared" ca="1" si="9"/>
        <v>0.44687499999999963</v>
      </c>
      <c r="G59" s="98">
        <f>'Monthly Data'!AI59</f>
        <v>200.22916666666666</v>
      </c>
      <c r="H59" s="98">
        <f>'Monthly Data'!AB59</f>
        <v>0</v>
      </c>
      <c r="I59">
        <f>'Monthly Data'!BO59</f>
        <v>31</v>
      </c>
      <c r="J59">
        <f>'Monthly Data'!BR59</f>
        <v>0</v>
      </c>
      <c r="K59" s="17">
        <f>'Monthly Data'!AO59</f>
        <v>7290.6</v>
      </c>
      <c r="L59">
        <f>'Monthly Data'!BM59</f>
        <v>1</v>
      </c>
      <c r="N59" s="17"/>
      <c r="O59" s="17">
        <f t="shared" ca="1" si="5"/>
        <v>-369331.86423043167</v>
      </c>
      <c r="P59" s="17">
        <f t="shared" ca="1" si="6"/>
        <v>5558.4564292394152</v>
      </c>
      <c r="Q59" s="17"/>
      <c r="R59" s="17"/>
      <c r="S59" s="17"/>
      <c r="T59" s="17"/>
      <c r="U59" s="17">
        <f t="shared" ca="1" si="7"/>
        <v>10692544.746196648</v>
      </c>
    </row>
    <row r="60" spans="1:21" x14ac:dyDescent="0.2">
      <c r="A60" s="28">
        <f>'Monthly Data'!A60</f>
        <v>43405</v>
      </c>
      <c r="B60">
        <f>'Monthly Data'!C60</f>
        <v>11</v>
      </c>
      <c r="C60">
        <f>'Monthly Data'!B60</f>
        <v>2018</v>
      </c>
      <c r="D60" s="18">
        <f>'Monthly Data'!J60</f>
        <v>12321410.335647583</v>
      </c>
      <c r="E60" s="10">
        <f t="shared" ca="1" si="9"/>
        <v>332.1049960098469</v>
      </c>
      <c r="F60" s="10">
        <f t="shared" ca="1" si="9"/>
        <v>0</v>
      </c>
      <c r="G60" s="98">
        <f>'Monthly Data'!AI60</f>
        <v>436.37708333333336</v>
      </c>
      <c r="H60" s="98">
        <f>'Monthly Data'!AB60</f>
        <v>0</v>
      </c>
      <c r="I60">
        <f>'Monthly Data'!BO60</f>
        <v>30</v>
      </c>
      <c r="J60">
        <f>'Monthly Data'!BR60</f>
        <v>0</v>
      </c>
      <c r="K60" s="17">
        <f>'Monthly Data'!AO60</f>
        <v>7288.9</v>
      </c>
      <c r="L60">
        <f>'Monthly Data'!BM60</f>
        <v>0</v>
      </c>
      <c r="N60" s="17"/>
      <c r="O60" s="17">
        <f t="shared" ca="1" si="5"/>
        <v>-537035.99627871905</v>
      </c>
      <c r="P60" s="17">
        <f t="shared" ca="1" si="6"/>
        <v>0</v>
      </c>
      <c r="Q60" s="17"/>
      <c r="R60" s="17"/>
      <c r="S60" s="17"/>
      <c r="T60" s="17"/>
      <c r="U60" s="17">
        <f t="shared" ca="1" si="7"/>
        <v>11784374.339368865</v>
      </c>
    </row>
    <row r="61" spans="1:21" x14ac:dyDescent="0.2">
      <c r="A61" s="28">
        <f>'Monthly Data'!A61</f>
        <v>43435</v>
      </c>
      <c r="B61">
        <f>'Monthly Data'!C61</f>
        <v>12</v>
      </c>
      <c r="C61">
        <f>'Monthly Data'!B61</f>
        <v>2018</v>
      </c>
      <c r="D61" s="18">
        <f>'Monthly Data'!J61</f>
        <v>13389120.972104926</v>
      </c>
      <c r="E61" s="10">
        <f t="shared" ca="1" si="9"/>
        <v>508.62936502461724</v>
      </c>
      <c r="F61" s="10">
        <f t="shared" ca="1" si="9"/>
        <v>0</v>
      </c>
      <c r="G61" s="98">
        <f>'Monthly Data'!AI61</f>
        <v>536.44791666666663</v>
      </c>
      <c r="H61" s="98">
        <f>'Monthly Data'!AB61</f>
        <v>0</v>
      </c>
      <c r="I61">
        <f>'Monthly Data'!BO61</f>
        <v>31</v>
      </c>
      <c r="J61">
        <f>'Monthly Data'!BR61</f>
        <v>0</v>
      </c>
      <c r="K61" s="17">
        <f>'Monthly Data'!AO61</f>
        <v>7310.7</v>
      </c>
      <c r="L61">
        <f>'Monthly Data'!BM61</f>
        <v>0</v>
      </c>
      <c r="N61" s="17"/>
      <c r="O61" s="17">
        <f t="shared" ca="1" si="5"/>
        <v>-143274.81092587631</v>
      </c>
      <c r="P61" s="17">
        <f t="shared" ca="1" si="6"/>
        <v>0</v>
      </c>
      <c r="Q61" s="17"/>
      <c r="R61" s="17"/>
      <c r="S61" s="17"/>
      <c r="T61" s="17"/>
      <c r="U61" s="17">
        <f t="shared" ca="1" si="7"/>
        <v>13245846.161179049</v>
      </c>
    </row>
    <row r="62" spans="1:21" x14ac:dyDescent="0.2">
      <c r="A62" s="28">
        <f>'Monthly Data'!A62</f>
        <v>43466</v>
      </c>
      <c r="B62">
        <f>'Monthly Data'!C62</f>
        <v>1</v>
      </c>
      <c r="C62">
        <f>'Monthly Data'!B62</f>
        <v>2019</v>
      </c>
      <c r="D62" s="18">
        <f>'Monthly Data'!J62</f>
        <v>14598104.020437693</v>
      </c>
      <c r="E62" s="10">
        <f t="shared" ca="1" si="9"/>
        <v>666.68367523535153</v>
      </c>
      <c r="F62" s="10">
        <f t="shared" ca="1" si="9"/>
        <v>0</v>
      </c>
      <c r="G62" s="98">
        <f>'Monthly Data'!AI62</f>
        <v>799.23958333333326</v>
      </c>
      <c r="H62" s="98">
        <f>'Monthly Data'!AB62</f>
        <v>0</v>
      </c>
      <c r="I62">
        <f>'Monthly Data'!BO62</f>
        <v>31</v>
      </c>
      <c r="J62">
        <f>'Monthly Data'!BR62</f>
        <v>0</v>
      </c>
      <c r="K62" s="17">
        <f>'Monthly Data'!AO62</f>
        <v>7289.4</v>
      </c>
      <c r="L62">
        <f>'Monthly Data'!BM62</f>
        <v>0</v>
      </c>
      <c r="N62" s="17"/>
      <c r="O62" s="17">
        <f t="shared" ca="1" si="5"/>
        <v>-682707.09827821364</v>
      </c>
      <c r="P62" s="17">
        <f t="shared" ca="1" si="6"/>
        <v>0</v>
      </c>
      <c r="Q62" s="17"/>
      <c r="R62" s="17"/>
      <c r="S62" s="17"/>
      <c r="T62" s="17"/>
      <c r="U62" s="17">
        <f t="shared" ca="1" si="7"/>
        <v>13915396.92215948</v>
      </c>
    </row>
    <row r="63" spans="1:21" x14ac:dyDescent="0.2">
      <c r="A63" s="28">
        <f>'Monthly Data'!A63</f>
        <v>43497</v>
      </c>
      <c r="B63">
        <f>'Monthly Data'!C63</f>
        <v>2</v>
      </c>
      <c r="C63">
        <f>'Monthly Data'!B63</f>
        <v>2019</v>
      </c>
      <c r="D63" s="18">
        <f>'Monthly Data'!J63</f>
        <v>13158513.120282056</v>
      </c>
      <c r="E63" s="10">
        <f t="shared" ref="E63:F78" ca="1" si="10">E51</f>
        <v>599.3508333333333</v>
      </c>
      <c r="F63" s="10">
        <f t="shared" ca="1" si="10"/>
        <v>0</v>
      </c>
      <c r="G63" s="98">
        <f>'Monthly Data'!AI63</f>
        <v>614.45833333333326</v>
      </c>
      <c r="H63" s="98">
        <f>'Monthly Data'!AB63</f>
        <v>0</v>
      </c>
      <c r="I63">
        <f>'Monthly Data'!BO63</f>
        <v>28</v>
      </c>
      <c r="J63">
        <f>'Monthly Data'!BR63</f>
        <v>0</v>
      </c>
      <c r="K63" s="17">
        <f>'Monthly Data'!AO63</f>
        <v>7278.4</v>
      </c>
      <c r="L63">
        <f>'Monthly Data'!BM63</f>
        <v>0</v>
      </c>
      <c r="N63" s="17"/>
      <c r="O63" s="17">
        <f t="shared" ca="1" si="5"/>
        <v>-77808.659268617863</v>
      </c>
      <c r="P63" s="17">
        <f t="shared" ca="1" si="6"/>
        <v>0</v>
      </c>
      <c r="Q63" s="17"/>
      <c r="R63" s="17"/>
      <c r="S63" s="17"/>
      <c r="T63" s="17"/>
      <c r="U63" s="17">
        <f t="shared" ca="1" si="7"/>
        <v>13080704.461013438</v>
      </c>
    </row>
    <row r="64" spans="1:21" x14ac:dyDescent="0.2">
      <c r="A64" s="28">
        <f>'Monthly Data'!A64</f>
        <v>43525</v>
      </c>
      <c r="B64">
        <f>'Monthly Data'!C64</f>
        <v>3</v>
      </c>
      <c r="C64">
        <f>'Monthly Data'!B64</f>
        <v>2019</v>
      </c>
      <c r="D64" s="18">
        <f>'Monthly Data'!J64</f>
        <v>13238045.840126414</v>
      </c>
      <c r="E64" s="10">
        <f t="shared" ca="1" si="10"/>
        <v>469.11853767651354</v>
      </c>
      <c r="F64" s="10">
        <f t="shared" ca="1" si="10"/>
        <v>0</v>
      </c>
      <c r="G64" s="98">
        <f>'Monthly Data'!AI64</f>
        <v>493.16666666666669</v>
      </c>
      <c r="H64" s="98">
        <f>'Monthly Data'!AB64</f>
        <v>0</v>
      </c>
      <c r="I64">
        <f>'Monthly Data'!BO64</f>
        <v>31</v>
      </c>
      <c r="J64">
        <f>'Monthly Data'!BR64</f>
        <v>0</v>
      </c>
      <c r="K64" s="17">
        <f>'Monthly Data'!AO64</f>
        <v>7256.9</v>
      </c>
      <c r="L64">
        <f>'Monthly Data'!BM64</f>
        <v>0</v>
      </c>
      <c r="N64" s="17"/>
      <c r="O64" s="17">
        <f t="shared" ca="1" si="5"/>
        <v>-123855.87785157059</v>
      </c>
      <c r="P64" s="17">
        <f t="shared" ca="1" si="6"/>
        <v>0</v>
      </c>
      <c r="Q64" s="17"/>
      <c r="R64" s="17"/>
      <c r="S64" s="17"/>
      <c r="T64" s="17"/>
      <c r="U64" s="17">
        <f t="shared" ca="1" si="7"/>
        <v>13114189.962274844</v>
      </c>
    </row>
    <row r="65" spans="1:21" x14ac:dyDescent="0.2">
      <c r="A65" s="28">
        <f>'Monthly Data'!A65</f>
        <v>43556</v>
      </c>
      <c r="B65">
        <f>'Monthly Data'!C65</f>
        <v>4</v>
      </c>
      <c r="C65">
        <f>'Monthly Data'!B65</f>
        <v>2019</v>
      </c>
      <c r="D65" s="18">
        <f>'Monthly Data'!J65</f>
        <v>11407805.629970776</v>
      </c>
      <c r="E65" s="10">
        <f t="shared" ca="1" si="10"/>
        <v>233.92395833333336</v>
      </c>
      <c r="F65" s="10">
        <f t="shared" ca="1" si="10"/>
        <v>0</v>
      </c>
      <c r="G65" s="98">
        <f>'Monthly Data'!AI65</f>
        <v>247.67708333333331</v>
      </c>
      <c r="H65" s="98">
        <f>'Monthly Data'!AB65</f>
        <v>0</v>
      </c>
      <c r="I65">
        <f>'Monthly Data'!BO65</f>
        <v>30</v>
      </c>
      <c r="J65">
        <f>'Monthly Data'!BR65</f>
        <v>0</v>
      </c>
      <c r="K65" s="17">
        <f>'Monthly Data'!AO65</f>
        <v>7294</v>
      </c>
      <c r="L65">
        <f>'Monthly Data'!BM65</f>
        <v>0</v>
      </c>
      <c r="N65" s="17"/>
      <c r="O65" s="17">
        <f t="shared" ca="1" si="5"/>
        <v>-70833.176700559954</v>
      </c>
      <c r="P65" s="17">
        <f t="shared" ca="1" si="6"/>
        <v>0</v>
      </c>
      <c r="Q65" s="17"/>
      <c r="R65" s="17"/>
      <c r="S65" s="17"/>
      <c r="T65" s="17"/>
      <c r="U65" s="17">
        <f t="shared" ca="1" si="7"/>
        <v>11336972.453270216</v>
      </c>
    </row>
    <row r="66" spans="1:21" x14ac:dyDescent="0.2">
      <c r="A66" s="28">
        <f>'Monthly Data'!A66</f>
        <v>43586</v>
      </c>
      <c r="B66">
        <f>'Monthly Data'!C66</f>
        <v>5</v>
      </c>
      <c r="C66">
        <f>'Monthly Data'!B66</f>
        <v>2019</v>
      </c>
      <c r="D66" s="18">
        <f>'Monthly Data'!J66</f>
        <v>10585959.389815135</v>
      </c>
      <c r="E66" s="10">
        <f t="shared" ca="1" si="10"/>
        <v>46.324929225504526</v>
      </c>
      <c r="F66" s="10">
        <f t="shared" ca="1" si="10"/>
        <v>9.6293749999999996</v>
      </c>
      <c r="G66" s="98">
        <f>'Monthly Data'!AI66</f>
        <v>65.560416666666669</v>
      </c>
      <c r="H66" s="98">
        <f>'Monthly Data'!AB66</f>
        <v>0</v>
      </c>
      <c r="I66">
        <f>'Monthly Data'!BO66</f>
        <v>31</v>
      </c>
      <c r="J66">
        <f>'Monthly Data'!BR66</f>
        <v>0</v>
      </c>
      <c r="K66" s="17">
        <f>'Monthly Data'!AO66</f>
        <v>7366.8</v>
      </c>
      <c r="L66">
        <f>'Monthly Data'!BM66</f>
        <v>0</v>
      </c>
      <c r="N66" s="17"/>
      <c r="O66" s="17">
        <f t="shared" ca="1" si="5"/>
        <v>-99069.17015887257</v>
      </c>
      <c r="P66" s="17">
        <f t="shared" ca="1" si="6"/>
        <v>119775.01846893948</v>
      </c>
      <c r="Q66" s="17"/>
      <c r="R66" s="17"/>
      <c r="S66" s="17"/>
      <c r="T66" s="17"/>
      <c r="U66" s="17">
        <f t="shared" ca="1" si="7"/>
        <v>10606665.238125201</v>
      </c>
    </row>
    <row r="67" spans="1:21" x14ac:dyDescent="0.2">
      <c r="A67" s="28">
        <f>'Monthly Data'!A67</f>
        <v>43617</v>
      </c>
      <c r="B67">
        <f>'Monthly Data'!C67</f>
        <v>6</v>
      </c>
      <c r="C67">
        <f>'Monthly Data'!B67</f>
        <v>2019</v>
      </c>
      <c r="D67" s="18">
        <f>'Monthly Data'!J67</f>
        <v>10472059.739659496</v>
      </c>
      <c r="E67" s="10">
        <f t="shared" ca="1" si="10"/>
        <v>1.25875</v>
      </c>
      <c r="F67" s="10">
        <f t="shared" ca="1" si="10"/>
        <v>25.077154107828811</v>
      </c>
      <c r="G67" s="98">
        <f>'Monthly Data'!AI67</f>
        <v>3.5374999999999988</v>
      </c>
      <c r="H67" s="98">
        <f>'Monthly Data'!AB67</f>
        <v>13.45</v>
      </c>
      <c r="I67">
        <f>'Monthly Data'!BO67</f>
        <v>30</v>
      </c>
      <c r="J67">
        <f>'Monthly Data'!BR67</f>
        <v>0</v>
      </c>
      <c r="K67" s="17">
        <f>'Monthly Data'!AO67</f>
        <v>7460.9</v>
      </c>
      <c r="L67">
        <f>'Monthly Data'!BM67</f>
        <v>0</v>
      </c>
      <c r="N67" s="17"/>
      <c r="O67" s="17">
        <f t="shared" ca="1" si="5"/>
        <v>-11736.321847318441</v>
      </c>
      <c r="P67" s="17">
        <f t="shared" ca="1" si="6"/>
        <v>144624.40168820941</v>
      </c>
      <c r="Q67" s="17"/>
      <c r="R67" s="17"/>
      <c r="S67" s="17"/>
      <c r="T67" s="17"/>
      <c r="U67" s="17">
        <f t="shared" ca="1" si="7"/>
        <v>10604947.819500387</v>
      </c>
    </row>
    <row r="68" spans="1:21" x14ac:dyDescent="0.2">
      <c r="A68" s="28">
        <f>'Monthly Data'!A68</f>
        <v>43647</v>
      </c>
      <c r="B68">
        <f>'Monthly Data'!C68</f>
        <v>7</v>
      </c>
      <c r="C68">
        <f>'Monthly Data'!B68</f>
        <v>2019</v>
      </c>
      <c r="D68" s="18">
        <f>'Monthly Data'!J68</f>
        <v>11553369.669503855</v>
      </c>
      <c r="E68" s="10">
        <f t="shared" ca="1" si="10"/>
        <v>0</v>
      </c>
      <c r="F68" s="10">
        <f t="shared" ca="1" si="10"/>
        <v>56.475141548990976</v>
      </c>
      <c r="G68" s="98">
        <f>'Monthly Data'!AI68</f>
        <v>0</v>
      </c>
      <c r="H68" s="98">
        <f>'Monthly Data'!AB68</f>
        <v>75.160416666666691</v>
      </c>
      <c r="I68">
        <f>'Monthly Data'!BO68</f>
        <v>31</v>
      </c>
      <c r="J68">
        <f>'Monthly Data'!BR68</f>
        <v>0</v>
      </c>
      <c r="K68" s="17">
        <f>'Monthly Data'!AO68</f>
        <v>7509.9</v>
      </c>
      <c r="L68">
        <f>'Monthly Data'!BM68</f>
        <v>0</v>
      </c>
      <c r="N68" s="17"/>
      <c r="O68" s="17">
        <f t="shared" ca="1" si="5"/>
        <v>0</v>
      </c>
      <c r="P68" s="17">
        <f t="shared" ca="1" si="6"/>
        <v>-232416.86737891342</v>
      </c>
      <c r="Q68" s="17"/>
      <c r="R68" s="17"/>
      <c r="S68" s="17"/>
      <c r="T68" s="17"/>
      <c r="U68" s="17">
        <f t="shared" ca="1" si="7"/>
        <v>11320952.802124942</v>
      </c>
    </row>
    <row r="69" spans="1:21" x14ac:dyDescent="0.2">
      <c r="A69" s="28">
        <f>'Monthly Data'!A69</f>
        <v>43678</v>
      </c>
      <c r="B69">
        <f>'Monthly Data'!C69</f>
        <v>8</v>
      </c>
      <c r="C69">
        <f>'Monthly Data'!B69</f>
        <v>2019</v>
      </c>
      <c r="D69" s="18">
        <f>'Monthly Data'!J69</f>
        <v>10886899.519348213</v>
      </c>
      <c r="E69" s="10">
        <f t="shared" ca="1" si="10"/>
        <v>0.1158333333333335</v>
      </c>
      <c r="F69" s="10">
        <f t="shared" ca="1" si="10"/>
        <v>35.296250000000008</v>
      </c>
      <c r="G69" s="98">
        <f>'Monthly Data'!AI69</f>
        <v>0</v>
      </c>
      <c r="H69" s="98">
        <f>'Monthly Data'!AB69</f>
        <v>22.158333333333331</v>
      </c>
      <c r="I69">
        <f>'Monthly Data'!BO69</f>
        <v>31</v>
      </c>
      <c r="J69">
        <f>'Monthly Data'!BR69</f>
        <v>0</v>
      </c>
      <c r="K69" s="17">
        <f>'Monthly Data'!AO69</f>
        <v>7523.3</v>
      </c>
      <c r="L69">
        <f>'Monthly Data'!BM69</f>
        <v>0</v>
      </c>
      <c r="N69" s="17"/>
      <c r="O69" s="17">
        <f t="shared" ca="1" si="5"/>
        <v>596.58026578067893</v>
      </c>
      <c r="P69" s="17">
        <f t="shared" ca="1" si="6"/>
        <v>163416.02766466039</v>
      </c>
      <c r="Q69" s="17"/>
      <c r="R69" s="17"/>
      <c r="S69" s="17"/>
      <c r="T69" s="17"/>
      <c r="U69" s="17">
        <f t="shared" ca="1" si="7"/>
        <v>11050912.127278654</v>
      </c>
    </row>
    <row r="70" spans="1:21" x14ac:dyDescent="0.2">
      <c r="A70" s="28">
        <f>'Monthly Data'!A70</f>
        <v>43709</v>
      </c>
      <c r="B70">
        <f>'Monthly Data'!C70</f>
        <v>9</v>
      </c>
      <c r="C70">
        <f>'Monthly Data'!B70</f>
        <v>2019</v>
      </c>
      <c r="D70" s="18">
        <f>'Monthly Data'!J70</f>
        <v>9932795.2991925739</v>
      </c>
      <c r="E70" s="10">
        <f t="shared" ca="1" si="10"/>
        <v>11.597845892171184</v>
      </c>
      <c r="F70" s="10">
        <f t="shared" ca="1" si="10"/>
        <v>11.128958333333333</v>
      </c>
      <c r="G70" s="98">
        <f>'Monthly Data'!AI70</f>
        <v>2.8083333333333336</v>
      </c>
      <c r="H70" s="98">
        <f>'Monthly Data'!AB70</f>
        <v>2.3249999999999993</v>
      </c>
      <c r="I70">
        <f>'Monthly Data'!BO70</f>
        <v>30</v>
      </c>
      <c r="J70">
        <f>'Monthly Data'!BR70</f>
        <v>0</v>
      </c>
      <c r="K70" s="17">
        <f>'Monthly Data'!AO70</f>
        <v>7505.1</v>
      </c>
      <c r="L70">
        <f>'Monthly Data'!BM70</f>
        <v>1</v>
      </c>
      <c r="N70" s="17"/>
      <c r="O70" s="17">
        <f t="shared" ca="1" si="5"/>
        <v>45268.918605186416</v>
      </c>
      <c r="P70" s="17">
        <f t="shared" ca="1" si="6"/>
        <v>109508.07004346323</v>
      </c>
      <c r="Q70" s="17"/>
      <c r="R70" s="17"/>
      <c r="S70" s="17"/>
      <c r="T70" s="17"/>
      <c r="U70" s="17">
        <f t="shared" ca="1" si="7"/>
        <v>10087572.287841223</v>
      </c>
    </row>
    <row r="71" spans="1:21" x14ac:dyDescent="0.2">
      <c r="A71" s="28">
        <f>'Monthly Data'!A71</f>
        <v>43739</v>
      </c>
      <c r="B71">
        <f>'Monthly Data'!C71</f>
        <v>10</v>
      </c>
      <c r="C71">
        <f>'Monthly Data'!B71</f>
        <v>2019</v>
      </c>
      <c r="D71" s="18">
        <f>'Monthly Data'!J71</f>
        <v>10612642.599036934</v>
      </c>
      <c r="E71" s="10">
        <f t="shared" ca="1" si="10"/>
        <v>128.51888157360821</v>
      </c>
      <c r="F71" s="10">
        <f t="shared" ca="1" si="10"/>
        <v>0.44687499999999963</v>
      </c>
      <c r="G71" s="98">
        <f>'Monthly Data'!AI71</f>
        <v>124.45762558837849</v>
      </c>
      <c r="H71" s="98">
        <f>'Monthly Data'!AB71</f>
        <v>0</v>
      </c>
      <c r="I71">
        <f>'Monthly Data'!BO71</f>
        <v>31</v>
      </c>
      <c r="J71">
        <f>'Monthly Data'!BR71</f>
        <v>0</v>
      </c>
      <c r="K71" s="17">
        <f>'Monthly Data'!AO71</f>
        <v>7501.2</v>
      </c>
      <c r="L71">
        <f>'Monthly Data'!BM71</f>
        <v>1</v>
      </c>
      <c r="N71" s="17"/>
      <c r="O71" s="17">
        <f t="shared" ca="1" si="5"/>
        <v>20916.821655295396</v>
      </c>
      <c r="P71" s="17">
        <f t="shared" ca="1" si="6"/>
        <v>5558.4564292394152</v>
      </c>
      <c r="Q71" s="17"/>
      <c r="R71" s="17"/>
      <c r="S71" s="17"/>
      <c r="T71" s="17"/>
      <c r="U71" s="17">
        <f t="shared" ca="1" si="7"/>
        <v>10639117.877121469</v>
      </c>
    </row>
    <row r="72" spans="1:21" x14ac:dyDescent="0.2">
      <c r="A72" s="28">
        <f>'Monthly Data'!A72</f>
        <v>43770</v>
      </c>
      <c r="B72">
        <f>'Monthly Data'!C72</f>
        <v>11</v>
      </c>
      <c r="C72">
        <f>'Monthly Data'!B72</f>
        <v>2019</v>
      </c>
      <c r="D72" s="18">
        <f>'Monthly Data'!J72</f>
        <v>12470141.758881295</v>
      </c>
      <c r="E72" s="10">
        <f t="shared" ca="1" si="10"/>
        <v>332.1049960098469</v>
      </c>
      <c r="F72" s="10">
        <f t="shared" ca="1" si="10"/>
        <v>0</v>
      </c>
      <c r="G72" s="98">
        <f>'Monthly Data'!AI72</f>
        <v>431.92083333333318</v>
      </c>
      <c r="H72" s="98">
        <f>'Monthly Data'!AB72</f>
        <v>0</v>
      </c>
      <c r="I72">
        <f>'Monthly Data'!BO72</f>
        <v>30</v>
      </c>
      <c r="J72">
        <f>'Monthly Data'!BR72</f>
        <v>0</v>
      </c>
      <c r="K72" s="17">
        <f>'Monthly Data'!AO72</f>
        <v>7488.3</v>
      </c>
      <c r="L72">
        <f>'Monthly Data'!BM72</f>
        <v>0</v>
      </c>
      <c r="N72" s="17"/>
      <c r="O72" s="17">
        <f t="shared" ca="1" si="5"/>
        <v>-514084.82382359455</v>
      </c>
      <c r="P72" s="17">
        <f t="shared" ca="1" si="6"/>
        <v>0</v>
      </c>
      <c r="Q72" s="17"/>
      <c r="R72" s="17"/>
      <c r="S72" s="17"/>
      <c r="T72" s="17"/>
      <c r="U72" s="17">
        <f t="shared" ca="1" si="7"/>
        <v>11956056.9350577</v>
      </c>
    </row>
    <row r="73" spans="1:21" x14ac:dyDescent="0.2">
      <c r="A73" s="28">
        <f>'Monthly Data'!A73</f>
        <v>43800</v>
      </c>
      <c r="B73">
        <f>'Monthly Data'!C73</f>
        <v>12</v>
      </c>
      <c r="C73">
        <f>'Monthly Data'!B73</f>
        <v>2019</v>
      </c>
      <c r="D73" s="18">
        <f>'Monthly Data'!J73</f>
        <v>13238227.838725653</v>
      </c>
      <c r="E73" s="10">
        <f t="shared" ca="1" si="10"/>
        <v>508.62936502461724</v>
      </c>
      <c r="F73" s="10">
        <f t="shared" ca="1" si="10"/>
        <v>0</v>
      </c>
      <c r="G73" s="98">
        <f>'Monthly Data'!AI73</f>
        <v>542.69583333333344</v>
      </c>
      <c r="H73" s="98">
        <f>'Monthly Data'!AB73</f>
        <v>0</v>
      </c>
      <c r="I73">
        <f>'Monthly Data'!BO73</f>
        <v>31</v>
      </c>
      <c r="J73">
        <f>'Monthly Data'!BR73</f>
        <v>0</v>
      </c>
      <c r="K73" s="17">
        <f>'Monthly Data'!AO73</f>
        <v>7493.8</v>
      </c>
      <c r="L73">
        <f>'Monthly Data'!BM73</f>
        <v>0</v>
      </c>
      <c r="N73" s="17"/>
      <c r="O73" s="17">
        <f t="shared" ca="1" si="5"/>
        <v>-175453.66375098954</v>
      </c>
      <c r="P73" s="17">
        <f t="shared" ca="1" si="6"/>
        <v>0</v>
      </c>
      <c r="Q73" s="17"/>
      <c r="R73" s="17"/>
      <c r="S73" s="17"/>
      <c r="T73" s="17"/>
      <c r="U73" s="17">
        <f t="shared" ca="1" si="7"/>
        <v>13062774.174974663</v>
      </c>
    </row>
    <row r="74" spans="1:21" x14ac:dyDescent="0.2">
      <c r="A74" s="28">
        <f>'Monthly Data'!A74</f>
        <v>43831</v>
      </c>
      <c r="B74">
        <f>'Monthly Data'!C74</f>
        <v>1</v>
      </c>
      <c r="C74">
        <f>'Monthly Data'!B74</f>
        <v>2020</v>
      </c>
      <c r="D74" s="18">
        <f>'Monthly Data'!J74</f>
        <v>13652816.710556209</v>
      </c>
      <c r="E74" s="10">
        <f t="shared" ca="1" si="10"/>
        <v>666.68367523535153</v>
      </c>
      <c r="F74" s="10">
        <f t="shared" ca="1" si="10"/>
        <v>0</v>
      </c>
      <c r="G74" s="98">
        <f>'Monthly Data'!AI74</f>
        <v>560.02637558837853</v>
      </c>
      <c r="H74" s="98">
        <f>'Monthly Data'!AB74</f>
        <v>0</v>
      </c>
      <c r="I74">
        <f>'Monthly Data'!BO74</f>
        <v>31</v>
      </c>
      <c r="J74">
        <f>'Monthly Data'!BR74</f>
        <v>0</v>
      </c>
      <c r="K74" s="17">
        <f>'Monthly Data'!AO74</f>
        <v>7471.6</v>
      </c>
      <c r="L74">
        <f>'Monthly Data'!BM74</f>
        <v>0</v>
      </c>
      <c r="N74" s="17"/>
      <c r="O74" s="17">
        <f t="shared" ca="1" si="5"/>
        <v>549320.6345684079</v>
      </c>
      <c r="P74" s="17">
        <f t="shared" ca="1" si="6"/>
        <v>0</v>
      </c>
      <c r="Q74" s="17"/>
      <c r="R74" s="17"/>
      <c r="S74" s="17"/>
      <c r="T74" s="17"/>
      <c r="U74" s="17">
        <f t="shared" ca="1" si="7"/>
        <v>14202137.345124617</v>
      </c>
    </row>
    <row r="75" spans="1:21" x14ac:dyDescent="0.2">
      <c r="A75" s="28">
        <f>'Monthly Data'!A75</f>
        <v>43862</v>
      </c>
      <c r="B75">
        <f>'Monthly Data'!C75</f>
        <v>2</v>
      </c>
      <c r="C75">
        <f>'Monthly Data'!B75</f>
        <v>2020</v>
      </c>
      <c r="D75" s="18">
        <f>'Monthly Data'!J75</f>
        <v>12733582.995352812</v>
      </c>
      <c r="E75" s="10">
        <f t="shared" ca="1" si="10"/>
        <v>599.3508333333333</v>
      </c>
      <c r="F75" s="10">
        <f t="shared" ca="1" si="10"/>
        <v>0</v>
      </c>
      <c r="G75" s="98">
        <f>'Monthly Data'!AI75</f>
        <v>561.2166666666667</v>
      </c>
      <c r="H75" s="98">
        <f>'Monthly Data'!AB75</f>
        <v>0</v>
      </c>
      <c r="I75">
        <f>'Monthly Data'!BO75</f>
        <v>29</v>
      </c>
      <c r="J75">
        <f>'Monthly Data'!BR75</f>
        <v>0</v>
      </c>
      <c r="K75" s="17">
        <f>'Monthly Data'!AO75</f>
        <v>7442.1</v>
      </c>
      <c r="L75">
        <f>'Monthly Data'!BM75</f>
        <v>0</v>
      </c>
      <c r="N75" s="17"/>
      <c r="O75" s="17">
        <f t="shared" ca="1" si="5"/>
        <v>196403.6657725868</v>
      </c>
      <c r="P75" s="17">
        <f t="shared" ca="1" si="6"/>
        <v>0</v>
      </c>
      <c r="Q75" s="17"/>
      <c r="R75" s="17"/>
      <c r="S75" s="17"/>
      <c r="T75" s="17"/>
      <c r="U75" s="17">
        <f t="shared" ca="1" si="7"/>
        <v>12929986.661125399</v>
      </c>
    </row>
    <row r="76" spans="1:21" x14ac:dyDescent="0.2">
      <c r="A76" s="28">
        <f>'Monthly Data'!A76</f>
        <v>43891</v>
      </c>
      <c r="B76">
        <f>'Monthly Data'!C76</f>
        <v>3</v>
      </c>
      <c r="C76">
        <f>'Monthly Data'!B76</f>
        <v>2020</v>
      </c>
      <c r="D76" s="18">
        <f>'Monthly Data'!J76</f>
        <v>12050222.340149418</v>
      </c>
      <c r="E76" s="10">
        <f t="shared" ca="1" si="10"/>
        <v>469.11853767651354</v>
      </c>
      <c r="F76" s="10">
        <f t="shared" ca="1" si="10"/>
        <v>0</v>
      </c>
      <c r="G76" s="98">
        <f>'Monthly Data'!AI76</f>
        <v>389.14720892171187</v>
      </c>
      <c r="H76" s="98">
        <f>'Monthly Data'!AB76</f>
        <v>0</v>
      </c>
      <c r="I76">
        <f>'Monthly Data'!BO76</f>
        <v>31</v>
      </c>
      <c r="J76">
        <f>'Monthly Data'!BR76</f>
        <v>0.5</v>
      </c>
      <c r="K76" s="17">
        <f>'Monthly Data'!AO76</f>
        <v>7256.2</v>
      </c>
      <c r="L76">
        <f>'Monthly Data'!BM76</f>
        <v>0</v>
      </c>
      <c r="N76" s="17"/>
      <c r="O76" s="17">
        <f t="shared" ca="1" si="5"/>
        <v>411878.99191401643</v>
      </c>
      <c r="P76" s="17">
        <f t="shared" ca="1" si="6"/>
        <v>0</v>
      </c>
      <c r="Q76" s="17"/>
      <c r="R76" s="17"/>
      <c r="S76" s="17"/>
      <c r="T76" s="17"/>
      <c r="U76" s="17">
        <f t="shared" ca="1" si="7"/>
        <v>12462101.332063435</v>
      </c>
    </row>
    <row r="77" spans="1:21" x14ac:dyDescent="0.2">
      <c r="A77" s="28">
        <f>'Monthly Data'!A77</f>
        <v>43922</v>
      </c>
      <c r="B77">
        <f>'Monthly Data'!C77</f>
        <v>4</v>
      </c>
      <c r="C77">
        <f>'Monthly Data'!B77</f>
        <v>2020</v>
      </c>
      <c r="D77" s="18">
        <f>'Monthly Data'!J77</f>
        <v>9716740.3149460237</v>
      </c>
      <c r="E77" s="10">
        <f t="shared" ca="1" si="10"/>
        <v>233.92395833333336</v>
      </c>
      <c r="F77" s="10">
        <f t="shared" ca="1" si="10"/>
        <v>0</v>
      </c>
      <c r="G77" s="98">
        <f>'Monthly Data'!AI77</f>
        <v>239.53541666666663</v>
      </c>
      <c r="H77" s="98">
        <f>'Monthly Data'!AB77</f>
        <v>0</v>
      </c>
      <c r="I77">
        <f>'Monthly Data'!BO77</f>
        <v>30</v>
      </c>
      <c r="J77">
        <f>'Monthly Data'!BR77</f>
        <v>1</v>
      </c>
      <c r="K77" s="17">
        <f>'Monthly Data'!AO77</f>
        <v>6885.2</v>
      </c>
      <c r="L77">
        <f>'Monthly Data'!BM77</f>
        <v>0</v>
      </c>
      <c r="N77" s="17"/>
      <c r="O77" s="17">
        <f t="shared" ca="1" si="5"/>
        <v>-28900.880321587043</v>
      </c>
      <c r="P77" s="17">
        <f t="shared" ca="1" si="6"/>
        <v>0</v>
      </c>
      <c r="Q77" s="17"/>
      <c r="R77" s="17"/>
      <c r="S77" s="17"/>
      <c r="T77" s="17"/>
      <c r="U77" s="17">
        <f t="shared" ca="1" si="7"/>
        <v>9687839.4346244372</v>
      </c>
    </row>
    <row r="78" spans="1:21" x14ac:dyDescent="0.2">
      <c r="A78" s="28">
        <f>'Monthly Data'!A78</f>
        <v>43952</v>
      </c>
      <c r="B78">
        <f>'Monthly Data'!C78</f>
        <v>5</v>
      </c>
      <c r="C78">
        <f>'Monthly Data'!B78</f>
        <v>2020</v>
      </c>
      <c r="D78" s="18">
        <f>'Monthly Data'!J78</f>
        <v>9694699.8497426268</v>
      </c>
      <c r="E78" s="10">
        <f t="shared" ca="1" si="10"/>
        <v>46.324929225504526</v>
      </c>
      <c r="F78" s="10">
        <f t="shared" ca="1" si="10"/>
        <v>9.6293749999999996</v>
      </c>
      <c r="G78" s="98">
        <f>'Monthly Data'!AI78</f>
        <v>104.33541666666667</v>
      </c>
      <c r="H78" s="98">
        <f>'Monthly Data'!AB78</f>
        <v>18.945833333333326</v>
      </c>
      <c r="I78">
        <f>'Monthly Data'!BO78</f>
        <v>31</v>
      </c>
      <c r="J78">
        <f>'Monthly Data'!BR78</f>
        <v>1</v>
      </c>
      <c r="K78" s="17">
        <f>'Monthly Data'!AO78</f>
        <v>6536.7</v>
      </c>
      <c r="L78">
        <f>'Monthly Data'!BM78</f>
        <v>0</v>
      </c>
      <c r="N78" s="17"/>
      <c r="O78" s="17">
        <f t="shared" ca="1" si="5"/>
        <v>-298773.34114286507</v>
      </c>
      <c r="P78" s="17">
        <f t="shared" ca="1" si="6"/>
        <v>-115882.80329098247</v>
      </c>
      <c r="Q78" s="17"/>
      <c r="R78" s="17"/>
      <c r="S78" s="17"/>
      <c r="T78" s="17"/>
      <c r="U78" s="17">
        <f t="shared" ca="1" si="7"/>
        <v>9280043.7053087801</v>
      </c>
    </row>
    <row r="79" spans="1:21" x14ac:dyDescent="0.2">
      <c r="A79" s="28">
        <f>'Monthly Data'!A79</f>
        <v>43983</v>
      </c>
      <c r="B79">
        <f>'Monthly Data'!C79</f>
        <v>6</v>
      </c>
      <c r="C79">
        <f>'Monthly Data'!B79</f>
        <v>2020</v>
      </c>
      <c r="D79" s="18">
        <f>'Monthly Data'!J79</f>
        <v>10225668.464539232</v>
      </c>
      <c r="E79" s="10">
        <f t="shared" ref="E79:F94" ca="1" si="11">E67</f>
        <v>1.25875</v>
      </c>
      <c r="F79" s="10">
        <f t="shared" ca="1" si="11"/>
        <v>25.077154107828811</v>
      </c>
      <c r="G79" s="98">
        <f>'Monthly Data'!AI79</f>
        <v>1.7916666666666679</v>
      </c>
      <c r="H79" s="98">
        <f>'Monthly Data'!AB79</f>
        <v>43.943750000000009</v>
      </c>
      <c r="I79">
        <f>'Monthly Data'!BO79</f>
        <v>30</v>
      </c>
      <c r="J79">
        <f>'Monthly Data'!BR79</f>
        <v>0.5</v>
      </c>
      <c r="K79" s="17">
        <f>'Monthly Data'!AO79</f>
        <v>6498.5</v>
      </c>
      <c r="L79">
        <f>'Monthly Data'!BM79</f>
        <v>0</v>
      </c>
      <c r="N79" s="17"/>
      <c r="O79" s="17">
        <f t="shared" ca="1" si="5"/>
        <v>-2744.6984170269384</v>
      </c>
      <c r="P79" s="17">
        <f t="shared" ca="1" si="6"/>
        <v>-234672.22653919109</v>
      </c>
      <c r="Q79" s="17"/>
      <c r="R79" s="17"/>
      <c r="S79" s="17"/>
      <c r="T79" s="17"/>
      <c r="U79" s="17">
        <f t="shared" ca="1" si="7"/>
        <v>9988251.5395830143</v>
      </c>
    </row>
    <row r="80" spans="1:21" x14ac:dyDescent="0.2">
      <c r="A80" s="28">
        <f>'Monthly Data'!A80</f>
        <v>44013</v>
      </c>
      <c r="B80">
        <f>'Monthly Data'!C80</f>
        <v>7</v>
      </c>
      <c r="C80">
        <f>'Monthly Data'!B80</f>
        <v>2020</v>
      </c>
      <c r="D80" s="18">
        <f>'Monthly Data'!J80</f>
        <v>11343101.809335835</v>
      </c>
      <c r="E80" s="10">
        <f t="shared" ca="1" si="11"/>
        <v>0</v>
      </c>
      <c r="F80" s="10">
        <f t="shared" ca="1" si="11"/>
        <v>56.475141548990976</v>
      </c>
      <c r="G80" s="98">
        <f>'Monthly Data'!AI80</f>
        <v>0</v>
      </c>
      <c r="H80" s="98">
        <f>'Monthly Data'!AB80</f>
        <v>94.325000000000017</v>
      </c>
      <c r="I80">
        <f>'Monthly Data'!BO80</f>
        <v>31</v>
      </c>
      <c r="J80">
        <f>'Monthly Data'!BR80</f>
        <v>0.5</v>
      </c>
      <c r="K80" s="17">
        <f>'Monthly Data'!AO80</f>
        <v>6711.9</v>
      </c>
      <c r="L80">
        <f>'Monthly Data'!BM80</f>
        <v>0</v>
      </c>
      <c r="N80" s="17"/>
      <c r="O80" s="17">
        <f t="shared" ca="1" si="5"/>
        <v>0</v>
      </c>
      <c r="P80" s="17">
        <f t="shared" ca="1" si="6"/>
        <v>-470795.61186643509</v>
      </c>
      <c r="Q80" s="17"/>
      <c r="R80" s="17"/>
      <c r="S80" s="17"/>
      <c r="T80" s="17"/>
      <c r="U80" s="17">
        <f t="shared" ca="1" si="7"/>
        <v>10872306.1974694</v>
      </c>
    </row>
    <row r="81" spans="1:21" x14ac:dyDescent="0.2">
      <c r="A81" s="28">
        <f>'Monthly Data'!A81</f>
        <v>44044</v>
      </c>
      <c r="B81">
        <f>'Monthly Data'!C81</f>
        <v>8</v>
      </c>
      <c r="C81">
        <f>'Monthly Data'!B81</f>
        <v>2020</v>
      </c>
      <c r="D81" s="18">
        <f>'Monthly Data'!J81</f>
        <v>10780735.944132442</v>
      </c>
      <c r="E81" s="10">
        <f t="shared" ca="1" si="11"/>
        <v>0.1158333333333335</v>
      </c>
      <c r="F81" s="10">
        <f t="shared" ca="1" si="11"/>
        <v>35.296250000000008</v>
      </c>
      <c r="G81" s="98">
        <f>'Monthly Data'!AI81</f>
        <v>0</v>
      </c>
      <c r="H81" s="98">
        <f>'Monthly Data'!AB81</f>
        <v>37.895833333333343</v>
      </c>
      <c r="I81">
        <f>'Monthly Data'!BO81</f>
        <v>31</v>
      </c>
      <c r="J81">
        <f>'Monthly Data'!BR81</f>
        <v>0.5</v>
      </c>
      <c r="K81" s="17">
        <f>'Monthly Data'!AO81</f>
        <v>6950.9</v>
      </c>
      <c r="L81">
        <f>'Monthly Data'!BM81</f>
        <v>0</v>
      </c>
      <c r="N81" s="17"/>
      <c r="O81" s="17">
        <f t="shared" ca="1" si="5"/>
        <v>596.58026578067893</v>
      </c>
      <c r="P81" s="17">
        <f t="shared" ca="1" si="6"/>
        <v>-32334.927423799312</v>
      </c>
      <c r="Q81" s="17"/>
      <c r="R81" s="17"/>
      <c r="S81" s="17"/>
      <c r="T81" s="17"/>
      <c r="U81" s="17">
        <f t="shared" ca="1" si="7"/>
        <v>10748997.596974423</v>
      </c>
    </row>
    <row r="82" spans="1:21" x14ac:dyDescent="0.2">
      <c r="A82" s="28">
        <f>'Monthly Data'!A82</f>
        <v>44075</v>
      </c>
      <c r="B82">
        <f>'Monthly Data'!C82</f>
        <v>9</v>
      </c>
      <c r="C82">
        <f>'Monthly Data'!B82</f>
        <v>2020</v>
      </c>
      <c r="D82" s="18">
        <f>'Monthly Data'!J82</f>
        <v>9813085.9189290442</v>
      </c>
      <c r="E82" s="10">
        <f t="shared" ca="1" si="11"/>
        <v>11.597845892171184</v>
      </c>
      <c r="F82" s="10">
        <f t="shared" ca="1" si="11"/>
        <v>11.128958333333333</v>
      </c>
      <c r="G82" s="98">
        <f>'Monthly Data'!AI82</f>
        <v>19.81666666666667</v>
      </c>
      <c r="H82" s="98">
        <f>'Monthly Data'!AB82</f>
        <v>0</v>
      </c>
      <c r="I82">
        <f>'Monthly Data'!BO82</f>
        <v>30</v>
      </c>
      <c r="J82">
        <f>'Monthly Data'!BR82</f>
        <v>0.5</v>
      </c>
      <c r="K82" s="17">
        <f>'Monthly Data'!AO82</f>
        <v>7075.5</v>
      </c>
      <c r="L82">
        <f>'Monthly Data'!BM82</f>
        <v>1</v>
      </c>
      <c r="N82" s="17"/>
      <c r="O82" s="17">
        <f t="shared" ca="1" si="5"/>
        <v>-42329.665744336191</v>
      </c>
      <c r="P82" s="17">
        <f t="shared" ca="1" si="6"/>
        <v>138427.59160538021</v>
      </c>
      <c r="Q82" s="17"/>
      <c r="R82" s="17"/>
      <c r="S82" s="17"/>
      <c r="T82" s="17"/>
      <c r="U82" s="17">
        <f t="shared" ca="1" si="7"/>
        <v>9909183.844790088</v>
      </c>
    </row>
    <row r="83" spans="1:21" x14ac:dyDescent="0.2">
      <c r="A83" s="28">
        <f>'Monthly Data'!A83</f>
        <v>44105</v>
      </c>
      <c r="B83">
        <f>'Monthly Data'!C83</f>
        <v>10</v>
      </c>
      <c r="C83">
        <f>'Monthly Data'!B83</f>
        <v>2020</v>
      </c>
      <c r="D83" s="18">
        <f>'Monthly Data'!J83</f>
        <v>10753151.84372565</v>
      </c>
      <c r="E83" s="10">
        <f t="shared" ca="1" si="11"/>
        <v>128.51888157360821</v>
      </c>
      <c r="F83" s="10">
        <f t="shared" ca="1" si="11"/>
        <v>0.44687499999999963</v>
      </c>
      <c r="G83" s="98">
        <f>'Monthly Data'!AI83</f>
        <v>197.31041666666664</v>
      </c>
      <c r="H83" s="98">
        <f>'Monthly Data'!AB83</f>
        <v>0</v>
      </c>
      <c r="I83">
        <f>'Monthly Data'!BO83</f>
        <v>31</v>
      </c>
      <c r="J83">
        <f>'Monthly Data'!BR83</f>
        <v>0.5</v>
      </c>
      <c r="K83" s="17">
        <f>'Monthly Data'!AO83</f>
        <v>7184.1</v>
      </c>
      <c r="L83">
        <f>'Monthly Data'!BM83</f>
        <v>1</v>
      </c>
      <c r="N83" s="17"/>
      <c r="O83" s="17">
        <f t="shared" ca="1" si="5"/>
        <v>-354299.32911606599</v>
      </c>
      <c r="P83" s="17">
        <f t="shared" ca="1" si="6"/>
        <v>5558.4564292394152</v>
      </c>
      <c r="Q83" s="17"/>
      <c r="R83" s="17"/>
      <c r="S83" s="17"/>
      <c r="T83" s="17"/>
      <c r="U83" s="17">
        <f t="shared" ca="1" si="7"/>
        <v>10404410.971038824</v>
      </c>
    </row>
    <row r="84" spans="1:21" x14ac:dyDescent="0.2">
      <c r="A84" s="28">
        <f>'Monthly Data'!A84</f>
        <v>44136</v>
      </c>
      <c r="B84">
        <f>'Monthly Data'!C84</f>
        <v>11</v>
      </c>
      <c r="C84">
        <f>'Monthly Data'!B84</f>
        <v>2020</v>
      </c>
      <c r="D84" s="18">
        <f>'Monthly Data'!J84</f>
        <v>11644677.878522255</v>
      </c>
      <c r="E84" s="10">
        <f t="shared" ca="1" si="11"/>
        <v>332.1049960098469</v>
      </c>
      <c r="F84" s="10">
        <f t="shared" ca="1" si="11"/>
        <v>0</v>
      </c>
      <c r="G84" s="98">
        <f>'Monthly Data'!AI84</f>
        <v>261.77916666666664</v>
      </c>
      <c r="H84" s="98">
        <f>'Monthly Data'!AB84</f>
        <v>0</v>
      </c>
      <c r="I84">
        <f>'Monthly Data'!BO84</f>
        <v>30</v>
      </c>
      <c r="J84">
        <f>'Monthly Data'!BR84</f>
        <v>0.5</v>
      </c>
      <c r="K84" s="17">
        <f>'Monthly Data'!AO84</f>
        <v>7255.2</v>
      </c>
      <c r="L84">
        <f>'Monthly Data'!BM84</f>
        <v>0</v>
      </c>
      <c r="N84" s="17"/>
      <c r="O84" s="17">
        <f t="shared" ref="O84:O121" ca="1" si="12">(E84-G84)*$X$8</f>
        <v>362201.45577670005</v>
      </c>
      <c r="P84" s="17">
        <f t="shared" ref="P84:P121" ca="1" si="13">(F84-H84)*$X$9</f>
        <v>0</v>
      </c>
      <c r="Q84" s="17"/>
      <c r="R84" s="17"/>
      <c r="S84" s="17"/>
      <c r="T84" s="17"/>
      <c r="U84" s="17">
        <f t="shared" ref="U84:U121" ca="1" si="14">D84+SUM(N84:T84)</f>
        <v>12006879.334298955</v>
      </c>
    </row>
    <row r="85" spans="1:21" x14ac:dyDescent="0.2">
      <c r="A85" s="28">
        <f>'Monthly Data'!A85</f>
        <v>44166</v>
      </c>
      <c r="B85">
        <f>'Monthly Data'!C85</f>
        <v>12</v>
      </c>
      <c r="C85">
        <f>'Monthly Data'!B85</f>
        <v>2020</v>
      </c>
      <c r="D85" s="18">
        <f>'Monthly Data'!J85</f>
        <v>12844408.32331886</v>
      </c>
      <c r="E85" s="10">
        <f t="shared" ca="1" si="11"/>
        <v>508.62936502461724</v>
      </c>
      <c r="F85" s="10">
        <f t="shared" ca="1" si="11"/>
        <v>0</v>
      </c>
      <c r="G85" s="98">
        <f>'Monthly Data'!AI85</f>
        <v>504.51387558837848</v>
      </c>
      <c r="H85" s="98">
        <f>'Monthly Data'!AB85</f>
        <v>0</v>
      </c>
      <c r="I85">
        <f>'Monthly Data'!BO85</f>
        <v>31</v>
      </c>
      <c r="J85">
        <f>'Monthly Data'!BR85</f>
        <v>0.5</v>
      </c>
      <c r="K85" s="17">
        <f>'Monthly Data'!AO85</f>
        <v>7273.3</v>
      </c>
      <c r="L85">
        <f>'Monthly Data'!BM85</f>
        <v>0</v>
      </c>
      <c r="N85" s="17"/>
      <c r="O85" s="17">
        <f t="shared" ca="1" si="12"/>
        <v>21196.142000191881</v>
      </c>
      <c r="P85" s="17">
        <f t="shared" ca="1" si="13"/>
        <v>0</v>
      </c>
      <c r="Q85" s="17"/>
      <c r="R85" s="17"/>
      <c r="S85" s="17"/>
      <c r="T85" s="17"/>
      <c r="U85" s="17">
        <f t="shared" ca="1" si="14"/>
        <v>12865604.465319052</v>
      </c>
    </row>
    <row r="86" spans="1:21" x14ac:dyDescent="0.2">
      <c r="A86" s="28">
        <f>'Monthly Data'!A86</f>
        <v>44197</v>
      </c>
      <c r="B86">
        <f>'Monthly Data'!C86</f>
        <v>1</v>
      </c>
      <c r="C86">
        <f>'Monthly Data'!B86</f>
        <v>2021</v>
      </c>
      <c r="D86" s="18">
        <f>'Monthly Data'!J86</f>
        <v>13020901.047661725</v>
      </c>
      <c r="E86" s="10">
        <f t="shared" ca="1" si="11"/>
        <v>666.68367523535153</v>
      </c>
      <c r="F86" s="10">
        <f t="shared" ca="1" si="11"/>
        <v>0</v>
      </c>
      <c r="G86" s="98">
        <f>'Monthly Data'!AI86</f>
        <v>575.9242922550452</v>
      </c>
      <c r="H86" s="98">
        <f>'Monthly Data'!AB86</f>
        <v>0</v>
      </c>
      <c r="I86">
        <f>'Monthly Data'!BO86</f>
        <v>31</v>
      </c>
      <c r="J86">
        <f>'Monthly Data'!BR86</f>
        <v>0.5</v>
      </c>
      <c r="K86" s="17">
        <f>'Monthly Data'!AO86</f>
        <v>7180.4</v>
      </c>
      <c r="L86">
        <f>'Monthly Data'!BM86</f>
        <v>0</v>
      </c>
      <c r="N86" s="17"/>
      <c r="O86" s="17">
        <f t="shared" ca="1" si="12"/>
        <v>467441.06607609929</v>
      </c>
      <c r="P86" s="17">
        <f t="shared" ca="1" si="13"/>
        <v>0</v>
      </c>
      <c r="Q86" s="17"/>
      <c r="R86" s="17"/>
      <c r="S86" s="17"/>
      <c r="T86" s="17"/>
      <c r="U86" s="17">
        <f t="shared" ca="1" si="14"/>
        <v>13488342.113737825</v>
      </c>
    </row>
    <row r="87" spans="1:21" x14ac:dyDescent="0.2">
      <c r="A87" s="28">
        <f>'Monthly Data'!A87</f>
        <v>44228</v>
      </c>
      <c r="B87">
        <f>'Monthly Data'!C87</f>
        <v>2</v>
      </c>
      <c r="C87">
        <f>'Monthly Data'!B87</f>
        <v>2021</v>
      </c>
      <c r="D87" s="18">
        <f>'Monthly Data'!J87</f>
        <v>12441382.271758284</v>
      </c>
      <c r="E87" s="10">
        <f t="shared" ca="1" si="11"/>
        <v>599.3508333333333</v>
      </c>
      <c r="F87" s="10">
        <f t="shared" ca="1" si="11"/>
        <v>0</v>
      </c>
      <c r="G87" s="98">
        <f>'Monthly Data'!AI87</f>
        <v>583.86250000000018</v>
      </c>
      <c r="H87" s="98">
        <f>'Monthly Data'!AB87</f>
        <v>0</v>
      </c>
      <c r="I87">
        <f>'Monthly Data'!BO87</f>
        <v>28</v>
      </c>
      <c r="J87">
        <f>'Monthly Data'!BR87</f>
        <v>0.5</v>
      </c>
      <c r="K87" s="17">
        <f>'Monthly Data'!AO87</f>
        <v>7124.8</v>
      </c>
      <c r="L87">
        <f>'Monthly Data'!BM87</f>
        <v>0</v>
      </c>
      <c r="N87" s="17"/>
      <c r="O87" s="17">
        <f t="shared" ca="1" si="12"/>
        <v>79770.077840284372</v>
      </c>
      <c r="P87" s="17">
        <f t="shared" ca="1" si="13"/>
        <v>0</v>
      </c>
      <c r="Q87" s="17"/>
      <c r="R87" s="17"/>
      <c r="S87" s="17"/>
      <c r="T87" s="17"/>
      <c r="U87" s="17">
        <f t="shared" ca="1" si="14"/>
        <v>12521152.349598568</v>
      </c>
    </row>
    <row r="88" spans="1:21" x14ac:dyDescent="0.2">
      <c r="A88" s="28">
        <f>'Monthly Data'!A88</f>
        <v>44256</v>
      </c>
      <c r="B88">
        <f>'Monthly Data'!C88</f>
        <v>3</v>
      </c>
      <c r="C88">
        <f>'Monthly Data'!B88</f>
        <v>2021</v>
      </c>
      <c r="D88" s="18">
        <f>'Monthly Data'!J88</f>
        <v>12206975.695854843</v>
      </c>
      <c r="E88" s="10">
        <f t="shared" ca="1" si="11"/>
        <v>469.11853767651354</v>
      </c>
      <c r="F88" s="10">
        <f t="shared" ca="1" si="11"/>
        <v>0</v>
      </c>
      <c r="G88" s="98">
        <f>'Monthly Data'!AI88</f>
        <v>380.87637558837855</v>
      </c>
      <c r="H88" s="98">
        <f>'Monthly Data'!AB88</f>
        <v>0</v>
      </c>
      <c r="I88">
        <f>'Monthly Data'!BO88</f>
        <v>31</v>
      </c>
      <c r="J88">
        <f>'Monthly Data'!BR88</f>
        <v>0.5</v>
      </c>
      <c r="K88" s="17">
        <f>'Monthly Data'!AO88</f>
        <v>7129.5</v>
      </c>
      <c r="L88">
        <f>'Monthly Data'!BM88</f>
        <v>0</v>
      </c>
      <c r="N88" s="17"/>
      <c r="O88" s="17">
        <f t="shared" ca="1" si="12"/>
        <v>454476.53966849996</v>
      </c>
      <c r="P88" s="17">
        <f t="shared" ca="1" si="13"/>
        <v>0</v>
      </c>
      <c r="Q88" s="17"/>
      <c r="R88" s="17"/>
      <c r="S88" s="17"/>
      <c r="T88" s="17"/>
      <c r="U88" s="17">
        <f t="shared" ca="1" si="14"/>
        <v>12661452.235523343</v>
      </c>
    </row>
    <row r="89" spans="1:21" x14ac:dyDescent="0.2">
      <c r="A89" s="28">
        <f>'Monthly Data'!A89</f>
        <v>44287</v>
      </c>
      <c r="B89">
        <f>'Monthly Data'!C89</f>
        <v>4</v>
      </c>
      <c r="C89">
        <f>'Monthly Data'!B89</f>
        <v>2021</v>
      </c>
      <c r="D89" s="18">
        <f>'Monthly Data'!J89</f>
        <v>10295742.099951401</v>
      </c>
      <c r="E89" s="10">
        <f t="shared" ca="1" si="11"/>
        <v>233.92395833333336</v>
      </c>
      <c r="F89" s="10">
        <f t="shared" ca="1" si="11"/>
        <v>0</v>
      </c>
      <c r="G89" s="98">
        <f>'Monthly Data'!AI89</f>
        <v>152.30624999999998</v>
      </c>
      <c r="H89" s="98">
        <f>'Monthly Data'!AB89</f>
        <v>0</v>
      </c>
      <c r="I89">
        <f>'Monthly Data'!BO89</f>
        <v>30</v>
      </c>
      <c r="J89">
        <f>'Monthly Data'!BR89</f>
        <v>0.5</v>
      </c>
      <c r="K89" s="17">
        <f>'Monthly Data'!AO89</f>
        <v>7197</v>
      </c>
      <c r="L89">
        <f>'Monthly Data'!BM89</f>
        <v>0</v>
      </c>
      <c r="N89" s="17"/>
      <c r="O89" s="17">
        <f t="shared" ca="1" si="12"/>
        <v>420358.39536612859</v>
      </c>
      <c r="P89" s="17">
        <f t="shared" ca="1" si="13"/>
        <v>0</v>
      </c>
      <c r="Q89" s="17"/>
      <c r="R89" s="17"/>
      <c r="S89" s="17"/>
      <c r="T89" s="17"/>
      <c r="U89" s="17">
        <f t="shared" ca="1" si="14"/>
        <v>10716100.49531753</v>
      </c>
    </row>
    <row r="90" spans="1:21" x14ac:dyDescent="0.2">
      <c r="A90" s="28">
        <f>'Monthly Data'!A90</f>
        <v>44317</v>
      </c>
      <c r="B90">
        <f>'Monthly Data'!C90</f>
        <v>5</v>
      </c>
      <c r="C90">
        <f>'Monthly Data'!B90</f>
        <v>2021</v>
      </c>
      <c r="D90" s="18">
        <f>'Monthly Data'!J90</f>
        <v>9972226.6940479614</v>
      </c>
      <c r="E90" s="10">
        <f t="shared" ca="1" si="11"/>
        <v>46.324929225504526</v>
      </c>
      <c r="F90" s="10">
        <f t="shared" ca="1" si="11"/>
        <v>9.6293749999999996</v>
      </c>
      <c r="G90" s="98">
        <f>'Monthly Data'!AI90</f>
        <v>61.727083333333333</v>
      </c>
      <c r="H90" s="98">
        <f>'Monthly Data'!AB90</f>
        <v>12.579166666666673</v>
      </c>
      <c r="I90">
        <f>'Monthly Data'!BO90</f>
        <v>31</v>
      </c>
      <c r="J90">
        <f>'Monthly Data'!BR90</f>
        <v>0.5</v>
      </c>
      <c r="K90" s="17">
        <f>'Monthly Data'!AO90</f>
        <v>7237.7</v>
      </c>
      <c r="L90">
        <f>'Monthly Data'!BM90</f>
        <v>0</v>
      </c>
      <c r="N90" s="17"/>
      <c r="O90" s="17">
        <f t="shared" ca="1" si="12"/>
        <v>-79326.226111454438</v>
      </c>
      <c r="P90" s="17">
        <f t="shared" ca="1" si="13"/>
        <v>-36690.99514293758</v>
      </c>
      <c r="Q90" s="17"/>
      <c r="R90" s="17"/>
      <c r="S90" s="17"/>
      <c r="T90" s="17"/>
      <c r="U90" s="17">
        <f t="shared" ca="1" si="14"/>
        <v>9856209.4727935698</v>
      </c>
    </row>
    <row r="91" spans="1:21" x14ac:dyDescent="0.2">
      <c r="A91" s="28">
        <f>'Monthly Data'!A91</f>
        <v>44348</v>
      </c>
      <c r="B91">
        <f>'Monthly Data'!C91</f>
        <v>6</v>
      </c>
      <c r="C91">
        <f>'Monthly Data'!B91</f>
        <v>2021</v>
      </c>
      <c r="D91" s="18">
        <f>'Monthly Data'!J91</f>
        <v>9973847.388144521</v>
      </c>
      <c r="E91" s="10">
        <f t="shared" ca="1" si="11"/>
        <v>1.25875</v>
      </c>
      <c r="F91" s="10">
        <f t="shared" ca="1" si="11"/>
        <v>25.077154107828811</v>
      </c>
      <c r="G91" s="98">
        <f>'Monthly Data'!AI91</f>
        <v>1.3708333333333318</v>
      </c>
      <c r="H91" s="98">
        <f>'Monthly Data'!AB91</f>
        <v>25.816666666666659</v>
      </c>
      <c r="I91">
        <f>'Monthly Data'!BO91</f>
        <v>30</v>
      </c>
      <c r="J91">
        <f>'Monthly Data'!BR91</f>
        <v>0.5</v>
      </c>
      <c r="K91" s="17">
        <f>'Monthly Data'!AO91</f>
        <v>7293</v>
      </c>
      <c r="L91">
        <f>'Monthly Data'!BM91</f>
        <v>0</v>
      </c>
      <c r="N91" s="17"/>
      <c r="O91" s="17">
        <f t="shared" ca="1" si="12"/>
        <v>-577.26651616906531</v>
      </c>
      <c r="P91" s="17">
        <f t="shared" ca="1" si="13"/>
        <v>-9198.429845427765</v>
      </c>
      <c r="Q91" s="17"/>
      <c r="R91" s="17"/>
      <c r="S91" s="17"/>
      <c r="T91" s="17"/>
      <c r="U91" s="17">
        <f t="shared" ca="1" si="14"/>
        <v>9964071.6917829234</v>
      </c>
    </row>
    <row r="92" spans="1:21" x14ac:dyDescent="0.2">
      <c r="A92" s="28">
        <f>'Monthly Data'!A92</f>
        <v>44378</v>
      </c>
      <c r="B92">
        <f>'Monthly Data'!C92</f>
        <v>7</v>
      </c>
      <c r="C92">
        <f>'Monthly Data'!B92</f>
        <v>2021</v>
      </c>
      <c r="D92" s="18">
        <f>'Monthly Data'!J92</f>
        <v>10877601.992241079</v>
      </c>
      <c r="E92" s="10">
        <f t="shared" ca="1" si="11"/>
        <v>0</v>
      </c>
      <c r="F92" s="10">
        <f t="shared" ca="1" si="11"/>
        <v>56.475141548990976</v>
      </c>
      <c r="G92" s="98">
        <f>'Monthly Data'!AI92</f>
        <v>0</v>
      </c>
      <c r="H92" s="98">
        <f>'Monthly Data'!AB92</f>
        <v>41.341666666666697</v>
      </c>
      <c r="I92">
        <f>'Monthly Data'!BO92</f>
        <v>31</v>
      </c>
      <c r="J92">
        <f>'Monthly Data'!BR92</f>
        <v>0.5</v>
      </c>
      <c r="K92" s="17">
        <f>'Monthly Data'!AO92</f>
        <v>7391.8</v>
      </c>
      <c r="L92">
        <f>'Monthly Data'!BM92</f>
        <v>0</v>
      </c>
      <c r="N92" s="17"/>
      <c r="O92" s="17">
        <f t="shared" ca="1" si="12"/>
        <v>0</v>
      </c>
      <c r="P92" s="17">
        <f t="shared" ca="1" si="13"/>
        <v>188237.7863080026</v>
      </c>
      <c r="Q92" s="17"/>
      <c r="R92" s="17"/>
      <c r="S92" s="17"/>
      <c r="T92" s="17"/>
      <c r="U92" s="17">
        <f t="shared" ca="1" si="14"/>
        <v>11065839.778549081</v>
      </c>
    </row>
    <row r="93" spans="1:21" x14ac:dyDescent="0.2">
      <c r="A93" s="28">
        <f>'Monthly Data'!A93</f>
        <v>44409</v>
      </c>
      <c r="B93">
        <f>'Monthly Data'!C93</f>
        <v>8</v>
      </c>
      <c r="C93">
        <f>'Monthly Data'!B93</f>
        <v>2021</v>
      </c>
      <c r="D93" s="18">
        <f>'Monthly Data'!J93</f>
        <v>11280808.316337638</v>
      </c>
      <c r="E93" s="10">
        <f t="shared" ca="1" si="11"/>
        <v>0.1158333333333335</v>
      </c>
      <c r="F93" s="10">
        <f t="shared" ca="1" si="11"/>
        <v>35.296250000000008</v>
      </c>
      <c r="G93" s="98">
        <f>'Monthly Data'!AI93</f>
        <v>0</v>
      </c>
      <c r="H93" s="98">
        <f>'Monthly Data'!AB93</f>
        <v>69.433333333333337</v>
      </c>
      <c r="I93">
        <f>'Monthly Data'!BO93</f>
        <v>31</v>
      </c>
      <c r="J93">
        <f>'Monthly Data'!BR93</f>
        <v>0.5</v>
      </c>
      <c r="K93" s="17">
        <f>'Monthly Data'!AO93</f>
        <v>7475.2</v>
      </c>
      <c r="L93">
        <f>'Monthly Data'!BM93</f>
        <v>0</v>
      </c>
      <c r="N93" s="17"/>
      <c r="O93" s="17">
        <f t="shared" ca="1" si="12"/>
        <v>596.58026578067893</v>
      </c>
      <c r="P93" s="17">
        <f t="shared" ca="1" si="13"/>
        <v>-424614.24409431824</v>
      </c>
      <c r="Q93" s="17"/>
      <c r="R93" s="17"/>
      <c r="S93" s="17"/>
      <c r="T93" s="17"/>
      <c r="U93" s="17">
        <f t="shared" ca="1" si="14"/>
        <v>10856790.652509101</v>
      </c>
    </row>
    <row r="94" spans="1:21" x14ac:dyDescent="0.2">
      <c r="A94" s="28">
        <f>'Monthly Data'!A94</f>
        <v>44440</v>
      </c>
      <c r="B94">
        <f>'Monthly Data'!C94</f>
        <v>9</v>
      </c>
      <c r="C94">
        <f>'Monthly Data'!B94</f>
        <v>2021</v>
      </c>
      <c r="D94" s="18">
        <f>'Monthly Data'!J94</f>
        <v>10087037.710434197</v>
      </c>
      <c r="E94" s="10">
        <f t="shared" ca="1" si="11"/>
        <v>11.597845892171184</v>
      </c>
      <c r="F94" s="10">
        <f t="shared" ca="1" si="11"/>
        <v>11.128958333333333</v>
      </c>
      <c r="G94" s="98">
        <f>'Monthly Data'!AI94</f>
        <v>5.2583333333333302</v>
      </c>
      <c r="H94" s="98">
        <f>'Monthly Data'!AB94</f>
        <v>0.25416666666666288</v>
      </c>
      <c r="I94">
        <f>'Monthly Data'!BO94</f>
        <v>30</v>
      </c>
      <c r="J94">
        <f>'Monthly Data'!BR94</f>
        <v>0.5</v>
      </c>
      <c r="K94" s="17">
        <f>'Monthly Data'!AO94</f>
        <v>7503.2</v>
      </c>
      <c r="L94">
        <f>'Monthly Data'!BM94</f>
        <v>1</v>
      </c>
      <c r="N94" s="17"/>
      <c r="O94" s="17">
        <f t="shared" ca="1" si="12"/>
        <v>32650.60219227137</v>
      </c>
      <c r="P94" s="17">
        <f t="shared" ca="1" si="13"/>
        <v>135266.13853140725</v>
      </c>
      <c r="Q94" s="17"/>
      <c r="R94" s="17"/>
      <c r="S94" s="17"/>
      <c r="T94" s="17"/>
      <c r="U94" s="17">
        <f t="shared" ca="1" si="14"/>
        <v>10254954.451157875</v>
      </c>
    </row>
    <row r="95" spans="1:21" x14ac:dyDescent="0.2">
      <c r="A95" s="28">
        <f>'Monthly Data'!A95</f>
        <v>44470</v>
      </c>
      <c r="B95">
        <f>'Monthly Data'!C95</f>
        <v>10</v>
      </c>
      <c r="C95">
        <f>'Monthly Data'!B95</f>
        <v>2021</v>
      </c>
      <c r="D95" s="18">
        <f>'Monthly Data'!J95</f>
        <v>10403500.194530755</v>
      </c>
      <c r="E95" s="10">
        <f t="shared" ref="E95:F110" ca="1" si="15">E83</f>
        <v>128.51888157360821</v>
      </c>
      <c r="F95" s="10">
        <f t="shared" ca="1" si="15"/>
        <v>0.44687499999999963</v>
      </c>
      <c r="G95" s="98">
        <f>'Monthly Data'!AI95</f>
        <v>60.793750000000003</v>
      </c>
      <c r="H95" s="98">
        <f>'Monthly Data'!AB95</f>
        <v>0</v>
      </c>
      <c r="I95">
        <f>'Monthly Data'!BO95</f>
        <v>31</v>
      </c>
      <c r="J95">
        <f>'Monthly Data'!BR95</f>
        <v>0.5</v>
      </c>
      <c r="K95" s="17">
        <f>'Monthly Data'!AO95</f>
        <v>7538.5</v>
      </c>
      <c r="L95">
        <f>'Monthly Data'!BM95</f>
        <v>1</v>
      </c>
      <c r="N95" s="17"/>
      <c r="O95" s="17">
        <f t="shared" ca="1" si="12"/>
        <v>348806.99563350715</v>
      </c>
      <c r="P95" s="17">
        <f t="shared" ca="1" si="13"/>
        <v>5558.4564292394152</v>
      </c>
      <c r="Q95" s="17"/>
      <c r="R95" s="17"/>
      <c r="S95" s="17"/>
      <c r="T95" s="17"/>
      <c r="U95" s="17">
        <f t="shared" ca="1" si="14"/>
        <v>10757865.646593502</v>
      </c>
    </row>
    <row r="96" spans="1:21" x14ac:dyDescent="0.2">
      <c r="A96" s="28">
        <f>'Monthly Data'!A96</f>
        <v>44501</v>
      </c>
      <c r="B96">
        <f>'Monthly Data'!C96</f>
        <v>11</v>
      </c>
      <c r="C96">
        <f>'Monthly Data'!B96</f>
        <v>2021</v>
      </c>
      <c r="D96" s="18">
        <f>'Monthly Data'!J96</f>
        <v>11423218.038627313</v>
      </c>
      <c r="E96" s="10">
        <f t="shared" ca="1" si="15"/>
        <v>332.1049960098469</v>
      </c>
      <c r="F96" s="10">
        <f t="shared" ca="1" si="15"/>
        <v>0</v>
      </c>
      <c r="G96" s="98">
        <f>'Monthly Data'!AI96</f>
        <v>316.31041666666664</v>
      </c>
      <c r="H96" s="98">
        <f>'Monthly Data'!AB96</f>
        <v>0</v>
      </c>
      <c r="I96">
        <f>'Monthly Data'!BO96</f>
        <v>30</v>
      </c>
      <c r="J96">
        <f>'Monthly Data'!BR96</f>
        <v>0.5</v>
      </c>
      <c r="K96" s="17">
        <f>'Monthly Data'!AO96</f>
        <v>7590.1</v>
      </c>
      <c r="L96">
        <f>'Monthly Data'!BM96</f>
        <v>0</v>
      </c>
      <c r="N96" s="17"/>
      <c r="O96" s="17">
        <f t="shared" ca="1" si="12"/>
        <v>81347.346841281906</v>
      </c>
      <c r="P96" s="17">
        <f t="shared" ca="1" si="13"/>
        <v>0</v>
      </c>
      <c r="Q96" s="17"/>
      <c r="R96" s="17"/>
      <c r="S96" s="17"/>
      <c r="T96" s="17"/>
      <c r="U96" s="17">
        <f t="shared" ca="1" si="14"/>
        <v>11504565.385468595</v>
      </c>
    </row>
    <row r="97" spans="1:21" x14ac:dyDescent="0.2">
      <c r="A97" s="28">
        <f>'Monthly Data'!A97</f>
        <v>44531</v>
      </c>
      <c r="B97">
        <f>'Monthly Data'!C97</f>
        <v>12</v>
      </c>
      <c r="C97">
        <f>'Monthly Data'!B97</f>
        <v>2021</v>
      </c>
      <c r="D97" s="18">
        <f>'Monthly Data'!J97</f>
        <v>13132583.892723873</v>
      </c>
      <c r="E97" s="10">
        <f t="shared" ca="1" si="15"/>
        <v>508.62936502461724</v>
      </c>
      <c r="F97" s="10">
        <f t="shared" ca="1" si="15"/>
        <v>0</v>
      </c>
      <c r="G97" s="98">
        <f>'Monthly Data'!AI97</f>
        <v>509.20416666666665</v>
      </c>
      <c r="H97" s="98">
        <f>'Monthly Data'!AB97</f>
        <v>0</v>
      </c>
      <c r="I97">
        <f>'Monthly Data'!BO97</f>
        <v>31</v>
      </c>
      <c r="J97">
        <f>'Monthly Data'!BR97</f>
        <v>0.5</v>
      </c>
      <c r="K97" s="17">
        <f>'Monthly Data'!AO97</f>
        <v>7647.5</v>
      </c>
      <c r="L97">
        <f>'Monthly Data'!BM97</f>
        <v>0</v>
      </c>
      <c r="N97" s="17"/>
      <c r="O97" s="17">
        <f t="shared" ca="1" si="12"/>
        <v>-2960.4199975683982</v>
      </c>
      <c r="P97" s="17">
        <f t="shared" ca="1" si="13"/>
        <v>0</v>
      </c>
      <c r="Q97" s="17"/>
      <c r="R97" s="17"/>
      <c r="S97" s="17"/>
      <c r="T97" s="17"/>
      <c r="U97" s="17">
        <f t="shared" ca="1" si="14"/>
        <v>13129623.472726304</v>
      </c>
    </row>
    <row r="98" spans="1:21" x14ac:dyDescent="0.2">
      <c r="A98" s="28">
        <f>'Monthly Data'!A98</f>
        <v>44562</v>
      </c>
      <c r="B98">
        <f>'Monthly Data'!C98</f>
        <v>1</v>
      </c>
      <c r="C98">
        <f>'Monthly Data'!B98</f>
        <v>2022</v>
      </c>
      <c r="D98" s="18">
        <f>'Monthly Data'!J98</f>
        <v>14636954.815922895</v>
      </c>
      <c r="E98" s="10">
        <f t="shared" ca="1" si="15"/>
        <v>666.68367523535153</v>
      </c>
      <c r="F98" s="10">
        <f t="shared" ca="1" si="15"/>
        <v>0</v>
      </c>
      <c r="G98" s="98">
        <f>'Monthly Data'!AI98</f>
        <v>817.08333333333314</v>
      </c>
      <c r="H98" s="98">
        <f>'Monthly Data'!AB98</f>
        <v>0</v>
      </c>
      <c r="I98">
        <f>'Monthly Data'!BO98</f>
        <v>31</v>
      </c>
      <c r="J98">
        <f>'Monthly Data'!BR98</f>
        <v>0.25</v>
      </c>
      <c r="K98" s="17">
        <f>'Monthly Data'!AO98</f>
        <v>7595.1</v>
      </c>
      <c r="L98">
        <f>'Monthly Data'!BM98</f>
        <v>0</v>
      </c>
      <c r="N98" s="17"/>
      <c r="O98" s="17">
        <f t="shared" ca="1" si="12"/>
        <v>-774608.35684676538</v>
      </c>
      <c r="P98" s="17">
        <f t="shared" ca="1" si="13"/>
        <v>0</v>
      </c>
      <c r="Q98" s="17"/>
      <c r="R98" s="17"/>
      <c r="S98" s="17"/>
      <c r="T98" s="17"/>
      <c r="U98" s="17">
        <f t="shared" ca="1" si="14"/>
        <v>13862346.459076131</v>
      </c>
    </row>
    <row r="99" spans="1:21" x14ac:dyDescent="0.2">
      <c r="A99" s="28">
        <f>'Monthly Data'!A99</f>
        <v>44593</v>
      </c>
      <c r="B99">
        <f>'Monthly Data'!C99</f>
        <v>2</v>
      </c>
      <c r="C99">
        <f>'Monthly Data'!B99</f>
        <v>2022</v>
      </c>
      <c r="D99" s="18">
        <f>'Monthly Data'!J99</f>
        <v>13076799.903353576</v>
      </c>
      <c r="E99" s="10">
        <f t="shared" ca="1" si="15"/>
        <v>599.3508333333333</v>
      </c>
      <c r="F99" s="10">
        <f t="shared" ca="1" si="15"/>
        <v>0</v>
      </c>
      <c r="G99" s="98">
        <f>'Monthly Data'!AI99</f>
        <v>627.50000000000011</v>
      </c>
      <c r="H99" s="98">
        <f>'Monthly Data'!AB99</f>
        <v>0</v>
      </c>
      <c r="I99">
        <f>'Monthly Data'!BO99</f>
        <v>28</v>
      </c>
      <c r="J99">
        <f>'Monthly Data'!BR99</f>
        <v>0.25</v>
      </c>
      <c r="K99" s="17">
        <f>'Monthly Data'!AO99</f>
        <v>7588.8</v>
      </c>
      <c r="L99">
        <f>'Monthly Data'!BM99</f>
        <v>0</v>
      </c>
      <c r="N99" s="17"/>
      <c r="O99" s="17">
        <f t="shared" ca="1" si="12"/>
        <v>-144977.58847342181</v>
      </c>
      <c r="P99" s="17">
        <f t="shared" ca="1" si="13"/>
        <v>0</v>
      </c>
      <c r="Q99" s="17"/>
      <c r="R99" s="17"/>
      <c r="S99" s="17"/>
      <c r="T99" s="17"/>
      <c r="U99" s="17">
        <f t="shared" ca="1" si="14"/>
        <v>12931822.314880153</v>
      </c>
    </row>
    <row r="100" spans="1:21" x14ac:dyDescent="0.2">
      <c r="A100" s="28">
        <f>'Monthly Data'!A100</f>
        <v>44621</v>
      </c>
      <c r="B100">
        <f>'Monthly Data'!C100</f>
        <v>3</v>
      </c>
      <c r="C100">
        <f>'Monthly Data'!B100</f>
        <v>2022</v>
      </c>
      <c r="D100" s="18">
        <f>'Monthly Data'!J100</f>
        <v>13153699.890784256</v>
      </c>
      <c r="E100" s="10">
        <f t="shared" ca="1" si="15"/>
        <v>469.11853767651354</v>
      </c>
      <c r="F100" s="10">
        <f t="shared" ca="1" si="15"/>
        <v>0</v>
      </c>
      <c r="G100" s="98">
        <f>'Monthly Data'!AI100</f>
        <v>459.76804225504515</v>
      </c>
      <c r="H100" s="98">
        <f>'Monthly Data'!AB100</f>
        <v>0</v>
      </c>
      <c r="I100">
        <f>'Monthly Data'!BO100</f>
        <v>31</v>
      </c>
      <c r="J100">
        <f>'Monthly Data'!BR100</f>
        <v>0.25</v>
      </c>
      <c r="K100" s="17">
        <f>'Monthly Data'!AO100</f>
        <v>7573.4</v>
      </c>
      <c r="L100">
        <f>'Monthly Data'!BM100</f>
        <v>0</v>
      </c>
      <c r="N100" s="17"/>
      <c r="O100" s="17">
        <f t="shared" ca="1" si="12"/>
        <v>48158.167283919094</v>
      </c>
      <c r="P100" s="17">
        <f t="shared" ca="1" si="13"/>
        <v>0</v>
      </c>
      <c r="Q100" s="17"/>
      <c r="R100" s="17"/>
      <c r="S100" s="17"/>
      <c r="T100" s="17"/>
      <c r="U100" s="17">
        <f t="shared" ca="1" si="14"/>
        <v>13201858.058068175</v>
      </c>
    </row>
    <row r="101" spans="1:21" x14ac:dyDescent="0.2">
      <c r="A101" s="28">
        <f>'Monthly Data'!A101</f>
        <v>44652</v>
      </c>
      <c r="B101">
        <f>'Monthly Data'!C101</f>
        <v>4</v>
      </c>
      <c r="C101">
        <f>'Monthly Data'!B101</f>
        <v>2022</v>
      </c>
      <c r="D101" s="18">
        <f>'Monthly Data'!J101</f>
        <v>11319018.888214933</v>
      </c>
      <c r="E101" s="10">
        <f t="shared" ca="1" si="15"/>
        <v>233.92395833333336</v>
      </c>
      <c r="F101" s="10">
        <f t="shared" ca="1" si="15"/>
        <v>0</v>
      </c>
      <c r="G101" s="98">
        <f>'Monthly Data'!AI101</f>
        <v>221.58125000000004</v>
      </c>
      <c r="H101" s="98">
        <f>'Monthly Data'!AB101</f>
        <v>0</v>
      </c>
      <c r="I101">
        <f>'Monthly Data'!BO101</f>
        <v>30</v>
      </c>
      <c r="J101">
        <f>'Monthly Data'!BR101</f>
        <v>0.25</v>
      </c>
      <c r="K101" s="17">
        <f>'Monthly Data'!AO101</f>
        <v>7670</v>
      </c>
      <c r="L101">
        <f>'Monthly Data'!BM101</f>
        <v>0</v>
      </c>
      <c r="N101" s="17"/>
      <c r="O101" s="17">
        <f t="shared" ca="1" si="12"/>
        <v>63569.060874417686</v>
      </c>
      <c r="P101" s="17">
        <f t="shared" ca="1" si="13"/>
        <v>0</v>
      </c>
      <c r="Q101" s="17"/>
      <c r="R101" s="17"/>
      <c r="S101" s="17"/>
      <c r="T101" s="17"/>
      <c r="U101" s="17">
        <f t="shared" ca="1" si="14"/>
        <v>11382587.94908935</v>
      </c>
    </row>
    <row r="102" spans="1:21" x14ac:dyDescent="0.2">
      <c r="A102" s="28">
        <f>'Monthly Data'!A102</f>
        <v>44682</v>
      </c>
      <c r="B102">
        <f>'Monthly Data'!C102</f>
        <v>5</v>
      </c>
      <c r="C102">
        <f>'Monthly Data'!B102</f>
        <v>2022</v>
      </c>
      <c r="D102" s="18">
        <f>'Monthly Data'!J102</f>
        <v>10617832.325645614</v>
      </c>
      <c r="E102" s="10">
        <f t="shared" ca="1" si="15"/>
        <v>46.324929225504526</v>
      </c>
      <c r="F102" s="10">
        <f t="shared" ca="1" si="15"/>
        <v>9.6293749999999996</v>
      </c>
      <c r="G102" s="98">
        <f>'Monthly Data'!AI102</f>
        <v>14.455542255045183</v>
      </c>
      <c r="H102" s="98">
        <f>'Monthly Data'!AB102</f>
        <v>18.550000000000004</v>
      </c>
      <c r="I102">
        <f>'Monthly Data'!BO102</f>
        <v>31</v>
      </c>
      <c r="J102">
        <f>'Monthly Data'!BR102</f>
        <v>0.25</v>
      </c>
      <c r="K102" s="17">
        <f>'Monthly Data'!AO102</f>
        <v>7738.6</v>
      </c>
      <c r="L102">
        <f>'Monthly Data'!BM102</f>
        <v>0</v>
      </c>
      <c r="N102" s="17"/>
      <c r="O102" s="17">
        <f t="shared" ca="1" si="12"/>
        <v>164137.96272607698</v>
      </c>
      <c r="P102" s="17">
        <f t="shared" ca="1" si="13"/>
        <v>-110959.22883151646</v>
      </c>
      <c r="Q102" s="17"/>
      <c r="R102" s="17"/>
      <c r="S102" s="17"/>
      <c r="T102" s="17"/>
      <c r="U102" s="17">
        <f t="shared" ca="1" si="14"/>
        <v>10671011.059540175</v>
      </c>
    </row>
    <row r="103" spans="1:21" x14ac:dyDescent="0.2">
      <c r="A103" s="28">
        <f>'Monthly Data'!A103</f>
        <v>44713</v>
      </c>
      <c r="B103">
        <f>'Monthly Data'!C103</f>
        <v>6</v>
      </c>
      <c r="C103">
        <f>'Monthly Data'!B103</f>
        <v>2022</v>
      </c>
      <c r="D103" s="18">
        <f>'Monthly Data'!J103</f>
        <v>10329832.053076293</v>
      </c>
      <c r="E103" s="10">
        <f t="shared" ca="1" si="15"/>
        <v>1.25875</v>
      </c>
      <c r="F103" s="10">
        <f t="shared" ca="1" si="15"/>
        <v>25.077154107828811</v>
      </c>
      <c r="G103" s="98">
        <f>'Monthly Data'!AI103</f>
        <v>0</v>
      </c>
      <c r="H103" s="98">
        <f>'Monthly Data'!AB103</f>
        <v>24.42499999999999</v>
      </c>
      <c r="I103">
        <f>'Monthly Data'!BO103</f>
        <v>30</v>
      </c>
      <c r="J103">
        <f>'Monthly Data'!BR103</f>
        <v>0.25</v>
      </c>
      <c r="K103" s="17">
        <f>'Monthly Data'!AO103</f>
        <v>7809.2</v>
      </c>
      <c r="L103">
        <f>'Monthly Data'!BM103</f>
        <v>0</v>
      </c>
      <c r="N103" s="17"/>
      <c r="O103" s="17">
        <f t="shared" ca="1" si="12"/>
        <v>6482.9819529619735</v>
      </c>
      <c r="P103" s="17">
        <f t="shared" ca="1" si="13"/>
        <v>8111.8214120637922</v>
      </c>
      <c r="Q103" s="17"/>
      <c r="R103" s="17"/>
      <c r="S103" s="17"/>
      <c r="T103" s="17"/>
      <c r="U103" s="17">
        <f t="shared" ca="1" si="14"/>
        <v>10344426.856441319</v>
      </c>
    </row>
    <row r="104" spans="1:21" x14ac:dyDescent="0.2">
      <c r="A104" s="28">
        <f>'Monthly Data'!A104</f>
        <v>44743</v>
      </c>
      <c r="B104">
        <f>'Monthly Data'!C104</f>
        <v>7</v>
      </c>
      <c r="C104">
        <f>'Monthly Data'!B104</f>
        <v>2022</v>
      </c>
      <c r="D104" s="18">
        <f>'Monthly Data'!J104</f>
        <v>11056407.640506973</v>
      </c>
      <c r="E104" s="10">
        <f t="shared" ca="1" si="15"/>
        <v>0</v>
      </c>
      <c r="F104" s="10">
        <f t="shared" ca="1" si="15"/>
        <v>56.475141548990976</v>
      </c>
      <c r="G104" s="98">
        <f>'Monthly Data'!AI104</f>
        <v>0</v>
      </c>
      <c r="H104" s="98">
        <f>'Monthly Data'!AB104</f>
        <v>40.464583333333323</v>
      </c>
      <c r="I104">
        <f>'Monthly Data'!BO104</f>
        <v>31</v>
      </c>
      <c r="J104">
        <f>'Monthly Data'!BR104</f>
        <v>0.25</v>
      </c>
      <c r="K104" s="17">
        <f>'Monthly Data'!AO104</f>
        <v>7843.6</v>
      </c>
      <c r="L104">
        <f>'Monthly Data'!BM104</f>
        <v>0</v>
      </c>
      <c r="N104" s="17"/>
      <c r="O104" s="17">
        <f t="shared" ca="1" si="12"/>
        <v>0</v>
      </c>
      <c r="P104" s="17">
        <f t="shared" ca="1" si="13"/>
        <v>199147.39076818863</v>
      </c>
      <c r="Q104" s="17"/>
      <c r="R104" s="17"/>
      <c r="S104" s="17"/>
      <c r="T104" s="17"/>
      <c r="U104" s="17">
        <f t="shared" ca="1" si="14"/>
        <v>11255555.031275162</v>
      </c>
    </row>
    <row r="105" spans="1:21" x14ac:dyDescent="0.2">
      <c r="A105" s="28">
        <f>'Monthly Data'!A105</f>
        <v>44774</v>
      </c>
      <c r="B105">
        <f>'Monthly Data'!C105</f>
        <v>8</v>
      </c>
      <c r="C105">
        <f>'Monthly Data'!B105</f>
        <v>2022</v>
      </c>
      <c r="D105" s="18">
        <f>'Monthly Data'!J105</f>
        <v>10980512.797937652</v>
      </c>
      <c r="E105" s="10">
        <f t="shared" ca="1" si="15"/>
        <v>0.1158333333333335</v>
      </c>
      <c r="F105" s="10">
        <f t="shared" ca="1" si="15"/>
        <v>35.296250000000008</v>
      </c>
      <c r="G105" s="98">
        <f>'Monthly Data'!AI105</f>
        <v>0</v>
      </c>
      <c r="H105" s="98">
        <f>'Monthly Data'!AB105</f>
        <v>36.270833333333314</v>
      </c>
      <c r="I105">
        <f>'Monthly Data'!BO105</f>
        <v>31</v>
      </c>
      <c r="J105">
        <f>'Monthly Data'!BR105</f>
        <v>0.25</v>
      </c>
      <c r="K105" s="17">
        <f>'Monthly Data'!AO105</f>
        <v>7825.4</v>
      </c>
      <c r="L105">
        <f>'Monthly Data'!BM105</f>
        <v>0</v>
      </c>
      <c r="N105" s="17"/>
      <c r="O105" s="17">
        <f t="shared" ca="1" si="12"/>
        <v>596.58026578067893</v>
      </c>
      <c r="P105" s="17">
        <f t="shared" ca="1" si="13"/>
        <v>-12122.358590201069</v>
      </c>
      <c r="Q105" s="17"/>
      <c r="R105" s="17"/>
      <c r="S105" s="17"/>
      <c r="T105" s="17"/>
      <c r="U105" s="17">
        <f t="shared" ca="1" si="14"/>
        <v>10968987.019613232</v>
      </c>
    </row>
    <row r="106" spans="1:21" x14ac:dyDescent="0.2">
      <c r="A106" s="28">
        <f>'Monthly Data'!A106</f>
        <v>44805</v>
      </c>
      <c r="B106">
        <f>'Monthly Data'!C106</f>
        <v>9</v>
      </c>
      <c r="C106">
        <f>'Monthly Data'!B106</f>
        <v>2022</v>
      </c>
      <c r="D106" s="18">
        <f>'Monthly Data'!J106</f>
        <v>10141321.345368331</v>
      </c>
      <c r="E106" s="10">
        <f t="shared" ca="1" si="15"/>
        <v>11.597845892171184</v>
      </c>
      <c r="F106" s="10">
        <f t="shared" ca="1" si="15"/>
        <v>11.128958333333333</v>
      </c>
      <c r="G106" s="98">
        <f>'Monthly Data'!AI106</f>
        <v>14.699292255045174</v>
      </c>
      <c r="H106" s="98">
        <f>'Monthly Data'!AB106</f>
        <v>8.2083333333333393</v>
      </c>
      <c r="I106">
        <f>'Monthly Data'!BO106</f>
        <v>30</v>
      </c>
      <c r="J106">
        <f>'Monthly Data'!BR106</f>
        <v>0.25</v>
      </c>
      <c r="K106" s="17">
        <f>'Monthly Data'!AO106</f>
        <v>7766.7</v>
      </c>
      <c r="L106">
        <f>'Monthly Data'!BM106</f>
        <v>1</v>
      </c>
      <c r="N106" s="17"/>
      <c r="O106" s="17">
        <f t="shared" ca="1" si="12"/>
        <v>-15973.482263032076</v>
      </c>
      <c r="P106" s="17">
        <f t="shared" ca="1" si="13"/>
        <v>36328.205445924134</v>
      </c>
      <c r="Q106" s="17"/>
      <c r="R106" s="17"/>
      <c r="S106" s="17"/>
      <c r="T106" s="17"/>
      <c r="U106" s="17">
        <f t="shared" ca="1" si="14"/>
        <v>10161676.068551224</v>
      </c>
    </row>
    <row r="107" spans="1:21" x14ac:dyDescent="0.2">
      <c r="A107" s="28">
        <f>'Monthly Data'!A107</f>
        <v>44835</v>
      </c>
      <c r="B107">
        <f>'Monthly Data'!C107</f>
        <v>10</v>
      </c>
      <c r="C107">
        <f>'Monthly Data'!B107</f>
        <v>2022</v>
      </c>
      <c r="D107" s="18">
        <f>'Monthly Data'!J107</f>
        <v>10351131.972799011</v>
      </c>
      <c r="E107" s="10">
        <f t="shared" ca="1" si="15"/>
        <v>128.51888157360821</v>
      </c>
      <c r="F107" s="10">
        <f t="shared" ca="1" si="15"/>
        <v>0.44687499999999963</v>
      </c>
      <c r="G107" s="98">
        <f>'Monthly Data'!AI107</f>
        <v>113.78608451009033</v>
      </c>
      <c r="H107" s="98">
        <f>'Monthly Data'!AB107</f>
        <v>0</v>
      </c>
      <c r="I107">
        <f>'Monthly Data'!BO107</f>
        <v>31</v>
      </c>
      <c r="J107">
        <f>'Monthly Data'!BR107</f>
        <v>0.25</v>
      </c>
      <c r="K107" s="17">
        <f>'Monthly Data'!AO107</f>
        <v>7743.5</v>
      </c>
      <c r="L107">
        <f>'Monthly Data'!BM107</f>
        <v>1</v>
      </c>
      <c r="N107" s="17"/>
      <c r="O107" s="17">
        <f t="shared" ca="1" si="12"/>
        <v>75878.814283565094</v>
      </c>
      <c r="P107" s="17">
        <f t="shared" ca="1" si="13"/>
        <v>5558.4564292394152</v>
      </c>
      <c r="Q107" s="17"/>
      <c r="R107" s="17"/>
      <c r="S107" s="17"/>
      <c r="T107" s="17"/>
      <c r="U107" s="17">
        <f t="shared" ca="1" si="14"/>
        <v>10432569.243511815</v>
      </c>
    </row>
    <row r="108" spans="1:21" x14ac:dyDescent="0.2">
      <c r="A108" s="28">
        <f>'Monthly Data'!A108</f>
        <v>44866</v>
      </c>
      <c r="B108">
        <f>'Monthly Data'!C108</f>
        <v>11</v>
      </c>
      <c r="C108">
        <f>'Monthly Data'!B108</f>
        <v>2022</v>
      </c>
      <c r="D108" s="18">
        <f>'Monthly Data'!J108</f>
        <v>11539971.930229692</v>
      </c>
      <c r="E108" s="10">
        <f t="shared" ca="1" si="15"/>
        <v>332.1049960098469</v>
      </c>
      <c r="F108" s="10">
        <f t="shared" ca="1" si="15"/>
        <v>0</v>
      </c>
      <c r="G108" s="98">
        <f>'Monthly Data'!AI108</f>
        <v>283.5805422550452</v>
      </c>
      <c r="H108" s="98">
        <f>'Monthly Data'!AB108</f>
        <v>0</v>
      </c>
      <c r="I108">
        <f>'Monthly Data'!BO108</f>
        <v>30</v>
      </c>
      <c r="J108">
        <f>'Monthly Data'!BR108</f>
        <v>0.25</v>
      </c>
      <c r="K108" s="17">
        <f>'Monthly Data'!AO108</f>
        <v>7738.9</v>
      </c>
      <c r="L108">
        <f>'Monthly Data'!BM108</f>
        <v>0</v>
      </c>
      <c r="N108" s="17"/>
      <c r="O108" s="17">
        <f t="shared" ca="1" si="12"/>
        <v>249917.10662936824</v>
      </c>
      <c r="P108" s="17">
        <f t="shared" ca="1" si="13"/>
        <v>0</v>
      </c>
      <c r="Q108" s="17"/>
      <c r="R108" s="17"/>
      <c r="S108" s="17"/>
      <c r="T108" s="17"/>
      <c r="U108" s="17">
        <f t="shared" ca="1" si="14"/>
        <v>11789889.03685906</v>
      </c>
    </row>
    <row r="109" spans="1:21" x14ac:dyDescent="0.2">
      <c r="A109" s="28">
        <f>'Monthly Data'!A109</f>
        <v>44896</v>
      </c>
      <c r="B109">
        <f>'Monthly Data'!C109</f>
        <v>12</v>
      </c>
      <c r="C109">
        <f>'Monthly Data'!B109</f>
        <v>2022</v>
      </c>
      <c r="D109" s="18">
        <f>'Monthly Data'!J109</f>
        <v>12864921.17766037</v>
      </c>
      <c r="E109" s="10">
        <f t="shared" ca="1" si="15"/>
        <v>508.62936502461724</v>
      </c>
      <c r="F109" s="10">
        <f t="shared" ca="1" si="15"/>
        <v>0</v>
      </c>
      <c r="G109" s="98">
        <f>'Monthly Data'!AI109</f>
        <v>480.52218897094639</v>
      </c>
      <c r="H109" s="98">
        <f>'Monthly Data'!AB109</f>
        <v>0</v>
      </c>
      <c r="I109">
        <f>'Monthly Data'!BO109</f>
        <v>31</v>
      </c>
      <c r="J109">
        <f>'Monthly Data'!BR109</f>
        <v>0.25</v>
      </c>
      <c r="K109" s="17">
        <f>'Monthly Data'!AO109</f>
        <v>7777.2</v>
      </c>
      <c r="L109">
        <f>'Monthly Data'!BM109</f>
        <v>0</v>
      </c>
      <c r="N109" s="17"/>
      <c r="O109" s="17">
        <f t="shared" ca="1" si="12"/>
        <v>144761.32282397067</v>
      </c>
      <c r="P109" s="17">
        <f t="shared" ca="1" si="13"/>
        <v>0</v>
      </c>
      <c r="Q109" s="17"/>
      <c r="R109" s="17"/>
      <c r="S109" s="17"/>
      <c r="T109" s="17"/>
      <c r="U109" s="17">
        <f t="shared" ca="1" si="14"/>
        <v>13009682.500484342</v>
      </c>
    </row>
    <row r="110" spans="1:21" x14ac:dyDescent="0.2">
      <c r="A110" s="28">
        <f>'Monthly Data'!A110</f>
        <v>44927</v>
      </c>
      <c r="B110">
        <f>'Monthly Data'!C110</f>
        <v>1</v>
      </c>
      <c r="C110">
        <f>'Monthly Data'!B110</f>
        <v>2023</v>
      </c>
      <c r="D110" s="18">
        <f>'Monthly Data'!J110</f>
        <v>13563555.004914708</v>
      </c>
      <c r="E110" s="10">
        <f t="shared" ca="1" si="15"/>
        <v>666.68367523535153</v>
      </c>
      <c r="F110" s="10">
        <f t="shared" ca="1" si="15"/>
        <v>0</v>
      </c>
      <c r="G110" s="98">
        <f>'Monthly Data'!AI110</f>
        <v>552.82150117675701</v>
      </c>
      <c r="H110" s="98">
        <f>'Monthly Data'!AB110</f>
        <v>0</v>
      </c>
      <c r="I110">
        <f>'Monthly Data'!BO110</f>
        <v>31</v>
      </c>
      <c r="J110">
        <f>'Monthly Data'!BR110</f>
        <v>0</v>
      </c>
      <c r="K110" s="17">
        <f>'Monthly Data'!AO110</f>
        <v>7776.6</v>
      </c>
      <c r="L110">
        <f>'Monthly Data'!BM110</f>
        <v>0</v>
      </c>
      <c r="N110" s="17"/>
      <c r="O110" s="17">
        <f t="shared" ca="1" si="12"/>
        <v>586428.13866683864</v>
      </c>
      <c r="P110" s="17">
        <f t="shared" ca="1" si="13"/>
        <v>0</v>
      </c>
      <c r="Q110" s="17"/>
      <c r="R110" s="17"/>
      <c r="S110" s="17"/>
      <c r="T110" s="17"/>
      <c r="U110" s="17">
        <f t="shared" ca="1" si="14"/>
        <v>14149983.143581547</v>
      </c>
    </row>
    <row r="111" spans="1:21" x14ac:dyDescent="0.2">
      <c r="A111" s="28">
        <f>'Monthly Data'!A111</f>
        <v>44958</v>
      </c>
      <c r="B111">
        <f>'Monthly Data'!C111</f>
        <v>2</v>
      </c>
      <c r="C111">
        <f>'Monthly Data'!B111</f>
        <v>2023</v>
      </c>
      <c r="D111" s="18">
        <f>'Monthly Data'!J111</f>
        <v>12492374.263997788</v>
      </c>
      <c r="E111" s="10">
        <f t="shared" ref="E111:F126" ca="1" si="16">E99</f>
        <v>599.3508333333333</v>
      </c>
      <c r="F111" s="10">
        <f t="shared" ca="1" si="16"/>
        <v>0</v>
      </c>
      <c r="G111" s="98">
        <f>'Monthly Data'!AI111</f>
        <v>531.82499999999993</v>
      </c>
      <c r="H111" s="98">
        <f>'Monthly Data'!AB111</f>
        <v>0</v>
      </c>
      <c r="I111">
        <f>'Monthly Data'!BO111</f>
        <v>28</v>
      </c>
      <c r="J111">
        <f>'Monthly Data'!BR111</f>
        <v>0</v>
      </c>
      <c r="K111" s="17">
        <f>'Monthly Data'!AO111</f>
        <v>7780.5</v>
      </c>
      <c r="L111">
        <f>'Monthly Data'!BM111</f>
        <v>0</v>
      </c>
      <c r="N111" s="17"/>
      <c r="O111" s="17">
        <f t="shared" ca="1" si="12"/>
        <v>347780.54328398668</v>
      </c>
      <c r="P111" s="17">
        <f t="shared" ca="1" si="13"/>
        <v>0</v>
      </c>
      <c r="Q111" s="17"/>
      <c r="R111" s="17"/>
      <c r="S111" s="17"/>
      <c r="T111" s="17"/>
      <c r="U111" s="17">
        <f t="shared" ca="1" si="14"/>
        <v>12840154.807281774</v>
      </c>
    </row>
    <row r="112" spans="1:21" x14ac:dyDescent="0.2">
      <c r="A112" s="28">
        <f>'Monthly Data'!A112</f>
        <v>44986</v>
      </c>
      <c r="B112">
        <f>'Monthly Data'!C112</f>
        <v>3</v>
      </c>
      <c r="C112">
        <f>'Monthly Data'!B112</f>
        <v>2023</v>
      </c>
      <c r="D112" s="18">
        <f>'Monthly Data'!J112</f>
        <v>12918705.583080864</v>
      </c>
      <c r="E112" s="10">
        <f t="shared" ca="1" si="16"/>
        <v>469.11853767651354</v>
      </c>
      <c r="F112" s="10">
        <f t="shared" ca="1" si="16"/>
        <v>0</v>
      </c>
      <c r="G112" s="98">
        <f>'Monthly Data'!AI112</f>
        <v>447.93333333333351</v>
      </c>
      <c r="H112" s="98">
        <f>'Monthly Data'!AB112</f>
        <v>0</v>
      </c>
      <c r="I112">
        <f>'Monthly Data'!BO112</f>
        <v>31</v>
      </c>
      <c r="J112">
        <f>'Monthly Data'!BR112</f>
        <v>0</v>
      </c>
      <c r="K112" s="17">
        <f>'Monthly Data'!AO112</f>
        <v>7781.3</v>
      </c>
      <c r="L112">
        <f>'Monthly Data'!BM112</f>
        <v>0</v>
      </c>
      <c r="N112" s="17"/>
      <c r="O112" s="17">
        <f t="shared" ca="1" si="12"/>
        <v>109110.86190796248</v>
      </c>
      <c r="P112" s="17">
        <f t="shared" ca="1" si="13"/>
        <v>0</v>
      </c>
      <c r="Q112" s="17"/>
      <c r="R112" s="17"/>
      <c r="S112" s="17"/>
      <c r="T112" s="17"/>
      <c r="U112" s="17">
        <f t="shared" ca="1" si="14"/>
        <v>13027816.444988826</v>
      </c>
    </row>
    <row r="113" spans="1:24" x14ac:dyDescent="0.2">
      <c r="A113" s="28">
        <f>'Monthly Data'!A113</f>
        <v>45017</v>
      </c>
      <c r="B113">
        <f>'Monthly Data'!C113</f>
        <v>4</v>
      </c>
      <c r="C113">
        <f>'Monthly Data'!B113</f>
        <v>2023</v>
      </c>
      <c r="D113" s="18">
        <f>'Monthly Data'!J113</f>
        <v>11912469.672163939</v>
      </c>
      <c r="E113" s="10">
        <f t="shared" ca="1" si="16"/>
        <v>233.92395833333336</v>
      </c>
      <c r="F113" s="10">
        <f t="shared" ca="1" si="16"/>
        <v>0</v>
      </c>
      <c r="G113" s="98">
        <f>'Monthly Data'!AI113</f>
        <v>205.87291666666664</v>
      </c>
      <c r="H113" s="98">
        <f>'Monthly Data'!AB113</f>
        <v>0</v>
      </c>
      <c r="I113">
        <f>'Monthly Data'!BO113</f>
        <v>30</v>
      </c>
      <c r="J113">
        <f>'Monthly Data'!BR113</f>
        <v>0</v>
      </c>
      <c r="K113" s="17">
        <f>'Monthly Data'!AO113</f>
        <v>7819.6</v>
      </c>
      <c r="L113">
        <f>'Monthly Data'!BM113</f>
        <v>0</v>
      </c>
      <c r="N113" s="17"/>
      <c r="O113" s="17">
        <f t="shared" ca="1" si="12"/>
        <v>144472.21202525101</v>
      </c>
      <c r="P113" s="17">
        <f t="shared" ca="1" si="13"/>
        <v>0</v>
      </c>
      <c r="Q113" s="17"/>
      <c r="R113" s="17"/>
      <c r="S113" s="17"/>
      <c r="T113" s="17"/>
      <c r="U113" s="17">
        <f t="shared" ca="1" si="14"/>
        <v>12056941.88418919</v>
      </c>
    </row>
    <row r="114" spans="1:24" x14ac:dyDescent="0.2">
      <c r="A114" s="28">
        <f>'Monthly Data'!A114</f>
        <v>45047</v>
      </c>
      <c r="B114">
        <f>'Monthly Data'!C114</f>
        <v>5</v>
      </c>
      <c r="C114">
        <f>'Monthly Data'!B114</f>
        <v>2023</v>
      </c>
      <c r="D114" s="18">
        <f>'Monthly Data'!J114</f>
        <v>11505991.091247017</v>
      </c>
      <c r="E114" s="10">
        <f t="shared" ca="1" si="16"/>
        <v>46.324929225504526</v>
      </c>
      <c r="F114" s="10">
        <f t="shared" ca="1" si="16"/>
        <v>9.6293749999999996</v>
      </c>
      <c r="G114" s="98">
        <f>'Monthly Data'!AI114</f>
        <v>37.537500000000009</v>
      </c>
      <c r="H114" s="98">
        <f>'Monthly Data'!AB114</f>
        <v>13.347916666666674</v>
      </c>
      <c r="I114">
        <f>'Monthly Data'!BO114</f>
        <v>31</v>
      </c>
      <c r="J114">
        <f>'Monthly Data'!BR114</f>
        <v>0</v>
      </c>
      <c r="K114" s="17">
        <f>'Monthly Data'!AO114</f>
        <v>7882.6</v>
      </c>
      <c r="L114">
        <f>'Monthly Data'!BM114</f>
        <v>0</v>
      </c>
      <c r="N114" s="17"/>
      <c r="O114" s="17">
        <f t="shared" ca="1" si="12"/>
        <v>45258.188744291081</v>
      </c>
      <c r="P114" s="17">
        <f t="shared" ca="1" si="13"/>
        <v>-46253.095014216597</v>
      </c>
      <c r="Q114" s="17"/>
      <c r="R114" s="17"/>
      <c r="S114" s="17"/>
      <c r="T114" s="17"/>
      <c r="U114" s="17">
        <f t="shared" ca="1" si="14"/>
        <v>11504996.184977092</v>
      </c>
    </row>
    <row r="115" spans="1:24" x14ac:dyDescent="0.2">
      <c r="A115" s="28">
        <f>'Monthly Data'!A115</f>
        <v>45078</v>
      </c>
      <c r="B115">
        <f>'Monthly Data'!C115</f>
        <v>6</v>
      </c>
      <c r="C115">
        <f>'Monthly Data'!B115</f>
        <v>2023</v>
      </c>
      <c r="D115" s="18">
        <f>'Monthly Data'!J115</f>
        <v>11524708.840330094</v>
      </c>
      <c r="E115" s="10">
        <f t="shared" ca="1" si="16"/>
        <v>1.25875</v>
      </c>
      <c r="F115" s="10">
        <f t="shared" ca="1" si="16"/>
        <v>25.077154107828811</v>
      </c>
      <c r="G115" s="98">
        <f>'Monthly Data'!AI115</f>
        <v>1.9875000000000025</v>
      </c>
      <c r="H115" s="98">
        <f>'Monthly Data'!AB115</f>
        <v>45.019457744954835</v>
      </c>
      <c r="I115">
        <f>'Monthly Data'!BO115</f>
        <v>30</v>
      </c>
      <c r="J115">
        <f>'Monthly Data'!BR115</f>
        <v>0</v>
      </c>
      <c r="K115" s="17">
        <f>'Monthly Data'!AO115</f>
        <v>7971.2</v>
      </c>
      <c r="L115">
        <f>'Monthly Data'!BM115</f>
        <v>0</v>
      </c>
      <c r="N115" s="17"/>
      <c r="O115" s="17">
        <f t="shared" ca="1" si="12"/>
        <v>-3753.3053411885235</v>
      </c>
      <c r="P115" s="17">
        <f t="shared" ca="1" si="13"/>
        <v>-248052.42151748881</v>
      </c>
      <c r="Q115" s="17"/>
      <c r="R115" s="17"/>
      <c r="S115" s="17"/>
      <c r="T115" s="17"/>
      <c r="U115" s="17">
        <f t="shared" ca="1" si="14"/>
        <v>11272903.113471417</v>
      </c>
    </row>
    <row r="116" spans="1:24" x14ac:dyDescent="0.2">
      <c r="A116" s="28">
        <f>'Monthly Data'!A116</f>
        <v>45108</v>
      </c>
      <c r="B116">
        <f>'Monthly Data'!C116</f>
        <v>7</v>
      </c>
      <c r="C116">
        <f>'Monthly Data'!B116</f>
        <v>2023</v>
      </c>
      <c r="D116" s="18">
        <f>'Monthly Data'!J116</f>
        <v>12011604.23941317</v>
      </c>
      <c r="E116" s="10">
        <f t="shared" ca="1" si="16"/>
        <v>0</v>
      </c>
      <c r="F116" s="10">
        <f t="shared" ca="1" si="16"/>
        <v>56.475141548990976</v>
      </c>
      <c r="G116" s="98">
        <f>'Monthly Data'!AI116</f>
        <v>0</v>
      </c>
      <c r="H116" s="98">
        <f>'Monthly Data'!AB116</f>
        <v>50.0625</v>
      </c>
      <c r="I116">
        <f>'Monthly Data'!BO116</f>
        <v>31</v>
      </c>
      <c r="J116">
        <f>'Monthly Data'!BR116</f>
        <v>0</v>
      </c>
      <c r="K116" s="17">
        <f>'Monthly Data'!AO116</f>
        <v>8016.9</v>
      </c>
      <c r="L116">
        <f>'Monthly Data'!BM116</f>
        <v>0</v>
      </c>
      <c r="N116" s="17"/>
      <c r="O116" s="17">
        <f t="shared" ca="1" si="12"/>
        <v>0</v>
      </c>
      <c r="P116" s="17">
        <f t="shared" ca="1" si="13"/>
        <v>79763.666901027624</v>
      </c>
      <c r="Q116" s="17"/>
      <c r="R116" s="17"/>
      <c r="S116" s="17"/>
      <c r="T116" s="17"/>
      <c r="U116" s="17">
        <f t="shared" ca="1" si="14"/>
        <v>12091367.906314198</v>
      </c>
    </row>
    <row r="117" spans="1:24" x14ac:dyDescent="0.2">
      <c r="A117" s="28">
        <f>'Monthly Data'!A117</f>
        <v>45139</v>
      </c>
      <c r="B117">
        <f>'Monthly Data'!C117</f>
        <v>8</v>
      </c>
      <c r="C117">
        <f>'Monthly Data'!B117</f>
        <v>2023</v>
      </c>
      <c r="D117" s="18">
        <f>'Monthly Data'!J117</f>
        <v>11359569.388496248</v>
      </c>
      <c r="E117" s="10">
        <f t="shared" ca="1" si="16"/>
        <v>0.1158333333333335</v>
      </c>
      <c r="F117" s="10">
        <f t="shared" ca="1" si="16"/>
        <v>35.296250000000008</v>
      </c>
      <c r="G117" s="98">
        <f>'Monthly Data'!AI117</f>
        <v>0</v>
      </c>
      <c r="H117" s="98">
        <f>'Monthly Data'!AB117</f>
        <v>6.2541666666666629</v>
      </c>
      <c r="I117">
        <f>'Monthly Data'!BO117</f>
        <v>31</v>
      </c>
      <c r="J117">
        <f>'Monthly Data'!BR117</f>
        <v>0</v>
      </c>
      <c r="K117" s="17">
        <f>'Monthly Data'!AO117</f>
        <v>8020.3</v>
      </c>
      <c r="L117">
        <f>'Monthly Data'!BM117</f>
        <v>0</v>
      </c>
      <c r="N117" s="17"/>
      <c r="O117" s="17">
        <f t="shared" ca="1" si="12"/>
        <v>596.58026578067893</v>
      </c>
      <c r="P117" s="17">
        <f t="shared" ca="1" si="13"/>
        <v>361240.06673605309</v>
      </c>
      <c r="Q117" s="17"/>
      <c r="R117" s="17"/>
      <c r="S117" s="17"/>
      <c r="T117" s="17"/>
      <c r="U117" s="17">
        <f t="shared" ca="1" si="14"/>
        <v>11721406.035498083</v>
      </c>
    </row>
    <row r="118" spans="1:24" x14ac:dyDescent="0.2">
      <c r="A118" s="28">
        <f>'Monthly Data'!A118</f>
        <v>45170</v>
      </c>
      <c r="B118">
        <f>'Monthly Data'!C118</f>
        <v>9</v>
      </c>
      <c r="C118">
        <f>'Monthly Data'!B118</f>
        <v>2023</v>
      </c>
      <c r="D118" s="18">
        <f>'Monthly Data'!J118</f>
        <v>10706905.087579323</v>
      </c>
      <c r="E118" s="10">
        <f t="shared" ca="1" si="16"/>
        <v>11.597845892171184</v>
      </c>
      <c r="F118" s="10">
        <f t="shared" ca="1" si="16"/>
        <v>11.128958333333333</v>
      </c>
      <c r="G118" s="98">
        <f>'Monthly Data'!AI118</f>
        <v>2.1166666666666671</v>
      </c>
      <c r="H118" s="98">
        <f>'Monthly Data'!AB118</f>
        <v>17.991666666666671</v>
      </c>
      <c r="I118">
        <f>'Monthly Data'!BO118</f>
        <v>30</v>
      </c>
      <c r="J118">
        <f>'Monthly Data'!BR118</f>
        <v>0</v>
      </c>
      <c r="K118" s="17">
        <f>'Monthly Data'!AO118</f>
        <v>7968.4</v>
      </c>
      <c r="L118">
        <f>'Monthly Data'!BM118</f>
        <v>1</v>
      </c>
      <c r="N118" s="17"/>
      <c r="O118" s="17">
        <f t="shared" ca="1" si="12"/>
        <v>48831.232422437941</v>
      </c>
      <c r="P118" s="17">
        <f t="shared" ca="1" si="13"/>
        <v>-85361.824352249809</v>
      </c>
      <c r="Q118" s="17"/>
      <c r="R118" s="17"/>
      <c r="S118" s="17"/>
      <c r="T118" s="17"/>
      <c r="U118" s="17">
        <f t="shared" ca="1" si="14"/>
        <v>10670374.495649511</v>
      </c>
    </row>
    <row r="119" spans="1:24" x14ac:dyDescent="0.2">
      <c r="A119" s="28">
        <f>'Monthly Data'!A119</f>
        <v>45200</v>
      </c>
      <c r="B119">
        <f>'Monthly Data'!C119</f>
        <v>10</v>
      </c>
      <c r="C119">
        <f>'Monthly Data'!B119</f>
        <v>2023</v>
      </c>
      <c r="D119" s="18">
        <f>'Monthly Data'!J119</f>
        <v>11160124.0266624</v>
      </c>
      <c r="E119" s="10">
        <f t="shared" ca="1" si="16"/>
        <v>128.51888157360821</v>
      </c>
      <c r="F119" s="10">
        <f t="shared" ca="1" si="16"/>
        <v>0.44687499999999963</v>
      </c>
      <c r="G119" s="98">
        <f>'Monthly Data'!AI119</f>
        <v>115.11179225504519</v>
      </c>
      <c r="H119" s="98">
        <f>'Monthly Data'!AB119</f>
        <v>4.4687499999999964</v>
      </c>
      <c r="I119">
        <f>'Monthly Data'!BO119</f>
        <v>31</v>
      </c>
      <c r="J119">
        <f>'Monthly Data'!BR119</f>
        <v>0</v>
      </c>
      <c r="K119" s="17">
        <f>'Monthly Data'!AO119</f>
        <v>7947.2</v>
      </c>
      <c r="L119">
        <f>'Monthly Data'!BM119</f>
        <v>1</v>
      </c>
      <c r="N119" s="17"/>
      <c r="O119" s="17">
        <f t="shared" ca="1" si="12"/>
        <v>69050.977631772257</v>
      </c>
      <c r="P119" s="17">
        <f t="shared" ca="1" si="13"/>
        <v>-50026.107863154735</v>
      </c>
      <c r="Q119" s="17"/>
      <c r="R119" s="17"/>
      <c r="S119" s="17"/>
      <c r="T119" s="17"/>
      <c r="U119" s="17">
        <f t="shared" ca="1" si="14"/>
        <v>11179148.896431018</v>
      </c>
    </row>
    <row r="120" spans="1:24" x14ac:dyDescent="0.2">
      <c r="A120" s="28">
        <f>'Monthly Data'!A120</f>
        <v>45231</v>
      </c>
      <c r="B120">
        <f>'Monthly Data'!C120</f>
        <v>11</v>
      </c>
      <c r="C120">
        <f>'Monthly Data'!B120</f>
        <v>2023</v>
      </c>
      <c r="D120" s="18">
        <f>'Monthly Data'!J120</f>
        <v>12633492.375745479</v>
      </c>
      <c r="E120" s="10">
        <f t="shared" ca="1" si="16"/>
        <v>332.1049960098469</v>
      </c>
      <c r="F120" s="10">
        <f t="shared" ca="1" si="16"/>
        <v>0</v>
      </c>
      <c r="G120" s="98">
        <f>'Monthly Data'!AI120</f>
        <v>339.48679225504515</v>
      </c>
      <c r="H120" s="98">
        <f>'Monthly Data'!AB120</f>
        <v>0</v>
      </c>
      <c r="I120">
        <f>'Monthly Data'!BO120</f>
        <v>30</v>
      </c>
      <c r="J120">
        <f>'Monthly Data'!BR120</f>
        <v>0</v>
      </c>
      <c r="K120" s="17">
        <f>'Monthly Data'!AO120</f>
        <v>7939.3</v>
      </c>
      <c r="L120">
        <f>'Monthly Data'!BM120</f>
        <v>0</v>
      </c>
      <c r="N120" s="17"/>
      <c r="O120" s="17">
        <f t="shared" ca="1" si="12"/>
        <v>-38018.710496971347</v>
      </c>
      <c r="P120" s="17">
        <f t="shared" ca="1" si="13"/>
        <v>0</v>
      </c>
      <c r="Q120" s="17"/>
      <c r="R120" s="17"/>
      <c r="S120" s="17"/>
      <c r="T120" s="17"/>
      <c r="U120" s="17">
        <f t="shared" ca="1" si="14"/>
        <v>12595473.665248508</v>
      </c>
    </row>
    <row r="121" spans="1:24" x14ac:dyDescent="0.2">
      <c r="A121" s="28">
        <f>'Monthly Data'!A121</f>
        <v>45261</v>
      </c>
      <c r="B121">
        <f>'Monthly Data'!C121</f>
        <v>12</v>
      </c>
      <c r="C121">
        <f>'Monthly Data'!B121</f>
        <v>2023</v>
      </c>
      <c r="D121" s="18">
        <f>'Monthly Data'!J121</f>
        <v>13324894.874828555</v>
      </c>
      <c r="E121" s="10">
        <f t="shared" ca="1" si="16"/>
        <v>508.62936502461724</v>
      </c>
      <c r="F121" s="10">
        <f t="shared" ca="1" si="16"/>
        <v>0</v>
      </c>
      <c r="G121" s="98">
        <f>'Monthly Data'!AI121</f>
        <v>401.47216902018062</v>
      </c>
      <c r="H121" s="98">
        <f>'Monthly Data'!AB121</f>
        <v>0</v>
      </c>
      <c r="I121">
        <f>'Monthly Data'!BO121</f>
        <v>31</v>
      </c>
      <c r="J121">
        <f>'Monthly Data'!BR121</f>
        <v>0</v>
      </c>
      <c r="K121" s="17">
        <f>'Monthly Data'!AO121</f>
        <v>7938.2</v>
      </c>
      <c r="L121">
        <f>'Monthly Data'!BM121</f>
        <v>0</v>
      </c>
      <c r="N121" s="17"/>
      <c r="O121" s="17">
        <f t="shared" ca="1" si="12"/>
        <v>551895.26738968934</v>
      </c>
      <c r="P121" s="17">
        <f t="shared" ca="1" si="13"/>
        <v>0</v>
      </c>
      <c r="Q121" s="17"/>
      <c r="R121" s="17"/>
      <c r="S121" s="17"/>
      <c r="T121" s="17"/>
      <c r="U121" s="17">
        <f t="shared" ca="1" si="14"/>
        <v>13876790.142218243</v>
      </c>
    </row>
    <row r="122" spans="1:24" x14ac:dyDescent="0.2">
      <c r="A122" s="28">
        <f>EOMONTH(A121,0)+1</f>
        <v>45292</v>
      </c>
      <c r="B122">
        <f>MONTH(A122)</f>
        <v>1</v>
      </c>
      <c r="C122">
        <f>YEAR(A122)</f>
        <v>2024</v>
      </c>
      <c r="E122" s="10">
        <f t="shared" ca="1" si="16"/>
        <v>666.68367523535153</v>
      </c>
      <c r="F122" s="10">
        <f t="shared" ca="1" si="16"/>
        <v>0</v>
      </c>
      <c r="G122" s="98">
        <f>'Monthly Data'!AI122</f>
        <v>563.51250000000005</v>
      </c>
      <c r="H122" s="98">
        <f>'Monthly Data'!AB122</f>
        <v>0</v>
      </c>
      <c r="I122">
        <f>I74</f>
        <v>31</v>
      </c>
      <c r="J122">
        <f>'Monthly Data'!BR122</f>
        <v>0</v>
      </c>
      <c r="K122" s="17">
        <f>Economic!D122</f>
        <v>7904.9</v>
      </c>
      <c r="L122">
        <f>L110</f>
        <v>0</v>
      </c>
      <c r="N122" s="17">
        <f t="shared" ref="N122:N145" si="17">$X$7</f>
        <v>-2608738.8393219002</v>
      </c>
      <c r="O122" s="17">
        <f t="shared" ref="O122:O130" ca="1" si="18">E122*$X$8</f>
        <v>3433643.086303988</v>
      </c>
      <c r="P122" s="17">
        <f t="shared" ref="P122:P130" ca="1" si="19">F122*$X$9</f>
        <v>0</v>
      </c>
      <c r="Q122" s="17">
        <f t="shared" ref="Q122:Q130" si="20">I122*$X$10</f>
        <v>9267266.0882465839</v>
      </c>
      <c r="R122" s="17">
        <f t="shared" ref="R122:R130" si="21">J122*$X$11</f>
        <v>0</v>
      </c>
      <c r="S122" s="17">
        <f t="shared" ref="S122:S130" si="22">K122*$X$12</f>
        <v>4347682.861527496</v>
      </c>
      <c r="T122" s="17">
        <f t="shared" ref="T122:T130" si="23">L122*$X$13</f>
        <v>0</v>
      </c>
      <c r="U122" s="17">
        <f t="shared" ref="U122:U130" ca="1" si="24">SUM(N122:T122)</f>
        <v>14439853.196756169</v>
      </c>
    </row>
    <row r="123" spans="1:24" x14ac:dyDescent="0.2">
      <c r="A123" s="28">
        <f t="shared" ref="A123:A145" si="25">EOMONTH(A122,0)+1</f>
        <v>45323</v>
      </c>
      <c r="B123">
        <f t="shared" ref="B123:B145" si="26">MONTH(A123)</f>
        <v>2</v>
      </c>
      <c r="C123">
        <f t="shared" ref="C123:C145" si="27">YEAR(A123)</f>
        <v>2024</v>
      </c>
      <c r="E123" s="10">
        <f t="shared" ca="1" si="16"/>
        <v>599.3508333333333</v>
      </c>
      <c r="F123" s="10">
        <f t="shared" ca="1" si="16"/>
        <v>0</v>
      </c>
      <c r="G123" s="98">
        <f>'Monthly Data'!AI123</f>
        <v>457.39166666666665</v>
      </c>
      <c r="H123" s="98">
        <f>'Monthly Data'!AB123</f>
        <v>0</v>
      </c>
      <c r="I123">
        <f t="shared" ref="I123:I145" si="28">I75</f>
        <v>29</v>
      </c>
      <c r="J123">
        <f>'Monthly Data'!BR123</f>
        <v>0</v>
      </c>
      <c r="K123" s="17">
        <f>Economic!D123</f>
        <v>7874.1</v>
      </c>
      <c r="L123">
        <f t="shared" ref="L123:L145" si="29">L111</f>
        <v>0</v>
      </c>
      <c r="N123" s="17">
        <f t="shared" si="17"/>
        <v>-2608738.8393219002</v>
      </c>
      <c r="O123" s="17">
        <f t="shared" ca="1" si="18"/>
        <v>3086856.5132017629</v>
      </c>
      <c r="P123" s="17">
        <f t="shared" ca="1" si="19"/>
        <v>0</v>
      </c>
      <c r="Q123" s="17">
        <f t="shared" si="20"/>
        <v>8669377.9535209984</v>
      </c>
      <c r="R123" s="17">
        <f t="shared" si="21"/>
        <v>0</v>
      </c>
      <c r="S123" s="17">
        <f t="shared" si="22"/>
        <v>4330742.9088228391</v>
      </c>
      <c r="T123" s="17">
        <f t="shared" si="23"/>
        <v>0</v>
      </c>
      <c r="U123" s="17">
        <f t="shared" ca="1" si="24"/>
        <v>13478238.536223698</v>
      </c>
    </row>
    <row r="124" spans="1:24" x14ac:dyDescent="0.2">
      <c r="A124" s="28">
        <f t="shared" si="25"/>
        <v>45352</v>
      </c>
      <c r="B124">
        <f t="shared" si="26"/>
        <v>3</v>
      </c>
      <c r="C124">
        <f t="shared" si="27"/>
        <v>2024</v>
      </c>
      <c r="E124" s="10">
        <f t="shared" ca="1" si="16"/>
        <v>469.11853767651354</v>
      </c>
      <c r="F124" s="10">
        <f t="shared" ca="1" si="16"/>
        <v>0</v>
      </c>
      <c r="G124" s="98">
        <f>'Monthly Data'!AI124</f>
        <v>341.45416666666671</v>
      </c>
      <c r="H124" s="98">
        <f>'Monthly Data'!AB124</f>
        <v>0</v>
      </c>
      <c r="I124">
        <f t="shared" si="28"/>
        <v>31</v>
      </c>
      <c r="J124">
        <f>'Monthly Data'!BR124</f>
        <v>0</v>
      </c>
      <c r="K124" s="17">
        <f>Economic!D124</f>
        <v>7870.9</v>
      </c>
      <c r="L124">
        <f t="shared" si="29"/>
        <v>0</v>
      </c>
      <c r="N124" s="17">
        <f t="shared" si="17"/>
        <v>-2608738.8393219002</v>
      </c>
      <c r="O124" s="17">
        <f t="shared" ca="1" si="18"/>
        <v>2416116.7932923525</v>
      </c>
      <c r="P124" s="17">
        <f t="shared" ca="1" si="19"/>
        <v>0</v>
      </c>
      <c r="Q124" s="17">
        <f t="shared" si="20"/>
        <v>9267266.0882465839</v>
      </c>
      <c r="R124" s="17">
        <f t="shared" si="21"/>
        <v>0</v>
      </c>
      <c r="S124" s="17">
        <f t="shared" si="22"/>
        <v>4328982.9137366405</v>
      </c>
      <c r="T124" s="17">
        <f t="shared" si="23"/>
        <v>0</v>
      </c>
      <c r="U124" s="17">
        <f t="shared" ca="1" si="24"/>
        <v>13403626.955953676</v>
      </c>
      <c r="W124" s="17"/>
      <c r="X124" s="30"/>
    </row>
    <row r="125" spans="1:24" x14ac:dyDescent="0.2">
      <c r="A125" s="28">
        <f t="shared" si="25"/>
        <v>45383</v>
      </c>
      <c r="B125">
        <f t="shared" si="26"/>
        <v>4</v>
      </c>
      <c r="C125">
        <f t="shared" si="27"/>
        <v>2024</v>
      </c>
      <c r="E125" s="10">
        <f t="shared" ca="1" si="16"/>
        <v>233.92395833333336</v>
      </c>
      <c r="F125" s="10">
        <f t="shared" ca="1" si="16"/>
        <v>0</v>
      </c>
      <c r="G125" s="98">
        <f>'Monthly Data'!AI125</f>
        <v>165.02083333333334</v>
      </c>
      <c r="H125" s="98">
        <f>'Monthly Data'!AB125</f>
        <v>0</v>
      </c>
      <c r="I125">
        <f t="shared" si="28"/>
        <v>30</v>
      </c>
      <c r="J125">
        <f>'Monthly Data'!BR125</f>
        <v>0</v>
      </c>
      <c r="K125" s="17">
        <f>Economic!D125</f>
        <v>7915</v>
      </c>
      <c r="L125">
        <f t="shared" si="29"/>
        <v>0</v>
      </c>
      <c r="N125" s="17">
        <f t="shared" si="17"/>
        <v>-2608738.8393219002</v>
      </c>
      <c r="O125" s="17">
        <f t="shared" ca="1" si="18"/>
        <v>1204786.3358414527</v>
      </c>
      <c r="P125" s="17">
        <f t="shared" ca="1" si="19"/>
        <v>0</v>
      </c>
      <c r="Q125" s="17">
        <f t="shared" si="20"/>
        <v>8968322.0208837911</v>
      </c>
      <c r="R125" s="17">
        <f t="shared" si="21"/>
        <v>0</v>
      </c>
      <c r="S125" s="17">
        <f t="shared" si="22"/>
        <v>4353237.8460183088</v>
      </c>
      <c r="T125" s="17">
        <f t="shared" si="23"/>
        <v>0</v>
      </c>
      <c r="U125" s="17">
        <f t="shared" ca="1" si="24"/>
        <v>11917607.363421652</v>
      </c>
      <c r="W125" s="17"/>
      <c r="X125" s="30"/>
    </row>
    <row r="126" spans="1:24" x14ac:dyDescent="0.2">
      <c r="A126" s="28">
        <f t="shared" si="25"/>
        <v>45413</v>
      </c>
      <c r="B126">
        <f t="shared" si="26"/>
        <v>5</v>
      </c>
      <c r="C126">
        <f t="shared" si="27"/>
        <v>2024</v>
      </c>
      <c r="E126" s="10">
        <f t="shared" ca="1" si="16"/>
        <v>46.324929225504526</v>
      </c>
      <c r="F126" s="10">
        <f t="shared" ca="1" si="16"/>
        <v>9.6293749999999996</v>
      </c>
      <c r="G126" s="98">
        <f>'Monthly Data'!AI126</f>
        <v>2.6791666666666654</v>
      </c>
      <c r="H126" s="98">
        <f>'Monthly Data'!AB126</f>
        <v>4.3416666666666721</v>
      </c>
      <c r="I126">
        <f t="shared" si="28"/>
        <v>31</v>
      </c>
      <c r="J126">
        <f>'Monthly Data'!BR126</f>
        <v>0</v>
      </c>
      <c r="K126" s="17">
        <f>Economic!D126</f>
        <v>7999.8</v>
      </c>
      <c r="L126">
        <f t="shared" si="29"/>
        <v>0</v>
      </c>
      <c r="N126" s="17">
        <f t="shared" si="17"/>
        <v>-2608738.8393219002</v>
      </c>
      <c r="O126" s="17">
        <f t="shared" ca="1" si="18"/>
        <v>238588.82235645404</v>
      </c>
      <c r="P126" s="17">
        <f t="shared" ca="1" si="19"/>
        <v>119775.01846893948</v>
      </c>
      <c r="Q126" s="17">
        <f t="shared" si="20"/>
        <v>9267266.0882465839</v>
      </c>
      <c r="R126" s="17">
        <f t="shared" si="21"/>
        <v>0</v>
      </c>
      <c r="S126" s="17">
        <f t="shared" si="22"/>
        <v>4399877.7158025615</v>
      </c>
      <c r="T126" s="17">
        <f t="shared" si="23"/>
        <v>0</v>
      </c>
      <c r="U126" s="17">
        <f t="shared" ca="1" si="24"/>
        <v>11416768.805552639</v>
      </c>
      <c r="W126" s="17"/>
      <c r="X126" s="30"/>
    </row>
    <row r="127" spans="1:24" x14ac:dyDescent="0.2">
      <c r="A127" s="28">
        <f t="shared" si="25"/>
        <v>45444</v>
      </c>
      <c r="B127">
        <f t="shared" si="26"/>
        <v>6</v>
      </c>
      <c r="C127">
        <f t="shared" si="27"/>
        <v>2024</v>
      </c>
      <c r="E127" s="10">
        <f t="shared" ref="E127:F142" ca="1" si="30">E115</f>
        <v>1.25875</v>
      </c>
      <c r="F127" s="10">
        <f t="shared" ca="1" si="30"/>
        <v>25.077154107828811</v>
      </c>
      <c r="G127" s="98">
        <f>'Monthly Data'!AI127</f>
        <v>0</v>
      </c>
      <c r="H127" s="98">
        <f>'Monthly Data'!AB127</f>
        <v>33.293750000000003</v>
      </c>
      <c r="I127">
        <f t="shared" si="28"/>
        <v>30</v>
      </c>
      <c r="J127">
        <f>'Monthly Data'!BR127</f>
        <v>0</v>
      </c>
      <c r="K127" s="17">
        <f>Economic!D127</f>
        <v>8092.5</v>
      </c>
      <c r="L127">
        <f t="shared" si="29"/>
        <v>0</v>
      </c>
      <c r="N127" s="17">
        <f t="shared" si="17"/>
        <v>-2608738.8393219002</v>
      </c>
      <c r="O127" s="17">
        <f t="shared" ca="1" si="18"/>
        <v>6482.9819529619735</v>
      </c>
      <c r="P127" s="17">
        <f t="shared" ca="1" si="19"/>
        <v>311922.27911091194</v>
      </c>
      <c r="Q127" s="17">
        <f t="shared" si="20"/>
        <v>8968322.0208837911</v>
      </c>
      <c r="R127" s="17">
        <f t="shared" si="21"/>
        <v>0</v>
      </c>
      <c r="S127" s="17">
        <f t="shared" si="22"/>
        <v>4450862.5734558646</v>
      </c>
      <c r="T127" s="17">
        <f t="shared" si="23"/>
        <v>0</v>
      </c>
      <c r="U127" s="17">
        <f t="shared" ca="1" si="24"/>
        <v>11128851.016081629</v>
      </c>
      <c r="W127" s="17"/>
      <c r="X127" s="30"/>
    </row>
    <row r="128" spans="1:24" x14ac:dyDescent="0.2">
      <c r="A128" s="28">
        <f t="shared" si="25"/>
        <v>45474</v>
      </c>
      <c r="B128">
        <f t="shared" si="26"/>
        <v>7</v>
      </c>
      <c r="C128">
        <f t="shared" si="27"/>
        <v>2024</v>
      </c>
      <c r="E128" s="10">
        <f t="shared" ca="1" si="30"/>
        <v>0</v>
      </c>
      <c r="F128" s="10">
        <f t="shared" ca="1" si="30"/>
        <v>56.475141548990976</v>
      </c>
      <c r="G128" s="98">
        <f>'Monthly Data'!AI128</f>
        <v>0</v>
      </c>
      <c r="H128" s="98">
        <f>'Monthly Data'!AB128</f>
        <v>62.587499999999991</v>
      </c>
      <c r="I128">
        <f t="shared" si="28"/>
        <v>31</v>
      </c>
      <c r="J128">
        <f>'Monthly Data'!BR128</f>
        <v>0</v>
      </c>
      <c r="K128" s="17">
        <f>Economic!D128</f>
        <v>8149.4</v>
      </c>
      <c r="L128">
        <f t="shared" si="29"/>
        <v>0</v>
      </c>
      <c r="N128" s="17">
        <f t="shared" si="17"/>
        <v>-2608738.8393219002</v>
      </c>
      <c r="O128" s="17">
        <f t="shared" ca="1" si="18"/>
        <v>0</v>
      </c>
      <c r="P128" s="17">
        <f t="shared" ca="1" si="19"/>
        <v>702466.26827456255</v>
      </c>
      <c r="Q128" s="17">
        <f t="shared" si="20"/>
        <v>9267266.0882465839</v>
      </c>
      <c r="R128" s="17">
        <f t="shared" si="21"/>
        <v>0</v>
      </c>
      <c r="S128" s="17">
        <f t="shared" si="22"/>
        <v>4482157.4860823257</v>
      </c>
      <c r="T128" s="17">
        <f t="shared" si="23"/>
        <v>0</v>
      </c>
      <c r="U128" s="17">
        <f t="shared" ca="1" si="24"/>
        <v>11843151.003281571</v>
      </c>
      <c r="W128" s="17"/>
      <c r="X128" s="30"/>
    </row>
    <row r="129" spans="1:24" x14ac:dyDescent="0.2">
      <c r="A129" s="28">
        <f t="shared" si="25"/>
        <v>45505</v>
      </c>
      <c r="B129">
        <f t="shared" si="26"/>
        <v>8</v>
      </c>
      <c r="C129">
        <f t="shared" si="27"/>
        <v>2024</v>
      </c>
      <c r="E129" s="10">
        <f t="shared" ca="1" si="30"/>
        <v>0.1158333333333335</v>
      </c>
      <c r="F129" s="10">
        <f t="shared" ca="1" si="30"/>
        <v>35.296250000000008</v>
      </c>
      <c r="G129" s="98">
        <f>'Monthly Data'!AI129</f>
        <v>0</v>
      </c>
      <c r="H129" s="98">
        <f>'Monthly Data'!AB129</f>
        <v>53.500000000000007</v>
      </c>
      <c r="I129">
        <f t="shared" si="28"/>
        <v>31</v>
      </c>
      <c r="J129">
        <f>'Monthly Data'!BR129</f>
        <v>0</v>
      </c>
      <c r="K129" s="17">
        <f>Economic!D129</f>
        <v>8147.2</v>
      </c>
      <c r="L129">
        <f t="shared" si="29"/>
        <v>0</v>
      </c>
      <c r="N129" s="17">
        <f t="shared" si="17"/>
        <v>-2608738.8393219002</v>
      </c>
      <c r="O129" s="17">
        <f t="shared" ca="1" si="18"/>
        <v>596.58026578067893</v>
      </c>
      <c r="P129" s="17">
        <f t="shared" ca="1" si="19"/>
        <v>439032.54319561826</v>
      </c>
      <c r="Q129" s="17">
        <f t="shared" si="20"/>
        <v>9267266.0882465839</v>
      </c>
      <c r="R129" s="17">
        <f t="shared" si="21"/>
        <v>0</v>
      </c>
      <c r="S129" s="17">
        <f t="shared" si="22"/>
        <v>4480947.4894605642</v>
      </c>
      <c r="T129" s="17">
        <f t="shared" si="23"/>
        <v>0</v>
      </c>
      <c r="U129" s="17">
        <f t="shared" ca="1" si="24"/>
        <v>11579103.861846648</v>
      </c>
      <c r="W129" s="17"/>
      <c r="X129" s="30"/>
    </row>
    <row r="130" spans="1:24" x14ac:dyDescent="0.2">
      <c r="A130" s="28">
        <f t="shared" si="25"/>
        <v>45536</v>
      </c>
      <c r="B130">
        <f t="shared" si="26"/>
        <v>9</v>
      </c>
      <c r="C130">
        <f t="shared" si="27"/>
        <v>2024</v>
      </c>
      <c r="E130" s="10">
        <f t="shared" ca="1" si="30"/>
        <v>11.597845892171184</v>
      </c>
      <c r="F130" s="10">
        <f t="shared" ca="1" si="30"/>
        <v>11.128958333333333</v>
      </c>
      <c r="G130" s="98">
        <f>'Monthly Data'!AI130</f>
        <v>3.9000000000000004</v>
      </c>
      <c r="H130" s="98">
        <f>'Monthly Data'!AB130</f>
        <v>20.20000000000001</v>
      </c>
      <c r="I130">
        <f t="shared" si="28"/>
        <v>30</v>
      </c>
      <c r="J130">
        <f>'Monthly Data'!BR130</f>
        <v>0</v>
      </c>
      <c r="K130" s="17">
        <f>Economic!D130</f>
        <v>8123.6</v>
      </c>
      <c r="L130">
        <f t="shared" si="29"/>
        <v>1</v>
      </c>
      <c r="N130" s="17">
        <f t="shared" si="17"/>
        <v>-2608738.8393219002</v>
      </c>
      <c r="O130" s="17">
        <f t="shared" ca="1" si="18"/>
        <v>59732.771092099261</v>
      </c>
      <c r="P130" s="17">
        <f t="shared" ca="1" si="19"/>
        <v>138427.59160538021</v>
      </c>
      <c r="Q130" s="17">
        <f t="shared" si="20"/>
        <v>8968322.0208837911</v>
      </c>
      <c r="R130" s="17">
        <f t="shared" si="21"/>
        <v>0</v>
      </c>
      <c r="S130" s="17">
        <f t="shared" si="22"/>
        <v>4467967.525699853</v>
      </c>
      <c r="T130" s="17">
        <f t="shared" si="23"/>
        <v>-307328.60270320397</v>
      </c>
      <c r="U130" s="17">
        <f t="shared" ca="1" si="24"/>
        <v>10718382.467256019</v>
      </c>
      <c r="W130" s="17"/>
      <c r="X130" s="30"/>
    </row>
    <row r="131" spans="1:24" x14ac:dyDescent="0.2">
      <c r="A131" s="28">
        <f t="shared" si="25"/>
        <v>45566</v>
      </c>
      <c r="B131">
        <f t="shared" si="26"/>
        <v>10</v>
      </c>
      <c r="C131">
        <f t="shared" si="27"/>
        <v>2024</v>
      </c>
      <c r="E131" s="10">
        <f t="shared" ca="1" si="30"/>
        <v>128.51888157360821</v>
      </c>
      <c r="F131" s="10">
        <f t="shared" ca="1" si="30"/>
        <v>0.44687499999999963</v>
      </c>
      <c r="G131" s="98">
        <f>'Monthly Data'!AI131</f>
        <v>95.160416666666663</v>
      </c>
      <c r="H131" s="98">
        <f>'Monthly Data'!AB131</f>
        <v>0</v>
      </c>
      <c r="I131">
        <f t="shared" si="28"/>
        <v>31</v>
      </c>
      <c r="J131">
        <f>'Monthly Data'!BR131</f>
        <v>0</v>
      </c>
      <c r="K131" s="17">
        <f>Economic!D131</f>
        <v>8109.5</v>
      </c>
      <c r="L131">
        <f t="shared" si="29"/>
        <v>1</v>
      </c>
      <c r="N131" s="17">
        <f t="shared" si="17"/>
        <v>-2608738.8393219002</v>
      </c>
      <c r="O131" s="17">
        <f t="shared" ref="O131:O145" ca="1" si="31">E131*$X$8</f>
        <v>661915.06642030517</v>
      </c>
      <c r="P131" s="17">
        <f t="shared" ref="P131:P145" ca="1" si="32">F131*$X$9</f>
        <v>5558.4564292394152</v>
      </c>
      <c r="Q131" s="17">
        <f t="shared" ref="Q131:Q145" si="33">I131*$X$10</f>
        <v>9267266.0882465839</v>
      </c>
      <c r="R131" s="17">
        <f t="shared" ref="R131:R145" si="34">J131*$X$11</f>
        <v>0</v>
      </c>
      <c r="S131" s="17">
        <f t="shared" ref="S131:S145" si="35">K131*$X$12</f>
        <v>4460212.5473512923</v>
      </c>
      <c r="T131" s="17">
        <f t="shared" ref="T131:T145" si="36">L131*$X$13</f>
        <v>-307328.60270320397</v>
      </c>
      <c r="U131" s="17">
        <f t="shared" ref="U131:U145" ca="1" si="37">SUM(N131:T131)</f>
        <v>11478884.716422318</v>
      </c>
      <c r="W131" s="17"/>
      <c r="X131" s="30"/>
    </row>
    <row r="132" spans="1:24" x14ac:dyDescent="0.2">
      <c r="A132" s="28">
        <f t="shared" si="25"/>
        <v>45597</v>
      </c>
      <c r="B132">
        <f t="shared" si="26"/>
        <v>11</v>
      </c>
      <c r="C132">
        <f t="shared" si="27"/>
        <v>2024</v>
      </c>
      <c r="E132" s="10">
        <f t="shared" ca="1" si="30"/>
        <v>332.1049960098469</v>
      </c>
      <c r="F132" s="10">
        <f t="shared" ca="1" si="30"/>
        <v>0</v>
      </c>
      <c r="G132" s="98">
        <f>'Monthly Data'!AI132</f>
        <v>263.02291666666667</v>
      </c>
      <c r="H132" s="98">
        <f>'Monthly Data'!AB132</f>
        <v>0</v>
      </c>
      <c r="I132">
        <f t="shared" si="28"/>
        <v>30</v>
      </c>
      <c r="J132">
        <f>'Monthly Data'!BR132</f>
        <v>0</v>
      </c>
      <c r="K132" s="17">
        <f>Economic!D132</f>
        <v>8101.2</v>
      </c>
      <c r="L132">
        <f t="shared" si="29"/>
        <v>0</v>
      </c>
      <c r="N132" s="17">
        <f t="shared" si="17"/>
        <v>-2608738.8393219002</v>
      </c>
      <c r="O132" s="17">
        <f t="shared" ca="1" si="31"/>
        <v>1710451.3967192417</v>
      </c>
      <c r="P132" s="17">
        <f t="shared" ca="1" si="32"/>
        <v>0</v>
      </c>
      <c r="Q132" s="17">
        <f t="shared" si="33"/>
        <v>8968322.0208837911</v>
      </c>
      <c r="R132" s="17">
        <f t="shared" si="34"/>
        <v>0</v>
      </c>
      <c r="S132" s="17">
        <f t="shared" si="35"/>
        <v>4455647.560096466</v>
      </c>
      <c r="T132" s="17">
        <f t="shared" si="36"/>
        <v>0</v>
      </c>
      <c r="U132" s="17">
        <f t="shared" ca="1" si="37"/>
        <v>12525682.138377599</v>
      </c>
      <c r="W132" s="17"/>
      <c r="X132" s="30"/>
    </row>
    <row r="133" spans="1:24" x14ac:dyDescent="0.2">
      <c r="A133" s="28">
        <f t="shared" si="25"/>
        <v>45627</v>
      </c>
      <c r="B133">
        <f t="shared" si="26"/>
        <v>12</v>
      </c>
      <c r="C133">
        <f t="shared" si="27"/>
        <v>2024</v>
      </c>
      <c r="E133" s="10">
        <f t="shared" ca="1" si="30"/>
        <v>508.62936502461724</v>
      </c>
      <c r="F133" s="10">
        <f t="shared" ca="1" si="30"/>
        <v>0</v>
      </c>
      <c r="G133" s="98">
        <f>'Monthly Data'!AI133</f>
        <v>533.35625000000005</v>
      </c>
      <c r="H133" s="98">
        <f>'Monthly Data'!AB133</f>
        <v>0</v>
      </c>
      <c r="I133">
        <f t="shared" si="28"/>
        <v>31</v>
      </c>
      <c r="J133">
        <f>'Monthly Data'!BR133</f>
        <v>0</v>
      </c>
      <c r="K133" s="17">
        <f>Economic!D133</f>
        <v>8097.3</v>
      </c>
      <c r="L133">
        <f t="shared" si="29"/>
        <v>0</v>
      </c>
      <c r="N133" s="17">
        <f t="shared" si="17"/>
        <v>-2608738.8393219002</v>
      </c>
      <c r="O133" s="17">
        <f t="shared" ca="1" si="31"/>
        <v>2619610.7203186504</v>
      </c>
      <c r="P133" s="17">
        <f t="shared" ca="1" si="32"/>
        <v>0</v>
      </c>
      <c r="Q133" s="17">
        <f t="shared" si="33"/>
        <v>9267266.0882465839</v>
      </c>
      <c r="R133" s="17">
        <f t="shared" si="34"/>
        <v>0</v>
      </c>
      <c r="S133" s="17">
        <f t="shared" si="35"/>
        <v>4453502.5660851616</v>
      </c>
      <c r="T133" s="17">
        <f t="shared" si="36"/>
        <v>0</v>
      </c>
      <c r="U133" s="17">
        <f t="shared" ca="1" si="37"/>
        <v>13731640.535328496</v>
      </c>
      <c r="W133" s="17"/>
      <c r="X133" s="30"/>
    </row>
    <row r="134" spans="1:24" x14ac:dyDescent="0.2">
      <c r="A134" s="28">
        <f t="shared" si="25"/>
        <v>45658</v>
      </c>
      <c r="B134">
        <f t="shared" si="26"/>
        <v>1</v>
      </c>
      <c r="C134">
        <f t="shared" si="27"/>
        <v>2025</v>
      </c>
      <c r="E134" s="10">
        <f t="shared" ca="1" si="30"/>
        <v>666.68367523535153</v>
      </c>
      <c r="F134" s="10">
        <f t="shared" ca="1" si="30"/>
        <v>0</v>
      </c>
      <c r="G134" s="98">
        <f>'Monthly Data'!AI134</f>
        <v>0</v>
      </c>
      <c r="H134" s="98">
        <f>'Monthly Data'!AB134</f>
        <v>0</v>
      </c>
      <c r="I134">
        <f t="shared" si="28"/>
        <v>31</v>
      </c>
      <c r="J134">
        <f>'Monthly Data'!BR134</f>
        <v>0</v>
      </c>
      <c r="K134" s="17">
        <f>Economic!D134</f>
        <v>8009.6399249999995</v>
      </c>
      <c r="L134">
        <f t="shared" si="29"/>
        <v>0</v>
      </c>
      <c r="N134" s="17">
        <f t="shared" si="17"/>
        <v>-2608738.8393219002</v>
      </c>
      <c r="O134" s="17">
        <f t="shared" ca="1" si="31"/>
        <v>3433643.086303988</v>
      </c>
      <c r="P134" s="17">
        <f t="shared" ca="1" si="32"/>
        <v>0</v>
      </c>
      <c r="Q134" s="17">
        <f t="shared" si="33"/>
        <v>9267266.0882465839</v>
      </c>
      <c r="R134" s="17">
        <f t="shared" si="34"/>
        <v>0</v>
      </c>
      <c r="S134" s="17">
        <f t="shared" si="35"/>
        <v>4405289.6594427349</v>
      </c>
      <c r="T134" s="17">
        <f t="shared" si="36"/>
        <v>0</v>
      </c>
      <c r="U134" s="17">
        <f t="shared" ca="1" si="37"/>
        <v>14497459.994671408</v>
      </c>
      <c r="W134" s="17"/>
      <c r="X134" s="30"/>
    </row>
    <row r="135" spans="1:24" x14ac:dyDescent="0.2">
      <c r="A135" s="28">
        <f t="shared" si="25"/>
        <v>45689</v>
      </c>
      <c r="B135">
        <f t="shared" si="26"/>
        <v>2</v>
      </c>
      <c r="C135">
        <f t="shared" si="27"/>
        <v>2025</v>
      </c>
      <c r="E135" s="10">
        <f t="shared" ca="1" si="30"/>
        <v>599.3508333333333</v>
      </c>
      <c r="F135" s="10">
        <f t="shared" ca="1" si="30"/>
        <v>0</v>
      </c>
      <c r="G135" s="98">
        <f>'Monthly Data'!AI135</f>
        <v>0</v>
      </c>
      <c r="H135" s="98">
        <f>'Monthly Data'!AB135</f>
        <v>0</v>
      </c>
      <c r="I135">
        <f t="shared" si="28"/>
        <v>28</v>
      </c>
      <c r="J135">
        <f>'Monthly Data'!BR135</f>
        <v>0</v>
      </c>
      <c r="K135" s="17">
        <f>Economic!D135</f>
        <v>7978.4318250000006</v>
      </c>
      <c r="L135">
        <f t="shared" si="29"/>
        <v>0</v>
      </c>
      <c r="N135" s="17">
        <f t="shared" si="17"/>
        <v>-2608738.8393219002</v>
      </c>
      <c r="O135" s="17">
        <f t="shared" ca="1" si="31"/>
        <v>3086856.5132017629</v>
      </c>
      <c r="P135" s="17">
        <f t="shared" ca="1" si="32"/>
        <v>0</v>
      </c>
      <c r="Q135" s="17">
        <f t="shared" si="33"/>
        <v>8370433.8861582046</v>
      </c>
      <c r="R135" s="17">
        <f t="shared" si="34"/>
        <v>0</v>
      </c>
      <c r="S135" s="17">
        <f t="shared" si="35"/>
        <v>4388125.2523647416</v>
      </c>
      <c r="T135" s="17">
        <f t="shared" si="36"/>
        <v>0</v>
      </c>
      <c r="U135" s="17">
        <f t="shared" ca="1" si="37"/>
        <v>13236676.812402809</v>
      </c>
      <c r="W135" s="17"/>
      <c r="X135" s="30"/>
    </row>
    <row r="136" spans="1:24" x14ac:dyDescent="0.2">
      <c r="A136" s="28">
        <f t="shared" si="25"/>
        <v>45717</v>
      </c>
      <c r="B136">
        <f t="shared" si="26"/>
        <v>3</v>
      </c>
      <c r="C136">
        <f t="shared" si="27"/>
        <v>2025</v>
      </c>
      <c r="E136" s="10">
        <f t="shared" ca="1" si="30"/>
        <v>469.11853767651354</v>
      </c>
      <c r="F136" s="10">
        <f t="shared" ca="1" si="30"/>
        <v>0</v>
      </c>
      <c r="G136" s="98">
        <f>'Monthly Data'!AI136</f>
        <v>0</v>
      </c>
      <c r="H136" s="98">
        <f>'Monthly Data'!AB136</f>
        <v>0</v>
      </c>
      <c r="I136">
        <f t="shared" si="28"/>
        <v>31</v>
      </c>
      <c r="J136">
        <f>'Monthly Data'!BR136</f>
        <v>0</v>
      </c>
      <c r="K136" s="17">
        <f>Economic!D136</f>
        <v>7975.1894249999996</v>
      </c>
      <c r="L136">
        <f t="shared" si="29"/>
        <v>0</v>
      </c>
      <c r="N136" s="17">
        <f t="shared" si="17"/>
        <v>-2608738.8393219002</v>
      </c>
      <c r="O136" s="17">
        <f t="shared" ca="1" si="31"/>
        <v>2416116.7932923525</v>
      </c>
      <c r="P136" s="17">
        <f t="shared" ca="1" si="32"/>
        <v>0</v>
      </c>
      <c r="Q136" s="17">
        <f t="shared" si="33"/>
        <v>9267266.0882465839</v>
      </c>
      <c r="R136" s="17">
        <f t="shared" si="34"/>
        <v>0</v>
      </c>
      <c r="S136" s="17">
        <f t="shared" si="35"/>
        <v>4386341.9373436505</v>
      </c>
      <c r="T136" s="17">
        <f t="shared" si="36"/>
        <v>0</v>
      </c>
      <c r="U136" s="17">
        <f t="shared" ca="1" si="37"/>
        <v>13460985.979560688</v>
      </c>
      <c r="W136" s="17"/>
      <c r="X136" s="30"/>
    </row>
    <row r="137" spans="1:24" x14ac:dyDescent="0.2">
      <c r="A137" s="28">
        <f t="shared" si="25"/>
        <v>45748</v>
      </c>
      <c r="B137">
        <f t="shared" si="26"/>
        <v>4</v>
      </c>
      <c r="C137">
        <f t="shared" si="27"/>
        <v>2025</v>
      </c>
      <c r="E137" s="10">
        <f t="shared" ca="1" si="30"/>
        <v>233.92395833333336</v>
      </c>
      <c r="F137" s="10">
        <f t="shared" ca="1" si="30"/>
        <v>0</v>
      </c>
      <c r="G137" s="98">
        <f>'Monthly Data'!AI137</f>
        <v>0</v>
      </c>
      <c r="H137" s="98">
        <f>'Monthly Data'!AB137</f>
        <v>0</v>
      </c>
      <c r="I137">
        <f t="shared" si="28"/>
        <v>30</v>
      </c>
      <c r="J137">
        <f>'Monthly Data'!BR137</f>
        <v>0</v>
      </c>
      <c r="K137" s="17">
        <f>Economic!D137</f>
        <v>8019.8737499999997</v>
      </c>
      <c r="L137">
        <f t="shared" si="29"/>
        <v>0</v>
      </c>
      <c r="N137" s="17">
        <f t="shared" si="17"/>
        <v>-2608738.8393219002</v>
      </c>
      <c r="O137" s="17">
        <f t="shared" ca="1" si="31"/>
        <v>1204786.3358414527</v>
      </c>
      <c r="P137" s="17">
        <f t="shared" ca="1" si="32"/>
        <v>0</v>
      </c>
      <c r="Q137" s="17">
        <f t="shared" si="33"/>
        <v>8968322.0208837911</v>
      </c>
      <c r="R137" s="17">
        <f t="shared" si="34"/>
        <v>0</v>
      </c>
      <c r="S137" s="17">
        <f t="shared" si="35"/>
        <v>4410918.247478052</v>
      </c>
      <c r="T137" s="17">
        <f t="shared" si="36"/>
        <v>0</v>
      </c>
      <c r="U137" s="17">
        <f t="shared" ca="1" si="37"/>
        <v>11975287.764881395</v>
      </c>
      <c r="W137" s="17"/>
      <c r="X137" s="31"/>
    </row>
    <row r="138" spans="1:24" x14ac:dyDescent="0.2">
      <c r="A138" s="28">
        <f t="shared" si="25"/>
        <v>45778</v>
      </c>
      <c r="B138">
        <f t="shared" si="26"/>
        <v>5</v>
      </c>
      <c r="C138">
        <f t="shared" si="27"/>
        <v>2025</v>
      </c>
      <c r="E138" s="10">
        <f t="shared" ca="1" si="30"/>
        <v>46.324929225504526</v>
      </c>
      <c r="F138" s="10">
        <f t="shared" ca="1" si="30"/>
        <v>9.6293749999999996</v>
      </c>
      <c r="G138" s="98">
        <f>'Monthly Data'!AI138</f>
        <v>0</v>
      </c>
      <c r="H138" s="98">
        <f>'Monthly Data'!AB138</f>
        <v>0</v>
      </c>
      <c r="I138">
        <f t="shared" si="28"/>
        <v>31</v>
      </c>
      <c r="J138">
        <f>'Monthly Data'!BR138</f>
        <v>0</v>
      </c>
      <c r="K138" s="17">
        <f>Economic!D138</f>
        <v>8105.7973499999998</v>
      </c>
      <c r="L138">
        <f t="shared" si="29"/>
        <v>0</v>
      </c>
      <c r="N138" s="17">
        <f t="shared" si="17"/>
        <v>-2608738.8393219002</v>
      </c>
      <c r="O138" s="17">
        <f t="shared" ca="1" si="31"/>
        <v>238588.82235645404</v>
      </c>
      <c r="P138" s="17">
        <f t="shared" ca="1" si="32"/>
        <v>119775.01846893948</v>
      </c>
      <c r="Q138" s="17">
        <f t="shared" si="33"/>
        <v>9267266.0882465839</v>
      </c>
      <c r="R138" s="17">
        <f t="shared" si="34"/>
        <v>0</v>
      </c>
      <c r="S138" s="17">
        <f t="shared" si="35"/>
        <v>4458176.0955369445</v>
      </c>
      <c r="T138" s="17">
        <f t="shared" si="36"/>
        <v>0</v>
      </c>
      <c r="U138" s="17">
        <f t="shared" ca="1" si="37"/>
        <v>11475067.185287021</v>
      </c>
      <c r="W138" s="17"/>
      <c r="X138" s="31"/>
    </row>
    <row r="139" spans="1:24" x14ac:dyDescent="0.2">
      <c r="A139" s="28">
        <f t="shared" si="25"/>
        <v>45809</v>
      </c>
      <c r="B139">
        <f t="shared" si="26"/>
        <v>6</v>
      </c>
      <c r="C139">
        <f t="shared" si="27"/>
        <v>2025</v>
      </c>
      <c r="E139" s="10">
        <f t="shared" ca="1" si="30"/>
        <v>1.25875</v>
      </c>
      <c r="F139" s="10">
        <f t="shared" ca="1" si="30"/>
        <v>25.077154107828811</v>
      </c>
      <c r="G139" s="98">
        <f>'Monthly Data'!AI139</f>
        <v>0</v>
      </c>
      <c r="H139" s="98">
        <f>'Monthly Data'!AB139</f>
        <v>0</v>
      </c>
      <c r="I139">
        <f t="shared" si="28"/>
        <v>30</v>
      </c>
      <c r="J139">
        <f>'Monthly Data'!BR139</f>
        <v>0</v>
      </c>
      <c r="K139" s="17">
        <f>Economic!D139</f>
        <v>8199.7256249999991</v>
      </c>
      <c r="L139">
        <f t="shared" si="29"/>
        <v>0</v>
      </c>
      <c r="N139" s="17">
        <f t="shared" si="17"/>
        <v>-2608738.8393219002</v>
      </c>
      <c r="O139" s="17">
        <f t="shared" ca="1" si="31"/>
        <v>6482.9819529619735</v>
      </c>
      <c r="P139" s="17">
        <f t="shared" ca="1" si="32"/>
        <v>311922.27911091194</v>
      </c>
      <c r="Q139" s="17">
        <f t="shared" si="33"/>
        <v>8968322.0208837911</v>
      </c>
      <c r="R139" s="17">
        <f t="shared" si="34"/>
        <v>0</v>
      </c>
      <c r="S139" s="17">
        <f t="shared" si="35"/>
        <v>4509836.502554154</v>
      </c>
      <c r="T139" s="17">
        <f t="shared" si="36"/>
        <v>0</v>
      </c>
      <c r="U139" s="17">
        <f t="shared" ca="1" si="37"/>
        <v>11187824.945179919</v>
      </c>
      <c r="W139" s="17"/>
      <c r="X139" s="31"/>
    </row>
    <row r="140" spans="1:24" x14ac:dyDescent="0.2">
      <c r="A140" s="28">
        <f t="shared" si="25"/>
        <v>45839</v>
      </c>
      <c r="B140">
        <f t="shared" si="26"/>
        <v>7</v>
      </c>
      <c r="C140">
        <f t="shared" si="27"/>
        <v>2025</v>
      </c>
      <c r="E140" s="10">
        <f t="shared" ca="1" si="30"/>
        <v>0</v>
      </c>
      <c r="F140" s="10">
        <f t="shared" ca="1" si="30"/>
        <v>56.475141548990976</v>
      </c>
      <c r="G140" s="98">
        <f>'Monthly Data'!AI140</f>
        <v>0</v>
      </c>
      <c r="H140" s="98">
        <f>'Monthly Data'!AB140</f>
        <v>0</v>
      </c>
      <c r="I140">
        <f t="shared" si="28"/>
        <v>31</v>
      </c>
      <c r="J140">
        <f>'Monthly Data'!BR140</f>
        <v>0</v>
      </c>
      <c r="K140" s="17">
        <f>Economic!D140</f>
        <v>8257.3795499999997</v>
      </c>
      <c r="L140">
        <f t="shared" si="29"/>
        <v>0</v>
      </c>
      <c r="N140" s="17">
        <f t="shared" si="17"/>
        <v>-2608738.8393219002</v>
      </c>
      <c r="O140" s="17">
        <f t="shared" ca="1" si="31"/>
        <v>0</v>
      </c>
      <c r="P140" s="17">
        <f t="shared" ca="1" si="32"/>
        <v>702466.26827456255</v>
      </c>
      <c r="Q140" s="17">
        <f t="shared" si="33"/>
        <v>9267266.0882465839</v>
      </c>
      <c r="R140" s="17">
        <f t="shared" si="34"/>
        <v>0</v>
      </c>
      <c r="S140" s="17">
        <f t="shared" si="35"/>
        <v>4541546.0727729164</v>
      </c>
      <c r="T140" s="17">
        <f t="shared" si="36"/>
        <v>0</v>
      </c>
      <c r="U140" s="17">
        <f t="shared" ca="1" si="37"/>
        <v>11902539.589972163</v>
      </c>
      <c r="W140" s="17"/>
      <c r="X140" s="31"/>
    </row>
    <row r="141" spans="1:24" x14ac:dyDescent="0.2">
      <c r="A141" s="28">
        <f t="shared" si="25"/>
        <v>45870</v>
      </c>
      <c r="B141">
        <f t="shared" si="26"/>
        <v>8</v>
      </c>
      <c r="C141">
        <f t="shared" si="27"/>
        <v>2025</v>
      </c>
      <c r="E141" s="10">
        <f t="shared" ca="1" si="30"/>
        <v>0.1158333333333335</v>
      </c>
      <c r="F141" s="10">
        <f t="shared" ca="1" si="30"/>
        <v>35.296250000000008</v>
      </c>
      <c r="G141" s="98">
        <f>'Monthly Data'!AI141</f>
        <v>0</v>
      </c>
      <c r="H141" s="98">
        <f>'Monthly Data'!AB141</f>
        <v>0</v>
      </c>
      <c r="I141">
        <f t="shared" si="28"/>
        <v>31</v>
      </c>
      <c r="J141">
        <f>'Monthly Data'!BR141</f>
        <v>0</v>
      </c>
      <c r="K141" s="17">
        <f>Economic!D141</f>
        <v>8255.1504000000004</v>
      </c>
      <c r="L141">
        <f t="shared" si="29"/>
        <v>0</v>
      </c>
      <c r="N141" s="17">
        <f t="shared" si="17"/>
        <v>-2608738.8393219002</v>
      </c>
      <c r="O141" s="17">
        <f t="shared" ca="1" si="31"/>
        <v>596.58026578067893</v>
      </c>
      <c r="P141" s="17">
        <f t="shared" ca="1" si="32"/>
        <v>439032.54319561826</v>
      </c>
      <c r="Q141" s="17">
        <f t="shared" si="33"/>
        <v>9267266.0882465839</v>
      </c>
      <c r="R141" s="17">
        <f t="shared" si="34"/>
        <v>0</v>
      </c>
      <c r="S141" s="17">
        <f t="shared" si="35"/>
        <v>4540320.0436959174</v>
      </c>
      <c r="T141" s="17">
        <f t="shared" si="36"/>
        <v>0</v>
      </c>
      <c r="U141" s="17">
        <f t="shared" ca="1" si="37"/>
        <v>11638476.416082</v>
      </c>
      <c r="W141" s="17"/>
      <c r="X141" s="31"/>
    </row>
    <row r="142" spans="1:24" x14ac:dyDescent="0.2">
      <c r="A142" s="28">
        <f t="shared" si="25"/>
        <v>45901</v>
      </c>
      <c r="B142">
        <f t="shared" si="26"/>
        <v>9</v>
      </c>
      <c r="C142">
        <f t="shared" si="27"/>
        <v>2025</v>
      </c>
      <c r="E142" s="10">
        <f t="shared" ca="1" si="30"/>
        <v>11.597845892171184</v>
      </c>
      <c r="F142" s="10">
        <f t="shared" ca="1" si="30"/>
        <v>11.128958333333333</v>
      </c>
      <c r="G142" s="98">
        <f>'Monthly Data'!AI142</f>
        <v>0</v>
      </c>
      <c r="H142" s="98">
        <f>'Monthly Data'!AB142</f>
        <v>0</v>
      </c>
      <c r="I142">
        <f t="shared" si="28"/>
        <v>30</v>
      </c>
      <c r="J142">
        <f>'Monthly Data'!BR142</f>
        <v>0</v>
      </c>
      <c r="K142" s="17">
        <f>Economic!D142</f>
        <v>8231.2376999999997</v>
      </c>
      <c r="L142">
        <f t="shared" si="29"/>
        <v>1</v>
      </c>
      <c r="N142" s="17">
        <f t="shared" si="17"/>
        <v>-2608738.8393219002</v>
      </c>
      <c r="O142" s="17">
        <f t="shared" ca="1" si="31"/>
        <v>59732.771092099261</v>
      </c>
      <c r="P142" s="17">
        <f t="shared" ca="1" si="32"/>
        <v>138427.59160538021</v>
      </c>
      <c r="Q142" s="17">
        <f t="shared" si="33"/>
        <v>8968322.0208837911</v>
      </c>
      <c r="R142" s="17">
        <f t="shared" si="34"/>
        <v>0</v>
      </c>
      <c r="S142" s="17">
        <f t="shared" si="35"/>
        <v>4527168.0954153761</v>
      </c>
      <c r="T142" s="17">
        <f t="shared" si="36"/>
        <v>-307328.60270320397</v>
      </c>
      <c r="U142" s="17">
        <f t="shared" ca="1" si="37"/>
        <v>10777583.036971541</v>
      </c>
      <c r="W142" s="17"/>
      <c r="X142" s="31"/>
    </row>
    <row r="143" spans="1:24" x14ac:dyDescent="0.2">
      <c r="A143" s="28">
        <f t="shared" si="25"/>
        <v>45931</v>
      </c>
      <c r="B143">
        <f t="shared" si="26"/>
        <v>10</v>
      </c>
      <c r="C143">
        <f t="shared" si="27"/>
        <v>2025</v>
      </c>
      <c r="E143" s="10">
        <f t="shared" ref="E143:F145" ca="1" si="38">E131</f>
        <v>128.51888157360821</v>
      </c>
      <c r="F143" s="10">
        <f t="shared" ca="1" si="38"/>
        <v>0.44687499999999963</v>
      </c>
      <c r="G143" s="98">
        <f>'Monthly Data'!AI143</f>
        <v>0</v>
      </c>
      <c r="H143" s="98">
        <f>'Monthly Data'!AB143</f>
        <v>0</v>
      </c>
      <c r="I143">
        <f t="shared" si="28"/>
        <v>31</v>
      </c>
      <c r="J143">
        <f>'Monthly Data'!BR143</f>
        <v>0</v>
      </c>
      <c r="K143" s="17">
        <f>Economic!D143</f>
        <v>8216.9508750000005</v>
      </c>
      <c r="L143">
        <f t="shared" si="29"/>
        <v>1</v>
      </c>
      <c r="N143" s="17">
        <f t="shared" si="17"/>
        <v>-2608738.8393219002</v>
      </c>
      <c r="O143" s="17">
        <f t="shared" ca="1" si="31"/>
        <v>661915.06642030517</v>
      </c>
      <c r="P143" s="17">
        <f t="shared" ca="1" si="32"/>
        <v>5558.4564292394152</v>
      </c>
      <c r="Q143" s="17">
        <f t="shared" si="33"/>
        <v>9267266.0882465839</v>
      </c>
      <c r="R143" s="17">
        <f t="shared" si="34"/>
        <v>0</v>
      </c>
      <c r="S143" s="17">
        <f t="shared" si="35"/>
        <v>4519310.3636036972</v>
      </c>
      <c r="T143" s="17">
        <f t="shared" si="36"/>
        <v>-307328.60270320397</v>
      </c>
      <c r="U143" s="17">
        <f t="shared" ca="1" si="37"/>
        <v>11537982.532674721</v>
      </c>
      <c r="W143" s="17"/>
      <c r="X143" s="31"/>
    </row>
    <row r="144" spans="1:24" x14ac:dyDescent="0.2">
      <c r="A144" s="28">
        <f t="shared" si="25"/>
        <v>45962</v>
      </c>
      <c r="B144">
        <f t="shared" si="26"/>
        <v>11</v>
      </c>
      <c r="C144">
        <f t="shared" si="27"/>
        <v>2025</v>
      </c>
      <c r="E144" s="10">
        <f t="shared" ca="1" si="38"/>
        <v>332.1049960098469</v>
      </c>
      <c r="F144" s="10">
        <f t="shared" ca="1" si="38"/>
        <v>0</v>
      </c>
      <c r="G144" s="98">
        <f>'Monthly Data'!AI144</f>
        <v>0</v>
      </c>
      <c r="H144" s="98">
        <f>'Monthly Data'!AB144</f>
        <v>0</v>
      </c>
      <c r="I144">
        <f t="shared" si="28"/>
        <v>30</v>
      </c>
      <c r="J144">
        <f>'Monthly Data'!BR144</f>
        <v>0</v>
      </c>
      <c r="K144" s="17">
        <f>Economic!D144</f>
        <v>8208.5409</v>
      </c>
      <c r="L144">
        <f t="shared" si="29"/>
        <v>0</v>
      </c>
      <c r="N144" s="17">
        <f t="shared" si="17"/>
        <v>-2608738.8393219002</v>
      </c>
      <c r="O144" s="17">
        <f t="shared" ca="1" si="31"/>
        <v>1710451.3967192417</v>
      </c>
      <c r="P144" s="17">
        <f t="shared" ca="1" si="32"/>
        <v>0</v>
      </c>
      <c r="Q144" s="17">
        <f t="shared" si="33"/>
        <v>8968322.0208837911</v>
      </c>
      <c r="R144" s="17">
        <f t="shared" si="34"/>
        <v>0</v>
      </c>
      <c r="S144" s="17">
        <f t="shared" si="35"/>
        <v>4514684.8902677437</v>
      </c>
      <c r="T144" s="17">
        <f t="shared" si="36"/>
        <v>0</v>
      </c>
      <c r="U144" s="17">
        <f t="shared" ca="1" si="37"/>
        <v>12584719.468548875</v>
      </c>
      <c r="W144" s="17"/>
      <c r="X144" s="31"/>
    </row>
    <row r="145" spans="1:24" x14ac:dyDescent="0.2">
      <c r="A145" s="28">
        <f t="shared" si="25"/>
        <v>45992</v>
      </c>
      <c r="B145">
        <f t="shared" si="26"/>
        <v>12</v>
      </c>
      <c r="C145">
        <f t="shared" si="27"/>
        <v>2025</v>
      </c>
      <c r="E145" s="10">
        <f t="shared" ca="1" si="38"/>
        <v>508.62936502461724</v>
      </c>
      <c r="F145" s="10">
        <f t="shared" ca="1" si="38"/>
        <v>0</v>
      </c>
      <c r="G145" s="98">
        <f>'Monthly Data'!AI145</f>
        <v>0</v>
      </c>
      <c r="H145" s="98">
        <f>'Monthly Data'!AB145</f>
        <v>0</v>
      </c>
      <c r="I145">
        <f t="shared" si="28"/>
        <v>31</v>
      </c>
      <c r="J145">
        <f>'Monthly Data'!BR145</f>
        <v>0</v>
      </c>
      <c r="K145" s="17">
        <f>Economic!D145</f>
        <v>8204.5892249999997</v>
      </c>
      <c r="L145">
        <f t="shared" si="29"/>
        <v>0</v>
      </c>
      <c r="N145" s="17">
        <f t="shared" si="17"/>
        <v>-2608738.8393219002</v>
      </c>
      <c r="O145" s="17">
        <f t="shared" ca="1" si="31"/>
        <v>2619610.7203186504</v>
      </c>
      <c r="P145" s="17">
        <f t="shared" ca="1" si="32"/>
        <v>0</v>
      </c>
      <c r="Q145" s="17">
        <f t="shared" si="33"/>
        <v>9267266.0882465839</v>
      </c>
      <c r="R145" s="17">
        <f t="shared" si="34"/>
        <v>0</v>
      </c>
      <c r="S145" s="17">
        <f t="shared" si="35"/>
        <v>4512511.4750857903</v>
      </c>
      <c r="T145" s="17">
        <f t="shared" si="36"/>
        <v>0</v>
      </c>
      <c r="U145" s="17">
        <f t="shared" ca="1" si="37"/>
        <v>13790649.444329124</v>
      </c>
      <c r="W145" s="17"/>
      <c r="X145" s="31"/>
    </row>
    <row r="146" spans="1:24" x14ac:dyDescent="0.2">
      <c r="W146" s="17"/>
      <c r="X146" s="31"/>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EFF1-C6AF-4458-845E-34FFE2E7BCB8}">
  <sheetPr>
    <tabColor theme="8" tint="0.79998168889431442"/>
  </sheetPr>
  <dimension ref="A1:AC146"/>
  <sheetViews>
    <sheetView topLeftCell="N1" workbookViewId="0">
      <selection activeCell="Y2" sqref="Y2:AD24"/>
    </sheetView>
  </sheetViews>
  <sheetFormatPr defaultRowHeight="12.75" x14ac:dyDescent="0.2"/>
  <cols>
    <col min="1" max="1" width="12.1640625" style="28" customWidth="1"/>
    <col min="4" max="4" width="19.5" style="18" bestFit="1" customWidth="1"/>
    <col min="12" max="12" width="11.33203125" bestFit="1" customWidth="1"/>
    <col min="15" max="15" width="14.6640625" bestFit="1" customWidth="1"/>
    <col min="16" max="17" width="12.83203125" bestFit="1" customWidth="1"/>
    <col min="18" max="18" width="13.6640625" bestFit="1" customWidth="1"/>
    <col min="19" max="19" width="13.83203125" bestFit="1" customWidth="1"/>
    <col min="20" max="20" width="13.6640625" bestFit="1" customWidth="1"/>
    <col min="21" max="21" width="11.33203125" bestFit="1" customWidth="1"/>
    <col min="22" max="22" width="8.83203125" bestFit="1" customWidth="1"/>
    <col min="23" max="23" width="16" bestFit="1" customWidth="1"/>
    <col min="25" max="25" width="14.83203125" bestFit="1" customWidth="1"/>
  </cols>
  <sheetData>
    <row r="1" spans="1:29" x14ac:dyDescent="0.2">
      <c r="A1" s="28" t="str">
        <f>'Monthly Data'!A1</f>
        <v>Date</v>
      </c>
      <c r="B1" t="str">
        <f>'Monthly Data'!C1</f>
        <v>Month</v>
      </c>
      <c r="C1" t="str">
        <f>'Monthly Data'!B1</f>
        <v>Year</v>
      </c>
      <c r="D1" s="18" t="str">
        <f>'Monthly Data'!N1</f>
        <v>GS_gt_50_NoCDM</v>
      </c>
      <c r="E1" t="s">
        <v>451</v>
      </c>
      <c r="F1" s="98" t="s">
        <v>452</v>
      </c>
      <c r="G1" s="98" t="str">
        <f>'Monthly Data'!AI1</f>
        <v>HDD10</v>
      </c>
      <c r="H1" s="98" t="str">
        <f>'Monthly Data'!AD1</f>
        <v>CDD16</v>
      </c>
      <c r="I1" t="str">
        <f>'Monthly Data'!AV1</f>
        <v>Trend</v>
      </c>
      <c r="J1" t="str">
        <f>'Monthly Data'!BO1</f>
        <v>MonthDays</v>
      </c>
      <c r="K1" t="str">
        <f>'Monthly Data'!BR1</f>
        <v>COVID_AM</v>
      </c>
      <c r="L1" t="str">
        <f>'Monthly Data'!AT1</f>
        <v>OEAGDP</v>
      </c>
      <c r="M1" t="str">
        <f>'Monthly Data'!BJ1</f>
        <v>Fall</v>
      </c>
      <c r="O1" t="s">
        <v>134</v>
      </c>
      <c r="P1" s="99" t="str">
        <f>G1</f>
        <v>HDD10</v>
      </c>
      <c r="Q1" s="99" t="str">
        <f>H1</f>
        <v>CDD16</v>
      </c>
      <c r="R1" t="str">
        <f t="shared" ref="R1:V1" si="0">I1</f>
        <v>Trend</v>
      </c>
      <c r="S1" t="str">
        <f t="shared" si="0"/>
        <v>MonthDays</v>
      </c>
      <c r="T1" t="str">
        <f t="shared" si="0"/>
        <v>COVID_AM</v>
      </c>
      <c r="U1" t="str">
        <f t="shared" si="0"/>
        <v>OEAGDP</v>
      </c>
      <c r="V1" t="str">
        <f t="shared" si="0"/>
        <v>Fall</v>
      </c>
      <c r="W1" t="s">
        <v>450</v>
      </c>
    </row>
    <row r="2" spans="1:29" x14ac:dyDescent="0.2">
      <c r="A2" s="28">
        <f>'Monthly Data'!A2</f>
        <v>41640</v>
      </c>
      <c r="B2">
        <f>'Monthly Data'!C2</f>
        <v>1</v>
      </c>
      <c r="C2">
        <f>'Monthly Data'!B2</f>
        <v>2014</v>
      </c>
      <c r="D2" s="18">
        <f>'Monthly Data'!N2</f>
        <v>37912615.661932133</v>
      </c>
      <c r="E2" s="215">
        <f ca="1">Weather!CT36</f>
        <v>666.68367523535153</v>
      </c>
      <c r="F2" s="216">
        <f ca="1">Weather!BB36</f>
        <v>0</v>
      </c>
      <c r="G2" s="98">
        <f>'Monthly Data'!AI2</f>
        <v>775.07916666666665</v>
      </c>
      <c r="H2" s="98">
        <f>'Monthly Data'!AD2</f>
        <v>0</v>
      </c>
      <c r="I2">
        <f>'Monthly Data'!AV2</f>
        <v>1</v>
      </c>
      <c r="J2">
        <f>'Monthly Data'!BO2</f>
        <v>31</v>
      </c>
      <c r="K2">
        <f>'Monthly Data'!BR2</f>
        <v>0</v>
      </c>
      <c r="L2" s="17">
        <f>'Monthly Data'!AT2</f>
        <v>699057</v>
      </c>
      <c r="M2">
        <f>'Monthly Data'!BJ2</f>
        <v>0</v>
      </c>
      <c r="O2" s="17"/>
      <c r="P2" s="17">
        <f ca="1">(E2-G2)*$Z$8</f>
        <v>-1272745.6123807637</v>
      </c>
      <c r="Q2" s="17">
        <f ca="1">(F2-H2)*$Z$9</f>
        <v>0</v>
      </c>
      <c r="R2" s="17"/>
      <c r="S2" s="17"/>
      <c r="T2" s="17"/>
      <c r="U2" s="17"/>
      <c r="V2" s="17"/>
      <c r="W2" s="17">
        <f ca="1">D2+SUM(O2:V2)</f>
        <v>36639870.049551368</v>
      </c>
      <c r="Y2" t="s">
        <v>488</v>
      </c>
    </row>
    <row r="3" spans="1:29" x14ac:dyDescent="0.2">
      <c r="A3" s="28">
        <f>'Monthly Data'!A3</f>
        <v>41671</v>
      </c>
      <c r="B3">
        <f>'Monthly Data'!C3</f>
        <v>2</v>
      </c>
      <c r="C3">
        <f>'Monthly Data'!B3</f>
        <v>2014</v>
      </c>
      <c r="D3" s="18">
        <f>'Monthly Data'!N3</f>
        <v>34082149.833342381</v>
      </c>
      <c r="E3" s="215">
        <f ca="1">Weather!CT37</f>
        <v>599.3508333333333</v>
      </c>
      <c r="F3" s="216">
        <f ca="1">Weather!BB37</f>
        <v>0</v>
      </c>
      <c r="G3" s="98">
        <f>'Monthly Data'!AI3</f>
        <v>649.85208333333344</v>
      </c>
      <c r="H3" s="98">
        <f>'Monthly Data'!AD3</f>
        <v>0</v>
      </c>
      <c r="I3">
        <f>'Monthly Data'!AV3</f>
        <v>2</v>
      </c>
      <c r="J3">
        <f>'Monthly Data'!BO3</f>
        <v>28</v>
      </c>
      <c r="K3">
        <f>'Monthly Data'!BR3</f>
        <v>0</v>
      </c>
      <c r="L3" s="17">
        <f>'Monthly Data'!AT3</f>
        <v>699057</v>
      </c>
      <c r="M3">
        <f>'Monthly Data'!BJ3</f>
        <v>0</v>
      </c>
      <c r="O3" s="17"/>
      <c r="P3" s="17">
        <f t="shared" ref="P3:P66" ca="1" si="1">(E3-G3)*$Z$8</f>
        <v>-592969.72142030718</v>
      </c>
      <c r="Q3" s="17">
        <f t="shared" ref="Q3:Q66" ca="1" si="2">(F3-H3)*$Z$9</f>
        <v>0</v>
      </c>
      <c r="R3" s="17"/>
      <c r="S3" s="17"/>
      <c r="T3" s="17"/>
      <c r="U3" s="17"/>
      <c r="V3" s="17"/>
      <c r="W3" s="17">
        <f t="shared" ref="W3:W66" ca="1" si="3">D3+SUM(O3:V3)</f>
        <v>33489180.111922074</v>
      </c>
      <c r="Y3" t="s">
        <v>155</v>
      </c>
    </row>
    <row r="4" spans="1:29" x14ac:dyDescent="0.2">
      <c r="A4" s="28">
        <f>'Monthly Data'!A4</f>
        <v>41699</v>
      </c>
      <c r="B4">
        <f>'Monthly Data'!C4</f>
        <v>3</v>
      </c>
      <c r="C4">
        <f>'Monthly Data'!B4</f>
        <v>2014</v>
      </c>
      <c r="D4" s="18">
        <f>'Monthly Data'!N4</f>
        <v>36202532.155469894</v>
      </c>
      <c r="E4" s="215">
        <f ca="1">Weather!CT38</f>
        <v>469.11853767651354</v>
      </c>
      <c r="F4" s="216">
        <f ca="1">Weather!BB38</f>
        <v>0</v>
      </c>
      <c r="G4" s="98">
        <f>'Monthly Data'!AI4</f>
        <v>617.39791666666656</v>
      </c>
      <c r="H4" s="98">
        <f>'Monthly Data'!AD4</f>
        <v>0</v>
      </c>
      <c r="I4">
        <f>'Monthly Data'!AV4</f>
        <v>3</v>
      </c>
      <c r="J4">
        <f>'Monthly Data'!BO4</f>
        <v>31</v>
      </c>
      <c r="K4">
        <f>'Monthly Data'!BR4</f>
        <v>0</v>
      </c>
      <c r="L4" s="17">
        <f>'Monthly Data'!AT4</f>
        <v>699057</v>
      </c>
      <c r="M4">
        <f>'Monthly Data'!BJ4</f>
        <v>0</v>
      </c>
      <c r="O4" s="17"/>
      <c r="P4" s="17">
        <f t="shared" ca="1" si="1"/>
        <v>-1741049.6186167062</v>
      </c>
      <c r="Q4" s="17">
        <f t="shared" ca="1" si="2"/>
        <v>0</v>
      </c>
      <c r="R4" s="17"/>
      <c r="S4" s="17"/>
      <c r="T4" s="17"/>
      <c r="U4" s="17"/>
      <c r="V4" s="17"/>
      <c r="W4" s="17">
        <f t="shared" ca="1" si="3"/>
        <v>34461482.536853187</v>
      </c>
      <c r="Y4" t="s">
        <v>492</v>
      </c>
    </row>
    <row r="5" spans="1:29" x14ac:dyDescent="0.2">
      <c r="A5" s="28">
        <f>'Monthly Data'!A5</f>
        <v>41730</v>
      </c>
      <c r="B5">
        <f>'Monthly Data'!C5</f>
        <v>4</v>
      </c>
      <c r="C5">
        <f>'Monthly Data'!B5</f>
        <v>2014</v>
      </c>
      <c r="D5" s="18">
        <f>'Monthly Data'!N5</f>
        <v>31122302.337819774</v>
      </c>
      <c r="E5" s="215">
        <f ca="1">Weather!CT39</f>
        <v>233.92395833333336</v>
      </c>
      <c r="F5" s="216">
        <f ca="1">Weather!BB39</f>
        <v>1.1666666666666714E-2</v>
      </c>
      <c r="G5" s="98">
        <f>'Monthly Data'!AI5</f>
        <v>257.06666666666666</v>
      </c>
      <c r="H5" s="98">
        <f>'Monthly Data'!AD5</f>
        <v>0</v>
      </c>
      <c r="I5">
        <f>'Monthly Data'!AV5</f>
        <v>4</v>
      </c>
      <c r="J5">
        <f>'Monthly Data'!BO5</f>
        <v>30</v>
      </c>
      <c r="K5">
        <f>'Monthly Data'!BR5</f>
        <v>0</v>
      </c>
      <c r="L5" s="17">
        <f>'Monthly Data'!AT5</f>
        <v>705966</v>
      </c>
      <c r="M5">
        <f>'Monthly Data'!BJ5</f>
        <v>0</v>
      </c>
      <c r="O5" s="17"/>
      <c r="P5" s="17">
        <f t="shared" ca="1" si="1"/>
        <v>-271734.36921517848</v>
      </c>
      <c r="Q5" s="17">
        <f t="shared" ca="1" si="2"/>
        <v>254.51489892739153</v>
      </c>
      <c r="R5" s="17"/>
      <c r="S5" s="17"/>
      <c r="T5" s="17"/>
      <c r="U5" s="17"/>
      <c r="V5" s="17"/>
      <c r="W5" s="17">
        <f t="shared" ca="1" si="3"/>
        <v>30850822.483503524</v>
      </c>
    </row>
    <row r="6" spans="1:29" x14ac:dyDescent="0.2">
      <c r="A6" s="28">
        <f>'Monthly Data'!A6</f>
        <v>41760</v>
      </c>
      <c r="B6">
        <f>'Monthly Data'!C6</f>
        <v>5</v>
      </c>
      <c r="C6">
        <f>'Monthly Data'!B6</f>
        <v>2014</v>
      </c>
      <c r="D6" s="18">
        <f>'Monthly Data'!N6</f>
        <v>29213195.613046642</v>
      </c>
      <c r="E6" s="215">
        <f ca="1">Weather!CT40</f>
        <v>46.324929225504526</v>
      </c>
      <c r="F6" s="216">
        <f ca="1">Weather!BB40</f>
        <v>19.778958333333328</v>
      </c>
      <c r="G6" s="98">
        <f>'Monthly Data'!AI6</f>
        <v>45.758333333333333</v>
      </c>
      <c r="H6" s="98">
        <f>'Monthly Data'!AD6</f>
        <v>10.19583333333334</v>
      </c>
      <c r="I6">
        <f>'Monthly Data'!AV6</f>
        <v>5</v>
      </c>
      <c r="J6">
        <f>'Monthly Data'!BO6</f>
        <v>31</v>
      </c>
      <c r="K6">
        <f>'Monthly Data'!BR6</f>
        <v>0</v>
      </c>
      <c r="L6" s="17">
        <f>'Monthly Data'!AT6</f>
        <v>705966</v>
      </c>
      <c r="M6">
        <f>'Monthly Data'!BJ6</f>
        <v>0</v>
      </c>
      <c r="O6" s="17"/>
      <c r="P6" s="17">
        <f t="shared" ca="1" si="1"/>
        <v>6652.7899475486638</v>
      </c>
      <c r="Q6" s="17">
        <f t="shared" ca="1" si="2"/>
        <v>209061.26492430395</v>
      </c>
      <c r="R6" s="17"/>
      <c r="S6" s="17"/>
      <c r="T6" s="17"/>
      <c r="U6" s="17"/>
      <c r="V6" s="17"/>
      <c r="W6" s="17">
        <f t="shared" ca="1" si="3"/>
        <v>29428909.667918496</v>
      </c>
      <c r="Z6" t="s">
        <v>139</v>
      </c>
      <c r="AA6" t="s">
        <v>140</v>
      </c>
      <c r="AB6" t="s">
        <v>141</v>
      </c>
      <c r="AC6" t="s">
        <v>142</v>
      </c>
    </row>
    <row r="7" spans="1:29" x14ac:dyDescent="0.2">
      <c r="A7" s="28">
        <f>'Monthly Data'!A7</f>
        <v>41791</v>
      </c>
      <c r="B7">
        <f>'Monthly Data'!C7</f>
        <v>6</v>
      </c>
      <c r="C7">
        <f>'Monthly Data'!B7</f>
        <v>2014</v>
      </c>
      <c r="D7" s="18">
        <f>'Monthly Data'!N7</f>
        <v>28067407.907230251</v>
      </c>
      <c r="E7" s="215">
        <f ca="1">Weather!CT41</f>
        <v>1.25875</v>
      </c>
      <c r="F7" s="216">
        <f ca="1">Weather!BB41</f>
        <v>53.293685210734182</v>
      </c>
      <c r="G7" s="98">
        <f>'Monthly Data'!AI7</f>
        <v>0</v>
      </c>
      <c r="H7" s="98">
        <f>'Monthly Data'!AD7</f>
        <v>52.462500000000006</v>
      </c>
      <c r="I7">
        <f>'Monthly Data'!AV7</f>
        <v>6</v>
      </c>
      <c r="J7">
        <f>'Monthly Data'!BO7</f>
        <v>30</v>
      </c>
      <c r="K7">
        <f>'Monthly Data'!BR7</f>
        <v>0</v>
      </c>
      <c r="L7" s="17">
        <f>'Monthly Data'!AT7</f>
        <v>705966</v>
      </c>
      <c r="M7">
        <f>'Monthly Data'!BJ7</f>
        <v>0</v>
      </c>
      <c r="O7" s="17"/>
      <c r="P7" s="17">
        <f t="shared" ca="1" si="1"/>
        <v>14779.844792709282</v>
      </c>
      <c r="Q7" s="17">
        <f t="shared" ca="1" si="2"/>
        <v>18132.773134281488</v>
      </c>
      <c r="R7" s="17"/>
      <c r="S7" s="17"/>
      <c r="T7" s="17"/>
      <c r="U7" s="17"/>
      <c r="V7" s="17"/>
      <c r="W7" s="17">
        <f t="shared" ca="1" si="3"/>
        <v>28100320.525157243</v>
      </c>
      <c r="Y7" t="s">
        <v>134</v>
      </c>
      <c r="Z7" s="105">
        <v>-9501475.1395959798</v>
      </c>
      <c r="AA7" s="105">
        <v>3621459.8463115701</v>
      </c>
      <c r="AB7" s="76">
        <v>-2.6236588400319198</v>
      </c>
      <c r="AC7" s="251">
        <v>9.8004168508518293E-3</v>
      </c>
    </row>
    <row r="8" spans="1:29" x14ac:dyDescent="0.2">
      <c r="A8" s="28">
        <f>'Monthly Data'!A8</f>
        <v>41821</v>
      </c>
      <c r="B8">
        <f>'Monthly Data'!C8</f>
        <v>7</v>
      </c>
      <c r="C8">
        <f>'Monthly Data'!B8</f>
        <v>2014</v>
      </c>
      <c r="D8" s="18">
        <f>'Monthly Data'!N8</f>
        <v>28019396.695157461</v>
      </c>
      <c r="E8" s="215">
        <f ca="1">Weather!CT42</f>
        <v>0</v>
      </c>
      <c r="F8" s="216">
        <f ca="1">Weather!BB42</f>
        <v>104.42694776957208</v>
      </c>
      <c r="G8" s="98">
        <f>'Monthly Data'!AI8</f>
        <v>0</v>
      </c>
      <c r="H8" s="98">
        <f>'Monthly Data'!AD8</f>
        <v>45.766666666666652</v>
      </c>
      <c r="I8">
        <f>'Monthly Data'!AV8</f>
        <v>7</v>
      </c>
      <c r="J8">
        <f>'Monthly Data'!BO8</f>
        <v>31</v>
      </c>
      <c r="K8">
        <f>'Monthly Data'!BR8</f>
        <v>0</v>
      </c>
      <c r="L8" s="17">
        <f>'Monthly Data'!AT8</f>
        <v>713152</v>
      </c>
      <c r="M8">
        <f>'Monthly Data'!BJ8</f>
        <v>0</v>
      </c>
      <c r="O8" s="17"/>
      <c r="P8" s="17">
        <f t="shared" ca="1" si="1"/>
        <v>0</v>
      </c>
      <c r="Q8" s="17">
        <f t="shared" ca="1" si="2"/>
        <v>1279707.0442249964</v>
      </c>
      <c r="R8" s="17"/>
      <c r="S8" s="17"/>
      <c r="T8" s="17"/>
      <c r="U8" s="17"/>
      <c r="V8" s="17"/>
      <c r="W8" s="17">
        <f t="shared" ca="1" si="3"/>
        <v>29299103.739382457</v>
      </c>
      <c r="Y8" t="s">
        <v>34</v>
      </c>
      <c r="Z8" s="105">
        <v>11741.684045846499</v>
      </c>
      <c r="AA8" s="105">
        <v>340.50341561495401</v>
      </c>
      <c r="AB8" s="76">
        <v>34.483307677371997</v>
      </c>
      <c r="AC8" s="251">
        <v>4.4807285194303098E-65</v>
      </c>
    </row>
    <row r="9" spans="1:29" x14ac:dyDescent="0.2">
      <c r="A9" s="28">
        <f>'Monthly Data'!A9</f>
        <v>41852</v>
      </c>
      <c r="B9">
        <f>'Monthly Data'!C9</f>
        <v>8</v>
      </c>
      <c r="C9">
        <f>'Monthly Data'!B9</f>
        <v>2014</v>
      </c>
      <c r="D9" s="18">
        <f>'Monthly Data'!N9</f>
        <v>28140240.283092655</v>
      </c>
      <c r="E9" s="215">
        <f ca="1">Weather!CT43</f>
        <v>0.1158333333333335</v>
      </c>
      <c r="F9" s="216">
        <f ca="1">Weather!BB43</f>
        <v>74.696666666666673</v>
      </c>
      <c r="G9" s="98">
        <f>'Monthly Data'!AI9</f>
        <v>1.1333333333333346</v>
      </c>
      <c r="H9" s="98">
        <f>'Monthly Data'!AD9</f>
        <v>55.279166666666697</v>
      </c>
      <c r="I9">
        <f>'Monthly Data'!AV9</f>
        <v>8</v>
      </c>
      <c r="J9">
        <f>'Monthly Data'!BO9</f>
        <v>31</v>
      </c>
      <c r="K9">
        <f>'Monthly Data'!BR9</f>
        <v>0</v>
      </c>
      <c r="L9" s="17">
        <f>'Monthly Data'!AT9</f>
        <v>713152</v>
      </c>
      <c r="M9">
        <f>'Monthly Data'!BJ9</f>
        <v>0</v>
      </c>
      <c r="O9" s="17"/>
      <c r="P9" s="17">
        <f t="shared" ca="1" si="1"/>
        <v>-11947.163516648827</v>
      </c>
      <c r="Q9" s="17">
        <f t="shared" ca="1" si="2"/>
        <v>423603.68999336561</v>
      </c>
      <c r="R9" s="17"/>
      <c r="S9" s="17"/>
      <c r="T9" s="17"/>
      <c r="U9" s="17"/>
      <c r="V9" s="17"/>
      <c r="W9" s="17">
        <f t="shared" ca="1" si="3"/>
        <v>28551896.809569374</v>
      </c>
      <c r="Y9" t="s">
        <v>29</v>
      </c>
      <c r="Z9" s="105">
        <v>21815.562765204901</v>
      </c>
      <c r="AA9" s="105">
        <v>1912.8817201296799</v>
      </c>
      <c r="AB9" s="76">
        <v>11.404553943735699</v>
      </c>
      <c r="AC9" s="251">
        <v>5.3447480253911997E-21</v>
      </c>
    </row>
    <row r="10" spans="1:29" x14ac:dyDescent="0.2">
      <c r="A10" s="28">
        <f>'Monthly Data'!A10</f>
        <v>41883</v>
      </c>
      <c r="B10">
        <f>'Monthly Data'!C10</f>
        <v>9</v>
      </c>
      <c r="C10">
        <f>'Monthly Data'!B10</f>
        <v>2014</v>
      </c>
      <c r="D10" s="18">
        <f>'Monthly Data'!N10</f>
        <v>28441518.027214915</v>
      </c>
      <c r="E10" s="215">
        <f ca="1">Weather!CT44</f>
        <v>11.597845892171184</v>
      </c>
      <c r="F10" s="216">
        <f ca="1">Weather!BB44</f>
        <v>25.91041666666667</v>
      </c>
      <c r="G10" s="98">
        <f>'Monthly Data'!AI10</f>
        <v>35.229166666666664</v>
      </c>
      <c r="H10" s="98">
        <f>'Monthly Data'!AD10</f>
        <v>14.11666666666666</v>
      </c>
      <c r="I10">
        <f>'Monthly Data'!AV10</f>
        <v>9</v>
      </c>
      <c r="J10">
        <f>'Monthly Data'!BO10</f>
        <v>30</v>
      </c>
      <c r="K10">
        <f>'Monthly Data'!BR10</f>
        <v>0</v>
      </c>
      <c r="L10" s="17">
        <f>'Monthly Data'!AT10</f>
        <v>713152</v>
      </c>
      <c r="M10">
        <f>'Monthly Data'!BJ10</f>
        <v>1</v>
      </c>
      <c r="O10" s="17"/>
      <c r="P10" s="17">
        <f t="shared" ca="1" si="1"/>
        <v>-277471.50212017453</v>
      </c>
      <c r="Q10" s="17">
        <f t="shared" ca="1" si="2"/>
        <v>257287.2933621355</v>
      </c>
      <c r="R10" s="17"/>
      <c r="S10" s="17"/>
      <c r="T10" s="17"/>
      <c r="U10" s="17"/>
      <c r="V10" s="17"/>
      <c r="W10" s="17">
        <f t="shared" ca="1" si="3"/>
        <v>28421333.818456877</v>
      </c>
      <c r="Y10" t="s">
        <v>47</v>
      </c>
      <c r="Z10" s="105">
        <v>-35917.466268607197</v>
      </c>
      <c r="AA10" s="105">
        <v>7838.7253453206304</v>
      </c>
      <c r="AB10" s="76">
        <v>-4.5820544395076004</v>
      </c>
      <c r="AC10" s="251">
        <v>1.1131639584773E-5</v>
      </c>
    </row>
    <row r="11" spans="1:29" x14ac:dyDescent="0.2">
      <c r="A11" s="28">
        <f>'Monthly Data'!A11</f>
        <v>41913</v>
      </c>
      <c r="B11">
        <f>'Monthly Data'!C11</f>
        <v>10</v>
      </c>
      <c r="C11">
        <f>'Monthly Data'!B11</f>
        <v>2014</v>
      </c>
      <c r="D11" s="18">
        <f>'Monthly Data'!N11</f>
        <v>30844451.580300067</v>
      </c>
      <c r="E11" s="215">
        <f ca="1">Weather!CT45</f>
        <v>128.51888157360821</v>
      </c>
      <c r="F11" s="216">
        <f ca="1">Weather!BB45</f>
        <v>2.0656249999999989</v>
      </c>
      <c r="G11" s="98">
        <f>'Monthly Data'!AI11</f>
        <v>131.08956338256775</v>
      </c>
      <c r="H11" s="98">
        <f>'Monthly Data'!AD11</f>
        <v>0</v>
      </c>
      <c r="I11">
        <f>'Monthly Data'!AV11</f>
        <v>10</v>
      </c>
      <c r="J11">
        <f>'Monthly Data'!BO11</f>
        <v>31</v>
      </c>
      <c r="K11">
        <f>'Monthly Data'!BR11</f>
        <v>0</v>
      </c>
      <c r="L11" s="17">
        <f>'Monthly Data'!AT11</f>
        <v>716976</v>
      </c>
      <c r="M11">
        <f>'Monthly Data'!BJ11</f>
        <v>1</v>
      </c>
      <c r="O11" s="17"/>
      <c r="P11" s="17">
        <f t="shared" ca="1" si="1"/>
        <v>-30184.133583207986</v>
      </c>
      <c r="Q11" s="17">
        <f t="shared" ca="1" si="2"/>
        <v>45062.771836876353</v>
      </c>
      <c r="R11" s="17"/>
      <c r="S11" s="17"/>
      <c r="T11" s="17"/>
      <c r="U11" s="17"/>
      <c r="V11" s="17"/>
      <c r="W11" s="17">
        <f t="shared" ca="1" si="3"/>
        <v>30859330.218553737</v>
      </c>
      <c r="Y11" t="s">
        <v>66</v>
      </c>
      <c r="Z11" s="105">
        <v>826981.79623816197</v>
      </c>
      <c r="AA11" s="105">
        <v>45971.413026811002</v>
      </c>
      <c r="AB11" s="76">
        <v>17.989044534173001</v>
      </c>
      <c r="AC11" s="251">
        <v>3.0448706922036697E-36</v>
      </c>
    </row>
    <row r="12" spans="1:29" x14ac:dyDescent="0.2">
      <c r="A12" s="28">
        <f>'Monthly Data'!A12</f>
        <v>41944</v>
      </c>
      <c r="B12">
        <f>'Monthly Data'!C12</f>
        <v>11</v>
      </c>
      <c r="C12">
        <f>'Monthly Data'!B12</f>
        <v>2014</v>
      </c>
      <c r="D12" s="18">
        <f>'Monthly Data'!N12</f>
        <v>32830100.218734831</v>
      </c>
      <c r="E12" s="215">
        <f ca="1">Weather!CT46</f>
        <v>332.1049960098469</v>
      </c>
      <c r="F12" s="216">
        <f ca="1">Weather!BB46</f>
        <v>0</v>
      </c>
      <c r="G12" s="98">
        <f>'Monthly Data'!AI12</f>
        <v>413.34929225504521</v>
      </c>
      <c r="H12" s="98">
        <f>'Monthly Data'!AD12</f>
        <v>0</v>
      </c>
      <c r="I12">
        <f>'Monthly Data'!AV12</f>
        <v>11</v>
      </c>
      <c r="J12">
        <f>'Monthly Data'!BO12</f>
        <v>30</v>
      </c>
      <c r="K12">
        <f>'Monthly Data'!BR12</f>
        <v>0</v>
      </c>
      <c r="L12" s="17">
        <f>'Monthly Data'!AT12</f>
        <v>716976</v>
      </c>
      <c r="M12">
        <f>'Monthly Data'!BJ12</f>
        <v>1</v>
      </c>
      <c r="O12" s="17"/>
      <c r="P12" s="17">
        <f t="shared" ca="1" si="1"/>
        <v>-953944.85703827173</v>
      </c>
      <c r="Q12" s="17">
        <f t="shared" ca="1" si="2"/>
        <v>0</v>
      </c>
      <c r="R12" s="17"/>
      <c r="S12" s="17"/>
      <c r="T12" s="17"/>
      <c r="U12" s="17"/>
      <c r="V12" s="17"/>
      <c r="W12" s="17">
        <f t="shared" ca="1" si="3"/>
        <v>31876155.36169656</v>
      </c>
      <c r="Y12" t="s">
        <v>69</v>
      </c>
      <c r="Z12" s="105">
        <v>-1932105.38036072</v>
      </c>
      <c r="AA12" s="105">
        <v>517635.81692495203</v>
      </c>
      <c r="AB12" s="76">
        <v>-3.7325573640527998</v>
      </c>
      <c r="AC12" s="251">
        <v>2.8831258096878798E-4</v>
      </c>
    </row>
    <row r="13" spans="1:29" x14ac:dyDescent="0.2">
      <c r="A13" s="28">
        <f>'Monthly Data'!A13</f>
        <v>41974</v>
      </c>
      <c r="B13">
        <f>'Monthly Data'!C13</f>
        <v>12</v>
      </c>
      <c r="C13">
        <f>'Monthly Data'!B13</f>
        <v>2014</v>
      </c>
      <c r="D13" s="18">
        <f>'Monthly Data'!N13</f>
        <v>34969793.401415013</v>
      </c>
      <c r="E13" s="215">
        <f ca="1">Weather!CT47</f>
        <v>508.62936502461724</v>
      </c>
      <c r="F13" s="216">
        <f ca="1">Weather!BB47</f>
        <v>0</v>
      </c>
      <c r="G13" s="98">
        <f>'Monthly Data'!AI13</f>
        <v>514.76666666666665</v>
      </c>
      <c r="H13" s="98">
        <f>'Monthly Data'!AD13</f>
        <v>0</v>
      </c>
      <c r="I13">
        <f>'Monthly Data'!AV13</f>
        <v>12</v>
      </c>
      <c r="J13">
        <f>'Monthly Data'!BO13</f>
        <v>31</v>
      </c>
      <c r="K13">
        <f>'Monthly Data'!BR13</f>
        <v>0</v>
      </c>
      <c r="L13" s="17">
        <f>'Monthly Data'!AT13</f>
        <v>716976</v>
      </c>
      <c r="M13">
        <f>'Monthly Data'!BJ13</f>
        <v>0</v>
      </c>
      <c r="O13" s="17"/>
      <c r="P13" s="17">
        <f t="shared" ca="1" si="1"/>
        <v>-72062.256774999056</v>
      </c>
      <c r="Q13" s="17">
        <f t="shared" ca="1" si="2"/>
        <v>0</v>
      </c>
      <c r="R13" s="17"/>
      <c r="S13" s="17"/>
      <c r="T13" s="17"/>
      <c r="U13" s="17"/>
      <c r="V13" s="17"/>
      <c r="W13" s="17">
        <f t="shared" ca="1" si="3"/>
        <v>34897731.144640014</v>
      </c>
      <c r="Y13" t="s">
        <v>45</v>
      </c>
      <c r="Z13" s="105">
        <v>17.0506648845043</v>
      </c>
      <c r="AA13" s="105">
        <v>5.0440147791221399</v>
      </c>
      <c r="AB13" s="76">
        <v>3.3803756791275301</v>
      </c>
      <c r="AC13" s="251">
        <v>9.70566681494129E-4</v>
      </c>
    </row>
    <row r="14" spans="1:29" x14ac:dyDescent="0.2">
      <c r="A14" s="28">
        <f>'Monthly Data'!A14</f>
        <v>42005</v>
      </c>
      <c r="B14">
        <f>'Monthly Data'!C14</f>
        <v>1</v>
      </c>
      <c r="C14">
        <f>'Monthly Data'!B14</f>
        <v>2015</v>
      </c>
      <c r="D14" s="18">
        <f>'Monthly Data'!N14</f>
        <v>37525993.187569529</v>
      </c>
      <c r="E14" s="10">
        <f ca="1">E2</f>
        <v>666.68367523535153</v>
      </c>
      <c r="F14" s="10">
        <f ca="1">F2</f>
        <v>0</v>
      </c>
      <c r="G14" s="98">
        <f>'Monthly Data'!AI14</f>
        <v>763.31875000000002</v>
      </c>
      <c r="H14" s="98">
        <f>'Monthly Data'!AD14</f>
        <v>0</v>
      </c>
      <c r="I14">
        <f>'Monthly Data'!AV14</f>
        <v>13</v>
      </c>
      <c r="J14">
        <f>'Monthly Data'!BO14</f>
        <v>31</v>
      </c>
      <c r="K14">
        <f>'Monthly Data'!BR14</f>
        <v>0</v>
      </c>
      <c r="L14" s="17">
        <f>'Monthly Data'!AT14</f>
        <v>718587</v>
      </c>
      <c r="M14">
        <f>'Monthly Data'!BJ14</f>
        <v>0</v>
      </c>
      <c r="O14" s="17"/>
      <c r="P14" s="17">
        <f t="shared" ca="1" si="1"/>
        <v>-1134658.5156332569</v>
      </c>
      <c r="Q14" s="17">
        <f t="shared" ca="1" si="2"/>
        <v>0</v>
      </c>
      <c r="R14" s="17"/>
      <c r="S14" s="17"/>
      <c r="T14" s="17"/>
      <c r="U14" s="17"/>
      <c r="V14" s="17"/>
      <c r="W14" s="17">
        <f t="shared" ca="1" si="3"/>
        <v>36391334.671936274</v>
      </c>
      <c r="Y14" t="s">
        <v>61</v>
      </c>
      <c r="Z14" s="105">
        <v>413783.55369814899</v>
      </c>
      <c r="AA14" s="105">
        <v>151753.19522408201</v>
      </c>
      <c r="AB14" s="76">
        <v>2.72668758695424</v>
      </c>
      <c r="AC14" s="251">
        <v>7.3325468143778001E-3</v>
      </c>
    </row>
    <row r="15" spans="1:29" x14ac:dyDescent="0.2">
      <c r="A15" s="28">
        <f>'Monthly Data'!A15</f>
        <v>42036</v>
      </c>
      <c r="B15">
        <f>'Monthly Data'!C15</f>
        <v>2</v>
      </c>
      <c r="C15">
        <f>'Monthly Data'!B15</f>
        <v>2015</v>
      </c>
      <c r="D15" s="18">
        <f>'Monthly Data'!N15</f>
        <v>34433695.116453581</v>
      </c>
      <c r="E15" s="10">
        <f t="shared" ref="E15:F30" ca="1" si="4">E3</f>
        <v>599.3508333333333</v>
      </c>
      <c r="F15" s="10">
        <f t="shared" ca="1" si="4"/>
        <v>0</v>
      </c>
      <c r="G15" s="98">
        <f>'Monthly Data'!AI15</f>
        <v>805.05624999999998</v>
      </c>
      <c r="H15" s="98">
        <f>'Monthly Data'!AD15</f>
        <v>0</v>
      </c>
      <c r="I15">
        <f>'Monthly Data'!AV15</f>
        <v>14</v>
      </c>
      <c r="J15">
        <f>'Monthly Data'!BO15</f>
        <v>28</v>
      </c>
      <c r="K15">
        <f>'Monthly Data'!BR15</f>
        <v>0</v>
      </c>
      <c r="L15" s="17">
        <f>'Monthly Data'!AT15</f>
        <v>718587</v>
      </c>
      <c r="M15">
        <f>'Monthly Data'!BJ15</f>
        <v>0</v>
      </c>
      <c r="O15" s="17"/>
      <c r="P15" s="17">
        <f t="shared" ca="1" si="1"/>
        <v>-2415328.0090192067</v>
      </c>
      <c r="Q15" s="17">
        <f t="shared" ca="1" si="2"/>
        <v>0</v>
      </c>
      <c r="R15" s="17"/>
      <c r="S15" s="17"/>
      <c r="T15" s="17"/>
      <c r="U15" s="17"/>
      <c r="V15" s="17"/>
      <c r="W15" s="17">
        <f t="shared" ca="1" si="3"/>
        <v>32018367.107434373</v>
      </c>
    </row>
    <row r="16" spans="1:29" x14ac:dyDescent="0.2">
      <c r="A16" s="28">
        <f>'Monthly Data'!A16</f>
        <v>42064</v>
      </c>
      <c r="B16">
        <f>'Monthly Data'!C16</f>
        <v>3</v>
      </c>
      <c r="C16">
        <f>'Monthly Data'!B16</f>
        <v>2015</v>
      </c>
      <c r="D16" s="18">
        <f>'Monthly Data'!N16</f>
        <v>35206079.096577205</v>
      </c>
      <c r="E16" s="10">
        <f t="shared" ca="1" si="4"/>
        <v>469.11853767651354</v>
      </c>
      <c r="F16" s="10">
        <f t="shared" ca="1" si="4"/>
        <v>0</v>
      </c>
      <c r="G16" s="98">
        <f>'Monthly Data'!AI16</f>
        <v>514.78333333333342</v>
      </c>
      <c r="H16" s="98">
        <f>'Monthly Data'!AD16</f>
        <v>0</v>
      </c>
      <c r="I16">
        <f>'Monthly Data'!AV16</f>
        <v>15</v>
      </c>
      <c r="J16">
        <f>'Monthly Data'!BO16</f>
        <v>31</v>
      </c>
      <c r="K16">
        <f>'Monthly Data'!BR16</f>
        <v>0</v>
      </c>
      <c r="L16" s="17">
        <f>'Monthly Data'!AT16</f>
        <v>718587</v>
      </c>
      <c r="M16">
        <f>'Monthly Data'!BJ16</f>
        <v>0</v>
      </c>
      <c r="O16" s="17"/>
      <c r="P16" s="17">
        <f t="shared" ca="1" si="1"/>
        <v>-536181.60262052249</v>
      </c>
      <c r="Q16" s="17">
        <f t="shared" ca="1" si="2"/>
        <v>0</v>
      </c>
      <c r="R16" s="17"/>
      <c r="S16" s="17"/>
      <c r="T16" s="17"/>
      <c r="U16" s="17"/>
      <c r="V16" s="17"/>
      <c r="W16" s="17">
        <f t="shared" ca="1" si="3"/>
        <v>34669897.493956685</v>
      </c>
      <c r="Y16" t="s">
        <v>143</v>
      </c>
    </row>
    <row r="17" spans="1:28" x14ac:dyDescent="0.2">
      <c r="A17" s="28">
        <f>'Monthly Data'!A17</f>
        <v>42095</v>
      </c>
      <c r="B17">
        <f>'Monthly Data'!C17</f>
        <v>4</v>
      </c>
      <c r="C17">
        <f>'Monthly Data'!B17</f>
        <v>2015</v>
      </c>
      <c r="D17" s="18">
        <f>'Monthly Data'!N17</f>
        <v>29332521.895687036</v>
      </c>
      <c r="E17" s="10">
        <f t="shared" ca="1" si="4"/>
        <v>233.92395833333336</v>
      </c>
      <c r="F17" s="10">
        <f t="shared" ca="1" si="4"/>
        <v>1.1666666666666714E-2</v>
      </c>
      <c r="G17" s="98">
        <f>'Monthly Data'!AI17</f>
        <v>206.76874999999998</v>
      </c>
      <c r="H17" s="98">
        <f>'Monthly Data'!AD17</f>
        <v>0</v>
      </c>
      <c r="I17">
        <f>'Monthly Data'!AV17</f>
        <v>16</v>
      </c>
      <c r="J17">
        <f>'Monthly Data'!BO17</f>
        <v>30</v>
      </c>
      <c r="K17">
        <f>'Monthly Data'!BR17</f>
        <v>0</v>
      </c>
      <c r="L17" s="17">
        <f>'Monthly Data'!AT17</f>
        <v>723726</v>
      </c>
      <c r="M17">
        <f>'Monthly Data'!BJ17</f>
        <v>0</v>
      </c>
      <c r="O17" s="17"/>
      <c r="P17" s="17">
        <f t="shared" ca="1" si="1"/>
        <v>318847.87644913845</v>
      </c>
      <c r="Q17" s="17">
        <f t="shared" ca="1" si="2"/>
        <v>254.51489892739153</v>
      </c>
      <c r="R17" s="17"/>
      <c r="S17" s="17"/>
      <c r="T17" s="17"/>
      <c r="U17" s="17"/>
      <c r="V17" s="17"/>
      <c r="W17" s="17">
        <f t="shared" ca="1" si="3"/>
        <v>29651624.287035104</v>
      </c>
      <c r="Y17" t="s">
        <v>144</v>
      </c>
      <c r="Z17">
        <v>36066514561472</v>
      </c>
      <c r="AA17" t="s">
        <v>145</v>
      </c>
      <c r="AB17" s="105">
        <v>541501.33482912497</v>
      </c>
    </row>
    <row r="18" spans="1:28" x14ac:dyDescent="0.2">
      <c r="A18" s="28">
        <f>'Monthly Data'!A18</f>
        <v>42125</v>
      </c>
      <c r="B18">
        <f>'Monthly Data'!C18</f>
        <v>5</v>
      </c>
      <c r="C18">
        <f>'Monthly Data'!B18</f>
        <v>2015</v>
      </c>
      <c r="D18" s="18">
        <f>'Monthly Data'!N18</f>
        <v>28039906.557423722</v>
      </c>
      <c r="E18" s="10">
        <f t="shared" ca="1" si="4"/>
        <v>46.324929225504526</v>
      </c>
      <c r="F18" s="10">
        <f t="shared" ca="1" si="4"/>
        <v>19.778958333333328</v>
      </c>
      <c r="G18" s="98">
        <f>'Monthly Data'!AI18</f>
        <v>22.945833333333329</v>
      </c>
      <c r="H18" s="98">
        <f>'Monthly Data'!AD18</f>
        <v>15.270833333333325</v>
      </c>
      <c r="I18">
        <f>'Monthly Data'!AV18</f>
        <v>17</v>
      </c>
      <c r="J18">
        <f>'Monthly Data'!BO18</f>
        <v>31</v>
      </c>
      <c r="K18">
        <f>'Monthly Data'!BR18</f>
        <v>0</v>
      </c>
      <c r="L18" s="17">
        <f>'Monthly Data'!AT18</f>
        <v>723726</v>
      </c>
      <c r="M18">
        <f>'Monthly Data'!BJ18</f>
        <v>0</v>
      </c>
      <c r="O18" s="17"/>
      <c r="P18" s="17">
        <f t="shared" ca="1" si="1"/>
        <v>274509.95724342199</v>
      </c>
      <c r="Q18" s="17">
        <f t="shared" ca="1" si="2"/>
        <v>98347.283890889419</v>
      </c>
      <c r="R18" s="17"/>
      <c r="S18" s="17"/>
      <c r="T18" s="17"/>
      <c r="U18" s="17"/>
      <c r="V18" s="17"/>
      <c r="W18" s="17">
        <f t="shared" ca="1" si="3"/>
        <v>28412763.798558034</v>
      </c>
      <c r="Y18" t="s">
        <v>146</v>
      </c>
      <c r="Z18" s="252">
        <v>0.96561073764774297</v>
      </c>
      <c r="AA18" t="s">
        <v>147</v>
      </c>
      <c r="AB18" s="252">
        <v>0.96365362515615105</v>
      </c>
    </row>
    <row r="19" spans="1:28" x14ac:dyDescent="0.2">
      <c r="A19" s="28">
        <f>'Monthly Data'!A19</f>
        <v>42156</v>
      </c>
      <c r="B19">
        <f>'Monthly Data'!C19</f>
        <v>6</v>
      </c>
      <c r="C19">
        <f>'Monthly Data'!B19</f>
        <v>2015</v>
      </c>
      <c r="D19" s="18">
        <f>'Monthly Data'!N19</f>
        <v>27666358.35763308</v>
      </c>
      <c r="E19" s="10">
        <f t="shared" ca="1" si="4"/>
        <v>1.25875</v>
      </c>
      <c r="F19" s="10">
        <f t="shared" ca="1" si="4"/>
        <v>53.293685210734182</v>
      </c>
      <c r="G19" s="98">
        <f>'Monthly Data'!AI19</f>
        <v>0</v>
      </c>
      <c r="H19" s="98">
        <f>'Monthly Data'!AD19</f>
        <v>26.534061029053731</v>
      </c>
      <c r="I19">
        <f>'Monthly Data'!AV19</f>
        <v>18</v>
      </c>
      <c r="J19">
        <f>'Monthly Data'!BO19</f>
        <v>30</v>
      </c>
      <c r="K19">
        <f>'Monthly Data'!BR19</f>
        <v>0</v>
      </c>
      <c r="L19" s="17">
        <f>'Monthly Data'!AT19</f>
        <v>723726</v>
      </c>
      <c r="M19">
        <f>'Monthly Data'!BJ19</f>
        <v>0</v>
      </c>
      <c r="O19" s="17"/>
      <c r="P19" s="17">
        <f t="shared" ca="1" si="1"/>
        <v>14779.844792709282</v>
      </c>
      <c r="Q19" s="17">
        <f t="shared" ca="1" si="2"/>
        <v>583776.26090874465</v>
      </c>
      <c r="R19" s="17"/>
      <c r="S19" s="17"/>
      <c r="T19" s="17"/>
      <c r="U19" s="17"/>
      <c r="V19" s="17"/>
      <c r="W19" s="17">
        <f t="shared" ca="1" si="3"/>
        <v>28264914.463334534</v>
      </c>
      <c r="Y19" t="s">
        <v>489</v>
      </c>
      <c r="Z19" s="76">
        <v>401.36140250093098</v>
      </c>
      <c r="AA19" t="s">
        <v>148</v>
      </c>
      <c r="AB19" s="252">
        <v>1.6943725825629001E-81</v>
      </c>
    </row>
    <row r="20" spans="1:28" x14ac:dyDescent="0.2">
      <c r="A20" s="28">
        <f>'Monthly Data'!A20</f>
        <v>42186</v>
      </c>
      <c r="B20">
        <f>'Monthly Data'!C20</f>
        <v>7</v>
      </c>
      <c r="C20">
        <f>'Monthly Data'!B20</f>
        <v>2015</v>
      </c>
      <c r="D20" s="18">
        <f>'Monthly Data'!N20</f>
        <v>29065483.472317301</v>
      </c>
      <c r="E20" s="10">
        <f t="shared" ca="1" si="4"/>
        <v>0</v>
      </c>
      <c r="F20" s="10">
        <f t="shared" ca="1" si="4"/>
        <v>104.42694776957208</v>
      </c>
      <c r="G20" s="98">
        <f>'Monthly Data'!AI20</f>
        <v>0</v>
      </c>
      <c r="H20" s="98">
        <f>'Monthly Data'!AD20</f>
        <v>99.108333333333334</v>
      </c>
      <c r="I20">
        <f>'Monthly Data'!AV20</f>
        <v>19</v>
      </c>
      <c r="J20">
        <f>'Monthly Data'!BO20</f>
        <v>31</v>
      </c>
      <c r="K20">
        <f>'Monthly Data'!BR20</f>
        <v>0</v>
      </c>
      <c r="L20" s="17">
        <f>'Monthly Data'!AT20</f>
        <v>730341</v>
      </c>
      <c r="M20">
        <f>'Monthly Data'!BJ20</f>
        <v>0</v>
      </c>
      <c r="O20" s="17"/>
      <c r="P20" s="17">
        <f t="shared" ca="1" si="1"/>
        <v>0</v>
      </c>
      <c r="Q20" s="17">
        <f t="shared" ca="1" si="2"/>
        <v>116028.56705769125</v>
      </c>
      <c r="R20" s="17"/>
      <c r="S20" s="17"/>
      <c r="T20" s="17"/>
      <c r="U20" s="17"/>
      <c r="V20" s="17"/>
      <c r="W20" s="17">
        <f t="shared" ca="1" si="3"/>
        <v>29181512.039374992</v>
      </c>
      <c r="Y20" t="s">
        <v>149</v>
      </c>
      <c r="Z20" s="252">
        <v>-3.5575708606437502E-2</v>
      </c>
      <c r="AA20" t="s">
        <v>150</v>
      </c>
      <c r="AB20" s="252">
        <v>2.0582840745129398</v>
      </c>
    </row>
    <row r="21" spans="1:28" x14ac:dyDescent="0.2">
      <c r="A21" s="28">
        <f>'Monthly Data'!A21</f>
        <v>42217</v>
      </c>
      <c r="B21">
        <f>'Monthly Data'!C21</f>
        <v>8</v>
      </c>
      <c r="C21">
        <f>'Monthly Data'!B21</f>
        <v>2015</v>
      </c>
      <c r="D21" s="18">
        <f>'Monthly Data'!N21</f>
        <v>28381856.660066649</v>
      </c>
      <c r="E21" s="10">
        <f t="shared" ca="1" si="4"/>
        <v>0.1158333333333335</v>
      </c>
      <c r="F21" s="10">
        <f t="shared" ca="1" si="4"/>
        <v>74.696666666666673</v>
      </c>
      <c r="G21" s="98">
        <f>'Monthly Data'!AI21</f>
        <v>0</v>
      </c>
      <c r="H21" s="98">
        <f>'Monthly Data'!AD21</f>
        <v>65.76666666666668</v>
      </c>
      <c r="I21">
        <f>'Monthly Data'!AV21</f>
        <v>20</v>
      </c>
      <c r="J21">
        <f>'Monthly Data'!BO21</f>
        <v>31</v>
      </c>
      <c r="K21">
        <f>'Monthly Data'!BR21</f>
        <v>0</v>
      </c>
      <c r="L21" s="17">
        <f>'Monthly Data'!AT21</f>
        <v>730341</v>
      </c>
      <c r="M21">
        <f>'Monthly Data'!BJ21</f>
        <v>0</v>
      </c>
      <c r="O21" s="17"/>
      <c r="P21" s="17">
        <f t="shared" ca="1" si="1"/>
        <v>1360.0784019772213</v>
      </c>
      <c r="Q21" s="17">
        <f t="shared" ca="1" si="2"/>
        <v>194812.97549327961</v>
      </c>
      <c r="R21" s="17"/>
      <c r="S21" s="17"/>
      <c r="T21" s="17"/>
      <c r="U21" s="17"/>
      <c r="V21" s="17"/>
      <c r="W21" s="17">
        <f t="shared" ca="1" si="3"/>
        <v>28578029.713961907</v>
      </c>
    </row>
    <row r="22" spans="1:28" x14ac:dyDescent="0.2">
      <c r="A22" s="28">
        <f>'Monthly Data'!A22</f>
        <v>42248</v>
      </c>
      <c r="B22">
        <f>'Monthly Data'!C22</f>
        <v>9</v>
      </c>
      <c r="C22">
        <f>'Monthly Data'!B22</f>
        <v>2015</v>
      </c>
      <c r="D22" s="18">
        <f>'Monthly Data'!N22</f>
        <v>28197307.314456262</v>
      </c>
      <c r="E22" s="10">
        <f t="shared" ca="1" si="4"/>
        <v>11.597845892171184</v>
      </c>
      <c r="F22" s="10">
        <f t="shared" ca="1" si="4"/>
        <v>25.91041666666667</v>
      </c>
      <c r="G22" s="98">
        <f>'Monthly Data'!AI22</f>
        <v>5.0249999999999986</v>
      </c>
      <c r="H22" s="98">
        <f>'Monthly Data'!AD22</f>
        <v>54.29374999999996</v>
      </c>
      <c r="I22">
        <f>'Monthly Data'!AV22</f>
        <v>21</v>
      </c>
      <c r="J22">
        <f>'Monthly Data'!BO22</f>
        <v>30</v>
      </c>
      <c r="K22">
        <f>'Monthly Data'!BR22</f>
        <v>0</v>
      </c>
      <c r="L22" s="17">
        <f>'Monthly Data'!AT22</f>
        <v>730341</v>
      </c>
      <c r="M22">
        <f>'Monthly Data'!BJ22</f>
        <v>1</v>
      </c>
      <c r="O22" s="17"/>
      <c r="P22" s="17">
        <f t="shared" ca="1" si="1"/>
        <v>77176.279747914115</v>
      </c>
      <c r="Q22" s="17">
        <f t="shared" ca="1" si="2"/>
        <v>-619198.38981906488</v>
      </c>
      <c r="R22" s="17"/>
      <c r="S22" s="17"/>
      <c r="T22" s="17"/>
      <c r="U22" s="17"/>
      <c r="V22" s="17"/>
      <c r="W22" s="17">
        <f t="shared" ca="1" si="3"/>
        <v>27655285.204385109</v>
      </c>
      <c r="Y22" t="s">
        <v>151</v>
      </c>
    </row>
    <row r="23" spans="1:28" x14ac:dyDescent="0.2">
      <c r="A23" s="28">
        <f>'Monthly Data'!A23</f>
        <v>42278</v>
      </c>
      <c r="B23">
        <f>'Monthly Data'!C23</f>
        <v>10</v>
      </c>
      <c r="C23">
        <f>'Monthly Data'!B23</f>
        <v>2015</v>
      </c>
      <c r="D23" s="18">
        <f>'Monthly Data'!N23</f>
        <v>28821038.068710539</v>
      </c>
      <c r="E23" s="10">
        <f t="shared" ca="1" si="4"/>
        <v>128.51888157360821</v>
      </c>
      <c r="F23" s="10">
        <f t="shared" ca="1" si="4"/>
        <v>2.0656249999999989</v>
      </c>
      <c r="G23" s="98">
        <f>'Monthly Data'!AI23</f>
        <v>151.64166666666668</v>
      </c>
      <c r="H23" s="98">
        <f>'Monthly Data'!AD23</f>
        <v>0</v>
      </c>
      <c r="I23">
        <f>'Monthly Data'!AV23</f>
        <v>22</v>
      </c>
      <c r="J23">
        <f>'Monthly Data'!BO23</f>
        <v>31</v>
      </c>
      <c r="K23">
        <f>'Monthly Data'!BR23</f>
        <v>0</v>
      </c>
      <c r="L23" s="17">
        <f>'Monthly Data'!AT23</f>
        <v>737784</v>
      </c>
      <c r="M23">
        <f>'Monthly Data'!BJ23</f>
        <v>1</v>
      </c>
      <c r="O23" s="17"/>
      <c r="P23" s="17">
        <f t="shared" ca="1" si="1"/>
        <v>-271500.43682270189</v>
      </c>
      <c r="Q23" s="17">
        <f t="shared" ca="1" si="2"/>
        <v>45062.771836876353</v>
      </c>
      <c r="R23" s="17"/>
      <c r="S23" s="17"/>
      <c r="T23" s="17"/>
      <c r="U23" s="17"/>
      <c r="V23" s="17"/>
      <c r="W23" s="17">
        <f t="shared" ca="1" si="3"/>
        <v>28594600.403724715</v>
      </c>
      <c r="Y23" t="s">
        <v>152</v>
      </c>
      <c r="Z23">
        <v>30057404.177312002</v>
      </c>
      <c r="AA23" t="s">
        <v>153</v>
      </c>
      <c r="AB23">
        <v>2837565.8405742599</v>
      </c>
    </row>
    <row r="24" spans="1:28" x14ac:dyDescent="0.2">
      <c r="A24" s="28">
        <f>'Monthly Data'!A24</f>
        <v>42309</v>
      </c>
      <c r="B24">
        <f>'Monthly Data'!C24</f>
        <v>11</v>
      </c>
      <c r="C24">
        <f>'Monthly Data'!B24</f>
        <v>2015</v>
      </c>
      <c r="D24" s="18">
        <f>'Monthly Data'!N24</f>
        <v>30205603.567728698</v>
      </c>
      <c r="E24" s="10">
        <f t="shared" ca="1" si="4"/>
        <v>332.1049960098469</v>
      </c>
      <c r="F24" s="10">
        <f t="shared" ca="1" si="4"/>
        <v>0</v>
      </c>
      <c r="G24" s="98">
        <f>'Monthly Data'!AI24</f>
        <v>246.22083333333336</v>
      </c>
      <c r="H24" s="98">
        <f>'Monthly Data'!AD24</f>
        <v>0</v>
      </c>
      <c r="I24">
        <f>'Monthly Data'!AV24</f>
        <v>23</v>
      </c>
      <c r="J24">
        <f>'Monthly Data'!BO24</f>
        <v>30</v>
      </c>
      <c r="K24">
        <f>'Monthly Data'!BR24</f>
        <v>0</v>
      </c>
      <c r="L24" s="17">
        <f>'Monthly Data'!AT24</f>
        <v>737784</v>
      </c>
      <c r="M24">
        <f>'Monthly Data'!BJ24</f>
        <v>1</v>
      </c>
      <c r="O24" s="17"/>
      <c r="P24" s="17">
        <f t="shared" ca="1" si="1"/>
        <v>1008424.7026897044</v>
      </c>
      <c r="Q24" s="17">
        <f t="shared" ca="1" si="2"/>
        <v>0</v>
      </c>
      <c r="R24" s="17"/>
      <c r="S24" s="17"/>
      <c r="T24" s="17"/>
      <c r="U24" s="17"/>
      <c r="V24" s="17"/>
      <c r="W24" s="17">
        <f t="shared" ca="1" si="3"/>
        <v>31214028.270418402</v>
      </c>
    </row>
    <row r="25" spans="1:28" x14ac:dyDescent="0.2">
      <c r="A25" s="28">
        <f>'Monthly Data'!A25</f>
        <v>42339</v>
      </c>
      <c r="B25">
        <f>'Monthly Data'!C25</f>
        <v>12</v>
      </c>
      <c r="C25">
        <f>'Monthly Data'!B25</f>
        <v>2015</v>
      </c>
      <c r="D25" s="18">
        <f>'Monthly Data'!N25</f>
        <v>32372334.335820865</v>
      </c>
      <c r="E25" s="10">
        <f t="shared" ca="1" si="4"/>
        <v>508.62936502461724</v>
      </c>
      <c r="F25" s="10">
        <f t="shared" ca="1" si="4"/>
        <v>0</v>
      </c>
      <c r="G25" s="98">
        <f>'Monthly Data'!AI25</f>
        <v>352.51249999999993</v>
      </c>
      <c r="H25" s="98">
        <f>'Monthly Data'!AD25</f>
        <v>0</v>
      </c>
      <c r="I25">
        <f>'Monthly Data'!AV25</f>
        <v>24</v>
      </c>
      <c r="J25">
        <f>'Monthly Data'!BO25</f>
        <v>31</v>
      </c>
      <c r="K25">
        <f>'Monthly Data'!BR25</f>
        <v>0</v>
      </c>
      <c r="L25" s="17">
        <f>'Monthly Data'!AT25</f>
        <v>737784</v>
      </c>
      <c r="M25">
        <f>'Monthly Data'!BJ25</f>
        <v>0</v>
      </c>
      <c r="O25" s="17"/>
      <c r="P25" s="17">
        <f t="shared" ca="1" si="1"/>
        <v>1833074.9033471204</v>
      </c>
      <c r="Q25" s="17">
        <f t="shared" ca="1" si="2"/>
        <v>0</v>
      </c>
      <c r="R25" s="17"/>
      <c r="S25" s="17"/>
      <c r="T25" s="17"/>
      <c r="U25" s="17"/>
      <c r="V25" s="17"/>
      <c r="W25" s="17">
        <f t="shared" ca="1" si="3"/>
        <v>34205409.239167988</v>
      </c>
    </row>
    <row r="26" spans="1:28" x14ac:dyDescent="0.2">
      <c r="A26" s="28">
        <f>'Monthly Data'!A26</f>
        <v>42370</v>
      </c>
      <c r="B26">
        <f>'Monthly Data'!C26</f>
        <v>1</v>
      </c>
      <c r="C26">
        <f>'Monthly Data'!B26</f>
        <v>2016</v>
      </c>
      <c r="D26" s="18">
        <f>'Monthly Data'!N26</f>
        <v>35247496.219310194</v>
      </c>
      <c r="E26" s="10">
        <f t="shared" ca="1" si="4"/>
        <v>666.68367523535153</v>
      </c>
      <c r="F26" s="10">
        <f t="shared" ca="1" si="4"/>
        <v>0</v>
      </c>
      <c r="G26" s="98">
        <f>'Monthly Data'!AI26</f>
        <v>615.80416666666679</v>
      </c>
      <c r="H26" s="98">
        <f>'Monthly Data'!AD26</f>
        <v>0</v>
      </c>
      <c r="I26">
        <f>'Monthly Data'!AV26</f>
        <v>25</v>
      </c>
      <c r="J26">
        <f>'Monthly Data'!BO26</f>
        <v>31</v>
      </c>
      <c r="K26">
        <f>'Monthly Data'!BR26</f>
        <v>0</v>
      </c>
      <c r="L26" s="17">
        <f>'Monthly Data'!AT26</f>
        <v>743287</v>
      </c>
      <c r="M26">
        <f>'Monthly Data'!BJ26</f>
        <v>0</v>
      </c>
      <c r="O26" s="17"/>
      <c r="P26" s="17">
        <f t="shared" ca="1" si="1"/>
        <v>597411.11402143585</v>
      </c>
      <c r="Q26" s="17">
        <f t="shared" ca="1" si="2"/>
        <v>0</v>
      </c>
      <c r="R26" s="17"/>
      <c r="S26" s="17"/>
      <c r="T26" s="17"/>
      <c r="U26" s="17"/>
      <c r="V26" s="17"/>
      <c r="W26" s="17">
        <f t="shared" ca="1" si="3"/>
        <v>35844907.33333163</v>
      </c>
    </row>
    <row r="27" spans="1:28" x14ac:dyDescent="0.2">
      <c r="A27" s="28">
        <f>'Monthly Data'!A27</f>
        <v>42401</v>
      </c>
      <c r="B27">
        <f>'Monthly Data'!C27</f>
        <v>2</v>
      </c>
      <c r="C27">
        <f>'Monthly Data'!B27</f>
        <v>2016</v>
      </c>
      <c r="D27" s="18">
        <f>'Monthly Data'!N27</f>
        <v>32459358.879751384</v>
      </c>
      <c r="E27" s="10">
        <f t="shared" ca="1" si="4"/>
        <v>599.3508333333333</v>
      </c>
      <c r="F27" s="10">
        <f t="shared" ca="1" si="4"/>
        <v>0</v>
      </c>
      <c r="G27" s="98">
        <f>'Monthly Data'!AI27</f>
        <v>607.26874999999995</v>
      </c>
      <c r="H27" s="98">
        <f>'Monthly Data'!AD27</f>
        <v>0</v>
      </c>
      <c r="I27">
        <f>'Monthly Data'!AV27</f>
        <v>26</v>
      </c>
      <c r="J27">
        <f>'Monthly Data'!BO27</f>
        <v>29</v>
      </c>
      <c r="K27">
        <f>'Monthly Data'!BR27</f>
        <v>0</v>
      </c>
      <c r="L27" s="17">
        <f>'Monthly Data'!AT27</f>
        <v>743287</v>
      </c>
      <c r="M27">
        <f>'Monthly Data'!BJ27</f>
        <v>0</v>
      </c>
      <c r="O27" s="17"/>
      <c r="P27" s="17">
        <f t="shared" ca="1" si="1"/>
        <v>-92969.675801341975</v>
      </c>
      <c r="Q27" s="17">
        <f t="shared" ca="1" si="2"/>
        <v>0</v>
      </c>
      <c r="R27" s="17"/>
      <c r="S27" s="17"/>
      <c r="T27" s="17"/>
      <c r="U27" s="17"/>
      <c r="V27" s="17"/>
      <c r="W27" s="17">
        <f t="shared" ca="1" si="3"/>
        <v>32366389.203950044</v>
      </c>
    </row>
    <row r="28" spans="1:28" x14ac:dyDescent="0.2">
      <c r="A28" s="28">
        <f>'Monthly Data'!A28</f>
        <v>42430</v>
      </c>
      <c r="B28">
        <f>'Monthly Data'!C28</f>
        <v>3</v>
      </c>
      <c r="C28">
        <f>'Monthly Data'!B28</f>
        <v>2016</v>
      </c>
      <c r="D28" s="18">
        <f>'Monthly Data'!N28</f>
        <v>32394729.877224918</v>
      </c>
      <c r="E28" s="10">
        <f t="shared" ca="1" si="4"/>
        <v>469.11853767651354</v>
      </c>
      <c r="F28" s="10">
        <f t="shared" ca="1" si="4"/>
        <v>0</v>
      </c>
      <c r="G28" s="98">
        <f>'Monthly Data'!AI28</f>
        <v>401.50208333333336</v>
      </c>
      <c r="H28" s="98">
        <f>'Monthly Data'!AD28</f>
        <v>0</v>
      </c>
      <c r="I28">
        <f>'Monthly Data'!AV28</f>
        <v>27</v>
      </c>
      <c r="J28">
        <f>'Monthly Data'!BO28</f>
        <v>31</v>
      </c>
      <c r="K28">
        <f>'Monthly Data'!BR28</f>
        <v>0</v>
      </c>
      <c r="L28" s="17">
        <f>'Monthly Data'!AT28</f>
        <v>743287</v>
      </c>
      <c r="M28">
        <f>'Monthly Data'!BJ28</f>
        <v>0</v>
      </c>
      <c r="O28" s="17"/>
      <c r="P28" s="17">
        <f t="shared" ca="1" si="1"/>
        <v>793931.04319802695</v>
      </c>
      <c r="Q28" s="17">
        <f t="shared" ca="1" si="2"/>
        <v>0</v>
      </c>
      <c r="R28" s="17"/>
      <c r="S28" s="17"/>
      <c r="T28" s="17"/>
      <c r="U28" s="17"/>
      <c r="V28" s="17"/>
      <c r="W28" s="17">
        <f t="shared" ca="1" si="3"/>
        <v>33188660.920422945</v>
      </c>
    </row>
    <row r="29" spans="1:28" x14ac:dyDescent="0.2">
      <c r="A29" s="28">
        <f>'Monthly Data'!A29</f>
        <v>42461</v>
      </c>
      <c r="B29">
        <f>'Monthly Data'!C29</f>
        <v>4</v>
      </c>
      <c r="C29">
        <f>'Monthly Data'!B29</f>
        <v>2016</v>
      </c>
      <c r="D29" s="18">
        <f>'Monthly Data'!N29</f>
        <v>28940353.581118435</v>
      </c>
      <c r="E29" s="10">
        <f t="shared" ca="1" si="4"/>
        <v>233.92395833333336</v>
      </c>
      <c r="F29" s="10">
        <f t="shared" ca="1" si="4"/>
        <v>1.1666666666666714E-2</v>
      </c>
      <c r="G29" s="98">
        <f>'Monthly Data'!AI29</f>
        <v>293.09999999999997</v>
      </c>
      <c r="H29" s="98">
        <f>'Monthly Data'!AD29</f>
        <v>0</v>
      </c>
      <c r="I29">
        <f>'Monthly Data'!AV29</f>
        <v>28</v>
      </c>
      <c r="J29">
        <f>'Monthly Data'!BO29</f>
        <v>30</v>
      </c>
      <c r="K29">
        <f>'Monthly Data'!BR29</f>
        <v>0</v>
      </c>
      <c r="L29" s="17">
        <f>'Monthly Data'!AT29</f>
        <v>740632</v>
      </c>
      <c r="M29">
        <f>'Monthly Data'!BJ29</f>
        <v>0</v>
      </c>
      <c r="O29" s="17"/>
      <c r="P29" s="17">
        <f t="shared" ca="1" si="1"/>
        <v>-694826.38433384697</v>
      </c>
      <c r="Q29" s="17">
        <f t="shared" ca="1" si="2"/>
        <v>254.51489892739153</v>
      </c>
      <c r="R29" s="17"/>
      <c r="S29" s="17"/>
      <c r="T29" s="17"/>
      <c r="U29" s="17"/>
      <c r="V29" s="17"/>
      <c r="W29" s="17">
        <f t="shared" ca="1" si="3"/>
        <v>28245781.711683515</v>
      </c>
    </row>
    <row r="30" spans="1:28" x14ac:dyDescent="0.2">
      <c r="A30" s="28">
        <f>'Monthly Data'!A30</f>
        <v>42491</v>
      </c>
      <c r="B30">
        <f>'Monthly Data'!C30</f>
        <v>5</v>
      </c>
      <c r="C30">
        <f>'Monthly Data'!B30</f>
        <v>2016</v>
      </c>
      <c r="D30" s="18">
        <f>'Monthly Data'!N30</f>
        <v>27378681.483578455</v>
      </c>
      <c r="E30" s="10">
        <f t="shared" ca="1" si="4"/>
        <v>46.324929225504526</v>
      </c>
      <c r="F30" s="10">
        <f t="shared" ca="1" si="4"/>
        <v>19.778958333333328</v>
      </c>
      <c r="G30" s="98">
        <f>'Monthly Data'!AI30</f>
        <v>34.1875</v>
      </c>
      <c r="H30" s="98">
        <f>'Monthly Data'!AD30</f>
        <v>20.966666666666669</v>
      </c>
      <c r="I30">
        <f>'Monthly Data'!AV30</f>
        <v>29</v>
      </c>
      <c r="J30">
        <f>'Monthly Data'!BO30</f>
        <v>31</v>
      </c>
      <c r="K30">
        <f>'Monthly Data'!BR30</f>
        <v>0</v>
      </c>
      <c r="L30" s="17">
        <f>'Monthly Data'!AT30</f>
        <v>740632</v>
      </c>
      <c r="M30">
        <f>'Monthly Data'!BJ30</f>
        <v>0</v>
      </c>
      <c r="O30" s="17"/>
      <c r="P30" s="17">
        <f t="shared" ca="1" si="1"/>
        <v>142513.85909469752</v>
      </c>
      <c r="Q30" s="17">
        <f t="shared" ca="1" si="2"/>
        <v>-25910.525692590389</v>
      </c>
      <c r="R30" s="17"/>
      <c r="S30" s="17"/>
      <c r="T30" s="17"/>
      <c r="U30" s="17"/>
      <c r="V30" s="17"/>
      <c r="W30" s="17">
        <f t="shared" ca="1" si="3"/>
        <v>27495284.816980563</v>
      </c>
    </row>
    <row r="31" spans="1:28" x14ac:dyDescent="0.2">
      <c r="A31" s="28">
        <f>'Monthly Data'!A31</f>
        <v>42522</v>
      </c>
      <c r="B31">
        <f>'Monthly Data'!C31</f>
        <v>6</v>
      </c>
      <c r="C31">
        <f>'Monthly Data'!B31</f>
        <v>2016</v>
      </c>
      <c r="D31" s="18">
        <f>'Monthly Data'!N31</f>
        <v>27434328.919874996</v>
      </c>
      <c r="E31" s="10">
        <f t="shared" ref="E31:F46" ca="1" si="5">E19</f>
        <v>1.25875</v>
      </c>
      <c r="F31" s="10">
        <f t="shared" ca="1" si="5"/>
        <v>53.293685210734182</v>
      </c>
      <c r="G31" s="98">
        <f>'Monthly Data'!AI31</f>
        <v>2.2375000000000016</v>
      </c>
      <c r="H31" s="98">
        <f>'Monthly Data'!AD31</f>
        <v>66.60208333333334</v>
      </c>
      <c r="I31">
        <f>'Monthly Data'!AV31</f>
        <v>30</v>
      </c>
      <c r="J31">
        <f>'Monthly Data'!BO31</f>
        <v>30</v>
      </c>
      <c r="K31">
        <f>'Monthly Data'!BR31</f>
        <v>0</v>
      </c>
      <c r="L31" s="17">
        <f>'Monthly Data'!AT31</f>
        <v>740632</v>
      </c>
      <c r="M31">
        <f>'Monthly Data'!BJ31</f>
        <v>0</v>
      </c>
      <c r="O31" s="17"/>
      <c r="P31" s="17">
        <f t="shared" ca="1" si="1"/>
        <v>-11492.173259872279</v>
      </c>
      <c r="Q31" s="17">
        <f t="shared" ca="1" si="2"/>
        <v>-290330.19454789697</v>
      </c>
      <c r="R31" s="17"/>
      <c r="S31" s="17"/>
      <c r="T31" s="17"/>
      <c r="U31" s="17"/>
      <c r="V31" s="17"/>
      <c r="W31" s="17">
        <f t="shared" ca="1" si="3"/>
        <v>27132506.552067228</v>
      </c>
    </row>
    <row r="32" spans="1:28" x14ac:dyDescent="0.2">
      <c r="A32" s="28">
        <f>'Monthly Data'!A32</f>
        <v>42552</v>
      </c>
      <c r="B32">
        <f>'Monthly Data'!C32</f>
        <v>7</v>
      </c>
      <c r="C32">
        <f>'Monthly Data'!B32</f>
        <v>2016</v>
      </c>
      <c r="D32" s="18">
        <f>'Monthly Data'!N32</f>
        <v>29318170.811119556</v>
      </c>
      <c r="E32" s="10">
        <f t="shared" ca="1" si="5"/>
        <v>0</v>
      </c>
      <c r="F32" s="10">
        <f t="shared" ca="1" si="5"/>
        <v>104.42694776957208</v>
      </c>
      <c r="G32" s="98">
        <f>'Monthly Data'!AI32</f>
        <v>0</v>
      </c>
      <c r="H32" s="98">
        <f>'Monthly Data'!AD32</f>
        <v>120.72083333333335</v>
      </c>
      <c r="I32">
        <f>'Monthly Data'!AV32</f>
        <v>31</v>
      </c>
      <c r="J32">
        <f>'Monthly Data'!BO32</f>
        <v>31</v>
      </c>
      <c r="K32">
        <f>'Monthly Data'!BR32</f>
        <v>0</v>
      </c>
      <c r="L32" s="17">
        <f>'Monthly Data'!AT32</f>
        <v>746606</v>
      </c>
      <c r="M32">
        <f>'Monthly Data'!BJ32</f>
        <v>0</v>
      </c>
      <c r="O32" s="17"/>
      <c r="P32" s="17">
        <f t="shared" ca="1" si="1"/>
        <v>0</v>
      </c>
      <c r="Q32" s="17">
        <f t="shared" ca="1" si="2"/>
        <v>-355460.28320529993</v>
      </c>
      <c r="R32" s="17"/>
      <c r="S32" s="17"/>
      <c r="T32" s="17"/>
      <c r="U32" s="17"/>
      <c r="V32" s="17"/>
      <c r="W32" s="17">
        <f t="shared" ca="1" si="3"/>
        <v>28962710.527914256</v>
      </c>
    </row>
    <row r="33" spans="1:23" x14ac:dyDescent="0.2">
      <c r="A33" s="28">
        <f>'Monthly Data'!A33</f>
        <v>42583</v>
      </c>
      <c r="B33">
        <f>'Monthly Data'!C33</f>
        <v>8</v>
      </c>
      <c r="C33">
        <f>'Monthly Data'!B33</f>
        <v>2016</v>
      </c>
      <c r="D33" s="18">
        <f>'Monthly Data'!N33</f>
        <v>29867205.248904526</v>
      </c>
      <c r="E33" s="10">
        <f t="shared" ca="1" si="5"/>
        <v>0.1158333333333335</v>
      </c>
      <c r="F33" s="10">
        <f t="shared" ca="1" si="5"/>
        <v>74.696666666666673</v>
      </c>
      <c r="G33" s="98">
        <f>'Monthly Data'!AI33</f>
        <v>0</v>
      </c>
      <c r="H33" s="98">
        <f>'Monthly Data'!AD33</f>
        <v>117.68750000000001</v>
      </c>
      <c r="I33">
        <f>'Monthly Data'!AV33</f>
        <v>32</v>
      </c>
      <c r="J33">
        <f>'Monthly Data'!BO33</f>
        <v>31</v>
      </c>
      <c r="K33">
        <f>'Monthly Data'!BR33</f>
        <v>0</v>
      </c>
      <c r="L33" s="17">
        <f>'Monthly Data'!AT33</f>
        <v>746606</v>
      </c>
      <c r="M33">
        <f>'Monthly Data'!BJ33</f>
        <v>0</v>
      </c>
      <c r="O33" s="17"/>
      <c r="P33" s="17">
        <f t="shared" ca="1" si="1"/>
        <v>1360.0784019772213</v>
      </c>
      <c r="Q33" s="17">
        <f t="shared" ca="1" si="2"/>
        <v>-937869.22291179653</v>
      </c>
      <c r="R33" s="17"/>
      <c r="S33" s="17"/>
      <c r="T33" s="17"/>
      <c r="U33" s="17"/>
      <c r="V33" s="17"/>
      <c r="W33" s="17">
        <f t="shared" ca="1" si="3"/>
        <v>28930696.104394708</v>
      </c>
    </row>
    <row r="34" spans="1:23" x14ac:dyDescent="0.2">
      <c r="A34" s="28">
        <f>'Monthly Data'!A34</f>
        <v>42614</v>
      </c>
      <c r="B34">
        <f>'Monthly Data'!C34</f>
        <v>9</v>
      </c>
      <c r="C34">
        <f>'Monthly Data'!B34</f>
        <v>2016</v>
      </c>
      <c r="D34" s="18">
        <f>'Monthly Data'!N34</f>
        <v>27630000.897851404</v>
      </c>
      <c r="E34" s="10">
        <f t="shared" ca="1" si="5"/>
        <v>11.597845892171184</v>
      </c>
      <c r="F34" s="10">
        <f t="shared" ca="1" si="5"/>
        <v>25.91041666666667</v>
      </c>
      <c r="G34" s="98">
        <f>'Monthly Data'!AI34</f>
        <v>1.0041666666666682</v>
      </c>
      <c r="H34" s="98">
        <f>'Monthly Data'!AD34</f>
        <v>26.447916666666682</v>
      </c>
      <c r="I34">
        <f>'Monthly Data'!AV34</f>
        <v>33</v>
      </c>
      <c r="J34">
        <f>'Monthly Data'!BO34</f>
        <v>30</v>
      </c>
      <c r="K34">
        <f>'Monthly Data'!BR34</f>
        <v>0</v>
      </c>
      <c r="L34" s="17">
        <f>'Monthly Data'!AT34</f>
        <v>746606</v>
      </c>
      <c r="M34">
        <f>'Monthly Data'!BJ34</f>
        <v>1</v>
      </c>
      <c r="O34" s="17"/>
      <c r="P34" s="17">
        <f t="shared" ca="1" si="1"/>
        <v>124387.63434892189</v>
      </c>
      <c r="Q34" s="17">
        <f t="shared" ca="1" si="2"/>
        <v>-11725.864986297898</v>
      </c>
      <c r="R34" s="17"/>
      <c r="S34" s="17"/>
      <c r="T34" s="17"/>
      <c r="U34" s="17"/>
      <c r="V34" s="17"/>
      <c r="W34" s="17">
        <f t="shared" ca="1" si="3"/>
        <v>27742662.667214029</v>
      </c>
    </row>
    <row r="35" spans="1:23" x14ac:dyDescent="0.2">
      <c r="A35" s="28">
        <f>'Monthly Data'!A35</f>
        <v>42644</v>
      </c>
      <c r="B35">
        <f>'Monthly Data'!C35</f>
        <v>10</v>
      </c>
      <c r="C35">
        <f>'Monthly Data'!B35</f>
        <v>2016</v>
      </c>
      <c r="D35" s="18">
        <f>'Monthly Data'!N35</f>
        <v>28269122.016322847</v>
      </c>
      <c r="E35" s="10">
        <f t="shared" ca="1" si="5"/>
        <v>128.51888157360821</v>
      </c>
      <c r="F35" s="10">
        <f t="shared" ca="1" si="5"/>
        <v>2.0656249999999989</v>
      </c>
      <c r="G35" s="98">
        <f>'Monthly Data'!AI35</f>
        <v>121.99583333333332</v>
      </c>
      <c r="H35" s="98">
        <f>'Monthly Data'!AD35</f>
        <v>2.404166666666665</v>
      </c>
      <c r="I35">
        <f>'Monthly Data'!AV35</f>
        <v>34</v>
      </c>
      <c r="J35">
        <f>'Monthly Data'!BO35</f>
        <v>31</v>
      </c>
      <c r="K35">
        <f>'Monthly Data'!BR35</f>
        <v>0</v>
      </c>
      <c r="L35" s="17">
        <f>'Monthly Data'!AT35</f>
        <v>745380</v>
      </c>
      <c r="M35">
        <f>'Monthly Data'!BJ35</f>
        <v>1</v>
      </c>
      <c r="O35" s="17"/>
      <c r="P35" s="17">
        <f t="shared" ca="1" si="1"/>
        <v>76591.571453122742</v>
      </c>
      <c r="Q35" s="17">
        <f t="shared" ca="1" si="2"/>
        <v>-7385.4769778037298</v>
      </c>
      <c r="R35" s="17"/>
      <c r="S35" s="17"/>
      <c r="T35" s="17"/>
      <c r="U35" s="17"/>
      <c r="V35" s="17"/>
      <c r="W35" s="17">
        <f t="shared" ca="1" si="3"/>
        <v>28338328.110798165</v>
      </c>
    </row>
    <row r="36" spans="1:23" x14ac:dyDescent="0.2">
      <c r="A36" s="28">
        <f>'Monthly Data'!A36</f>
        <v>42675</v>
      </c>
      <c r="B36">
        <f>'Monthly Data'!C36</f>
        <v>11</v>
      </c>
      <c r="C36">
        <f>'Monthly Data'!B36</f>
        <v>2016</v>
      </c>
      <c r="D36" s="18">
        <f>'Monthly Data'!N36</f>
        <v>29625054.663851045</v>
      </c>
      <c r="E36" s="10">
        <f t="shared" ca="1" si="5"/>
        <v>332.1049960098469</v>
      </c>
      <c r="F36" s="10">
        <f t="shared" ca="1" si="5"/>
        <v>0</v>
      </c>
      <c r="G36" s="98">
        <f>'Monthly Data'!AI36</f>
        <v>223.76250000000002</v>
      </c>
      <c r="H36" s="98">
        <f>'Monthly Data'!AD36</f>
        <v>0</v>
      </c>
      <c r="I36">
        <f>'Monthly Data'!AV36</f>
        <v>35</v>
      </c>
      <c r="J36">
        <f>'Monthly Data'!BO36</f>
        <v>30</v>
      </c>
      <c r="K36">
        <f>'Monthly Data'!BR36</f>
        <v>0</v>
      </c>
      <c r="L36" s="17">
        <f>'Monthly Data'!AT36</f>
        <v>745380</v>
      </c>
      <c r="M36">
        <f>'Monthly Data'!BJ36</f>
        <v>1</v>
      </c>
      <c r="O36" s="17"/>
      <c r="P36" s="17">
        <f t="shared" ca="1" si="1"/>
        <v>1272123.3568860071</v>
      </c>
      <c r="Q36" s="17">
        <f t="shared" ca="1" si="2"/>
        <v>0</v>
      </c>
      <c r="R36" s="17"/>
      <c r="S36" s="17"/>
      <c r="T36" s="17"/>
      <c r="U36" s="17"/>
      <c r="V36" s="17"/>
      <c r="W36" s="17">
        <f t="shared" ca="1" si="3"/>
        <v>30897178.020737052</v>
      </c>
    </row>
    <row r="37" spans="1:23" x14ac:dyDescent="0.2">
      <c r="A37" s="28">
        <f>'Monthly Data'!A37</f>
        <v>42705</v>
      </c>
      <c r="B37">
        <f>'Monthly Data'!C37</f>
        <v>12</v>
      </c>
      <c r="C37">
        <f>'Monthly Data'!B37</f>
        <v>2016</v>
      </c>
      <c r="D37" s="18">
        <f>'Monthly Data'!N37</f>
        <v>33235343.950073261</v>
      </c>
      <c r="E37" s="10">
        <f t="shared" ca="1" si="5"/>
        <v>508.62936502461724</v>
      </c>
      <c r="F37" s="10">
        <f t="shared" ca="1" si="5"/>
        <v>0</v>
      </c>
      <c r="G37" s="98">
        <f>'Monthly Data'!AI37</f>
        <v>534.79583333333335</v>
      </c>
      <c r="H37" s="98">
        <f>'Monthly Data'!AD37</f>
        <v>0</v>
      </c>
      <c r="I37">
        <f>'Monthly Data'!AV37</f>
        <v>36</v>
      </c>
      <c r="J37">
        <f>'Monthly Data'!BO37</f>
        <v>31</v>
      </c>
      <c r="K37">
        <f>'Monthly Data'!BR37</f>
        <v>0</v>
      </c>
      <c r="L37" s="17">
        <f>'Monthly Data'!AT37</f>
        <v>745380</v>
      </c>
      <c r="M37">
        <f>'Monthly Data'!BJ37</f>
        <v>0</v>
      </c>
      <c r="O37" s="17"/>
      <c r="P37" s="17">
        <f t="shared" ca="1" si="1"/>
        <v>-307238.40347659995</v>
      </c>
      <c r="Q37" s="17">
        <f t="shared" ca="1" si="2"/>
        <v>0</v>
      </c>
      <c r="R37" s="17"/>
      <c r="S37" s="17"/>
      <c r="T37" s="17"/>
      <c r="U37" s="17"/>
      <c r="V37" s="17"/>
      <c r="W37" s="17">
        <f t="shared" ca="1" si="3"/>
        <v>32928105.546596661</v>
      </c>
    </row>
    <row r="38" spans="1:23" x14ac:dyDescent="0.2">
      <c r="A38" s="28">
        <f>'Monthly Data'!A38</f>
        <v>42736</v>
      </c>
      <c r="B38">
        <f>'Monthly Data'!C38</f>
        <v>1</v>
      </c>
      <c r="C38">
        <f>'Monthly Data'!B38</f>
        <v>2017</v>
      </c>
      <c r="D38" s="18">
        <f>'Monthly Data'!N38</f>
        <v>33771797.658702679</v>
      </c>
      <c r="E38" s="10">
        <f t="shared" ca="1" si="5"/>
        <v>666.68367523535153</v>
      </c>
      <c r="F38" s="10">
        <f t="shared" ca="1" si="5"/>
        <v>0</v>
      </c>
      <c r="G38" s="98">
        <f>'Monthly Data'!AI38</f>
        <v>540.22916666666674</v>
      </c>
      <c r="H38" s="98">
        <f>'Monthly Data'!AD38</f>
        <v>0</v>
      </c>
      <c r="I38">
        <f>'Monthly Data'!AV38</f>
        <v>37</v>
      </c>
      <c r="J38">
        <f>'Monthly Data'!BO38</f>
        <v>31</v>
      </c>
      <c r="K38">
        <f>'Monthly Data'!BR38</f>
        <v>0</v>
      </c>
      <c r="L38" s="17">
        <f>'Monthly Data'!AT38</f>
        <v>756702</v>
      </c>
      <c r="M38">
        <f>'Monthly Data'!BJ38</f>
        <v>0</v>
      </c>
      <c r="O38" s="17"/>
      <c r="P38" s="17">
        <f t="shared" ca="1" si="1"/>
        <v>1484788.8857862856</v>
      </c>
      <c r="Q38" s="17">
        <f t="shared" ca="1" si="2"/>
        <v>0</v>
      </c>
      <c r="R38" s="17"/>
      <c r="S38" s="17"/>
      <c r="T38" s="17"/>
      <c r="U38" s="17"/>
      <c r="V38" s="17"/>
      <c r="W38" s="17">
        <f t="shared" ca="1" si="3"/>
        <v>35256586.544488966</v>
      </c>
    </row>
    <row r="39" spans="1:23" x14ac:dyDescent="0.2">
      <c r="A39" s="28">
        <f>'Monthly Data'!A39</f>
        <v>42767</v>
      </c>
      <c r="B39">
        <f>'Monthly Data'!C39</f>
        <v>2</v>
      </c>
      <c r="C39">
        <f>'Monthly Data'!B39</f>
        <v>2017</v>
      </c>
      <c r="D39" s="18">
        <f>'Monthly Data'!N39</f>
        <v>30821664.603979621</v>
      </c>
      <c r="E39" s="10">
        <f t="shared" ca="1" si="5"/>
        <v>599.3508333333333</v>
      </c>
      <c r="F39" s="10">
        <f t="shared" ca="1" si="5"/>
        <v>0</v>
      </c>
      <c r="G39" s="98">
        <f>'Monthly Data'!AI39</f>
        <v>475.37916666666683</v>
      </c>
      <c r="H39" s="98">
        <f>'Monthly Data'!AD39</f>
        <v>0</v>
      </c>
      <c r="I39">
        <f>'Monthly Data'!AV39</f>
        <v>38</v>
      </c>
      <c r="J39">
        <f>'Monthly Data'!BO39</f>
        <v>28</v>
      </c>
      <c r="K39">
        <f>'Monthly Data'!BR39</f>
        <v>0</v>
      </c>
      <c r="L39" s="17">
        <f>'Monthly Data'!AT39</f>
        <v>756702</v>
      </c>
      <c r="M39">
        <f>'Monthly Data'!BJ39</f>
        <v>0</v>
      </c>
      <c r="O39" s="17"/>
      <c r="P39" s="17">
        <f t="shared" ca="1" si="1"/>
        <v>1455636.140636998</v>
      </c>
      <c r="Q39" s="17">
        <f t="shared" ca="1" si="2"/>
        <v>0</v>
      </c>
      <c r="R39" s="17"/>
      <c r="S39" s="17"/>
      <c r="T39" s="17"/>
      <c r="U39" s="17"/>
      <c r="V39" s="17"/>
      <c r="W39" s="17">
        <f t="shared" ca="1" si="3"/>
        <v>32277300.74461662</v>
      </c>
    </row>
    <row r="40" spans="1:23" x14ac:dyDescent="0.2">
      <c r="A40" s="28">
        <f>'Monthly Data'!A40</f>
        <v>42795</v>
      </c>
      <c r="B40">
        <f>'Monthly Data'!C40</f>
        <v>3</v>
      </c>
      <c r="C40">
        <f>'Monthly Data'!B40</f>
        <v>2017</v>
      </c>
      <c r="D40" s="18">
        <f>'Monthly Data'!N40</f>
        <v>33517131.703601539</v>
      </c>
      <c r="E40" s="10">
        <f t="shared" ca="1" si="5"/>
        <v>469.11853767651354</v>
      </c>
      <c r="F40" s="10">
        <f t="shared" ca="1" si="5"/>
        <v>0</v>
      </c>
      <c r="G40" s="98">
        <f>'Monthly Data'!AI40</f>
        <v>517.80416666666656</v>
      </c>
      <c r="H40" s="98">
        <f>'Monthly Data'!AD40</f>
        <v>0</v>
      </c>
      <c r="I40">
        <f>'Monthly Data'!AV40</f>
        <v>39</v>
      </c>
      <c r="J40">
        <f>'Monthly Data'!BO40</f>
        <v>31</v>
      </c>
      <c r="K40">
        <f>'Monthly Data'!BR40</f>
        <v>0</v>
      </c>
      <c r="L40" s="17">
        <f>'Monthly Data'!AT40</f>
        <v>756702</v>
      </c>
      <c r="M40">
        <f>'Monthly Data'!BJ40</f>
        <v>0</v>
      </c>
      <c r="O40" s="17"/>
      <c r="P40" s="17">
        <f t="shared" ca="1" si="1"/>
        <v>-571651.27317568159</v>
      </c>
      <c r="Q40" s="17">
        <f t="shared" ca="1" si="2"/>
        <v>0</v>
      </c>
      <c r="R40" s="17"/>
      <c r="S40" s="17"/>
      <c r="T40" s="17"/>
      <c r="U40" s="17"/>
      <c r="V40" s="17"/>
      <c r="W40" s="17">
        <f t="shared" ca="1" si="3"/>
        <v>32945480.430425856</v>
      </c>
    </row>
    <row r="41" spans="1:23" x14ac:dyDescent="0.2">
      <c r="A41" s="28">
        <f>'Monthly Data'!A41</f>
        <v>42826</v>
      </c>
      <c r="B41">
        <f>'Monthly Data'!C41</f>
        <v>4</v>
      </c>
      <c r="C41">
        <f>'Monthly Data'!B41</f>
        <v>2017</v>
      </c>
      <c r="D41" s="18">
        <f>'Monthly Data'!N41</f>
        <v>28201638.7495308</v>
      </c>
      <c r="E41" s="10">
        <f t="shared" ca="1" si="5"/>
        <v>233.92395833333336</v>
      </c>
      <c r="F41" s="10">
        <f t="shared" ca="1" si="5"/>
        <v>1.1666666666666714E-2</v>
      </c>
      <c r="G41" s="98">
        <f>'Monthly Data'!AI41</f>
        <v>178.72500000000002</v>
      </c>
      <c r="H41" s="98">
        <f>'Monthly Data'!AD41</f>
        <v>0</v>
      </c>
      <c r="I41">
        <f>'Monthly Data'!AV41</f>
        <v>40</v>
      </c>
      <c r="J41">
        <f>'Monthly Data'!BO41</f>
        <v>30</v>
      </c>
      <c r="K41">
        <f>'Monthly Data'!BR41</f>
        <v>0</v>
      </c>
      <c r="L41" s="17">
        <f>'Monthly Data'!AT41</f>
        <v>764644</v>
      </c>
      <c r="M41">
        <f>'Monthly Data'!BJ41</f>
        <v>0</v>
      </c>
      <c r="O41" s="17"/>
      <c r="P41" s="17">
        <f t="shared" ca="1" si="1"/>
        <v>648128.72840984573</v>
      </c>
      <c r="Q41" s="17">
        <f t="shared" ca="1" si="2"/>
        <v>254.51489892739153</v>
      </c>
      <c r="R41" s="17"/>
      <c r="S41" s="17"/>
      <c r="T41" s="17"/>
      <c r="U41" s="17"/>
      <c r="V41" s="17"/>
      <c r="W41" s="17">
        <f t="shared" ca="1" si="3"/>
        <v>28850021.992839571</v>
      </c>
    </row>
    <row r="42" spans="1:23" x14ac:dyDescent="0.2">
      <c r="A42" s="28">
        <f>'Monthly Data'!A42</f>
        <v>42856</v>
      </c>
      <c r="B42">
        <f>'Monthly Data'!C42</f>
        <v>5</v>
      </c>
      <c r="C42">
        <f>'Monthly Data'!B42</f>
        <v>2017</v>
      </c>
      <c r="D42" s="18">
        <f>'Monthly Data'!N42</f>
        <v>27372200.623789527</v>
      </c>
      <c r="E42" s="10">
        <f t="shared" ca="1" si="5"/>
        <v>46.324929225504526</v>
      </c>
      <c r="F42" s="10">
        <f t="shared" ca="1" si="5"/>
        <v>19.778958333333328</v>
      </c>
      <c r="G42" s="98">
        <f>'Monthly Data'!AI42</f>
        <v>56.574999999999996</v>
      </c>
      <c r="H42" s="98">
        <f>'Monthly Data'!AD42</f>
        <v>5.7874999999999943</v>
      </c>
      <c r="I42">
        <f>'Monthly Data'!AV42</f>
        <v>41</v>
      </c>
      <c r="J42">
        <f>'Monthly Data'!BO42</f>
        <v>31</v>
      </c>
      <c r="K42">
        <f>'Monthly Data'!BR42</f>
        <v>0</v>
      </c>
      <c r="L42" s="17">
        <f>'Monthly Data'!AT42</f>
        <v>764644</v>
      </c>
      <c r="M42">
        <f>'Monthly Data'!BJ42</f>
        <v>0</v>
      </c>
      <c r="O42" s="17"/>
      <c r="P42" s="17">
        <f t="shared" ca="1" si="1"/>
        <v>-120353.09248169092</v>
      </c>
      <c r="Q42" s="17">
        <f t="shared" ca="1" si="2"/>
        <v>305231.53744758252</v>
      </c>
      <c r="R42" s="17"/>
      <c r="S42" s="17"/>
      <c r="T42" s="17"/>
      <c r="U42" s="17"/>
      <c r="V42" s="17"/>
      <c r="W42" s="17">
        <f t="shared" ca="1" si="3"/>
        <v>27557079.068755418</v>
      </c>
    </row>
    <row r="43" spans="1:23" x14ac:dyDescent="0.2">
      <c r="A43" s="28">
        <f>'Monthly Data'!A43</f>
        <v>42887</v>
      </c>
      <c r="B43">
        <f>'Monthly Data'!C43</f>
        <v>6</v>
      </c>
      <c r="C43">
        <f>'Monthly Data'!B43</f>
        <v>2017</v>
      </c>
      <c r="D43" s="18">
        <f>'Monthly Data'!N43</f>
        <v>26996934.5106472</v>
      </c>
      <c r="E43" s="10">
        <f t="shared" ca="1" si="5"/>
        <v>1.25875</v>
      </c>
      <c r="F43" s="10">
        <f t="shared" ca="1" si="5"/>
        <v>53.293685210734182</v>
      </c>
      <c r="G43" s="98">
        <f>'Monthly Data'!AI43</f>
        <v>0.59999999999999964</v>
      </c>
      <c r="H43" s="98">
        <f>'Monthly Data'!AD43</f>
        <v>33.427083333333329</v>
      </c>
      <c r="I43">
        <f>'Monthly Data'!AV43</f>
        <v>42</v>
      </c>
      <c r="J43">
        <f>'Monthly Data'!BO43</f>
        <v>30</v>
      </c>
      <c r="K43">
        <f>'Monthly Data'!BR43</f>
        <v>0</v>
      </c>
      <c r="L43" s="17">
        <f>'Monthly Data'!AT43</f>
        <v>764644</v>
      </c>
      <c r="M43">
        <f>'Monthly Data'!BJ43</f>
        <v>0</v>
      </c>
      <c r="O43" s="17"/>
      <c r="P43" s="17">
        <f t="shared" ca="1" si="1"/>
        <v>7734.8343652013864</v>
      </c>
      <c r="Q43" s="17">
        <f t="shared" ca="1" si="2"/>
        <v>433401.10018777585</v>
      </c>
      <c r="R43" s="17"/>
      <c r="S43" s="17"/>
      <c r="T43" s="17"/>
      <c r="U43" s="17"/>
      <c r="V43" s="17"/>
      <c r="W43" s="17">
        <f t="shared" ca="1" si="3"/>
        <v>27438070.445200179</v>
      </c>
    </row>
    <row r="44" spans="1:23" x14ac:dyDescent="0.2">
      <c r="A44" s="28">
        <f>'Monthly Data'!A44</f>
        <v>42917</v>
      </c>
      <c r="B44">
        <f>'Monthly Data'!C44</f>
        <v>7</v>
      </c>
      <c r="C44">
        <f>'Monthly Data'!B44</f>
        <v>2017</v>
      </c>
      <c r="D44" s="18">
        <f>'Monthly Data'!N44</f>
        <v>30033693.283745877</v>
      </c>
      <c r="E44" s="10">
        <f t="shared" ca="1" si="5"/>
        <v>0</v>
      </c>
      <c r="F44" s="10">
        <f t="shared" ca="1" si="5"/>
        <v>104.42694776957208</v>
      </c>
      <c r="G44" s="98">
        <f>'Monthly Data'!AI44</f>
        <v>0</v>
      </c>
      <c r="H44" s="98">
        <f>'Monthly Data'!AD44</f>
        <v>73.987499999999997</v>
      </c>
      <c r="I44">
        <f>'Monthly Data'!AV44</f>
        <v>43</v>
      </c>
      <c r="J44">
        <f>'Monthly Data'!BO44</f>
        <v>31</v>
      </c>
      <c r="K44">
        <f>'Monthly Data'!BR44</f>
        <v>0</v>
      </c>
      <c r="L44" s="17">
        <f>'Monthly Data'!AT44</f>
        <v>765060</v>
      </c>
      <c r="M44">
        <f>'Monthly Data'!BJ44</f>
        <v>0</v>
      </c>
      <c r="O44" s="17"/>
      <c r="P44" s="17">
        <f t="shared" ca="1" si="1"/>
        <v>0</v>
      </c>
      <c r="Q44" s="17">
        <f t="shared" ca="1" si="2"/>
        <v>664053.68335527612</v>
      </c>
      <c r="R44" s="17"/>
      <c r="S44" s="17"/>
      <c r="T44" s="17"/>
      <c r="U44" s="17"/>
      <c r="V44" s="17"/>
      <c r="W44" s="17">
        <f t="shared" ca="1" si="3"/>
        <v>30697746.967101153</v>
      </c>
    </row>
    <row r="45" spans="1:23" x14ac:dyDescent="0.2">
      <c r="A45" s="28">
        <f>'Monthly Data'!A45</f>
        <v>42948</v>
      </c>
      <c r="B45">
        <f>'Monthly Data'!C45</f>
        <v>8</v>
      </c>
      <c r="C45">
        <f>'Monthly Data'!B45</f>
        <v>2017</v>
      </c>
      <c r="D45" s="18">
        <f>'Monthly Data'!N45</f>
        <v>29810611.990313642</v>
      </c>
      <c r="E45" s="10">
        <f t="shared" ca="1" si="5"/>
        <v>0.1158333333333335</v>
      </c>
      <c r="F45" s="10">
        <f t="shared" ca="1" si="5"/>
        <v>74.696666666666673</v>
      </c>
      <c r="G45" s="98">
        <f>'Monthly Data'!AI45</f>
        <v>2.5000000000000355E-2</v>
      </c>
      <c r="H45" s="98">
        <f>'Monthly Data'!AD45</f>
        <v>35.399999999999991</v>
      </c>
      <c r="I45">
        <f>'Monthly Data'!AV45</f>
        <v>44</v>
      </c>
      <c r="J45">
        <f>'Monthly Data'!BO45</f>
        <v>31</v>
      </c>
      <c r="K45">
        <f>'Monthly Data'!BR45</f>
        <v>0</v>
      </c>
      <c r="L45" s="17">
        <f>'Monthly Data'!AT45</f>
        <v>765060</v>
      </c>
      <c r="M45">
        <f>'Monthly Data'!BJ45</f>
        <v>0</v>
      </c>
      <c r="O45" s="17"/>
      <c r="P45" s="17">
        <f t="shared" ca="1" si="1"/>
        <v>1066.5363008310549</v>
      </c>
      <c r="Q45" s="17">
        <f t="shared" ca="1" si="2"/>
        <v>857278.8981300022</v>
      </c>
      <c r="R45" s="17"/>
      <c r="S45" s="17"/>
      <c r="T45" s="17"/>
      <c r="U45" s="17"/>
      <c r="V45" s="17"/>
      <c r="W45" s="17">
        <f t="shared" ca="1" si="3"/>
        <v>30668957.424744476</v>
      </c>
    </row>
    <row r="46" spans="1:23" x14ac:dyDescent="0.2">
      <c r="A46" s="28">
        <f>'Monthly Data'!A46</f>
        <v>42979</v>
      </c>
      <c r="B46">
        <f>'Monthly Data'!C46</f>
        <v>9</v>
      </c>
      <c r="C46">
        <f>'Monthly Data'!B46</f>
        <v>2017</v>
      </c>
      <c r="D46" s="18">
        <f>'Monthly Data'!N46</f>
        <v>29229664.98879686</v>
      </c>
      <c r="E46" s="10">
        <f t="shared" ca="1" si="5"/>
        <v>11.597845892171184</v>
      </c>
      <c r="F46" s="10">
        <f t="shared" ca="1" si="5"/>
        <v>25.91041666666667</v>
      </c>
      <c r="G46" s="98">
        <f>'Monthly Data'!AI46</f>
        <v>10.408333333333333</v>
      </c>
      <c r="H46" s="98">
        <f>'Monthly Data'!AD46</f>
        <v>48.739583333333343</v>
      </c>
      <c r="I46">
        <f>'Monthly Data'!AV46</f>
        <v>45</v>
      </c>
      <c r="J46">
        <f>'Monthly Data'!BO46</f>
        <v>30</v>
      </c>
      <c r="K46">
        <f>'Monthly Data'!BR46</f>
        <v>0</v>
      </c>
      <c r="L46" s="17">
        <f>'Monthly Data'!AT46</f>
        <v>765060</v>
      </c>
      <c r="M46">
        <f>'Monthly Data'!BJ46</f>
        <v>1</v>
      </c>
      <c r="O46" s="17"/>
      <c r="P46" s="17">
        <f t="shared" ca="1" si="1"/>
        <v>13966.880634440444</v>
      </c>
      <c r="Q46" s="17">
        <f t="shared" ca="1" si="2"/>
        <v>-498031.11829399032</v>
      </c>
      <c r="R46" s="17"/>
      <c r="S46" s="17"/>
      <c r="T46" s="17"/>
      <c r="U46" s="17"/>
      <c r="V46" s="17"/>
      <c r="W46" s="17">
        <f t="shared" ca="1" si="3"/>
        <v>28745600.751137309</v>
      </c>
    </row>
    <row r="47" spans="1:23" x14ac:dyDescent="0.2">
      <c r="A47" s="28">
        <f>'Monthly Data'!A47</f>
        <v>43009</v>
      </c>
      <c r="B47">
        <f>'Monthly Data'!C47</f>
        <v>10</v>
      </c>
      <c r="C47">
        <f>'Monthly Data'!B47</f>
        <v>2017</v>
      </c>
      <c r="D47" s="18">
        <f>'Monthly Data'!N47</f>
        <v>29788281.584134679</v>
      </c>
      <c r="E47" s="10">
        <f t="shared" ref="E47:F62" ca="1" si="6">E35</f>
        <v>128.51888157360821</v>
      </c>
      <c r="F47" s="10">
        <f t="shared" ca="1" si="6"/>
        <v>2.0656249999999989</v>
      </c>
      <c r="G47" s="98">
        <f>'Monthly Data'!AI47</f>
        <v>68.772916666666674</v>
      </c>
      <c r="H47" s="98">
        <f>'Monthly Data'!AD47</f>
        <v>2.1416666666666693</v>
      </c>
      <c r="I47">
        <f>'Monthly Data'!AV47</f>
        <v>46</v>
      </c>
      <c r="J47">
        <f>'Monthly Data'!BO47</f>
        <v>31</v>
      </c>
      <c r="K47">
        <f>'Monthly Data'!BR47</f>
        <v>0</v>
      </c>
      <c r="L47" s="17">
        <f>'Monthly Data'!AT47</f>
        <v>771453</v>
      </c>
      <c r="M47">
        <f>'Monthly Data'!BJ47</f>
        <v>1</v>
      </c>
      <c r="O47" s="17"/>
      <c r="P47" s="17">
        <f t="shared" ca="1" si="1"/>
        <v>701518.24295154028</v>
      </c>
      <c r="Q47" s="17">
        <f t="shared" ca="1" si="2"/>
        <v>-1658.8917519375361</v>
      </c>
      <c r="R47" s="17"/>
      <c r="S47" s="17"/>
      <c r="T47" s="17"/>
      <c r="U47" s="17"/>
      <c r="V47" s="17"/>
      <c r="W47" s="17">
        <f t="shared" ca="1" si="3"/>
        <v>30488140.93533428</v>
      </c>
    </row>
    <row r="48" spans="1:23" x14ac:dyDescent="0.2">
      <c r="A48" s="28">
        <f>'Monthly Data'!A48</f>
        <v>43040</v>
      </c>
      <c r="B48">
        <f>'Monthly Data'!C48</f>
        <v>11</v>
      </c>
      <c r="C48">
        <f>'Monthly Data'!B48</f>
        <v>2017</v>
      </c>
      <c r="D48" s="18">
        <f>'Monthly Data'!N48</f>
        <v>32403452.509253845</v>
      </c>
      <c r="E48" s="10">
        <f t="shared" ca="1" si="6"/>
        <v>332.1049960098469</v>
      </c>
      <c r="F48" s="10">
        <f t="shared" ca="1" si="6"/>
        <v>0</v>
      </c>
      <c r="G48" s="98">
        <f>'Monthly Data'!AI48</f>
        <v>368.26250000000005</v>
      </c>
      <c r="H48" s="98">
        <f>'Monthly Data'!AD48</f>
        <v>0</v>
      </c>
      <c r="I48">
        <f>'Monthly Data'!AV48</f>
        <v>47</v>
      </c>
      <c r="J48">
        <f>'Monthly Data'!BO48</f>
        <v>30</v>
      </c>
      <c r="K48">
        <f>'Monthly Data'!BR48</f>
        <v>0</v>
      </c>
      <c r="L48" s="17">
        <f>'Monthly Data'!AT48</f>
        <v>771453</v>
      </c>
      <c r="M48">
        <f>'Monthly Data'!BJ48</f>
        <v>1</v>
      </c>
      <c r="O48" s="17"/>
      <c r="P48" s="17">
        <f t="shared" ca="1" si="1"/>
        <v>-424549.98773881234</v>
      </c>
      <c r="Q48" s="17">
        <f t="shared" ca="1" si="2"/>
        <v>0</v>
      </c>
      <c r="R48" s="17"/>
      <c r="S48" s="17"/>
      <c r="T48" s="17"/>
      <c r="U48" s="17"/>
      <c r="V48" s="17"/>
      <c r="W48" s="17">
        <f t="shared" ca="1" si="3"/>
        <v>31978902.521515034</v>
      </c>
    </row>
    <row r="49" spans="1:23" x14ac:dyDescent="0.2">
      <c r="A49" s="28">
        <f>'Monthly Data'!A49</f>
        <v>43070</v>
      </c>
      <c r="B49">
        <f>'Monthly Data'!C49</f>
        <v>12</v>
      </c>
      <c r="C49">
        <f>'Monthly Data'!B49</f>
        <v>2017</v>
      </c>
      <c r="D49" s="18">
        <f>'Monthly Data'!N49</f>
        <v>36193918.154773518</v>
      </c>
      <c r="E49" s="10">
        <f t="shared" ca="1" si="6"/>
        <v>508.62936502461724</v>
      </c>
      <c r="F49" s="10">
        <f t="shared" ca="1" si="6"/>
        <v>0</v>
      </c>
      <c r="G49" s="98">
        <f>'Monthly Data'!AI49</f>
        <v>709.36250000000007</v>
      </c>
      <c r="H49" s="98">
        <f>'Monthly Data'!AD49</f>
        <v>0</v>
      </c>
      <c r="I49">
        <f>'Monthly Data'!AV49</f>
        <v>48</v>
      </c>
      <c r="J49">
        <f>'Monthly Data'!BO49</f>
        <v>31</v>
      </c>
      <c r="K49">
        <f>'Monthly Data'!BR49</f>
        <v>0</v>
      </c>
      <c r="L49" s="17">
        <f>'Monthly Data'!AT49</f>
        <v>771453</v>
      </c>
      <c r="M49">
        <f>'Monthly Data'!BJ49</f>
        <v>0</v>
      </c>
      <c r="O49" s="17"/>
      <c r="P49" s="17">
        <f t="shared" ca="1" si="1"/>
        <v>-2356945.0484132045</v>
      </c>
      <c r="Q49" s="17">
        <f t="shared" ca="1" si="2"/>
        <v>0</v>
      </c>
      <c r="R49" s="17"/>
      <c r="S49" s="17"/>
      <c r="T49" s="17"/>
      <c r="U49" s="17"/>
      <c r="V49" s="17"/>
      <c r="W49" s="17">
        <f t="shared" ca="1" si="3"/>
        <v>33836973.106360316</v>
      </c>
    </row>
    <row r="50" spans="1:23" x14ac:dyDescent="0.2">
      <c r="A50" s="28">
        <f>'Monthly Data'!A50</f>
        <v>43101</v>
      </c>
      <c r="B50">
        <f>'Monthly Data'!C50</f>
        <v>1</v>
      </c>
      <c r="C50">
        <f>'Monthly Data'!B50</f>
        <v>2018</v>
      </c>
      <c r="D50" s="18">
        <f>'Monthly Data'!N50</f>
        <v>36876641.478447691</v>
      </c>
      <c r="E50" s="10">
        <f t="shared" ca="1" si="6"/>
        <v>666.68367523535153</v>
      </c>
      <c r="F50" s="10">
        <f t="shared" ca="1" si="6"/>
        <v>0</v>
      </c>
      <c r="G50" s="98">
        <f>'Monthly Data'!AI50</f>
        <v>667.31041666666681</v>
      </c>
      <c r="H50" s="98">
        <f>'Monthly Data'!AD50</f>
        <v>0</v>
      </c>
      <c r="I50">
        <f>'Monthly Data'!AV50</f>
        <v>49</v>
      </c>
      <c r="J50">
        <f>'Monthly Data'!BO50</f>
        <v>31</v>
      </c>
      <c r="K50">
        <f>'Monthly Data'!BR50</f>
        <v>0</v>
      </c>
      <c r="L50" s="17">
        <f>'Monthly Data'!AT50</f>
        <v>779459</v>
      </c>
      <c r="M50">
        <f>'Monthly Data'!BJ50</f>
        <v>0</v>
      </c>
      <c r="O50" s="17"/>
      <c r="P50" s="17">
        <f t="shared" ca="1" si="1"/>
        <v>-7358.9998649456375</v>
      </c>
      <c r="Q50" s="17">
        <f t="shared" ca="1" si="2"/>
        <v>0</v>
      </c>
      <c r="R50" s="17"/>
      <c r="S50" s="17"/>
      <c r="T50" s="17"/>
      <c r="U50" s="17"/>
      <c r="V50" s="17"/>
      <c r="W50" s="17">
        <f t="shared" ca="1" si="3"/>
        <v>36869282.478582747</v>
      </c>
    </row>
    <row r="51" spans="1:23" x14ac:dyDescent="0.2">
      <c r="A51" s="28">
        <f>'Monthly Data'!A51</f>
        <v>43132</v>
      </c>
      <c r="B51">
        <f>'Monthly Data'!C51</f>
        <v>2</v>
      </c>
      <c r="C51">
        <f>'Monthly Data'!B51</f>
        <v>2018</v>
      </c>
      <c r="D51" s="18">
        <f>'Monthly Data'!N51</f>
        <v>32450817.161034416</v>
      </c>
      <c r="E51" s="10">
        <f t="shared" ca="1" si="6"/>
        <v>599.3508333333333</v>
      </c>
      <c r="F51" s="10">
        <f t="shared" ca="1" si="6"/>
        <v>0</v>
      </c>
      <c r="G51" s="98">
        <f>'Monthly Data'!AI51</f>
        <v>537.08958333333339</v>
      </c>
      <c r="H51" s="98">
        <f>'Monthly Data'!AD51</f>
        <v>0</v>
      </c>
      <c r="I51">
        <f>'Monthly Data'!AV51</f>
        <v>50</v>
      </c>
      <c r="J51">
        <f>'Monthly Data'!BO51</f>
        <v>28</v>
      </c>
      <c r="K51">
        <f>'Monthly Data'!BR51</f>
        <v>0</v>
      </c>
      <c r="L51" s="17">
        <f>'Monthly Data'!AT51</f>
        <v>779459</v>
      </c>
      <c r="M51">
        <f>'Monthly Data'!BJ51</f>
        <v>0</v>
      </c>
      <c r="O51" s="17"/>
      <c r="P51" s="17">
        <f t="shared" ca="1" si="1"/>
        <v>731051.92579945922</v>
      </c>
      <c r="Q51" s="17">
        <f t="shared" ca="1" si="2"/>
        <v>0</v>
      </c>
      <c r="R51" s="17"/>
      <c r="S51" s="17"/>
      <c r="T51" s="17"/>
      <c r="U51" s="17"/>
      <c r="V51" s="17"/>
      <c r="W51" s="17">
        <f t="shared" ca="1" si="3"/>
        <v>33181869.086833876</v>
      </c>
    </row>
    <row r="52" spans="1:23" x14ac:dyDescent="0.2">
      <c r="A52" s="28">
        <f>'Monthly Data'!A52</f>
        <v>43160</v>
      </c>
      <c r="B52">
        <f>'Monthly Data'!C52</f>
        <v>3</v>
      </c>
      <c r="C52">
        <f>'Monthly Data'!B52</f>
        <v>2018</v>
      </c>
      <c r="D52" s="18">
        <f>'Monthly Data'!N52</f>
        <v>33530319.642503735</v>
      </c>
      <c r="E52" s="10">
        <f t="shared" ca="1" si="6"/>
        <v>469.11853767651354</v>
      </c>
      <c r="F52" s="10">
        <f t="shared" ca="1" si="6"/>
        <v>0</v>
      </c>
      <c r="G52" s="98">
        <f>'Monthly Data'!AI52</f>
        <v>468.80624999999998</v>
      </c>
      <c r="H52" s="98">
        <f>'Monthly Data'!AD52</f>
        <v>0</v>
      </c>
      <c r="I52">
        <f>'Monthly Data'!AV52</f>
        <v>51</v>
      </c>
      <c r="J52">
        <f>'Monthly Data'!BO52</f>
        <v>31</v>
      </c>
      <c r="K52">
        <f>'Monthly Data'!BR52</f>
        <v>0</v>
      </c>
      <c r="L52" s="17">
        <f>'Monthly Data'!AT52</f>
        <v>779459</v>
      </c>
      <c r="M52">
        <f>'Monthly Data'!BJ52</f>
        <v>0</v>
      </c>
      <c r="O52" s="17"/>
      <c r="P52" s="17">
        <f t="shared" ca="1" si="1"/>
        <v>3666.7832290337742</v>
      </c>
      <c r="Q52" s="17">
        <f t="shared" ca="1" si="2"/>
        <v>0</v>
      </c>
      <c r="R52" s="17"/>
      <c r="S52" s="17"/>
      <c r="T52" s="17"/>
      <c r="U52" s="17"/>
      <c r="V52" s="17"/>
      <c r="W52" s="17">
        <f t="shared" ca="1" si="3"/>
        <v>33533986.425732769</v>
      </c>
    </row>
    <row r="53" spans="1:23" x14ac:dyDescent="0.2">
      <c r="A53" s="28">
        <f>'Monthly Data'!A53</f>
        <v>43191</v>
      </c>
      <c r="B53">
        <f>'Monthly Data'!C53</f>
        <v>4</v>
      </c>
      <c r="C53">
        <f>'Monthly Data'!B53</f>
        <v>2018</v>
      </c>
      <c r="D53" s="18">
        <f>'Monthly Data'!N53</f>
        <v>30439204.974459674</v>
      </c>
      <c r="E53" s="10">
        <f t="shared" ca="1" si="6"/>
        <v>233.92395833333336</v>
      </c>
      <c r="F53" s="10">
        <f t="shared" ca="1" si="6"/>
        <v>1.1666666666666714E-2</v>
      </c>
      <c r="G53" s="98">
        <f>'Monthly Data'!AI53</f>
        <v>336.60624999999999</v>
      </c>
      <c r="H53" s="98">
        <f>'Monthly Data'!AD53</f>
        <v>0</v>
      </c>
      <c r="I53">
        <f>'Monthly Data'!AV53</f>
        <v>52</v>
      </c>
      <c r="J53">
        <f>'Monthly Data'!BO53</f>
        <v>30</v>
      </c>
      <c r="K53">
        <f>'Monthly Data'!BR53</f>
        <v>0</v>
      </c>
      <c r="L53" s="17">
        <f>'Monthly Data'!AT53</f>
        <v>784896</v>
      </c>
      <c r="M53">
        <f>'Monthly Data'!BJ53</f>
        <v>0</v>
      </c>
      <c r="O53" s="17"/>
      <c r="P53" s="17">
        <f t="shared" ca="1" si="1"/>
        <v>-1205663.0258534565</v>
      </c>
      <c r="Q53" s="17">
        <f t="shared" ca="1" si="2"/>
        <v>254.51489892739153</v>
      </c>
      <c r="R53" s="17"/>
      <c r="S53" s="17"/>
      <c r="T53" s="17"/>
      <c r="U53" s="17"/>
      <c r="V53" s="17"/>
      <c r="W53" s="17">
        <f t="shared" ca="1" si="3"/>
        <v>29233796.463505145</v>
      </c>
    </row>
    <row r="54" spans="1:23" x14ac:dyDescent="0.2">
      <c r="A54" s="28">
        <f>'Monthly Data'!A54</f>
        <v>43221</v>
      </c>
      <c r="B54">
        <f>'Monthly Data'!C54</f>
        <v>5</v>
      </c>
      <c r="C54">
        <f>'Monthly Data'!B54</f>
        <v>2018</v>
      </c>
      <c r="D54" s="18">
        <f>'Monthly Data'!N54</f>
        <v>29126243.549783867</v>
      </c>
      <c r="E54" s="10">
        <f t="shared" ca="1" si="6"/>
        <v>46.324929225504526</v>
      </c>
      <c r="F54" s="10">
        <f t="shared" ca="1" si="6"/>
        <v>19.778958333333328</v>
      </c>
      <c r="G54" s="98">
        <f>'Monthly Data'!AI54</f>
        <v>20.166666666666668</v>
      </c>
      <c r="H54" s="98">
        <f>'Monthly Data'!AD54</f>
        <v>30.479166666666664</v>
      </c>
      <c r="I54">
        <f>'Monthly Data'!AV54</f>
        <v>53</v>
      </c>
      <c r="J54">
        <f>'Monthly Data'!BO54</f>
        <v>31</v>
      </c>
      <c r="K54">
        <f>'Monthly Data'!BR54</f>
        <v>0</v>
      </c>
      <c r="L54" s="17">
        <f>'Monthly Data'!AT54</f>
        <v>784896</v>
      </c>
      <c r="M54">
        <f>'Monthly Data'!BJ54</f>
        <v>0</v>
      </c>
      <c r="O54" s="17"/>
      <c r="P54" s="17">
        <f t="shared" ca="1" si="1"/>
        <v>307142.05415417033</v>
      </c>
      <c r="Q54" s="17">
        <f t="shared" ca="1" si="2"/>
        <v>-233431.06649660191</v>
      </c>
      <c r="R54" s="17"/>
      <c r="S54" s="17"/>
      <c r="T54" s="17"/>
      <c r="U54" s="17"/>
      <c r="V54" s="17"/>
      <c r="W54" s="17">
        <f t="shared" ca="1" si="3"/>
        <v>29199954.537441436</v>
      </c>
    </row>
    <row r="55" spans="1:23" x14ac:dyDescent="0.2">
      <c r="A55" s="28">
        <f>'Monthly Data'!A55</f>
        <v>43252</v>
      </c>
      <c r="B55">
        <f>'Monthly Data'!C55</f>
        <v>6</v>
      </c>
      <c r="C55">
        <f>'Monthly Data'!B55</f>
        <v>2018</v>
      </c>
      <c r="D55" s="18">
        <f>'Monthly Data'!N55</f>
        <v>28885481.971341256</v>
      </c>
      <c r="E55" s="10">
        <f t="shared" ca="1" si="6"/>
        <v>1.25875</v>
      </c>
      <c r="F55" s="10">
        <f t="shared" ca="1" si="6"/>
        <v>53.293685210734182</v>
      </c>
      <c r="G55" s="98">
        <f>'Monthly Data'!AI55</f>
        <v>1.0624999999999982</v>
      </c>
      <c r="H55" s="98">
        <f>'Monthly Data'!AD55</f>
        <v>53.03749999999998</v>
      </c>
      <c r="I55">
        <f>'Monthly Data'!AV55</f>
        <v>54</v>
      </c>
      <c r="J55">
        <f>'Monthly Data'!BO55</f>
        <v>30</v>
      </c>
      <c r="K55">
        <f>'Monthly Data'!BR55</f>
        <v>0</v>
      </c>
      <c r="L55" s="17">
        <f>'Monthly Data'!AT55</f>
        <v>784896</v>
      </c>
      <c r="M55">
        <f>'Monthly Data'!BJ55</f>
        <v>0</v>
      </c>
      <c r="O55" s="17"/>
      <c r="P55" s="17">
        <f t="shared" ca="1" si="1"/>
        <v>2304.3054939973968</v>
      </c>
      <c r="Q55" s="17">
        <f t="shared" ca="1" si="2"/>
        <v>5588.8245442892276</v>
      </c>
      <c r="R55" s="17"/>
      <c r="S55" s="17"/>
      <c r="T55" s="17"/>
      <c r="U55" s="17"/>
      <c r="V55" s="17"/>
      <c r="W55" s="17">
        <f t="shared" ca="1" si="3"/>
        <v>28893375.101379544</v>
      </c>
    </row>
    <row r="56" spans="1:23" x14ac:dyDescent="0.2">
      <c r="A56" s="28">
        <f>'Monthly Data'!A56</f>
        <v>43282</v>
      </c>
      <c r="B56">
        <f>'Monthly Data'!C56</f>
        <v>7</v>
      </c>
      <c r="C56">
        <f>'Monthly Data'!B56</f>
        <v>2018</v>
      </c>
      <c r="D56" s="18">
        <f>'Monthly Data'!N56</f>
        <v>31490270.204440821</v>
      </c>
      <c r="E56" s="10">
        <f t="shared" ca="1" si="6"/>
        <v>0</v>
      </c>
      <c r="F56" s="10">
        <f t="shared" ca="1" si="6"/>
        <v>104.42694776957208</v>
      </c>
      <c r="G56" s="98">
        <f>'Monthly Data'!AI56</f>
        <v>0</v>
      </c>
      <c r="H56" s="98">
        <f>'Monthly Data'!AD56</f>
        <v>147.60489436238706</v>
      </c>
      <c r="I56">
        <f>'Monthly Data'!AV56</f>
        <v>55</v>
      </c>
      <c r="J56">
        <f>'Monthly Data'!BO56</f>
        <v>31</v>
      </c>
      <c r="K56">
        <f>'Monthly Data'!BR56</f>
        <v>0</v>
      </c>
      <c r="L56" s="17">
        <f>'Monthly Data'!AT56</f>
        <v>794140</v>
      </c>
      <c r="M56">
        <f>'Monthly Data'!BJ56</f>
        <v>0</v>
      </c>
      <c r="O56" s="17"/>
      <c r="P56" s="17">
        <f t="shared" ca="1" si="1"/>
        <v>0</v>
      </c>
      <c r="Q56" s="17">
        <f t="shared" ca="1" si="2"/>
        <v>-941951.20396822016</v>
      </c>
      <c r="R56" s="17"/>
      <c r="S56" s="17"/>
      <c r="T56" s="17"/>
      <c r="U56" s="17"/>
      <c r="V56" s="17"/>
      <c r="W56" s="17">
        <f t="shared" ca="1" si="3"/>
        <v>30548319.000472602</v>
      </c>
    </row>
    <row r="57" spans="1:23" x14ac:dyDescent="0.2">
      <c r="A57" s="28">
        <f>'Monthly Data'!A57</f>
        <v>43313</v>
      </c>
      <c r="B57">
        <f>'Monthly Data'!C57</f>
        <v>8</v>
      </c>
      <c r="C57">
        <f>'Monthly Data'!B57</f>
        <v>2018</v>
      </c>
      <c r="D57" s="18">
        <f>'Monthly Data'!N57</f>
        <v>30971325.496937919</v>
      </c>
      <c r="E57" s="10">
        <f t="shared" ca="1" si="6"/>
        <v>0.1158333333333335</v>
      </c>
      <c r="F57" s="10">
        <f t="shared" ca="1" si="6"/>
        <v>74.696666666666673</v>
      </c>
      <c r="G57" s="98">
        <f>'Monthly Data'!AI57</f>
        <v>0</v>
      </c>
      <c r="H57" s="98">
        <f>'Monthly Data'!AD57</f>
        <v>109.56666666666669</v>
      </c>
      <c r="I57">
        <f>'Monthly Data'!AV57</f>
        <v>56</v>
      </c>
      <c r="J57">
        <f>'Monthly Data'!BO57</f>
        <v>31</v>
      </c>
      <c r="K57">
        <f>'Monthly Data'!BR57</f>
        <v>0</v>
      </c>
      <c r="L57" s="17">
        <f>'Monthly Data'!AT57</f>
        <v>794140</v>
      </c>
      <c r="M57">
        <f>'Monthly Data'!BJ57</f>
        <v>0</v>
      </c>
      <c r="O57" s="17"/>
      <c r="P57" s="17">
        <f t="shared" ca="1" si="1"/>
        <v>1360.0784019772213</v>
      </c>
      <c r="Q57" s="17">
        <f t="shared" ca="1" si="2"/>
        <v>-760708.67362269526</v>
      </c>
      <c r="R57" s="17"/>
      <c r="S57" s="17"/>
      <c r="T57" s="17"/>
      <c r="U57" s="17"/>
      <c r="V57" s="17"/>
      <c r="W57" s="17">
        <f t="shared" ca="1" si="3"/>
        <v>30211976.901717201</v>
      </c>
    </row>
    <row r="58" spans="1:23" x14ac:dyDescent="0.2">
      <c r="A58" s="28">
        <f>'Monthly Data'!A58</f>
        <v>43344</v>
      </c>
      <c r="B58">
        <f>'Monthly Data'!C58</f>
        <v>9</v>
      </c>
      <c r="C58">
        <f>'Monthly Data'!B58</f>
        <v>2018</v>
      </c>
      <c r="D58" s="18">
        <f>'Monthly Data'!N58</f>
        <v>28654541.758361634</v>
      </c>
      <c r="E58" s="10">
        <f t="shared" ca="1" si="6"/>
        <v>11.597845892171184</v>
      </c>
      <c r="F58" s="10">
        <f t="shared" ca="1" si="6"/>
        <v>25.91041666666667</v>
      </c>
      <c r="G58" s="98">
        <f>'Monthly Data'!AI58</f>
        <v>19.612499999999997</v>
      </c>
      <c r="H58" s="98">
        <f>'Monthly Data'!AD58</f>
        <v>40.237500000000011</v>
      </c>
      <c r="I58">
        <f>'Monthly Data'!AV58</f>
        <v>57</v>
      </c>
      <c r="J58">
        <f>'Monthly Data'!BO58</f>
        <v>30</v>
      </c>
      <c r="K58">
        <f>'Monthly Data'!BR58</f>
        <v>0</v>
      </c>
      <c r="L58" s="17">
        <f>'Monthly Data'!AT58</f>
        <v>794140</v>
      </c>
      <c r="M58">
        <f>'Monthly Data'!BJ58</f>
        <v>1</v>
      </c>
      <c r="O58" s="17"/>
      <c r="P58" s="17">
        <f t="shared" ca="1" si="1"/>
        <v>-94105.536270871686</v>
      </c>
      <c r="Q58" s="17">
        <f t="shared" ca="1" si="2"/>
        <v>-312553.38570065453</v>
      </c>
      <c r="R58" s="17"/>
      <c r="S58" s="17"/>
      <c r="T58" s="17"/>
      <c r="U58" s="17"/>
      <c r="V58" s="17"/>
      <c r="W58" s="17">
        <f t="shared" ca="1" si="3"/>
        <v>28247882.836390108</v>
      </c>
    </row>
    <row r="59" spans="1:23" x14ac:dyDescent="0.2">
      <c r="A59" s="28">
        <f>'Monthly Data'!A59</f>
        <v>43374</v>
      </c>
      <c r="B59">
        <f>'Monthly Data'!C59</f>
        <v>10</v>
      </c>
      <c r="C59">
        <f>'Monthly Data'!B59</f>
        <v>2018</v>
      </c>
      <c r="D59" s="18">
        <f>'Monthly Data'!N59</f>
        <v>30351483.101155873</v>
      </c>
      <c r="E59" s="10">
        <f t="shared" ca="1" si="6"/>
        <v>128.51888157360821</v>
      </c>
      <c r="F59" s="10">
        <f t="shared" ca="1" si="6"/>
        <v>2.0656249999999989</v>
      </c>
      <c r="G59" s="98">
        <f>'Monthly Data'!AI59</f>
        <v>200.22916666666666</v>
      </c>
      <c r="H59" s="98">
        <f>'Monthly Data'!AD59</f>
        <v>0</v>
      </c>
      <c r="I59">
        <f>'Monthly Data'!AV59</f>
        <v>58</v>
      </c>
      <c r="J59">
        <f>'Monthly Data'!BO59</f>
        <v>31</v>
      </c>
      <c r="K59">
        <f>'Monthly Data'!BR59</f>
        <v>0</v>
      </c>
      <c r="L59" s="17">
        <f>'Monthly Data'!AT59</f>
        <v>799632</v>
      </c>
      <c r="M59">
        <f>'Monthly Data'!BJ59</f>
        <v>1</v>
      </c>
      <c r="O59" s="17"/>
      <c r="P59" s="17">
        <f t="shared" ca="1" si="1"/>
        <v>-841999.51040026837</v>
      </c>
      <c r="Q59" s="17">
        <f t="shared" ca="1" si="2"/>
        <v>45062.771836876353</v>
      </c>
      <c r="R59" s="17"/>
      <c r="S59" s="17"/>
      <c r="T59" s="17"/>
      <c r="U59" s="17"/>
      <c r="V59" s="17"/>
      <c r="W59" s="17">
        <f t="shared" ca="1" si="3"/>
        <v>29554546.362592481</v>
      </c>
    </row>
    <row r="60" spans="1:23" x14ac:dyDescent="0.2">
      <c r="A60" s="28">
        <f>'Monthly Data'!A60</f>
        <v>43405</v>
      </c>
      <c r="B60">
        <f>'Monthly Data'!C60</f>
        <v>11</v>
      </c>
      <c r="C60">
        <f>'Monthly Data'!B60</f>
        <v>2018</v>
      </c>
      <c r="D60" s="18">
        <f>'Monthly Data'!N60</f>
        <v>32438945.153162286</v>
      </c>
      <c r="E60" s="10">
        <f t="shared" ca="1" si="6"/>
        <v>332.1049960098469</v>
      </c>
      <c r="F60" s="10">
        <f t="shared" ca="1" si="6"/>
        <v>0</v>
      </c>
      <c r="G60" s="98">
        <f>'Monthly Data'!AI60</f>
        <v>436.37708333333336</v>
      </c>
      <c r="H60" s="98">
        <f>'Monthly Data'!AD60</f>
        <v>0</v>
      </c>
      <c r="I60">
        <f>'Monthly Data'!AV60</f>
        <v>59</v>
      </c>
      <c r="J60">
        <f>'Monthly Data'!BO60</f>
        <v>30</v>
      </c>
      <c r="K60">
        <f>'Monthly Data'!BR60</f>
        <v>0</v>
      </c>
      <c r="L60" s="17">
        <f>'Monthly Data'!AT60</f>
        <v>799632</v>
      </c>
      <c r="M60">
        <f>'Monthly Data'!BJ60</f>
        <v>1</v>
      </c>
      <c r="O60" s="17"/>
      <c r="P60" s="17">
        <f t="shared" ca="1" si="1"/>
        <v>-1224329.9041532939</v>
      </c>
      <c r="Q60" s="17">
        <f t="shared" ca="1" si="2"/>
        <v>0</v>
      </c>
      <c r="R60" s="17"/>
      <c r="S60" s="17"/>
      <c r="T60" s="17"/>
      <c r="U60" s="17"/>
      <c r="V60" s="17"/>
      <c r="W60" s="17">
        <f t="shared" ca="1" si="3"/>
        <v>31214615.249008991</v>
      </c>
    </row>
    <row r="61" spans="1:23" x14ac:dyDescent="0.2">
      <c r="A61" s="28">
        <f>'Monthly Data'!A61</f>
        <v>43435</v>
      </c>
      <c r="B61">
        <f>'Monthly Data'!C61</f>
        <v>12</v>
      </c>
      <c r="C61">
        <f>'Monthly Data'!B61</f>
        <v>2018</v>
      </c>
      <c r="D61" s="18">
        <f>'Monthly Data'!N61</f>
        <v>34215750.076040141</v>
      </c>
      <c r="E61" s="10">
        <f t="shared" ca="1" si="6"/>
        <v>508.62936502461724</v>
      </c>
      <c r="F61" s="10">
        <f t="shared" ca="1" si="6"/>
        <v>0</v>
      </c>
      <c r="G61" s="98">
        <f>'Monthly Data'!AI61</f>
        <v>536.44791666666663</v>
      </c>
      <c r="H61" s="98">
        <f>'Monthly Data'!AD61</f>
        <v>0</v>
      </c>
      <c r="I61">
        <f>'Monthly Data'!AV61</f>
        <v>60</v>
      </c>
      <c r="J61">
        <f>'Monthly Data'!BO61</f>
        <v>31</v>
      </c>
      <c r="K61">
        <f>'Monthly Data'!BR61</f>
        <v>0</v>
      </c>
      <c r="L61" s="17">
        <f>'Monthly Data'!AT61</f>
        <v>799632</v>
      </c>
      <c r="M61">
        <f>'Monthly Data'!BJ61</f>
        <v>0</v>
      </c>
      <c r="O61" s="17"/>
      <c r="P61" s="17">
        <f t="shared" ca="1" si="1"/>
        <v>-326636.64399400819</v>
      </c>
      <c r="Q61" s="17">
        <f t="shared" ca="1" si="2"/>
        <v>0</v>
      </c>
      <c r="R61" s="17"/>
      <c r="S61" s="17"/>
      <c r="T61" s="17"/>
      <c r="U61" s="17"/>
      <c r="V61" s="17"/>
      <c r="W61" s="17">
        <f t="shared" ca="1" si="3"/>
        <v>33889113.43204613</v>
      </c>
    </row>
    <row r="62" spans="1:23" x14ac:dyDescent="0.2">
      <c r="A62" s="28">
        <f>'Monthly Data'!A62</f>
        <v>43466</v>
      </c>
      <c r="B62">
        <f>'Monthly Data'!C62</f>
        <v>1</v>
      </c>
      <c r="C62">
        <f>'Monthly Data'!B62</f>
        <v>2019</v>
      </c>
      <c r="D62" s="18">
        <f>'Monthly Data'!N62</f>
        <v>36281125.86679174</v>
      </c>
      <c r="E62" s="10">
        <f t="shared" ca="1" si="6"/>
        <v>666.68367523535153</v>
      </c>
      <c r="F62" s="10">
        <f t="shared" ca="1" si="6"/>
        <v>0</v>
      </c>
      <c r="G62" s="98">
        <f>'Monthly Data'!AI62</f>
        <v>799.23958333333326</v>
      </c>
      <c r="H62" s="98">
        <f>'Monthly Data'!AD62</f>
        <v>0</v>
      </c>
      <c r="I62">
        <f>'Monthly Data'!AV62</f>
        <v>61</v>
      </c>
      <c r="J62">
        <f>'Monthly Data'!BO62</f>
        <v>31</v>
      </c>
      <c r="K62">
        <f>'Monthly Data'!BR62</f>
        <v>0</v>
      </c>
      <c r="L62" s="17">
        <f>'Monthly Data'!AT62</f>
        <v>800724</v>
      </c>
      <c r="M62">
        <f>'Monthly Data'!BJ62</f>
        <v>0</v>
      </c>
      <c r="O62" s="17"/>
      <c r="P62" s="17">
        <f t="shared" ca="1" si="1"/>
        <v>-1556429.5912967669</v>
      </c>
      <c r="Q62" s="17">
        <f t="shared" ca="1" si="2"/>
        <v>0</v>
      </c>
      <c r="R62" s="17"/>
      <c r="S62" s="17"/>
      <c r="T62" s="17"/>
      <c r="U62" s="17"/>
      <c r="V62" s="17"/>
      <c r="W62" s="17">
        <f t="shared" ca="1" si="3"/>
        <v>34724696.27549497</v>
      </c>
    </row>
    <row r="63" spans="1:23" x14ac:dyDescent="0.2">
      <c r="A63" s="28">
        <f>'Monthly Data'!A63</f>
        <v>43497</v>
      </c>
      <c r="B63">
        <f>'Monthly Data'!C63</f>
        <v>2</v>
      </c>
      <c r="C63">
        <f>'Monthly Data'!B63</f>
        <v>2019</v>
      </c>
      <c r="D63" s="18">
        <f>'Monthly Data'!N63</f>
        <v>32472484.106644373</v>
      </c>
      <c r="E63" s="10">
        <f t="shared" ref="E63:F78" ca="1" si="7">E51</f>
        <v>599.3508333333333</v>
      </c>
      <c r="F63" s="10">
        <f t="shared" ca="1" si="7"/>
        <v>0</v>
      </c>
      <c r="G63" s="98">
        <f>'Monthly Data'!AI63</f>
        <v>614.45833333333326</v>
      </c>
      <c r="H63" s="98">
        <f>'Monthly Data'!AD63</f>
        <v>0</v>
      </c>
      <c r="I63">
        <f>'Monthly Data'!AV63</f>
        <v>62</v>
      </c>
      <c r="J63">
        <f>'Monthly Data'!BO63</f>
        <v>28</v>
      </c>
      <c r="K63">
        <f>'Monthly Data'!BR63</f>
        <v>0</v>
      </c>
      <c r="L63" s="17">
        <f>'Monthly Data'!AT63</f>
        <v>800724</v>
      </c>
      <c r="M63">
        <f>'Monthly Data'!BJ63</f>
        <v>0</v>
      </c>
      <c r="O63" s="17"/>
      <c r="P63" s="17">
        <f t="shared" ca="1" si="1"/>
        <v>-177387.49172262551</v>
      </c>
      <c r="Q63" s="17">
        <f t="shared" ca="1" si="2"/>
        <v>0</v>
      </c>
      <c r="R63" s="17"/>
      <c r="S63" s="17"/>
      <c r="T63" s="17"/>
      <c r="U63" s="17"/>
      <c r="V63" s="17"/>
      <c r="W63" s="17">
        <f t="shared" ca="1" si="3"/>
        <v>32295096.614921749</v>
      </c>
    </row>
    <row r="64" spans="1:23" x14ac:dyDescent="0.2">
      <c r="A64" s="28">
        <f>'Monthly Data'!A64</f>
        <v>43525</v>
      </c>
      <c r="B64">
        <f>'Monthly Data'!C64</f>
        <v>3</v>
      </c>
      <c r="C64">
        <f>'Monthly Data'!B64</f>
        <v>2019</v>
      </c>
      <c r="D64" s="18">
        <f>'Monthly Data'!N64</f>
        <v>33332897.506497011</v>
      </c>
      <c r="E64" s="10">
        <f t="shared" ca="1" si="7"/>
        <v>469.11853767651354</v>
      </c>
      <c r="F64" s="10">
        <f t="shared" ca="1" si="7"/>
        <v>0</v>
      </c>
      <c r="G64" s="98">
        <f>'Monthly Data'!AI64</f>
        <v>493.16666666666669</v>
      </c>
      <c r="H64" s="98">
        <f>'Monthly Data'!AD64</f>
        <v>0</v>
      </c>
      <c r="I64">
        <f>'Monthly Data'!AV64</f>
        <v>63</v>
      </c>
      <c r="J64">
        <f>'Monthly Data'!BO64</f>
        <v>31</v>
      </c>
      <c r="K64">
        <f>'Monthly Data'!BR64</f>
        <v>0</v>
      </c>
      <c r="L64" s="17">
        <f>'Monthly Data'!AT64</f>
        <v>800724</v>
      </c>
      <c r="M64">
        <f>'Monthly Data'!BJ64</f>
        <v>0</v>
      </c>
      <c r="O64" s="17"/>
      <c r="P64" s="17">
        <f t="shared" ca="1" si="1"/>
        <v>-282365.53249613987</v>
      </c>
      <c r="Q64" s="17">
        <f t="shared" ca="1" si="2"/>
        <v>0</v>
      </c>
      <c r="R64" s="17"/>
      <c r="S64" s="17"/>
      <c r="T64" s="17"/>
      <c r="U64" s="17"/>
      <c r="V64" s="17"/>
      <c r="W64" s="17">
        <f t="shared" ca="1" si="3"/>
        <v>33050531.974000871</v>
      </c>
    </row>
    <row r="65" spans="1:23" x14ac:dyDescent="0.2">
      <c r="A65" s="28">
        <f>'Monthly Data'!A65</f>
        <v>43556</v>
      </c>
      <c r="B65">
        <f>'Monthly Data'!C65</f>
        <v>4</v>
      </c>
      <c r="C65">
        <f>'Monthly Data'!B65</f>
        <v>2019</v>
      </c>
      <c r="D65" s="18">
        <f>'Monthly Data'!N65</f>
        <v>29146608.456349649</v>
      </c>
      <c r="E65" s="10">
        <f t="shared" ca="1" si="7"/>
        <v>233.92395833333336</v>
      </c>
      <c r="F65" s="10">
        <f t="shared" ca="1" si="7"/>
        <v>1.1666666666666714E-2</v>
      </c>
      <c r="G65" s="98">
        <f>'Monthly Data'!AI65</f>
        <v>247.67708333333331</v>
      </c>
      <c r="H65" s="98">
        <f>'Monthly Data'!AD65</f>
        <v>0</v>
      </c>
      <c r="I65">
        <f>'Monthly Data'!AV65</f>
        <v>64</v>
      </c>
      <c r="J65">
        <f>'Monthly Data'!BO65</f>
        <v>30</v>
      </c>
      <c r="K65">
        <f>'Monthly Data'!BR65</f>
        <v>0</v>
      </c>
      <c r="L65" s="17">
        <f>'Monthly Data'!AT65</f>
        <v>806630</v>
      </c>
      <c r="M65">
        <f>'Monthly Data'!BJ65</f>
        <v>0</v>
      </c>
      <c r="O65" s="17"/>
      <c r="P65" s="17">
        <f t="shared" ca="1" si="1"/>
        <v>-161484.84839303209</v>
      </c>
      <c r="Q65" s="17">
        <f t="shared" ca="1" si="2"/>
        <v>254.51489892739153</v>
      </c>
      <c r="R65" s="17"/>
      <c r="S65" s="17"/>
      <c r="T65" s="17"/>
      <c r="U65" s="17"/>
      <c r="V65" s="17"/>
      <c r="W65" s="17">
        <f t="shared" ca="1" si="3"/>
        <v>28985378.122855544</v>
      </c>
    </row>
    <row r="66" spans="1:23" x14ac:dyDescent="0.2">
      <c r="A66" s="28">
        <f>'Monthly Data'!A66</f>
        <v>43586</v>
      </c>
      <c r="B66">
        <f>'Monthly Data'!C66</f>
        <v>5</v>
      </c>
      <c r="C66">
        <f>'Monthly Data'!B66</f>
        <v>2019</v>
      </c>
      <c r="D66" s="18">
        <f>'Monthly Data'!N66</f>
        <v>27939346.306202278</v>
      </c>
      <c r="E66" s="10">
        <f t="shared" ca="1" si="7"/>
        <v>46.324929225504526</v>
      </c>
      <c r="F66" s="10">
        <f t="shared" ca="1" si="7"/>
        <v>19.778958333333328</v>
      </c>
      <c r="G66" s="98">
        <f>'Monthly Data'!AI66</f>
        <v>65.560416666666669</v>
      </c>
      <c r="H66" s="98">
        <f>'Monthly Data'!AD66</f>
        <v>0</v>
      </c>
      <c r="I66">
        <f>'Monthly Data'!AV66</f>
        <v>65</v>
      </c>
      <c r="J66">
        <f>'Monthly Data'!BO66</f>
        <v>31</v>
      </c>
      <c r="K66">
        <f>'Monthly Data'!BR66</f>
        <v>0</v>
      </c>
      <c r="L66" s="17">
        <f>'Monthly Data'!AT66</f>
        <v>806630</v>
      </c>
      <c r="M66">
        <f>'Monthly Data'!BJ66</f>
        <v>0</v>
      </c>
      <c r="O66" s="17"/>
      <c r="P66" s="17">
        <f t="shared" ca="1" si="1"/>
        <v>-225857.01600197423</v>
      </c>
      <c r="Q66" s="17">
        <f t="shared" ca="1" si="2"/>
        <v>431489.10695120576</v>
      </c>
      <c r="R66" s="17"/>
      <c r="S66" s="17"/>
      <c r="T66" s="17"/>
      <c r="U66" s="17"/>
      <c r="V66" s="17"/>
      <c r="W66" s="17">
        <f t="shared" ca="1" si="3"/>
        <v>28144978.397151507</v>
      </c>
    </row>
    <row r="67" spans="1:23" x14ac:dyDescent="0.2">
      <c r="A67" s="28">
        <f>'Monthly Data'!A67</f>
        <v>43617</v>
      </c>
      <c r="B67">
        <f>'Monthly Data'!C67</f>
        <v>6</v>
      </c>
      <c r="C67">
        <f>'Monthly Data'!B67</f>
        <v>2019</v>
      </c>
      <c r="D67" s="18">
        <f>'Monthly Data'!N67</f>
        <v>27453255.636054914</v>
      </c>
      <c r="E67" s="10">
        <f t="shared" ca="1" si="7"/>
        <v>1.25875</v>
      </c>
      <c r="F67" s="10">
        <f t="shared" ca="1" si="7"/>
        <v>53.293685210734182</v>
      </c>
      <c r="G67" s="98">
        <f>'Monthly Data'!AI67</f>
        <v>3.5374999999999988</v>
      </c>
      <c r="H67" s="98">
        <f>'Monthly Data'!AD67</f>
        <v>38.87083333333333</v>
      </c>
      <c r="I67">
        <f>'Monthly Data'!AV67</f>
        <v>66</v>
      </c>
      <c r="J67">
        <f>'Monthly Data'!BO67</f>
        <v>30</v>
      </c>
      <c r="K67">
        <f>'Monthly Data'!BR67</f>
        <v>0</v>
      </c>
      <c r="L67" s="17">
        <f>'Monthly Data'!AT67</f>
        <v>806630</v>
      </c>
      <c r="M67">
        <f>'Monthly Data'!BJ67</f>
        <v>0</v>
      </c>
      <c r="O67" s="17"/>
      <c r="P67" s="17">
        <f t="shared" ref="P67:P121" ca="1" si="8">(E67-G67)*$Z$8</f>
        <v>-26756.362519472696</v>
      </c>
      <c r="Q67" s="17">
        <f t="shared" ref="Q67:Q121" ca="1" si="9">(F67-H67)*$Z$9</f>
        <v>314642.63038469164</v>
      </c>
      <c r="R67" s="17"/>
      <c r="S67" s="17"/>
      <c r="T67" s="17"/>
      <c r="U67" s="17"/>
      <c r="V67" s="17"/>
      <c r="W67" s="17">
        <f t="shared" ref="W67:W121" ca="1" si="10">D67+SUM(O67:V67)</f>
        <v>27741141.903920133</v>
      </c>
    </row>
    <row r="68" spans="1:23" x14ac:dyDescent="0.2">
      <c r="A68" s="28">
        <f>'Monthly Data'!A68</f>
        <v>43647</v>
      </c>
      <c r="B68">
        <f>'Monthly Data'!C68</f>
        <v>7</v>
      </c>
      <c r="C68">
        <f>'Monthly Data'!B68</f>
        <v>2019</v>
      </c>
      <c r="D68" s="18">
        <f>'Monthly Data'!N68</f>
        <v>30266965.175907552</v>
      </c>
      <c r="E68" s="10">
        <f t="shared" ca="1" si="7"/>
        <v>0</v>
      </c>
      <c r="F68" s="10">
        <f t="shared" ca="1" si="7"/>
        <v>104.42694776957208</v>
      </c>
      <c r="G68" s="98">
        <f>'Monthly Data'!AI68</f>
        <v>0</v>
      </c>
      <c r="H68" s="98">
        <f>'Monthly Data'!AD68</f>
        <v>133.94791666666666</v>
      </c>
      <c r="I68">
        <f>'Monthly Data'!AV68</f>
        <v>67</v>
      </c>
      <c r="J68">
        <f>'Monthly Data'!BO68</f>
        <v>31</v>
      </c>
      <c r="K68">
        <f>'Monthly Data'!BR68</f>
        <v>0</v>
      </c>
      <c r="L68" s="17">
        <f>'Monthly Data'!AT68</f>
        <v>810347</v>
      </c>
      <c r="M68">
        <f>'Monthly Data'!BJ68</f>
        <v>0</v>
      </c>
      <c r="O68" s="17"/>
      <c r="P68" s="17">
        <f t="shared" ca="1" si="8"/>
        <v>0</v>
      </c>
      <c r="Q68" s="17">
        <f t="shared" ca="1" si="9"/>
        <v>-644016.54986422847</v>
      </c>
      <c r="R68" s="17"/>
      <c r="S68" s="17"/>
      <c r="T68" s="17"/>
      <c r="U68" s="17"/>
      <c r="V68" s="17"/>
      <c r="W68" s="17">
        <f t="shared" ca="1" si="10"/>
        <v>29622948.626043323</v>
      </c>
    </row>
    <row r="69" spans="1:23" x14ac:dyDescent="0.2">
      <c r="A69" s="28">
        <f>'Monthly Data'!A69</f>
        <v>43678</v>
      </c>
      <c r="B69">
        <f>'Monthly Data'!C69</f>
        <v>8</v>
      </c>
      <c r="C69">
        <f>'Monthly Data'!B69</f>
        <v>2019</v>
      </c>
      <c r="D69" s="18">
        <f>'Monthly Data'!N69</f>
        <v>29172056.525760185</v>
      </c>
      <c r="E69" s="10">
        <f t="shared" ca="1" si="7"/>
        <v>0.1158333333333335</v>
      </c>
      <c r="F69" s="10">
        <f t="shared" ca="1" si="7"/>
        <v>74.696666666666673</v>
      </c>
      <c r="G69" s="98">
        <f>'Monthly Data'!AI69</f>
        <v>0</v>
      </c>
      <c r="H69" s="98">
        <f>'Monthly Data'!AD69</f>
        <v>60.520833333333321</v>
      </c>
      <c r="I69">
        <f>'Monthly Data'!AV69</f>
        <v>68</v>
      </c>
      <c r="J69">
        <f>'Monthly Data'!BO69</f>
        <v>31</v>
      </c>
      <c r="K69">
        <f>'Monthly Data'!BR69</f>
        <v>0</v>
      </c>
      <c r="L69" s="17">
        <f>'Monthly Data'!AT69</f>
        <v>810347</v>
      </c>
      <c r="M69">
        <f>'Monthly Data'!BJ69</f>
        <v>0</v>
      </c>
      <c r="O69" s="17"/>
      <c r="P69" s="17">
        <f t="shared" ca="1" si="8"/>
        <v>1360.0784019772213</v>
      </c>
      <c r="Q69" s="17">
        <f t="shared" ca="1" si="9"/>
        <v>309253.78183241753</v>
      </c>
      <c r="R69" s="17"/>
      <c r="S69" s="17"/>
      <c r="T69" s="17"/>
      <c r="U69" s="17"/>
      <c r="V69" s="17"/>
      <c r="W69" s="17">
        <f t="shared" ca="1" si="10"/>
        <v>29482670.38599458</v>
      </c>
    </row>
    <row r="70" spans="1:23" x14ac:dyDescent="0.2">
      <c r="A70" s="28">
        <f>'Monthly Data'!A70</f>
        <v>43709</v>
      </c>
      <c r="B70">
        <f>'Monthly Data'!C70</f>
        <v>9</v>
      </c>
      <c r="C70">
        <f>'Monthly Data'!B70</f>
        <v>2019</v>
      </c>
      <c r="D70" s="18">
        <f>'Monthly Data'!N70</f>
        <v>27183202.695612822</v>
      </c>
      <c r="E70" s="10">
        <f t="shared" ca="1" si="7"/>
        <v>11.597845892171184</v>
      </c>
      <c r="F70" s="10">
        <f t="shared" ca="1" si="7"/>
        <v>25.91041666666667</v>
      </c>
      <c r="G70" s="98">
        <f>'Monthly Data'!AI70</f>
        <v>2.8083333333333336</v>
      </c>
      <c r="H70" s="98">
        <f>'Monthly Data'!AD70</f>
        <v>9.7875000000000014</v>
      </c>
      <c r="I70">
        <f>'Monthly Data'!AV70</f>
        <v>69</v>
      </c>
      <c r="J70">
        <f>'Monthly Data'!BO70</f>
        <v>30</v>
      </c>
      <c r="K70">
        <f>'Monthly Data'!BR70</f>
        <v>0</v>
      </c>
      <c r="L70" s="17">
        <f>'Monthly Data'!AT70</f>
        <v>810347</v>
      </c>
      <c r="M70">
        <f>'Monthly Data'!BJ70</f>
        <v>1</v>
      </c>
      <c r="O70" s="17"/>
      <c r="P70" s="17">
        <f t="shared" ca="1" si="8"/>
        <v>103203.67938287383</v>
      </c>
      <c r="Q70" s="17">
        <f t="shared" ca="1" si="9"/>
        <v>351730.50049983489</v>
      </c>
      <c r="R70" s="17"/>
      <c r="S70" s="17"/>
      <c r="T70" s="17"/>
      <c r="U70" s="17"/>
      <c r="V70" s="17"/>
      <c r="W70" s="17">
        <f t="shared" ca="1" si="10"/>
        <v>27638136.875495531</v>
      </c>
    </row>
    <row r="71" spans="1:23" x14ac:dyDescent="0.2">
      <c r="A71" s="28">
        <f>'Monthly Data'!A71</f>
        <v>43739</v>
      </c>
      <c r="B71">
        <f>'Monthly Data'!C71</f>
        <v>10</v>
      </c>
      <c r="C71">
        <f>'Monthly Data'!B71</f>
        <v>2019</v>
      </c>
      <c r="D71" s="18">
        <f>'Monthly Data'!N71</f>
        <v>29031687.915465459</v>
      </c>
      <c r="E71" s="10">
        <f t="shared" ca="1" si="7"/>
        <v>128.51888157360821</v>
      </c>
      <c r="F71" s="10">
        <f t="shared" ca="1" si="7"/>
        <v>2.0656249999999989</v>
      </c>
      <c r="G71" s="98">
        <f>'Monthly Data'!AI71</f>
        <v>124.45762558837849</v>
      </c>
      <c r="H71" s="98">
        <f>'Monthly Data'!AD71</f>
        <v>0</v>
      </c>
      <c r="I71">
        <f>'Monthly Data'!AV71</f>
        <v>70</v>
      </c>
      <c r="J71">
        <f>'Monthly Data'!BO71</f>
        <v>31</v>
      </c>
      <c r="K71">
        <f>'Monthly Data'!BR71</f>
        <v>0</v>
      </c>
      <c r="L71" s="17">
        <f>'Monthly Data'!AT71</f>
        <v>811397</v>
      </c>
      <c r="M71">
        <f>'Monthly Data'!BJ71</f>
        <v>1</v>
      </c>
      <c r="O71" s="17"/>
      <c r="P71" s="17">
        <f t="shared" ca="1" si="8"/>
        <v>47685.984607870421</v>
      </c>
      <c r="Q71" s="17">
        <f t="shared" ca="1" si="9"/>
        <v>45062.771836876353</v>
      </c>
      <c r="R71" s="17"/>
      <c r="S71" s="17"/>
      <c r="T71" s="17"/>
      <c r="U71" s="17"/>
      <c r="V71" s="17"/>
      <c r="W71" s="17">
        <f t="shared" ca="1" si="10"/>
        <v>29124436.671910208</v>
      </c>
    </row>
    <row r="72" spans="1:23" x14ac:dyDescent="0.2">
      <c r="A72" s="28">
        <f>'Monthly Data'!A72</f>
        <v>43770</v>
      </c>
      <c r="B72">
        <f>'Monthly Data'!C72</f>
        <v>11</v>
      </c>
      <c r="C72">
        <f>'Monthly Data'!B72</f>
        <v>2019</v>
      </c>
      <c r="D72" s="18">
        <f>'Monthly Data'!N72</f>
        <v>31785880.245318092</v>
      </c>
      <c r="E72" s="10">
        <f t="shared" ca="1" si="7"/>
        <v>332.1049960098469</v>
      </c>
      <c r="F72" s="10">
        <f t="shared" ca="1" si="7"/>
        <v>0</v>
      </c>
      <c r="G72" s="98">
        <f>'Monthly Data'!AI72</f>
        <v>431.92083333333318</v>
      </c>
      <c r="H72" s="98">
        <f>'Monthly Data'!AD72</f>
        <v>0</v>
      </c>
      <c r="I72">
        <f>'Monthly Data'!AV72</f>
        <v>71</v>
      </c>
      <c r="J72">
        <f>'Monthly Data'!BO72</f>
        <v>30</v>
      </c>
      <c r="K72">
        <f>'Monthly Data'!BR72</f>
        <v>0</v>
      </c>
      <c r="L72" s="17">
        <f>'Monthly Data'!AT72</f>
        <v>811397</v>
      </c>
      <c r="M72">
        <f>'Monthly Data'!BJ72</f>
        <v>1</v>
      </c>
      <c r="O72" s="17"/>
      <c r="P72" s="17">
        <f t="shared" ca="1" si="8"/>
        <v>-1172006.0246239884</v>
      </c>
      <c r="Q72" s="17">
        <f t="shared" ca="1" si="9"/>
        <v>0</v>
      </c>
      <c r="R72" s="17"/>
      <c r="S72" s="17"/>
      <c r="T72" s="17"/>
      <c r="U72" s="17"/>
      <c r="V72" s="17"/>
      <c r="W72" s="17">
        <f t="shared" ca="1" si="10"/>
        <v>30613874.220694102</v>
      </c>
    </row>
    <row r="73" spans="1:23" x14ac:dyDescent="0.2">
      <c r="A73" s="28">
        <f>'Monthly Data'!A73</f>
        <v>43800</v>
      </c>
      <c r="B73">
        <f>'Monthly Data'!C73</f>
        <v>12</v>
      </c>
      <c r="C73">
        <f>'Monthly Data'!B73</f>
        <v>2019</v>
      </c>
      <c r="D73" s="18">
        <f>'Monthly Data'!N73</f>
        <v>33913799.495170727</v>
      </c>
      <c r="E73" s="10">
        <f t="shared" ca="1" si="7"/>
        <v>508.62936502461724</v>
      </c>
      <c r="F73" s="10">
        <f t="shared" ca="1" si="7"/>
        <v>0</v>
      </c>
      <c r="G73" s="98">
        <f>'Monthly Data'!AI73</f>
        <v>542.69583333333344</v>
      </c>
      <c r="H73" s="98">
        <f>'Monthly Data'!AD73</f>
        <v>0</v>
      </c>
      <c r="I73">
        <f>'Monthly Data'!AV73</f>
        <v>72</v>
      </c>
      <c r="J73">
        <f>'Monthly Data'!BO73</f>
        <v>31</v>
      </c>
      <c r="K73">
        <f>'Monthly Data'!BR73</f>
        <v>0</v>
      </c>
      <c r="L73" s="17">
        <f>'Monthly Data'!AT73</f>
        <v>811397</v>
      </c>
      <c r="M73">
        <f>'Monthly Data'!BJ73</f>
        <v>0</v>
      </c>
      <c r="O73" s="17"/>
      <c r="P73" s="17">
        <f t="shared" ca="1" si="8"/>
        <v>-399997.70743878832</v>
      </c>
      <c r="Q73" s="17">
        <f t="shared" ca="1" si="9"/>
        <v>0</v>
      </c>
      <c r="R73" s="17"/>
      <c r="S73" s="17"/>
      <c r="T73" s="17"/>
      <c r="U73" s="17"/>
      <c r="V73" s="17"/>
      <c r="W73" s="17">
        <f t="shared" ca="1" si="10"/>
        <v>33513801.787731938</v>
      </c>
    </row>
    <row r="74" spans="1:23" x14ac:dyDescent="0.2">
      <c r="A74" s="28">
        <f>'Monthly Data'!A74</f>
        <v>43831</v>
      </c>
      <c r="B74">
        <f>'Monthly Data'!C74</f>
        <v>1</v>
      </c>
      <c r="C74">
        <f>'Monthly Data'!B74</f>
        <v>2020</v>
      </c>
      <c r="D74" s="18">
        <f>'Monthly Data'!N74</f>
        <v>33896121.025919832</v>
      </c>
      <c r="E74" s="10">
        <f t="shared" ca="1" si="7"/>
        <v>666.68367523535153</v>
      </c>
      <c r="F74" s="10">
        <f t="shared" ca="1" si="7"/>
        <v>0</v>
      </c>
      <c r="G74" s="98">
        <f>'Monthly Data'!AI74</f>
        <v>560.02637558837853</v>
      </c>
      <c r="H74" s="98">
        <f>'Monthly Data'!AD74</f>
        <v>0</v>
      </c>
      <c r="I74">
        <f>'Monthly Data'!AV74</f>
        <v>73</v>
      </c>
      <c r="J74">
        <f>'Monthly Data'!BO74</f>
        <v>31</v>
      </c>
      <c r="K74">
        <f>'Monthly Data'!BR74</f>
        <v>0</v>
      </c>
      <c r="L74" s="17">
        <f>'Monthly Data'!AT74</f>
        <v>800126</v>
      </c>
      <c r="M74">
        <f>'Monthly Data'!BJ74</f>
        <v>0</v>
      </c>
      <c r="O74" s="17"/>
      <c r="P74" s="17">
        <f t="shared" ca="1" si="8"/>
        <v>1252336.3136379323</v>
      </c>
      <c r="Q74" s="17">
        <f t="shared" ca="1" si="9"/>
        <v>0</v>
      </c>
      <c r="R74" s="17"/>
      <c r="S74" s="17"/>
      <c r="T74" s="17"/>
      <c r="U74" s="17"/>
      <c r="V74" s="17"/>
      <c r="W74" s="17">
        <f t="shared" ca="1" si="10"/>
        <v>35148457.339557767</v>
      </c>
    </row>
    <row r="75" spans="1:23" x14ac:dyDescent="0.2">
      <c r="A75" s="28">
        <f>'Monthly Data'!A75</f>
        <v>43862</v>
      </c>
      <c r="B75">
        <f>'Monthly Data'!C75</f>
        <v>2</v>
      </c>
      <c r="C75">
        <f>'Monthly Data'!B75</f>
        <v>2020</v>
      </c>
      <c r="D75" s="18">
        <f>'Monthly Data'!N75</f>
        <v>32095520.527711645</v>
      </c>
      <c r="E75" s="10">
        <f t="shared" ca="1" si="7"/>
        <v>599.3508333333333</v>
      </c>
      <c r="F75" s="10">
        <f t="shared" ca="1" si="7"/>
        <v>0</v>
      </c>
      <c r="G75" s="98">
        <f>'Monthly Data'!AI75</f>
        <v>561.2166666666667</v>
      </c>
      <c r="H75" s="98">
        <f>'Monthly Data'!AD75</f>
        <v>0</v>
      </c>
      <c r="I75">
        <f>'Monthly Data'!AV75</f>
        <v>74</v>
      </c>
      <c r="J75">
        <f>'Monthly Data'!BO75</f>
        <v>29</v>
      </c>
      <c r="K75">
        <f>'Monthly Data'!BR75</f>
        <v>0</v>
      </c>
      <c r="L75" s="17">
        <f>'Monthly Data'!AT75</f>
        <v>800126</v>
      </c>
      <c r="M75">
        <f>'Monthly Data'!BJ75</f>
        <v>0</v>
      </c>
      <c r="O75" s="17"/>
      <c r="P75" s="17">
        <f t="shared" ca="1" si="8"/>
        <v>447759.33635165059</v>
      </c>
      <c r="Q75" s="17">
        <f t="shared" ca="1" si="9"/>
        <v>0</v>
      </c>
      <c r="R75" s="17"/>
      <c r="S75" s="17"/>
      <c r="T75" s="17"/>
      <c r="U75" s="17"/>
      <c r="V75" s="17"/>
      <c r="W75" s="17">
        <f t="shared" ca="1" si="10"/>
        <v>32543279.864063296</v>
      </c>
    </row>
    <row r="76" spans="1:23" x14ac:dyDescent="0.2">
      <c r="A76" s="28">
        <f>'Monthly Data'!A76</f>
        <v>43891</v>
      </c>
      <c r="B76">
        <f>'Monthly Data'!C76</f>
        <v>3</v>
      </c>
      <c r="C76">
        <f>'Monthly Data'!B76</f>
        <v>2020</v>
      </c>
      <c r="D76" s="18">
        <f>'Monthly Data'!N76</f>
        <v>31020737.220503461</v>
      </c>
      <c r="E76" s="10">
        <f t="shared" ca="1" si="7"/>
        <v>469.11853767651354</v>
      </c>
      <c r="F76" s="10">
        <f t="shared" ca="1" si="7"/>
        <v>0</v>
      </c>
      <c r="G76" s="98">
        <f>'Monthly Data'!AI76</f>
        <v>389.14720892171187</v>
      </c>
      <c r="H76" s="98">
        <f>'Monthly Data'!AD76</f>
        <v>0</v>
      </c>
      <c r="I76">
        <f>'Monthly Data'!AV76</f>
        <v>75</v>
      </c>
      <c r="J76">
        <f>'Monthly Data'!BO76</f>
        <v>31</v>
      </c>
      <c r="K76">
        <f>'Monthly Data'!BR76</f>
        <v>0.5</v>
      </c>
      <c r="L76" s="17">
        <f>'Monthly Data'!AT76</f>
        <v>800126</v>
      </c>
      <c r="M76">
        <f>'Monthly Data'!BJ76</f>
        <v>0</v>
      </c>
      <c r="O76" s="17"/>
      <c r="P76" s="17">
        <f t="shared" ca="1" si="8"/>
        <v>938998.07496540027</v>
      </c>
      <c r="Q76" s="17">
        <f t="shared" ca="1" si="9"/>
        <v>0</v>
      </c>
      <c r="R76" s="17"/>
      <c r="S76" s="17"/>
      <c r="T76" s="17"/>
      <c r="U76" s="17"/>
      <c r="V76" s="17"/>
      <c r="W76" s="17">
        <f t="shared" ca="1" si="10"/>
        <v>31959735.295468859</v>
      </c>
    </row>
    <row r="77" spans="1:23" x14ac:dyDescent="0.2">
      <c r="A77" s="28">
        <f>'Monthly Data'!A77</f>
        <v>43922</v>
      </c>
      <c r="B77">
        <f>'Monthly Data'!C77</f>
        <v>4</v>
      </c>
      <c r="C77">
        <f>'Monthly Data'!B77</f>
        <v>2020</v>
      </c>
      <c r="D77" s="18">
        <f>'Monthly Data'!N77</f>
        <v>25567063.165295273</v>
      </c>
      <c r="E77" s="10">
        <f t="shared" ca="1" si="7"/>
        <v>233.92395833333336</v>
      </c>
      <c r="F77" s="10">
        <f t="shared" ca="1" si="7"/>
        <v>1.1666666666666714E-2</v>
      </c>
      <c r="G77" s="98">
        <f>'Monthly Data'!AI77</f>
        <v>239.53541666666663</v>
      </c>
      <c r="H77" s="98">
        <f>'Monthly Data'!AD77</f>
        <v>0</v>
      </c>
      <c r="I77">
        <f>'Monthly Data'!AV77</f>
        <v>76</v>
      </c>
      <c r="J77">
        <f>'Monthly Data'!BO77</f>
        <v>30</v>
      </c>
      <c r="K77">
        <f>'Monthly Data'!BR77</f>
        <v>1</v>
      </c>
      <c r="L77" s="17">
        <f>'Monthly Data'!AT77</f>
        <v>706539</v>
      </c>
      <c r="M77">
        <f>'Monthly Data'!BJ77</f>
        <v>0</v>
      </c>
      <c r="O77" s="17"/>
      <c r="P77" s="17">
        <f t="shared" ca="1" si="8"/>
        <v>-65887.970786431702</v>
      </c>
      <c r="Q77" s="17">
        <f t="shared" ca="1" si="9"/>
        <v>254.51489892739153</v>
      </c>
      <c r="R77" s="17"/>
      <c r="S77" s="17"/>
      <c r="T77" s="17"/>
      <c r="U77" s="17"/>
      <c r="V77" s="17"/>
      <c r="W77" s="17">
        <f t="shared" ca="1" si="10"/>
        <v>25501429.709407769</v>
      </c>
    </row>
    <row r="78" spans="1:23" x14ac:dyDescent="0.2">
      <c r="A78" s="28">
        <f>'Monthly Data'!A78</f>
        <v>43952</v>
      </c>
      <c r="B78">
        <f>'Monthly Data'!C78</f>
        <v>5</v>
      </c>
      <c r="C78">
        <f>'Monthly Data'!B78</f>
        <v>2020</v>
      </c>
      <c r="D78" s="18">
        <f>'Monthly Data'!N78</f>
        <v>25132119.509087089</v>
      </c>
      <c r="E78" s="10">
        <f t="shared" ca="1" si="7"/>
        <v>46.324929225504526</v>
      </c>
      <c r="F78" s="10">
        <f t="shared" ca="1" si="7"/>
        <v>19.778958333333328</v>
      </c>
      <c r="G78" s="98">
        <f>'Monthly Data'!AI78</f>
        <v>104.33541666666667</v>
      </c>
      <c r="H78" s="98">
        <f>'Monthly Data'!AD78</f>
        <v>33.141666666666659</v>
      </c>
      <c r="I78">
        <f>'Monthly Data'!AV78</f>
        <v>77</v>
      </c>
      <c r="J78">
        <f>'Monthly Data'!BO78</f>
        <v>31</v>
      </c>
      <c r="K78">
        <f>'Monthly Data'!BR78</f>
        <v>1</v>
      </c>
      <c r="L78" s="17">
        <f>'Monthly Data'!AT78</f>
        <v>706539</v>
      </c>
      <c r="M78">
        <f>'Monthly Data'!BJ78</f>
        <v>0</v>
      </c>
      <c r="O78" s="17"/>
      <c r="P78" s="17">
        <f t="shared" ca="1" si="8"/>
        <v>-681140.81487967237</v>
      </c>
      <c r="Q78" s="17">
        <f t="shared" ca="1" si="9"/>
        <v>-291515.00235895981</v>
      </c>
      <c r="R78" s="17"/>
      <c r="S78" s="17"/>
      <c r="T78" s="17"/>
      <c r="U78" s="17"/>
      <c r="V78" s="17"/>
      <c r="W78" s="17">
        <f t="shared" ca="1" si="10"/>
        <v>24159463.691848457</v>
      </c>
    </row>
    <row r="79" spans="1:23" x14ac:dyDescent="0.2">
      <c r="A79" s="28">
        <f>'Monthly Data'!A79</f>
        <v>43983</v>
      </c>
      <c r="B79">
        <f>'Monthly Data'!C79</f>
        <v>6</v>
      </c>
      <c r="C79">
        <f>'Monthly Data'!B79</f>
        <v>2020</v>
      </c>
      <c r="D79" s="18">
        <f>'Monthly Data'!N79</f>
        <v>25159228.287878901</v>
      </c>
      <c r="E79" s="10">
        <f t="shared" ref="E79:F94" ca="1" si="11">E67</f>
        <v>1.25875</v>
      </c>
      <c r="F79" s="10">
        <f t="shared" ca="1" si="11"/>
        <v>53.293685210734182</v>
      </c>
      <c r="G79" s="98">
        <f>'Monthly Data'!AI79</f>
        <v>1.7916666666666679</v>
      </c>
      <c r="H79" s="98">
        <f>'Monthly Data'!AD79</f>
        <v>77.17916666666666</v>
      </c>
      <c r="I79">
        <f>'Monthly Data'!AV79</f>
        <v>78</v>
      </c>
      <c r="J79">
        <f>'Monthly Data'!BO79</f>
        <v>30</v>
      </c>
      <c r="K79">
        <f>'Monthly Data'!BR79</f>
        <v>0.5</v>
      </c>
      <c r="L79" s="17">
        <f>'Monthly Data'!AT79</f>
        <v>706539</v>
      </c>
      <c r="M79">
        <f>'Monthly Data'!BJ79</f>
        <v>0</v>
      </c>
      <c r="O79" s="17"/>
      <c r="P79" s="17">
        <f t="shared" ca="1" si="8"/>
        <v>-6257.3391227657103</v>
      </c>
      <c r="Q79" s="17">
        <f t="shared" ca="1" si="9"/>
        <v>-521075.21987903269</v>
      </c>
      <c r="R79" s="17"/>
      <c r="S79" s="17"/>
      <c r="T79" s="17"/>
      <c r="U79" s="17"/>
      <c r="V79" s="17"/>
      <c r="W79" s="17">
        <f t="shared" ca="1" si="10"/>
        <v>24631895.728877101</v>
      </c>
    </row>
    <row r="80" spans="1:23" x14ac:dyDescent="0.2">
      <c r="A80" s="28">
        <f>'Monthly Data'!A80</f>
        <v>44013</v>
      </c>
      <c r="B80">
        <f>'Monthly Data'!C80</f>
        <v>7</v>
      </c>
      <c r="C80">
        <f>'Monthly Data'!B80</f>
        <v>2020</v>
      </c>
      <c r="D80" s="18">
        <f>'Monthly Data'!N80</f>
        <v>28751793.768670712</v>
      </c>
      <c r="E80" s="10">
        <f t="shared" ca="1" si="11"/>
        <v>0</v>
      </c>
      <c r="F80" s="10">
        <f t="shared" ca="1" si="11"/>
        <v>104.42694776957208</v>
      </c>
      <c r="G80" s="98">
        <f>'Monthly Data'!AI80</f>
        <v>0</v>
      </c>
      <c r="H80" s="98">
        <f>'Monthly Data'!AD80</f>
        <v>151.97708333333338</v>
      </c>
      <c r="I80">
        <f>'Monthly Data'!AV80</f>
        <v>79</v>
      </c>
      <c r="J80">
        <f>'Monthly Data'!BO80</f>
        <v>31</v>
      </c>
      <c r="K80">
        <f>'Monthly Data'!BR80</f>
        <v>0.5</v>
      </c>
      <c r="L80" s="17">
        <f>'Monthly Data'!AT80</f>
        <v>777225</v>
      </c>
      <c r="M80">
        <f>'Monthly Data'!BJ80</f>
        <v>0</v>
      </c>
      <c r="O80" s="17"/>
      <c r="P80" s="17">
        <f t="shared" ca="1" si="8"/>
        <v>0</v>
      </c>
      <c r="Q80" s="17">
        <f t="shared" ca="1" si="9"/>
        <v>-1037332.9668852364</v>
      </c>
      <c r="R80" s="17"/>
      <c r="S80" s="17"/>
      <c r="T80" s="17"/>
      <c r="U80" s="17"/>
      <c r="V80" s="17"/>
      <c r="W80" s="17">
        <f t="shared" ca="1" si="10"/>
        <v>27714460.801785477</v>
      </c>
    </row>
    <row r="81" spans="1:23" x14ac:dyDescent="0.2">
      <c r="A81" s="28">
        <f>'Monthly Data'!A81</f>
        <v>44044</v>
      </c>
      <c r="B81">
        <f>'Monthly Data'!C81</f>
        <v>8</v>
      </c>
      <c r="C81">
        <f>'Monthly Data'!B81</f>
        <v>2020</v>
      </c>
      <c r="D81" s="18">
        <f>'Monthly Data'!N81</f>
        <v>27133108.955462527</v>
      </c>
      <c r="E81" s="10">
        <f t="shared" ca="1" si="11"/>
        <v>0.1158333333333335</v>
      </c>
      <c r="F81" s="10">
        <f t="shared" ca="1" si="11"/>
        <v>74.696666666666673</v>
      </c>
      <c r="G81" s="98">
        <f>'Monthly Data'!AI81</f>
        <v>0</v>
      </c>
      <c r="H81" s="98">
        <f>'Monthly Data'!AD81</f>
        <v>69.418750000000003</v>
      </c>
      <c r="I81">
        <f>'Monthly Data'!AV81</f>
        <v>80</v>
      </c>
      <c r="J81">
        <f>'Monthly Data'!BO81</f>
        <v>31</v>
      </c>
      <c r="K81">
        <f>'Monthly Data'!BR81</f>
        <v>0.5</v>
      </c>
      <c r="L81" s="17">
        <f>'Monthly Data'!AT81</f>
        <v>777225</v>
      </c>
      <c r="M81">
        <f>'Monthly Data'!BJ81</f>
        <v>0</v>
      </c>
      <c r="O81" s="17"/>
      <c r="P81" s="17">
        <f t="shared" ca="1" si="8"/>
        <v>1360.0784019772213</v>
      </c>
      <c r="Q81" s="17">
        <f t="shared" ca="1" si="9"/>
        <v>115140.72231118777</v>
      </c>
      <c r="R81" s="17"/>
      <c r="S81" s="17"/>
      <c r="T81" s="17"/>
      <c r="U81" s="17"/>
      <c r="V81" s="17"/>
      <c r="W81" s="17">
        <f t="shared" ca="1" si="10"/>
        <v>27249609.756175693</v>
      </c>
    </row>
    <row r="82" spans="1:23" x14ac:dyDescent="0.2">
      <c r="A82" s="28">
        <f>'Monthly Data'!A82</f>
        <v>44075</v>
      </c>
      <c r="B82">
        <f>'Monthly Data'!C82</f>
        <v>9</v>
      </c>
      <c r="C82">
        <f>'Monthly Data'!B82</f>
        <v>2020</v>
      </c>
      <c r="D82" s="18">
        <f>'Monthly Data'!N82</f>
        <v>25201907.553254344</v>
      </c>
      <c r="E82" s="10">
        <f t="shared" ca="1" si="11"/>
        <v>11.597845892171184</v>
      </c>
      <c r="F82" s="10">
        <f t="shared" ca="1" si="11"/>
        <v>25.91041666666667</v>
      </c>
      <c r="G82" s="98">
        <f>'Monthly Data'!AI82</f>
        <v>19.81666666666667</v>
      </c>
      <c r="H82" s="98">
        <f>'Monthly Data'!AD82</f>
        <v>3.4374999999999964</v>
      </c>
      <c r="I82">
        <f>'Monthly Data'!AV82</f>
        <v>81</v>
      </c>
      <c r="J82">
        <f>'Monthly Data'!BO82</f>
        <v>30</v>
      </c>
      <c r="K82">
        <f>'Monthly Data'!BR82</f>
        <v>0.5</v>
      </c>
      <c r="L82" s="17">
        <f>'Monthly Data'!AT82</f>
        <v>777225</v>
      </c>
      <c r="M82">
        <f>'Monthly Data'!BJ82</f>
        <v>1</v>
      </c>
      <c r="O82" s="17"/>
      <c r="P82" s="17">
        <f t="shared" ca="1" si="8"/>
        <v>-96502.796763565406</v>
      </c>
      <c r="Q82" s="17">
        <f t="shared" ca="1" si="9"/>
        <v>490259.32405888609</v>
      </c>
      <c r="R82" s="17"/>
      <c r="S82" s="17"/>
      <c r="T82" s="17"/>
      <c r="U82" s="17"/>
      <c r="V82" s="17"/>
      <c r="W82" s="17">
        <f t="shared" ca="1" si="10"/>
        <v>25595664.080549665</v>
      </c>
    </row>
    <row r="83" spans="1:23" x14ac:dyDescent="0.2">
      <c r="A83" s="28">
        <f>'Monthly Data'!A83</f>
        <v>44105</v>
      </c>
      <c r="B83">
        <f>'Monthly Data'!C83</f>
        <v>10</v>
      </c>
      <c r="C83">
        <f>'Monthly Data'!B83</f>
        <v>2020</v>
      </c>
      <c r="D83" s="18">
        <f>'Monthly Data'!N83</f>
        <v>27569490.543046154</v>
      </c>
      <c r="E83" s="10">
        <f t="shared" ca="1" si="11"/>
        <v>128.51888157360821</v>
      </c>
      <c r="F83" s="10">
        <f t="shared" ca="1" si="11"/>
        <v>2.0656249999999989</v>
      </c>
      <c r="G83" s="98">
        <f>'Monthly Data'!AI83</f>
        <v>197.31041666666664</v>
      </c>
      <c r="H83" s="98">
        <f>'Monthly Data'!AD83</f>
        <v>0</v>
      </c>
      <c r="I83">
        <f>'Monthly Data'!AV83</f>
        <v>82</v>
      </c>
      <c r="J83">
        <f>'Monthly Data'!BO83</f>
        <v>31</v>
      </c>
      <c r="K83">
        <f>'Monthly Data'!BR83</f>
        <v>0.5</v>
      </c>
      <c r="L83" s="17">
        <f>'Monthly Data'!AT83</f>
        <v>795879</v>
      </c>
      <c r="M83">
        <f>'Monthly Data'!BJ83</f>
        <v>1</v>
      </c>
      <c r="O83" s="17"/>
      <c r="P83" s="17">
        <f t="shared" ca="1" si="8"/>
        <v>-807728.47009145375</v>
      </c>
      <c r="Q83" s="17">
        <f t="shared" ca="1" si="9"/>
        <v>45062.771836876353</v>
      </c>
      <c r="R83" s="17"/>
      <c r="S83" s="17"/>
      <c r="T83" s="17"/>
      <c r="U83" s="17"/>
      <c r="V83" s="17"/>
      <c r="W83" s="17">
        <f t="shared" ca="1" si="10"/>
        <v>26806824.844791576</v>
      </c>
    </row>
    <row r="84" spans="1:23" x14ac:dyDescent="0.2">
      <c r="A84" s="28">
        <f>'Monthly Data'!A84</f>
        <v>44136</v>
      </c>
      <c r="B84">
        <f>'Monthly Data'!C84</f>
        <v>11</v>
      </c>
      <c r="C84">
        <f>'Monthly Data'!B84</f>
        <v>2020</v>
      </c>
      <c r="D84" s="18">
        <f>'Monthly Data'!N84</f>
        <v>28808277.152837969</v>
      </c>
      <c r="E84" s="10">
        <f t="shared" ca="1" si="11"/>
        <v>332.1049960098469</v>
      </c>
      <c r="F84" s="10">
        <f t="shared" ca="1" si="11"/>
        <v>0</v>
      </c>
      <c r="G84" s="98">
        <f>'Monthly Data'!AI84</f>
        <v>261.77916666666664</v>
      </c>
      <c r="H84" s="98">
        <f>'Monthly Data'!AD84</f>
        <v>0</v>
      </c>
      <c r="I84">
        <f>'Monthly Data'!AV84</f>
        <v>83</v>
      </c>
      <c r="J84">
        <f>'Monthly Data'!BO84</f>
        <v>30</v>
      </c>
      <c r="K84">
        <f>'Monthly Data'!BR84</f>
        <v>0.5</v>
      </c>
      <c r="L84" s="17">
        <f>'Monthly Data'!AT84</f>
        <v>795879</v>
      </c>
      <c r="M84">
        <f>'Monthly Data'!BJ84</f>
        <v>1</v>
      </c>
      <c r="O84" s="17"/>
      <c r="P84" s="17">
        <f t="shared" ca="1" si="8"/>
        <v>825743.66840974323</v>
      </c>
      <c r="Q84" s="17">
        <f t="shared" ca="1" si="9"/>
        <v>0</v>
      </c>
      <c r="R84" s="17"/>
      <c r="S84" s="17"/>
      <c r="T84" s="17"/>
      <c r="U84" s="17"/>
      <c r="V84" s="17"/>
      <c r="W84" s="17">
        <f t="shared" ca="1" si="10"/>
        <v>29634020.821247712</v>
      </c>
    </row>
    <row r="85" spans="1:23" x14ac:dyDescent="0.2">
      <c r="A85" s="28">
        <f>'Monthly Data'!A85</f>
        <v>44166</v>
      </c>
      <c r="B85">
        <f>'Monthly Data'!C85</f>
        <v>12</v>
      </c>
      <c r="C85">
        <f>'Monthly Data'!B85</f>
        <v>2020</v>
      </c>
      <c r="D85" s="18">
        <f>'Monthly Data'!N85</f>
        <v>31609940.130629782</v>
      </c>
      <c r="E85" s="10">
        <f t="shared" ca="1" si="11"/>
        <v>508.62936502461724</v>
      </c>
      <c r="F85" s="10">
        <f t="shared" ca="1" si="11"/>
        <v>0</v>
      </c>
      <c r="G85" s="98">
        <f>'Monthly Data'!AI85</f>
        <v>504.51387558837848</v>
      </c>
      <c r="H85" s="98">
        <f>'Monthly Data'!AD85</f>
        <v>0</v>
      </c>
      <c r="I85">
        <f>'Monthly Data'!AV85</f>
        <v>84</v>
      </c>
      <c r="J85">
        <f>'Monthly Data'!BO85</f>
        <v>31</v>
      </c>
      <c r="K85">
        <f>'Monthly Data'!BR85</f>
        <v>0.5</v>
      </c>
      <c r="L85" s="17">
        <f>'Monthly Data'!AT85</f>
        <v>795879</v>
      </c>
      <c r="M85">
        <f>'Monthly Data'!BJ85</f>
        <v>0</v>
      </c>
      <c r="O85" s="17"/>
      <c r="P85" s="17">
        <f t="shared" ca="1" si="8"/>
        <v>48322.776654334462</v>
      </c>
      <c r="Q85" s="17">
        <f t="shared" ca="1" si="9"/>
        <v>0</v>
      </c>
      <c r="R85" s="17"/>
      <c r="S85" s="17"/>
      <c r="T85" s="17"/>
      <c r="U85" s="17"/>
      <c r="V85" s="17"/>
      <c r="W85" s="17">
        <f t="shared" ca="1" si="10"/>
        <v>31658262.907284115</v>
      </c>
    </row>
    <row r="86" spans="1:23" x14ac:dyDescent="0.2">
      <c r="A86" s="28">
        <f>'Monthly Data'!A86</f>
        <v>44197</v>
      </c>
      <c r="B86">
        <f>'Monthly Data'!C86</f>
        <v>1</v>
      </c>
      <c r="C86">
        <f>'Monthly Data'!B86</f>
        <v>2021</v>
      </c>
      <c r="D86" s="18">
        <f>'Monthly Data'!N86</f>
        <v>31503025.928263903</v>
      </c>
      <c r="E86" s="10">
        <f t="shared" ca="1" si="11"/>
        <v>666.68367523535153</v>
      </c>
      <c r="F86" s="10">
        <f t="shared" ca="1" si="11"/>
        <v>0</v>
      </c>
      <c r="G86" s="98">
        <f>'Monthly Data'!AI86</f>
        <v>575.9242922550452</v>
      </c>
      <c r="H86" s="98">
        <f>'Monthly Data'!AD86</f>
        <v>0</v>
      </c>
      <c r="I86">
        <f>'Monthly Data'!AV86</f>
        <v>85</v>
      </c>
      <c r="J86">
        <f>'Monthly Data'!BO86</f>
        <v>31</v>
      </c>
      <c r="K86">
        <f>'Monthly Data'!BR86</f>
        <v>0.5</v>
      </c>
      <c r="L86" s="17">
        <f>'Monthly Data'!AT86</f>
        <v>808584</v>
      </c>
      <c r="M86">
        <f>'Monthly Data'!BJ86</f>
        <v>0</v>
      </c>
      <c r="O86" s="17"/>
      <c r="P86" s="17">
        <f t="shared" ca="1" si="8"/>
        <v>1065667.9991507351</v>
      </c>
      <c r="Q86" s="17">
        <f t="shared" ca="1" si="9"/>
        <v>0</v>
      </c>
      <c r="R86" s="17"/>
      <c r="S86" s="17"/>
      <c r="T86" s="17"/>
      <c r="U86" s="17"/>
      <c r="V86" s="17"/>
      <c r="W86" s="17">
        <f t="shared" ca="1" si="10"/>
        <v>32568693.927414637</v>
      </c>
    </row>
    <row r="87" spans="1:23" x14ac:dyDescent="0.2">
      <c r="A87" s="28">
        <f>'Monthly Data'!A87</f>
        <v>44228</v>
      </c>
      <c r="B87">
        <f>'Monthly Data'!C87</f>
        <v>2</v>
      </c>
      <c r="C87">
        <f>'Monthly Data'!B87</f>
        <v>2021</v>
      </c>
      <c r="D87" s="18">
        <f>'Monthly Data'!N87</f>
        <v>29705320.387662452</v>
      </c>
      <c r="E87" s="10">
        <f t="shared" ca="1" si="11"/>
        <v>599.3508333333333</v>
      </c>
      <c r="F87" s="10">
        <f t="shared" ca="1" si="11"/>
        <v>0</v>
      </c>
      <c r="G87" s="98">
        <f>'Monthly Data'!AI87</f>
        <v>583.86250000000018</v>
      </c>
      <c r="H87" s="98">
        <f>'Monthly Data'!AD87</f>
        <v>0</v>
      </c>
      <c r="I87">
        <f>'Monthly Data'!AV87</f>
        <v>86</v>
      </c>
      <c r="J87">
        <f>'Monthly Data'!BO87</f>
        <v>28</v>
      </c>
      <c r="K87">
        <f>'Monthly Data'!BR87</f>
        <v>0.5</v>
      </c>
      <c r="L87" s="17">
        <f>'Monthly Data'!AT87</f>
        <v>808584</v>
      </c>
      <c r="M87">
        <f>'Monthly Data'!BJ87</f>
        <v>0</v>
      </c>
      <c r="O87" s="17"/>
      <c r="P87" s="17">
        <f t="shared" ca="1" si="8"/>
        <v>181859.11639674997</v>
      </c>
      <c r="Q87" s="17">
        <f t="shared" ca="1" si="9"/>
        <v>0</v>
      </c>
      <c r="R87" s="17"/>
      <c r="S87" s="17"/>
      <c r="T87" s="17"/>
      <c r="U87" s="17"/>
      <c r="V87" s="17"/>
      <c r="W87" s="17">
        <f t="shared" ca="1" si="10"/>
        <v>29887179.504059203</v>
      </c>
    </row>
    <row r="88" spans="1:23" x14ac:dyDescent="0.2">
      <c r="A88" s="28">
        <f>'Monthly Data'!A88</f>
        <v>44256</v>
      </c>
      <c r="B88">
        <f>'Monthly Data'!C88</f>
        <v>3</v>
      </c>
      <c r="C88">
        <f>'Monthly Data'!B88</f>
        <v>2021</v>
      </c>
      <c r="D88" s="18">
        <f>'Monthly Data'!N88</f>
        <v>29854564.017060999</v>
      </c>
      <c r="E88" s="10">
        <f t="shared" ca="1" si="11"/>
        <v>469.11853767651354</v>
      </c>
      <c r="F88" s="10">
        <f t="shared" ca="1" si="11"/>
        <v>0</v>
      </c>
      <c r="G88" s="98">
        <f>'Monthly Data'!AI88</f>
        <v>380.87637558837855</v>
      </c>
      <c r="H88" s="98">
        <f>'Monthly Data'!AD88</f>
        <v>0</v>
      </c>
      <c r="I88">
        <f>'Monthly Data'!AV88</f>
        <v>87</v>
      </c>
      <c r="J88">
        <f>'Monthly Data'!BO88</f>
        <v>31</v>
      </c>
      <c r="K88">
        <f>'Monthly Data'!BR88</f>
        <v>0.5</v>
      </c>
      <c r="L88" s="17">
        <f>'Monthly Data'!AT88</f>
        <v>808584</v>
      </c>
      <c r="M88">
        <f>'Monthly Data'!BJ88</f>
        <v>0</v>
      </c>
      <c r="O88" s="17"/>
      <c r="P88" s="17">
        <f t="shared" ca="1" si="8"/>
        <v>1036111.5867612554</v>
      </c>
      <c r="Q88" s="17">
        <f t="shared" ca="1" si="9"/>
        <v>0</v>
      </c>
      <c r="R88" s="17"/>
      <c r="S88" s="17"/>
      <c r="T88" s="17"/>
      <c r="U88" s="17"/>
      <c r="V88" s="17"/>
      <c r="W88" s="17">
        <f t="shared" ca="1" si="10"/>
        <v>30890675.603822254</v>
      </c>
    </row>
    <row r="89" spans="1:23" x14ac:dyDescent="0.2">
      <c r="A89" s="28">
        <f>'Monthly Data'!A89</f>
        <v>44287</v>
      </c>
      <c r="B89">
        <f>'Monthly Data'!C89</f>
        <v>4</v>
      </c>
      <c r="C89">
        <f>'Monthly Data'!B89</f>
        <v>2021</v>
      </c>
      <c r="D89" s="18">
        <f>'Monthly Data'!N89</f>
        <v>25770865.557459541</v>
      </c>
      <c r="E89" s="10">
        <f t="shared" ca="1" si="11"/>
        <v>233.92395833333336</v>
      </c>
      <c r="F89" s="10">
        <f t="shared" ca="1" si="11"/>
        <v>1.1666666666666714E-2</v>
      </c>
      <c r="G89" s="98">
        <f>'Monthly Data'!AI89</f>
        <v>152.30624999999998</v>
      </c>
      <c r="H89" s="98">
        <f>'Monthly Data'!AD89</f>
        <v>0</v>
      </c>
      <c r="I89">
        <f>'Monthly Data'!AV89</f>
        <v>88</v>
      </c>
      <c r="J89">
        <f>'Monthly Data'!BO89</f>
        <v>30</v>
      </c>
      <c r="K89">
        <f>'Monthly Data'!BR89</f>
        <v>0.5</v>
      </c>
      <c r="L89" s="17">
        <f>'Monthly Data'!AT89</f>
        <v>802518</v>
      </c>
      <c r="M89">
        <f>'Monthly Data'!BJ89</f>
        <v>0</v>
      </c>
      <c r="O89" s="17"/>
      <c r="P89" s="17">
        <f t="shared" ca="1" si="8"/>
        <v>958329.34379605344</v>
      </c>
      <c r="Q89" s="17">
        <f t="shared" ca="1" si="9"/>
        <v>254.51489892739153</v>
      </c>
      <c r="R89" s="17"/>
      <c r="S89" s="17"/>
      <c r="T89" s="17"/>
      <c r="U89" s="17"/>
      <c r="V89" s="17"/>
      <c r="W89" s="17">
        <f t="shared" ca="1" si="10"/>
        <v>26729449.416154522</v>
      </c>
    </row>
    <row r="90" spans="1:23" x14ac:dyDescent="0.2">
      <c r="A90" s="28">
        <f>'Monthly Data'!A90</f>
        <v>44317</v>
      </c>
      <c r="B90">
        <f>'Monthly Data'!C90</f>
        <v>5</v>
      </c>
      <c r="C90">
        <f>'Monthly Data'!B90</f>
        <v>2021</v>
      </c>
      <c r="D90" s="18">
        <f>'Monthly Data'!N90</f>
        <v>26003773.763858087</v>
      </c>
      <c r="E90" s="10">
        <f t="shared" ca="1" si="11"/>
        <v>46.324929225504526</v>
      </c>
      <c r="F90" s="10">
        <f t="shared" ca="1" si="11"/>
        <v>19.778958333333328</v>
      </c>
      <c r="G90" s="98">
        <f>'Monthly Data'!AI90</f>
        <v>61.727083333333333</v>
      </c>
      <c r="H90" s="98">
        <f>'Monthly Data'!AD90</f>
        <v>24.75416666666667</v>
      </c>
      <c r="I90">
        <f>'Monthly Data'!AV90</f>
        <v>89</v>
      </c>
      <c r="J90">
        <f>'Monthly Data'!BO90</f>
        <v>31</v>
      </c>
      <c r="K90">
        <f>'Monthly Data'!BR90</f>
        <v>0.5</v>
      </c>
      <c r="L90" s="17">
        <f>'Monthly Data'!AT90</f>
        <v>802518</v>
      </c>
      <c r="M90">
        <f>'Monthly Data'!BJ90</f>
        <v>0</v>
      </c>
      <c r="O90" s="17"/>
      <c r="P90" s="17">
        <f t="shared" ca="1" si="8"/>
        <v>-180847.22715956264</v>
      </c>
      <c r="Q90" s="17">
        <f t="shared" ca="1" si="9"/>
        <v>-108536.96966580398</v>
      </c>
      <c r="R90" s="17"/>
      <c r="S90" s="17"/>
      <c r="T90" s="17"/>
      <c r="U90" s="17"/>
      <c r="V90" s="17"/>
      <c r="W90" s="17">
        <f t="shared" ca="1" si="10"/>
        <v>25714389.567032721</v>
      </c>
    </row>
    <row r="91" spans="1:23" x14ac:dyDescent="0.2">
      <c r="A91" s="28">
        <f>'Monthly Data'!A91</f>
        <v>44348</v>
      </c>
      <c r="B91">
        <f>'Monthly Data'!C91</f>
        <v>6</v>
      </c>
      <c r="C91">
        <f>'Monthly Data'!B91</f>
        <v>2021</v>
      </c>
      <c r="D91" s="18">
        <f>'Monthly Data'!N91</f>
        <v>26043272.149256632</v>
      </c>
      <c r="E91" s="10">
        <f t="shared" ca="1" si="11"/>
        <v>1.25875</v>
      </c>
      <c r="F91" s="10">
        <f t="shared" ca="1" si="11"/>
        <v>53.293685210734182</v>
      </c>
      <c r="G91" s="98">
        <f>'Monthly Data'!AI91</f>
        <v>1.3708333333333318</v>
      </c>
      <c r="H91" s="98">
        <f>'Monthly Data'!AD91</f>
        <v>60.395833333333343</v>
      </c>
      <c r="I91">
        <f>'Monthly Data'!AV91</f>
        <v>90</v>
      </c>
      <c r="J91">
        <f>'Monthly Data'!BO91</f>
        <v>30</v>
      </c>
      <c r="K91">
        <f>'Monthly Data'!BR91</f>
        <v>0.5</v>
      </c>
      <c r="L91" s="17">
        <f>'Monthly Data'!AT91</f>
        <v>802518</v>
      </c>
      <c r="M91">
        <f>'Monthly Data'!BJ91</f>
        <v>0</v>
      </c>
      <c r="O91" s="17"/>
      <c r="P91" s="17">
        <f t="shared" ca="1" si="8"/>
        <v>-1316.0470868052766</v>
      </c>
      <c r="Q91" s="17">
        <f t="shared" ca="1" si="9"/>
        <v>-154937.35813634415</v>
      </c>
      <c r="R91" s="17"/>
      <c r="S91" s="17"/>
      <c r="T91" s="17"/>
      <c r="U91" s="17"/>
      <c r="V91" s="17"/>
      <c r="W91" s="17">
        <f t="shared" ca="1" si="10"/>
        <v>25887018.744033482</v>
      </c>
    </row>
    <row r="92" spans="1:23" x14ac:dyDescent="0.2">
      <c r="A92" s="28">
        <f>'Monthly Data'!A92</f>
        <v>44378</v>
      </c>
      <c r="B92">
        <f>'Monthly Data'!C92</f>
        <v>7</v>
      </c>
      <c r="C92">
        <f>'Monthly Data'!B92</f>
        <v>2021</v>
      </c>
      <c r="D92" s="18">
        <f>'Monthly Data'!N92</f>
        <v>27770526.577655174</v>
      </c>
      <c r="E92" s="10">
        <f t="shared" ca="1" si="11"/>
        <v>0</v>
      </c>
      <c r="F92" s="10">
        <f t="shared" ca="1" si="11"/>
        <v>104.42694776957208</v>
      </c>
      <c r="G92" s="98">
        <f>'Monthly Data'!AI92</f>
        <v>0</v>
      </c>
      <c r="H92" s="98">
        <f>'Monthly Data'!AD92</f>
        <v>85.470833333333374</v>
      </c>
      <c r="I92">
        <f>'Monthly Data'!AV92</f>
        <v>91</v>
      </c>
      <c r="J92">
        <f>'Monthly Data'!BO92</f>
        <v>31</v>
      </c>
      <c r="K92">
        <f>'Monthly Data'!BR92</f>
        <v>0.5</v>
      </c>
      <c r="L92" s="17">
        <f>'Monthly Data'!AT92</f>
        <v>819564</v>
      </c>
      <c r="M92">
        <f>'Monthly Data'!BJ92</f>
        <v>0</v>
      </c>
      <c r="O92" s="17"/>
      <c r="P92" s="17">
        <f t="shared" ca="1" si="8"/>
        <v>0</v>
      </c>
      <c r="Q92" s="17">
        <f t="shared" ca="1" si="9"/>
        <v>413538.30426817224</v>
      </c>
      <c r="R92" s="17"/>
      <c r="S92" s="17"/>
      <c r="T92" s="17"/>
      <c r="U92" s="17"/>
      <c r="V92" s="17"/>
      <c r="W92" s="17">
        <f t="shared" ca="1" si="10"/>
        <v>28184064.881923348</v>
      </c>
    </row>
    <row r="93" spans="1:23" x14ac:dyDescent="0.2">
      <c r="A93" s="28">
        <f>'Monthly Data'!A93</f>
        <v>44409</v>
      </c>
      <c r="B93">
        <f>'Monthly Data'!C93</f>
        <v>8</v>
      </c>
      <c r="C93">
        <f>'Monthly Data'!B93</f>
        <v>2021</v>
      </c>
      <c r="D93" s="18">
        <f>'Monthly Data'!N93</f>
        <v>28869023.053053726</v>
      </c>
      <c r="E93" s="10">
        <f t="shared" ca="1" si="11"/>
        <v>0.1158333333333335</v>
      </c>
      <c r="F93" s="10">
        <f t="shared" ca="1" si="11"/>
        <v>74.696666666666673</v>
      </c>
      <c r="G93" s="98">
        <f>'Monthly Data'!AI93</f>
        <v>0</v>
      </c>
      <c r="H93" s="98">
        <f>'Monthly Data'!AD93</f>
        <v>116.98750000000003</v>
      </c>
      <c r="I93">
        <f>'Monthly Data'!AV93</f>
        <v>92</v>
      </c>
      <c r="J93">
        <f>'Monthly Data'!BO93</f>
        <v>31</v>
      </c>
      <c r="K93">
        <f>'Monthly Data'!BR93</f>
        <v>0.5</v>
      </c>
      <c r="L93" s="17">
        <f>'Monthly Data'!AT93</f>
        <v>819564</v>
      </c>
      <c r="M93">
        <f>'Monthly Data'!BJ93</f>
        <v>0</v>
      </c>
      <c r="O93" s="17"/>
      <c r="P93" s="17">
        <f t="shared" ca="1" si="8"/>
        <v>1360.0784019772213</v>
      </c>
      <c r="Q93" s="17">
        <f t="shared" ca="1" si="9"/>
        <v>-922598.3289761534</v>
      </c>
      <c r="R93" s="17"/>
      <c r="S93" s="17"/>
      <c r="T93" s="17"/>
      <c r="U93" s="17"/>
      <c r="V93" s="17"/>
      <c r="W93" s="17">
        <f t="shared" ca="1" si="10"/>
        <v>27947784.80247955</v>
      </c>
    </row>
    <row r="94" spans="1:23" x14ac:dyDescent="0.2">
      <c r="A94" s="28">
        <f>'Monthly Data'!A94</f>
        <v>44440</v>
      </c>
      <c r="B94">
        <f>'Monthly Data'!C94</f>
        <v>9</v>
      </c>
      <c r="C94">
        <f>'Monthly Data'!B94</f>
        <v>2021</v>
      </c>
      <c r="D94" s="18">
        <f>'Monthly Data'!N94</f>
        <v>26337465.956452273</v>
      </c>
      <c r="E94" s="10">
        <f t="shared" ca="1" si="11"/>
        <v>11.597845892171184</v>
      </c>
      <c r="F94" s="10">
        <f t="shared" ca="1" si="11"/>
        <v>25.91041666666667</v>
      </c>
      <c r="G94" s="98">
        <f>'Monthly Data'!AI94</f>
        <v>5.2583333333333302</v>
      </c>
      <c r="H94" s="98">
        <f>'Monthly Data'!AD94</f>
        <v>4.8499999999999979</v>
      </c>
      <c r="I94">
        <f>'Monthly Data'!AV94</f>
        <v>93</v>
      </c>
      <c r="J94">
        <f>'Monthly Data'!BO94</f>
        <v>30</v>
      </c>
      <c r="K94">
        <f>'Monthly Data'!BR94</f>
        <v>0.5</v>
      </c>
      <c r="L94" s="17">
        <f>'Monthly Data'!AT94</f>
        <v>819564</v>
      </c>
      <c r="M94">
        <f>'Monthly Data'!BJ94</f>
        <v>1</v>
      </c>
      <c r="O94" s="17"/>
      <c r="P94" s="17">
        <f t="shared" ca="1" si="8"/>
        <v>74436.553470549945</v>
      </c>
      <c r="Q94" s="17">
        <f t="shared" ca="1" si="9"/>
        <v>459444.84165303415</v>
      </c>
      <c r="R94" s="17"/>
      <c r="S94" s="17"/>
      <c r="T94" s="17"/>
      <c r="U94" s="17"/>
      <c r="V94" s="17"/>
      <c r="W94" s="17">
        <f t="shared" ca="1" si="10"/>
        <v>26871347.351575855</v>
      </c>
    </row>
    <row r="95" spans="1:23" x14ac:dyDescent="0.2">
      <c r="A95" s="28">
        <f>'Monthly Data'!A95</f>
        <v>44470</v>
      </c>
      <c r="B95">
        <f>'Monthly Data'!C95</f>
        <v>10</v>
      </c>
      <c r="C95">
        <f>'Monthly Data'!B95</f>
        <v>2021</v>
      </c>
      <c r="D95" s="18">
        <f>'Monthly Data'!N95</f>
        <v>27573316.757850815</v>
      </c>
      <c r="E95" s="10">
        <f t="shared" ref="E95:F110" ca="1" si="12">E83</f>
        <v>128.51888157360821</v>
      </c>
      <c r="F95" s="10">
        <f t="shared" ca="1" si="12"/>
        <v>2.0656249999999989</v>
      </c>
      <c r="G95" s="98">
        <f>'Monthly Data'!AI95</f>
        <v>60.793750000000003</v>
      </c>
      <c r="H95" s="98">
        <f>'Monthly Data'!AD95</f>
        <v>3.74166666666666</v>
      </c>
      <c r="I95">
        <f>'Monthly Data'!AV95</f>
        <v>94</v>
      </c>
      <c r="J95">
        <f>'Monthly Data'!BO95</f>
        <v>31</v>
      </c>
      <c r="K95">
        <f>'Monthly Data'!BR95</f>
        <v>0.5</v>
      </c>
      <c r="L95" s="17">
        <f>'Monthly Data'!AT95</f>
        <v>838397</v>
      </c>
      <c r="M95">
        <f>'Monthly Data'!BJ95</f>
        <v>1</v>
      </c>
      <c r="O95" s="17"/>
      <c r="P95" s="17">
        <f t="shared" ca="1" si="8"/>
        <v>795207.09690069058</v>
      </c>
      <c r="Q95" s="17">
        <f t="shared" ca="1" si="9"/>
        <v>-36563.792176265175</v>
      </c>
      <c r="R95" s="17"/>
      <c r="S95" s="17"/>
      <c r="T95" s="17"/>
      <c r="U95" s="17"/>
      <c r="V95" s="17"/>
      <c r="W95" s="17">
        <f t="shared" ca="1" si="10"/>
        <v>28331960.06257524</v>
      </c>
    </row>
    <row r="96" spans="1:23" x14ac:dyDescent="0.2">
      <c r="A96" s="28">
        <f>'Monthly Data'!A96</f>
        <v>44501</v>
      </c>
      <c r="B96">
        <f>'Monthly Data'!C96</f>
        <v>11</v>
      </c>
      <c r="C96">
        <f>'Monthly Data'!B96</f>
        <v>2021</v>
      </c>
      <c r="D96" s="18">
        <f>'Monthly Data'!N96</f>
        <v>29449934.302249361</v>
      </c>
      <c r="E96" s="10">
        <f t="shared" ca="1" si="12"/>
        <v>332.1049960098469</v>
      </c>
      <c r="F96" s="10">
        <f t="shared" ca="1" si="12"/>
        <v>0</v>
      </c>
      <c r="G96" s="98">
        <f>'Monthly Data'!AI96</f>
        <v>316.31041666666664</v>
      </c>
      <c r="H96" s="98">
        <f>'Monthly Data'!AD96</f>
        <v>0</v>
      </c>
      <c r="I96">
        <f>'Monthly Data'!AV96</f>
        <v>95</v>
      </c>
      <c r="J96">
        <f>'Monthly Data'!BO96</f>
        <v>30</v>
      </c>
      <c r="K96">
        <f>'Monthly Data'!BR96</f>
        <v>0.5</v>
      </c>
      <c r="L96" s="17">
        <f>'Monthly Data'!AT96</f>
        <v>838397</v>
      </c>
      <c r="M96">
        <f>'Monthly Data'!BJ96</f>
        <v>1</v>
      </c>
      <c r="O96" s="17"/>
      <c r="P96" s="17">
        <f t="shared" ca="1" si="8"/>
        <v>185454.96028467634</v>
      </c>
      <c r="Q96" s="17">
        <f t="shared" ca="1" si="9"/>
        <v>0</v>
      </c>
      <c r="R96" s="17"/>
      <c r="S96" s="17"/>
      <c r="T96" s="17"/>
      <c r="U96" s="17"/>
      <c r="V96" s="17"/>
      <c r="W96" s="17">
        <f t="shared" ca="1" si="10"/>
        <v>29635389.262534037</v>
      </c>
    </row>
    <row r="97" spans="1:23" x14ac:dyDescent="0.2">
      <c r="A97" s="28">
        <f>'Monthly Data'!A97</f>
        <v>44531</v>
      </c>
      <c r="B97">
        <f>'Monthly Data'!C97</f>
        <v>12</v>
      </c>
      <c r="C97">
        <f>'Monthly Data'!B97</f>
        <v>2021</v>
      </c>
      <c r="D97" s="18">
        <f>'Monthly Data'!N97</f>
        <v>32434889.370647911</v>
      </c>
      <c r="E97" s="10">
        <f t="shared" ca="1" si="12"/>
        <v>508.62936502461724</v>
      </c>
      <c r="F97" s="10">
        <f t="shared" ca="1" si="12"/>
        <v>0</v>
      </c>
      <c r="G97" s="98">
        <f>'Monthly Data'!AI97</f>
        <v>509.20416666666665</v>
      </c>
      <c r="H97" s="98">
        <f>'Monthly Data'!AD97</f>
        <v>0</v>
      </c>
      <c r="I97">
        <f>'Monthly Data'!AV97</f>
        <v>96</v>
      </c>
      <c r="J97">
        <f>'Monthly Data'!BO97</f>
        <v>31</v>
      </c>
      <c r="K97">
        <f>'Monthly Data'!BR97</f>
        <v>0.5</v>
      </c>
      <c r="L97" s="17">
        <f>'Monthly Data'!AT97</f>
        <v>838397</v>
      </c>
      <c r="M97">
        <f>'Monthly Data'!BJ97</f>
        <v>0</v>
      </c>
      <c r="O97" s="17"/>
      <c r="P97" s="17">
        <f t="shared" ca="1" si="8"/>
        <v>-6749.1392699779062</v>
      </c>
      <c r="Q97" s="17">
        <f t="shared" ca="1" si="9"/>
        <v>0</v>
      </c>
      <c r="R97" s="17"/>
      <c r="S97" s="17"/>
      <c r="T97" s="17"/>
      <c r="U97" s="17"/>
      <c r="V97" s="17"/>
      <c r="W97" s="17">
        <f t="shared" ca="1" si="10"/>
        <v>32428140.231377933</v>
      </c>
    </row>
    <row r="98" spans="1:23" x14ac:dyDescent="0.2">
      <c r="A98" s="28">
        <f>'Monthly Data'!A98</f>
        <v>44562</v>
      </c>
      <c r="B98">
        <f>'Monthly Data'!C98</f>
        <v>1</v>
      </c>
      <c r="C98">
        <f>'Monthly Data'!B98</f>
        <v>2022</v>
      </c>
      <c r="D98" s="18">
        <f>'Monthly Data'!N98</f>
        <v>35303574.279932499</v>
      </c>
      <c r="E98" s="10">
        <f t="shared" ca="1" si="12"/>
        <v>666.68367523535153</v>
      </c>
      <c r="F98" s="10">
        <f t="shared" ca="1" si="12"/>
        <v>0</v>
      </c>
      <c r="G98" s="98">
        <f>'Monthly Data'!AI98</f>
        <v>817.08333333333314</v>
      </c>
      <c r="H98" s="98">
        <f>'Monthly Data'!AD98</f>
        <v>0</v>
      </c>
      <c r="I98">
        <f>'Monthly Data'!AV98</f>
        <v>97</v>
      </c>
      <c r="J98">
        <f>'Monthly Data'!BO98</f>
        <v>31</v>
      </c>
      <c r="K98">
        <f>'Monthly Data'!BR98</f>
        <v>0.25</v>
      </c>
      <c r="L98" s="17">
        <f>'Monthly Data'!AT98</f>
        <v>845218</v>
      </c>
      <c r="M98">
        <f>'Monthly Data'!BJ98</f>
        <v>0</v>
      </c>
      <c r="O98" s="17"/>
      <c r="P98" s="17">
        <f t="shared" ca="1" si="8"/>
        <v>-1765945.2659898391</v>
      </c>
      <c r="Q98" s="17">
        <f t="shared" ca="1" si="9"/>
        <v>0</v>
      </c>
      <c r="R98" s="17"/>
      <c r="S98" s="17"/>
      <c r="T98" s="17"/>
      <c r="U98" s="17"/>
      <c r="V98" s="17"/>
      <c r="W98" s="17">
        <f t="shared" ca="1" si="10"/>
        <v>33537629.013942659</v>
      </c>
    </row>
    <row r="99" spans="1:23" x14ac:dyDescent="0.2">
      <c r="A99" s="28">
        <f>'Monthly Data'!A99</f>
        <v>44593</v>
      </c>
      <c r="B99">
        <f>'Monthly Data'!C99</f>
        <v>2</v>
      </c>
      <c r="C99">
        <f>'Monthly Data'!B99</f>
        <v>2022</v>
      </c>
      <c r="D99" s="18">
        <f>'Monthly Data'!N99</f>
        <v>31372467.215929374</v>
      </c>
      <c r="E99" s="10">
        <f t="shared" ca="1" si="12"/>
        <v>599.3508333333333</v>
      </c>
      <c r="F99" s="10">
        <f t="shared" ca="1" si="12"/>
        <v>0</v>
      </c>
      <c r="G99" s="98">
        <f>'Monthly Data'!AI99</f>
        <v>627.50000000000011</v>
      </c>
      <c r="H99" s="98">
        <f>'Monthly Data'!AD99</f>
        <v>0</v>
      </c>
      <c r="I99">
        <f>'Monthly Data'!AV99</f>
        <v>98</v>
      </c>
      <c r="J99">
        <f>'Monthly Data'!BO99</f>
        <v>28</v>
      </c>
      <c r="K99">
        <f>'Monthly Data'!BR99</f>
        <v>0.25</v>
      </c>
      <c r="L99" s="17">
        <f>'Monthly Data'!AT99</f>
        <v>845218</v>
      </c>
      <c r="M99">
        <f>'Monthly Data'!BJ99</f>
        <v>0</v>
      </c>
      <c r="O99" s="17"/>
      <c r="P99" s="17">
        <f t="shared" ca="1" si="8"/>
        <v>-330518.62115387584</v>
      </c>
      <c r="Q99" s="17">
        <f t="shared" ca="1" si="9"/>
        <v>0</v>
      </c>
      <c r="R99" s="17"/>
      <c r="S99" s="17"/>
      <c r="T99" s="17"/>
      <c r="U99" s="17"/>
      <c r="V99" s="17"/>
      <c r="W99" s="17">
        <f t="shared" ca="1" si="10"/>
        <v>31041948.594775498</v>
      </c>
    </row>
    <row r="100" spans="1:23" x14ac:dyDescent="0.2">
      <c r="A100" s="28">
        <f>'Monthly Data'!A100</f>
        <v>44621</v>
      </c>
      <c r="B100">
        <f>'Monthly Data'!C100</f>
        <v>3</v>
      </c>
      <c r="C100">
        <f>'Monthly Data'!B100</f>
        <v>2022</v>
      </c>
      <c r="D100" s="18">
        <f>'Monthly Data'!N100</f>
        <v>32474633.647926256</v>
      </c>
      <c r="E100" s="10">
        <f t="shared" ca="1" si="12"/>
        <v>469.11853767651354</v>
      </c>
      <c r="F100" s="10">
        <f t="shared" ca="1" si="12"/>
        <v>0</v>
      </c>
      <c r="G100" s="98">
        <f>'Monthly Data'!AI100</f>
        <v>459.76804225504515</v>
      </c>
      <c r="H100" s="98">
        <f>'Monthly Data'!AD100</f>
        <v>0</v>
      </c>
      <c r="I100">
        <f>'Monthly Data'!AV100</f>
        <v>99</v>
      </c>
      <c r="J100">
        <f>'Monthly Data'!BO100</f>
        <v>31</v>
      </c>
      <c r="K100">
        <f>'Monthly Data'!BR100</f>
        <v>0.25</v>
      </c>
      <c r="L100" s="17">
        <f>'Monthly Data'!AT100</f>
        <v>845218</v>
      </c>
      <c r="M100">
        <f>'Monthly Data'!BJ100</f>
        <v>0</v>
      </c>
      <c r="O100" s="17"/>
      <c r="P100" s="17">
        <f t="shared" ca="1" si="8"/>
        <v>109790.5629110162</v>
      </c>
      <c r="Q100" s="17">
        <f t="shared" ca="1" si="9"/>
        <v>0</v>
      </c>
      <c r="R100" s="17"/>
      <c r="S100" s="17"/>
      <c r="T100" s="17"/>
      <c r="U100" s="17"/>
      <c r="V100" s="17"/>
      <c r="W100" s="17">
        <f t="shared" ca="1" si="10"/>
        <v>32584424.210837271</v>
      </c>
    </row>
    <row r="101" spans="1:23" x14ac:dyDescent="0.2">
      <c r="A101" s="28">
        <f>'Monthly Data'!A101</f>
        <v>44652</v>
      </c>
      <c r="B101">
        <f>'Monthly Data'!C101</f>
        <v>4</v>
      </c>
      <c r="C101">
        <f>'Monthly Data'!B101</f>
        <v>2022</v>
      </c>
      <c r="D101" s="18">
        <f>'Monthly Data'!N101</f>
        <v>28569435.47692313</v>
      </c>
      <c r="E101" s="10">
        <f t="shared" ca="1" si="12"/>
        <v>233.92395833333336</v>
      </c>
      <c r="F101" s="10">
        <f t="shared" ca="1" si="12"/>
        <v>1.1666666666666714E-2</v>
      </c>
      <c r="G101" s="98">
        <f>'Monthly Data'!AI101</f>
        <v>221.58125000000004</v>
      </c>
      <c r="H101" s="98">
        <f>'Monthly Data'!AD101</f>
        <v>0</v>
      </c>
      <c r="I101">
        <f>'Monthly Data'!AV101</f>
        <v>100</v>
      </c>
      <c r="J101">
        <f>'Monthly Data'!BO101</f>
        <v>30</v>
      </c>
      <c r="K101">
        <f>'Monthly Data'!BR101</f>
        <v>0.25</v>
      </c>
      <c r="L101" s="17">
        <f>'Monthly Data'!AT101</f>
        <v>851621</v>
      </c>
      <c r="M101">
        <f>'Monthly Data'!BJ101</f>
        <v>0</v>
      </c>
      <c r="O101" s="17"/>
      <c r="P101" s="17">
        <f t="shared" ca="1" si="8"/>
        <v>144924.18152003648</v>
      </c>
      <c r="Q101" s="17">
        <f t="shared" ca="1" si="9"/>
        <v>254.51489892739153</v>
      </c>
      <c r="R101" s="17"/>
      <c r="S101" s="17"/>
      <c r="T101" s="17"/>
      <c r="U101" s="17"/>
      <c r="V101" s="17"/>
      <c r="W101" s="17">
        <f t="shared" ca="1" si="10"/>
        <v>28714614.173342094</v>
      </c>
    </row>
    <row r="102" spans="1:23" x14ac:dyDescent="0.2">
      <c r="A102" s="28">
        <f>'Monthly Data'!A102</f>
        <v>44682</v>
      </c>
      <c r="B102">
        <f>'Monthly Data'!C102</f>
        <v>5</v>
      </c>
      <c r="C102">
        <f>'Monthly Data'!B102</f>
        <v>2022</v>
      </c>
      <c r="D102" s="18">
        <f>'Monthly Data'!N102</f>
        <v>28694219.856920011</v>
      </c>
      <c r="E102" s="10">
        <f t="shared" ca="1" si="12"/>
        <v>46.324929225504526</v>
      </c>
      <c r="F102" s="10">
        <f t="shared" ca="1" si="12"/>
        <v>19.778958333333328</v>
      </c>
      <c r="G102" s="98">
        <f>'Monthly Data'!AI102</f>
        <v>14.455542255045183</v>
      </c>
      <c r="H102" s="98">
        <f>'Monthly Data'!AD102</f>
        <v>34.079166666666666</v>
      </c>
      <c r="I102">
        <f>'Monthly Data'!AV102</f>
        <v>101</v>
      </c>
      <c r="J102">
        <f>'Monthly Data'!BO102</f>
        <v>31</v>
      </c>
      <c r="K102">
        <f>'Monthly Data'!BR102</f>
        <v>0.25</v>
      </c>
      <c r="L102" s="17">
        <f>'Monthly Data'!AT102</f>
        <v>851621</v>
      </c>
      <c r="M102">
        <f>'Monthly Data'!BJ102</f>
        <v>0</v>
      </c>
      <c r="O102" s="17"/>
      <c r="P102" s="17">
        <f t="shared" ca="1" si="8"/>
        <v>374200.27254195081</v>
      </c>
      <c r="Q102" s="17">
        <f t="shared" ca="1" si="9"/>
        <v>-311967.09245133959</v>
      </c>
      <c r="R102" s="17"/>
      <c r="S102" s="17"/>
      <c r="T102" s="17"/>
      <c r="U102" s="17"/>
      <c r="V102" s="17"/>
      <c r="W102" s="17">
        <f t="shared" ca="1" si="10"/>
        <v>28756453.037010621</v>
      </c>
    </row>
    <row r="103" spans="1:23" x14ac:dyDescent="0.2">
      <c r="A103" s="28">
        <f>'Monthly Data'!A103</f>
        <v>44713</v>
      </c>
      <c r="B103">
        <f>'Monthly Data'!C103</f>
        <v>6</v>
      </c>
      <c r="C103">
        <f>'Monthly Data'!B103</f>
        <v>2022</v>
      </c>
      <c r="D103" s="18">
        <f>'Monthly Data'!N103</f>
        <v>26890122.734916892</v>
      </c>
      <c r="E103" s="10">
        <f t="shared" ca="1" si="12"/>
        <v>1.25875</v>
      </c>
      <c r="F103" s="10">
        <f t="shared" ca="1" si="12"/>
        <v>53.293685210734182</v>
      </c>
      <c r="G103" s="98">
        <f>'Monthly Data'!AI103</f>
        <v>0</v>
      </c>
      <c r="H103" s="98">
        <f>'Monthly Data'!AD103</f>
        <v>44.42916666666666</v>
      </c>
      <c r="I103">
        <f>'Monthly Data'!AV103</f>
        <v>102</v>
      </c>
      <c r="J103">
        <f>'Monthly Data'!BO103</f>
        <v>30</v>
      </c>
      <c r="K103">
        <f>'Monthly Data'!BR103</f>
        <v>0.25</v>
      </c>
      <c r="L103" s="17">
        <f>'Monthly Data'!AT103</f>
        <v>851621</v>
      </c>
      <c r="M103">
        <f>'Monthly Data'!BJ103</f>
        <v>0</v>
      </c>
      <c r="O103" s="17"/>
      <c r="P103" s="17">
        <f t="shared" ca="1" si="8"/>
        <v>14779.844792709282</v>
      </c>
      <c r="Q103" s="17">
        <f t="shared" ca="1" si="9"/>
        <v>193384.46068142779</v>
      </c>
      <c r="R103" s="17"/>
      <c r="S103" s="17"/>
      <c r="T103" s="17"/>
      <c r="U103" s="17"/>
      <c r="V103" s="17"/>
      <c r="W103" s="17">
        <f t="shared" ca="1" si="10"/>
        <v>27098287.040391028</v>
      </c>
    </row>
    <row r="104" spans="1:23" x14ac:dyDescent="0.2">
      <c r="A104" s="28">
        <f>'Monthly Data'!A104</f>
        <v>44743</v>
      </c>
      <c r="B104">
        <f>'Monthly Data'!C104</f>
        <v>7</v>
      </c>
      <c r="C104">
        <f>'Monthly Data'!B104</f>
        <v>2022</v>
      </c>
      <c r="D104" s="18">
        <f>'Monthly Data'!N104</f>
        <v>28327082.735913772</v>
      </c>
      <c r="E104" s="10">
        <f t="shared" ca="1" si="12"/>
        <v>0</v>
      </c>
      <c r="F104" s="10">
        <f t="shared" ca="1" si="12"/>
        <v>104.42694776957208</v>
      </c>
      <c r="G104" s="98">
        <f>'Monthly Data'!AI104</f>
        <v>0</v>
      </c>
      <c r="H104" s="98">
        <f>'Monthly Data'!AD104</f>
        <v>85.239583333333329</v>
      </c>
      <c r="I104">
        <f>'Monthly Data'!AV104</f>
        <v>103</v>
      </c>
      <c r="J104">
        <f>'Monthly Data'!BO104</f>
        <v>31</v>
      </c>
      <c r="K104">
        <f>'Monthly Data'!BR104</f>
        <v>0.25</v>
      </c>
      <c r="L104" s="17">
        <f>'Monthly Data'!AT104</f>
        <v>852979</v>
      </c>
      <c r="M104">
        <f>'Monthly Data'!BJ104</f>
        <v>0</v>
      </c>
      <c r="O104" s="17"/>
      <c r="P104" s="17">
        <f t="shared" ca="1" si="8"/>
        <v>0</v>
      </c>
      <c r="Q104" s="17">
        <f t="shared" ca="1" si="9"/>
        <v>418583.15315762686</v>
      </c>
      <c r="R104" s="17"/>
      <c r="S104" s="17"/>
      <c r="T104" s="17"/>
      <c r="U104" s="17"/>
      <c r="V104" s="17"/>
      <c r="W104" s="17">
        <f t="shared" ca="1" si="10"/>
        <v>28745665.889071397</v>
      </c>
    </row>
    <row r="105" spans="1:23" x14ac:dyDescent="0.2">
      <c r="A105" s="28">
        <f>'Monthly Data'!A105</f>
        <v>44774</v>
      </c>
      <c r="B105">
        <f>'Monthly Data'!C105</f>
        <v>8</v>
      </c>
      <c r="C105">
        <f>'Monthly Data'!B105</f>
        <v>2022</v>
      </c>
      <c r="D105" s="18">
        <f>'Monthly Data'!N105</f>
        <v>28533100.437910646</v>
      </c>
      <c r="E105" s="10">
        <f t="shared" ca="1" si="12"/>
        <v>0.1158333333333335</v>
      </c>
      <c r="F105" s="10">
        <f t="shared" ca="1" si="12"/>
        <v>74.696666666666673</v>
      </c>
      <c r="G105" s="98">
        <f>'Monthly Data'!AI105</f>
        <v>0</v>
      </c>
      <c r="H105" s="98">
        <f>'Monthly Data'!AD105</f>
        <v>80.824999999999974</v>
      </c>
      <c r="I105">
        <f>'Monthly Data'!AV105</f>
        <v>104</v>
      </c>
      <c r="J105">
        <f>'Monthly Data'!BO105</f>
        <v>31</v>
      </c>
      <c r="K105">
        <f>'Monthly Data'!BR105</f>
        <v>0.25</v>
      </c>
      <c r="L105" s="17">
        <f>'Monthly Data'!AT105</f>
        <v>852979</v>
      </c>
      <c r="M105">
        <f>'Monthly Data'!BJ105</f>
        <v>0</v>
      </c>
      <c r="O105" s="17"/>
      <c r="P105" s="17">
        <f t="shared" ca="1" si="8"/>
        <v>1360.0784019772213</v>
      </c>
      <c r="Q105" s="17">
        <f t="shared" ca="1" si="9"/>
        <v>-133693.04047943003</v>
      </c>
      <c r="R105" s="17"/>
      <c r="S105" s="17"/>
      <c r="T105" s="17"/>
      <c r="U105" s="17"/>
      <c r="V105" s="17"/>
      <c r="W105" s="17">
        <f t="shared" ca="1" si="10"/>
        <v>28400767.475833192</v>
      </c>
    </row>
    <row r="106" spans="1:23" x14ac:dyDescent="0.2">
      <c r="A106" s="28">
        <f>'Monthly Data'!A106</f>
        <v>44805</v>
      </c>
      <c r="B106">
        <f>'Monthly Data'!C106</f>
        <v>9</v>
      </c>
      <c r="C106">
        <f>'Monthly Data'!B106</f>
        <v>2022</v>
      </c>
      <c r="D106" s="18">
        <f>'Monthly Data'!N106</f>
        <v>27419851.763907529</v>
      </c>
      <c r="E106" s="10">
        <f t="shared" ca="1" si="12"/>
        <v>11.597845892171184</v>
      </c>
      <c r="F106" s="10">
        <f t="shared" ca="1" si="12"/>
        <v>25.91041666666667</v>
      </c>
      <c r="G106" s="98">
        <f>'Monthly Data'!AI106</f>
        <v>14.699292255045174</v>
      </c>
      <c r="H106" s="98">
        <f>'Monthly Data'!AD106</f>
        <v>27.20000000000001</v>
      </c>
      <c r="I106">
        <f>'Monthly Data'!AV106</f>
        <v>105</v>
      </c>
      <c r="J106">
        <f>'Monthly Data'!BO106</f>
        <v>30</v>
      </c>
      <c r="K106">
        <f>'Monthly Data'!BR106</f>
        <v>0.25</v>
      </c>
      <c r="L106" s="17">
        <f>'Monthly Data'!AT106</f>
        <v>852979</v>
      </c>
      <c r="M106">
        <f>'Monthly Data'!BJ106</f>
        <v>1</v>
      </c>
      <c r="O106" s="17"/>
      <c r="P106" s="17">
        <f t="shared" ca="1" si="8"/>
        <v>-36416.203278006178</v>
      </c>
      <c r="Q106" s="17">
        <f t="shared" ca="1" si="9"/>
        <v>-28132.98614929563</v>
      </c>
      <c r="R106" s="17"/>
      <c r="S106" s="17"/>
      <c r="T106" s="17"/>
      <c r="U106" s="17"/>
      <c r="V106" s="17"/>
      <c r="W106" s="17">
        <f t="shared" ca="1" si="10"/>
        <v>27355302.574480228</v>
      </c>
    </row>
    <row r="107" spans="1:23" x14ac:dyDescent="0.2">
      <c r="A107" s="28">
        <f>'Monthly Data'!A107</f>
        <v>44835</v>
      </c>
      <c r="B107">
        <f>'Monthly Data'!C107</f>
        <v>10</v>
      </c>
      <c r="C107">
        <f>'Monthly Data'!B107</f>
        <v>2022</v>
      </c>
      <c r="D107" s="18">
        <f>'Monthly Data'!N107</f>
        <v>27803839.531904407</v>
      </c>
      <c r="E107" s="10">
        <f t="shared" ca="1" si="12"/>
        <v>128.51888157360821</v>
      </c>
      <c r="F107" s="10">
        <f t="shared" ca="1" si="12"/>
        <v>2.0656249999999989</v>
      </c>
      <c r="G107" s="98">
        <f>'Monthly Data'!AI107</f>
        <v>113.78608451009033</v>
      </c>
      <c r="H107" s="98">
        <f>'Monthly Data'!AD107</f>
        <v>0</v>
      </c>
      <c r="I107">
        <f>'Monthly Data'!AV107</f>
        <v>106</v>
      </c>
      <c r="J107">
        <f>'Monthly Data'!BO107</f>
        <v>31</v>
      </c>
      <c r="K107">
        <f>'Monthly Data'!BR107</f>
        <v>0.25</v>
      </c>
      <c r="L107" s="17">
        <f>'Monthly Data'!AT107</f>
        <v>852029</v>
      </c>
      <c r="M107">
        <f>'Monthly Data'!BJ107</f>
        <v>1</v>
      </c>
      <c r="O107" s="17"/>
      <c r="P107" s="17">
        <f t="shared" ca="1" si="8"/>
        <v>172987.84823140202</v>
      </c>
      <c r="Q107" s="17">
        <f t="shared" ca="1" si="9"/>
        <v>45062.771836876353</v>
      </c>
      <c r="R107" s="17"/>
      <c r="S107" s="17"/>
      <c r="T107" s="17"/>
      <c r="U107" s="17"/>
      <c r="V107" s="17"/>
      <c r="W107" s="17">
        <f t="shared" ca="1" si="10"/>
        <v>28021890.151972685</v>
      </c>
    </row>
    <row r="108" spans="1:23" x14ac:dyDescent="0.2">
      <c r="A108" s="28">
        <f>'Monthly Data'!A108</f>
        <v>44866</v>
      </c>
      <c r="B108">
        <f>'Monthly Data'!C108</f>
        <v>11</v>
      </c>
      <c r="C108">
        <f>'Monthly Data'!B108</f>
        <v>2022</v>
      </c>
      <c r="D108" s="18">
        <f>'Monthly Data'!N108</f>
        <v>29585222.576901283</v>
      </c>
      <c r="E108" s="10">
        <f t="shared" ca="1" si="12"/>
        <v>332.1049960098469</v>
      </c>
      <c r="F108" s="10">
        <f t="shared" ca="1" si="12"/>
        <v>0</v>
      </c>
      <c r="G108" s="98">
        <f>'Monthly Data'!AI108</f>
        <v>283.5805422550452</v>
      </c>
      <c r="H108" s="98">
        <f>'Monthly Data'!AD108</f>
        <v>0</v>
      </c>
      <c r="I108">
        <f>'Monthly Data'!AV108</f>
        <v>107</v>
      </c>
      <c r="J108">
        <f>'Monthly Data'!BO108</f>
        <v>30</v>
      </c>
      <c r="K108">
        <f>'Monthly Data'!BR108</f>
        <v>0.25</v>
      </c>
      <c r="L108" s="17">
        <f>'Monthly Data'!AT108</f>
        <v>852029</v>
      </c>
      <c r="M108">
        <f>'Monthly Data'!BJ108</f>
        <v>1</v>
      </c>
      <c r="O108" s="17"/>
      <c r="P108" s="17">
        <f t="shared" ca="1" si="8"/>
        <v>569758.80448617134</v>
      </c>
      <c r="Q108" s="17">
        <f t="shared" ca="1" si="9"/>
        <v>0</v>
      </c>
      <c r="R108" s="17"/>
      <c r="S108" s="17"/>
      <c r="T108" s="17"/>
      <c r="U108" s="17"/>
      <c r="V108" s="17"/>
      <c r="W108" s="17">
        <f t="shared" ca="1" si="10"/>
        <v>30154981.381387454</v>
      </c>
    </row>
    <row r="109" spans="1:23" x14ac:dyDescent="0.2">
      <c r="A109" s="28">
        <f>'Monthly Data'!A109</f>
        <v>44896</v>
      </c>
      <c r="B109">
        <f>'Monthly Data'!C109</f>
        <v>12</v>
      </c>
      <c r="C109">
        <f>'Monthly Data'!B109</f>
        <v>2022</v>
      </c>
      <c r="D109" s="18">
        <f>'Monthly Data'!N109</f>
        <v>32431814.966898166</v>
      </c>
      <c r="E109" s="10">
        <f t="shared" ca="1" si="12"/>
        <v>508.62936502461724</v>
      </c>
      <c r="F109" s="10">
        <f t="shared" ca="1" si="12"/>
        <v>0</v>
      </c>
      <c r="G109" s="98">
        <f>'Monthly Data'!AI109</f>
        <v>480.52218897094639</v>
      </c>
      <c r="H109" s="98">
        <f>'Monthly Data'!AD109</f>
        <v>0</v>
      </c>
      <c r="I109">
        <f>'Monthly Data'!AV109</f>
        <v>108</v>
      </c>
      <c r="J109">
        <f>'Monthly Data'!BO109</f>
        <v>31</v>
      </c>
      <c r="K109">
        <f>'Monthly Data'!BR109</f>
        <v>0.25</v>
      </c>
      <c r="L109" s="17">
        <f>'Monthly Data'!AT109</f>
        <v>852029</v>
      </c>
      <c r="M109">
        <f>'Monthly Data'!BJ109</f>
        <v>0</v>
      </c>
      <c r="O109" s="17"/>
      <c r="P109" s="17">
        <f t="shared" ca="1" si="8"/>
        <v>330025.58064318588</v>
      </c>
      <c r="Q109" s="17">
        <f t="shared" ca="1" si="9"/>
        <v>0</v>
      </c>
      <c r="R109" s="17"/>
      <c r="S109" s="17"/>
      <c r="T109" s="17"/>
      <c r="U109" s="17"/>
      <c r="V109" s="17"/>
      <c r="W109" s="17">
        <f t="shared" ca="1" si="10"/>
        <v>32761840.54754135</v>
      </c>
    </row>
    <row r="110" spans="1:23" x14ac:dyDescent="0.2">
      <c r="A110" s="28">
        <f>'Monthly Data'!A110</f>
        <v>44927</v>
      </c>
      <c r="B110">
        <f>'Monthly Data'!C110</f>
        <v>1</v>
      </c>
      <c r="C110">
        <f>'Monthly Data'!B110</f>
        <v>2023</v>
      </c>
      <c r="D110" s="18">
        <f>'Monthly Data'!N110</f>
        <v>33325468.746121921</v>
      </c>
      <c r="E110" s="10">
        <f t="shared" ca="1" si="12"/>
        <v>666.68367523535153</v>
      </c>
      <c r="F110" s="10">
        <f t="shared" ca="1" si="12"/>
        <v>0</v>
      </c>
      <c r="G110" s="98">
        <f>'Monthly Data'!AI110</f>
        <v>552.82150117675701</v>
      </c>
      <c r="H110" s="98">
        <f>'Monthly Data'!AD110</f>
        <v>0</v>
      </c>
      <c r="I110">
        <f>'Monthly Data'!AV110</f>
        <v>109</v>
      </c>
      <c r="J110">
        <f>'Monthly Data'!BO110</f>
        <v>31</v>
      </c>
      <c r="K110">
        <f>'Monthly Data'!BR110</f>
        <v>0</v>
      </c>
      <c r="L110" s="17">
        <f>'Monthly Data'!AT110</f>
        <v>860658</v>
      </c>
      <c r="M110">
        <f>'Monthly Data'!BJ110</f>
        <v>0</v>
      </c>
      <c r="O110" s="17"/>
      <c r="P110" s="17">
        <f t="shared" ca="1" si="8"/>
        <v>1336933.6725691964</v>
      </c>
      <c r="Q110" s="17">
        <f t="shared" ca="1" si="9"/>
        <v>0</v>
      </c>
      <c r="R110" s="17"/>
      <c r="S110" s="17"/>
      <c r="T110" s="17"/>
      <c r="U110" s="17"/>
      <c r="V110" s="17"/>
      <c r="W110" s="17">
        <f t="shared" ca="1" si="10"/>
        <v>34662402.418691114</v>
      </c>
    </row>
    <row r="111" spans="1:23" x14ac:dyDescent="0.2">
      <c r="A111" s="28">
        <f>'Monthly Data'!A111</f>
        <v>44958</v>
      </c>
      <c r="B111">
        <f>'Monthly Data'!C111</f>
        <v>2</v>
      </c>
      <c r="C111">
        <f>'Monthly Data'!B111</f>
        <v>2023</v>
      </c>
      <c r="D111" s="18">
        <f>'Monthly Data'!N111</f>
        <v>30837156.259682801</v>
      </c>
      <c r="E111" s="10">
        <f t="shared" ref="E111:F126" ca="1" si="13">E99</f>
        <v>599.3508333333333</v>
      </c>
      <c r="F111" s="10">
        <f t="shared" ca="1" si="13"/>
        <v>0</v>
      </c>
      <c r="G111" s="98">
        <f>'Monthly Data'!AI111</f>
        <v>531.82499999999993</v>
      </c>
      <c r="H111" s="98">
        <f>'Monthly Data'!AD111</f>
        <v>0</v>
      </c>
      <c r="I111">
        <f>'Monthly Data'!AV111</f>
        <v>110</v>
      </c>
      <c r="J111">
        <f>'Monthly Data'!BO111</f>
        <v>28</v>
      </c>
      <c r="K111">
        <f>'Monthly Data'!BR111</f>
        <v>0</v>
      </c>
      <c r="L111" s="17">
        <f>'Monthly Data'!AT111</f>
        <v>860658</v>
      </c>
      <c r="M111">
        <f>'Monthly Data'!BJ111</f>
        <v>0</v>
      </c>
      <c r="O111" s="17"/>
      <c r="P111" s="17">
        <f t="shared" ca="1" si="8"/>
        <v>792866.99993249017</v>
      </c>
      <c r="Q111" s="17">
        <f t="shared" ca="1" si="9"/>
        <v>0</v>
      </c>
      <c r="R111" s="17"/>
      <c r="S111" s="17"/>
      <c r="T111" s="17"/>
      <c r="U111" s="17"/>
      <c r="V111" s="17"/>
      <c r="W111" s="17">
        <f t="shared" ca="1" si="10"/>
        <v>31630023.259615291</v>
      </c>
    </row>
    <row r="112" spans="1:23" x14ac:dyDescent="0.2">
      <c r="A112" s="28">
        <f>'Monthly Data'!A112</f>
        <v>44986</v>
      </c>
      <c r="B112">
        <f>'Monthly Data'!C112</f>
        <v>3</v>
      </c>
      <c r="C112">
        <f>'Monthly Data'!B112</f>
        <v>2023</v>
      </c>
      <c r="D112" s="18">
        <f>'Monthly Data'!N112</f>
        <v>32391742.110243682</v>
      </c>
      <c r="E112" s="10">
        <f t="shared" ca="1" si="13"/>
        <v>469.11853767651354</v>
      </c>
      <c r="F112" s="10">
        <f t="shared" ca="1" si="13"/>
        <v>0</v>
      </c>
      <c r="G112" s="98">
        <f>'Monthly Data'!AI112</f>
        <v>447.93333333333351</v>
      </c>
      <c r="H112" s="98">
        <f>'Monthly Data'!AD112</f>
        <v>0</v>
      </c>
      <c r="I112">
        <f>'Monthly Data'!AV112</f>
        <v>111</v>
      </c>
      <c r="J112">
        <f>'Monthly Data'!BO112</f>
        <v>31</v>
      </c>
      <c r="K112">
        <f>'Monthly Data'!BR112</f>
        <v>0</v>
      </c>
      <c r="L112" s="17">
        <f>'Monthly Data'!AT112</f>
        <v>860658</v>
      </c>
      <c r="M112">
        <f>'Monthly Data'!BJ112</f>
        <v>0</v>
      </c>
      <c r="O112" s="17"/>
      <c r="P112" s="17">
        <f t="shared" ca="1" si="8"/>
        <v>248749.97584431496</v>
      </c>
      <c r="Q112" s="17">
        <f t="shared" ca="1" si="9"/>
        <v>0</v>
      </c>
      <c r="R112" s="17"/>
      <c r="S112" s="17"/>
      <c r="T112" s="17"/>
      <c r="U112" s="17"/>
      <c r="V112" s="17"/>
      <c r="W112" s="17">
        <f t="shared" ca="1" si="10"/>
        <v>32640492.086087998</v>
      </c>
    </row>
    <row r="113" spans="1:26" x14ac:dyDescent="0.2">
      <c r="A113" s="28">
        <f>'Monthly Data'!A113</f>
        <v>45017</v>
      </c>
      <c r="B113">
        <f>'Monthly Data'!C113</f>
        <v>4</v>
      </c>
      <c r="C113">
        <f>'Monthly Data'!B113</f>
        <v>2023</v>
      </c>
      <c r="D113" s="18">
        <f>'Monthly Data'!N113</f>
        <v>27702269.425804559</v>
      </c>
      <c r="E113" s="10">
        <f t="shared" ca="1" si="13"/>
        <v>233.92395833333336</v>
      </c>
      <c r="F113" s="10">
        <f t="shared" ca="1" si="13"/>
        <v>1.1666666666666714E-2</v>
      </c>
      <c r="G113" s="98">
        <f>'Monthly Data'!AI113</f>
        <v>205.87291666666664</v>
      </c>
      <c r="H113" s="98">
        <f>'Monthly Data'!AD113</f>
        <v>0.11666666666666714</v>
      </c>
      <c r="I113">
        <f>'Monthly Data'!AV113</f>
        <v>112</v>
      </c>
      <c r="J113">
        <f>'Monthly Data'!BO113</f>
        <v>30</v>
      </c>
      <c r="K113">
        <f>'Monthly Data'!BR113</f>
        <v>0</v>
      </c>
      <c r="L113" s="17">
        <f>'Monthly Data'!AT113</f>
        <v>865503</v>
      </c>
      <c r="M113">
        <f>'Monthly Data'!BJ113</f>
        <v>0</v>
      </c>
      <c r="O113" s="17"/>
      <c r="P113" s="17">
        <f t="shared" ca="1" si="8"/>
        <v>329366.46840687603</v>
      </c>
      <c r="Q113" s="17">
        <f t="shared" ca="1" si="9"/>
        <v>-2290.6340903465239</v>
      </c>
      <c r="R113" s="17"/>
      <c r="S113" s="17"/>
      <c r="T113" s="17"/>
      <c r="U113" s="17"/>
      <c r="V113" s="17"/>
      <c r="W113" s="17">
        <f t="shared" ca="1" si="10"/>
        <v>28029345.260121088</v>
      </c>
    </row>
    <row r="114" spans="1:26" x14ac:dyDescent="0.2">
      <c r="A114" s="28">
        <f>'Monthly Data'!A114</f>
        <v>45047</v>
      </c>
      <c r="B114">
        <f>'Monthly Data'!C114</f>
        <v>5</v>
      </c>
      <c r="C114">
        <f>'Monthly Data'!B114</f>
        <v>2023</v>
      </c>
      <c r="D114" s="18">
        <f>'Monthly Data'!N114</f>
        <v>27191589.291365437</v>
      </c>
      <c r="E114" s="10">
        <f t="shared" ca="1" si="13"/>
        <v>46.324929225504526</v>
      </c>
      <c r="F114" s="10">
        <f t="shared" ca="1" si="13"/>
        <v>19.778958333333328</v>
      </c>
      <c r="G114" s="98">
        <f>'Monthly Data'!AI114</f>
        <v>37.537500000000009</v>
      </c>
      <c r="H114" s="98">
        <f>'Monthly Data'!AD114</f>
        <v>23.114583333333339</v>
      </c>
      <c r="I114">
        <f>'Monthly Data'!AV114</f>
        <v>113</v>
      </c>
      <c r="J114">
        <f>'Monthly Data'!BO114</f>
        <v>31</v>
      </c>
      <c r="K114">
        <f>'Monthly Data'!BR114</f>
        <v>0</v>
      </c>
      <c r="L114" s="17">
        <f>'Monthly Data'!AT114</f>
        <v>865503</v>
      </c>
      <c r="M114">
        <f>'Monthly Data'!BJ114</f>
        <v>0</v>
      </c>
      <c r="O114" s="17"/>
      <c r="P114" s="17">
        <f t="shared" ca="1" si="8"/>
        <v>103179.21754111166</v>
      </c>
      <c r="Q114" s="17">
        <f t="shared" ca="1" si="9"/>
        <v>-72768.53654868684</v>
      </c>
      <c r="R114" s="17"/>
      <c r="S114" s="17"/>
      <c r="T114" s="17"/>
      <c r="U114" s="17"/>
      <c r="V114" s="17"/>
      <c r="W114" s="17">
        <f t="shared" ca="1" si="10"/>
        <v>27221999.972357862</v>
      </c>
    </row>
    <row r="115" spans="1:26" x14ac:dyDescent="0.2">
      <c r="A115" s="28">
        <f>'Monthly Data'!A115</f>
        <v>45078</v>
      </c>
      <c r="B115">
        <f>'Monthly Data'!C115</f>
        <v>6</v>
      </c>
      <c r="C115">
        <f>'Monthly Data'!B115</f>
        <v>2023</v>
      </c>
      <c r="D115" s="18">
        <f>'Monthly Data'!N115</f>
        <v>27669678.449926317</v>
      </c>
      <c r="E115" s="10">
        <f t="shared" ca="1" si="13"/>
        <v>1.25875</v>
      </c>
      <c r="F115" s="10">
        <f t="shared" ca="1" si="13"/>
        <v>53.293685210734182</v>
      </c>
      <c r="G115" s="98">
        <f>'Monthly Data'!AI115</f>
        <v>1.9875000000000025</v>
      </c>
      <c r="H115" s="98">
        <f>'Monthly Data'!AD115</f>
        <v>79.998624411621506</v>
      </c>
      <c r="I115">
        <f>'Monthly Data'!AV115</f>
        <v>114</v>
      </c>
      <c r="J115">
        <f>'Monthly Data'!BO115</f>
        <v>30</v>
      </c>
      <c r="K115">
        <f>'Monthly Data'!BR115</f>
        <v>0</v>
      </c>
      <c r="L115" s="17">
        <f>'Monthly Data'!AT115</f>
        <v>865503</v>
      </c>
      <c r="M115">
        <f>'Monthly Data'!BJ115</f>
        <v>0</v>
      </c>
      <c r="O115" s="17"/>
      <c r="P115" s="17">
        <f t="shared" ca="1" si="8"/>
        <v>-8556.7522484106648</v>
      </c>
      <c r="Q115" s="17">
        <f t="shared" ca="1" si="9"/>
        <v>-582583.27727793821</v>
      </c>
      <c r="R115" s="17"/>
      <c r="S115" s="17"/>
      <c r="T115" s="17"/>
      <c r="U115" s="17"/>
      <c r="V115" s="17"/>
      <c r="W115" s="17">
        <f t="shared" ca="1" si="10"/>
        <v>27078538.420399968</v>
      </c>
    </row>
    <row r="116" spans="1:26" x14ac:dyDescent="0.2">
      <c r="A116" s="28">
        <f>'Monthly Data'!A116</f>
        <v>45108</v>
      </c>
      <c r="B116">
        <f>'Monthly Data'!C116</f>
        <v>7</v>
      </c>
      <c r="C116">
        <f>'Monthly Data'!B116</f>
        <v>2023</v>
      </c>
      <c r="D116" s="18">
        <f>'Monthly Data'!N116</f>
        <v>28849666.375487197</v>
      </c>
      <c r="E116" s="10">
        <f t="shared" ca="1" si="13"/>
        <v>0</v>
      </c>
      <c r="F116" s="10">
        <f t="shared" ca="1" si="13"/>
        <v>104.42694776957208</v>
      </c>
      <c r="G116" s="98">
        <f>'Monthly Data'!AI116</f>
        <v>0</v>
      </c>
      <c r="H116" s="98">
        <f>'Monthly Data'!AD116</f>
        <v>100.44583333333335</v>
      </c>
      <c r="I116">
        <f>'Monthly Data'!AV116</f>
        <v>115</v>
      </c>
      <c r="J116">
        <f>'Monthly Data'!BO116</f>
        <v>31</v>
      </c>
      <c r="K116">
        <f>'Monthly Data'!BR116</f>
        <v>0</v>
      </c>
      <c r="L116" s="17">
        <f>'Monthly Data'!AT116</f>
        <v>867701</v>
      </c>
      <c r="M116">
        <f>'Monthly Data'!BJ116</f>
        <v>0</v>
      </c>
      <c r="O116" s="17"/>
      <c r="P116" s="17">
        <f t="shared" ca="1" si="8"/>
        <v>0</v>
      </c>
      <c r="Q116" s="17">
        <f t="shared" ca="1" si="9"/>
        <v>86850.251859229262</v>
      </c>
      <c r="R116" s="17"/>
      <c r="S116" s="17"/>
      <c r="T116" s="17"/>
      <c r="U116" s="17"/>
      <c r="V116" s="17"/>
      <c r="W116" s="17">
        <f t="shared" ca="1" si="10"/>
        <v>28936516.627346426</v>
      </c>
    </row>
    <row r="117" spans="1:26" x14ac:dyDescent="0.2">
      <c r="A117" s="28">
        <f>'Monthly Data'!A117</f>
        <v>45139</v>
      </c>
      <c r="B117">
        <f>'Monthly Data'!C117</f>
        <v>8</v>
      </c>
      <c r="C117">
        <f>'Monthly Data'!B117</f>
        <v>2023</v>
      </c>
      <c r="D117" s="18">
        <f>'Monthly Data'!N117</f>
        <v>27410213.500048079</v>
      </c>
      <c r="E117" s="10">
        <f t="shared" ca="1" si="13"/>
        <v>0.1158333333333335</v>
      </c>
      <c r="F117" s="10">
        <f t="shared" ca="1" si="13"/>
        <v>74.696666666666673</v>
      </c>
      <c r="G117" s="98">
        <f>'Monthly Data'!AI117</f>
        <v>0</v>
      </c>
      <c r="H117" s="98">
        <f>'Monthly Data'!AD117</f>
        <v>35.514583333333306</v>
      </c>
      <c r="I117">
        <f>'Monthly Data'!AV117</f>
        <v>116</v>
      </c>
      <c r="J117">
        <f>'Monthly Data'!BO117</f>
        <v>31</v>
      </c>
      <c r="K117">
        <f>'Monthly Data'!BR117</f>
        <v>0</v>
      </c>
      <c r="L117" s="17">
        <f>'Monthly Data'!AT117</f>
        <v>867701</v>
      </c>
      <c r="M117">
        <f>'Monthly Data'!BJ117</f>
        <v>0</v>
      </c>
      <c r="O117" s="17"/>
      <c r="P117" s="17">
        <f t="shared" ca="1" si="8"/>
        <v>1360.0784019772213</v>
      </c>
      <c r="Q117" s="17">
        <f t="shared" ca="1" si="9"/>
        <v>854779.19822982291</v>
      </c>
      <c r="R117" s="17"/>
      <c r="S117" s="17"/>
      <c r="T117" s="17"/>
      <c r="U117" s="17"/>
      <c r="V117" s="17"/>
      <c r="W117" s="17">
        <f t="shared" ca="1" si="10"/>
        <v>28266352.776679877</v>
      </c>
    </row>
    <row r="118" spans="1:26" x14ac:dyDescent="0.2">
      <c r="A118" s="28">
        <f>'Monthly Data'!A118</f>
        <v>45170</v>
      </c>
      <c r="B118">
        <f>'Monthly Data'!C118</f>
        <v>9</v>
      </c>
      <c r="C118">
        <f>'Monthly Data'!B118</f>
        <v>2023</v>
      </c>
      <c r="D118" s="18">
        <f>'Monthly Data'!N118</f>
        <v>26672181.881608956</v>
      </c>
      <c r="E118" s="10">
        <f t="shared" ca="1" si="13"/>
        <v>11.597845892171184</v>
      </c>
      <c r="F118" s="10">
        <f t="shared" ca="1" si="13"/>
        <v>25.91041666666667</v>
      </c>
      <c r="G118" s="98">
        <f>'Monthly Data'!AI118</f>
        <v>2.1166666666666671</v>
      </c>
      <c r="H118" s="98">
        <f>'Monthly Data'!AD118</f>
        <v>29.993750000000002</v>
      </c>
      <c r="I118">
        <f>'Monthly Data'!AV118</f>
        <v>117</v>
      </c>
      <c r="J118">
        <f>'Monthly Data'!BO118</f>
        <v>30</v>
      </c>
      <c r="K118">
        <f>'Monthly Data'!BR118</f>
        <v>0</v>
      </c>
      <c r="L118" s="17">
        <f>'Monthly Data'!AT118</f>
        <v>867701</v>
      </c>
      <c r="M118">
        <f>'Monthly Data'!BJ118</f>
        <v>1</v>
      </c>
      <c r="O118" s="17"/>
      <c r="P118" s="17">
        <f t="shared" ca="1" si="8"/>
        <v>111325.01084791766</v>
      </c>
      <c r="Q118" s="17">
        <f t="shared" ca="1" si="9"/>
        <v>-89080.214624586646</v>
      </c>
      <c r="R118" s="17"/>
      <c r="S118" s="17"/>
      <c r="T118" s="17"/>
      <c r="U118" s="17"/>
      <c r="V118" s="17"/>
      <c r="W118" s="17">
        <f t="shared" ca="1" si="10"/>
        <v>26694426.677832287</v>
      </c>
    </row>
    <row r="119" spans="1:26" x14ac:dyDescent="0.2">
      <c r="A119" s="28">
        <f>'Monthly Data'!A119</f>
        <v>45200</v>
      </c>
      <c r="B119">
        <f>'Monthly Data'!C119</f>
        <v>10</v>
      </c>
      <c r="C119">
        <f>'Monthly Data'!B119</f>
        <v>2023</v>
      </c>
      <c r="D119" s="18">
        <f>'Monthly Data'!N119</f>
        <v>28075910.169169836</v>
      </c>
      <c r="E119" s="10">
        <f t="shared" ca="1" si="13"/>
        <v>128.51888157360821</v>
      </c>
      <c r="F119" s="10">
        <f t="shared" ca="1" si="13"/>
        <v>2.0656249999999989</v>
      </c>
      <c r="G119" s="98">
        <f>'Monthly Data'!AI119</f>
        <v>115.11179225504519</v>
      </c>
      <c r="H119" s="98">
        <f>'Monthly Data'!AD119</f>
        <v>12.368749999999995</v>
      </c>
      <c r="I119">
        <f>'Monthly Data'!AV119</f>
        <v>118</v>
      </c>
      <c r="J119">
        <f>'Monthly Data'!BO119</f>
        <v>31</v>
      </c>
      <c r="K119">
        <f>'Monthly Data'!BR119</f>
        <v>0</v>
      </c>
      <c r="L119" s="17">
        <f>'Monthly Data'!AT119</f>
        <v>869576</v>
      </c>
      <c r="M119">
        <f>'Monthly Data'!BJ119</f>
        <v>1</v>
      </c>
      <c r="O119" s="17"/>
      <c r="P119" s="17">
        <f t="shared" ca="1" si="8"/>
        <v>157421.80675301049</v>
      </c>
      <c r="Q119" s="17">
        <f t="shared" ca="1" si="9"/>
        <v>-224768.47011525166</v>
      </c>
      <c r="R119" s="17"/>
      <c r="S119" s="17"/>
      <c r="T119" s="17"/>
      <c r="U119" s="17"/>
      <c r="V119" s="17"/>
      <c r="W119" s="17">
        <f t="shared" ca="1" si="10"/>
        <v>28008563.505807593</v>
      </c>
    </row>
    <row r="120" spans="1:26" x14ac:dyDescent="0.2">
      <c r="A120" s="28">
        <f>'Monthly Data'!A120</f>
        <v>45231</v>
      </c>
      <c r="B120">
        <f>'Monthly Data'!C120</f>
        <v>11</v>
      </c>
      <c r="C120">
        <f>'Monthly Data'!B120</f>
        <v>2023</v>
      </c>
      <c r="D120" s="18">
        <f>'Monthly Data'!N120</f>
        <v>30125834.330730714</v>
      </c>
      <c r="E120" s="10">
        <f t="shared" ca="1" si="13"/>
        <v>332.1049960098469</v>
      </c>
      <c r="F120" s="10">
        <f t="shared" ca="1" si="13"/>
        <v>0</v>
      </c>
      <c r="G120" s="98">
        <f>'Monthly Data'!AI120</f>
        <v>339.48679225504515</v>
      </c>
      <c r="H120" s="98">
        <f>'Monthly Data'!AD120</f>
        <v>0</v>
      </c>
      <c r="I120">
        <f>'Monthly Data'!AV120</f>
        <v>119</v>
      </c>
      <c r="J120">
        <f>'Monthly Data'!BO120</f>
        <v>30</v>
      </c>
      <c r="K120">
        <f>'Monthly Data'!BR120</f>
        <v>0</v>
      </c>
      <c r="L120" s="17">
        <f>'Monthly Data'!AT120</f>
        <v>869576</v>
      </c>
      <c r="M120">
        <f>'Monthly Data'!BJ120</f>
        <v>1</v>
      </c>
      <c r="O120" s="17"/>
      <c r="P120" s="17">
        <f t="shared" ca="1" si="8"/>
        <v>-86674.719201933825</v>
      </c>
      <c r="Q120" s="17">
        <f t="shared" ca="1" si="9"/>
        <v>0</v>
      </c>
      <c r="R120" s="17"/>
      <c r="S120" s="17"/>
      <c r="T120" s="17"/>
      <c r="U120" s="17"/>
      <c r="V120" s="17"/>
      <c r="W120" s="17">
        <f t="shared" ca="1" si="10"/>
        <v>30039159.61152878</v>
      </c>
    </row>
    <row r="121" spans="1:26" x14ac:dyDescent="0.2">
      <c r="A121" s="28">
        <f>'Monthly Data'!A121</f>
        <v>45261</v>
      </c>
      <c r="B121">
        <f>'Monthly Data'!C121</f>
        <v>12</v>
      </c>
      <c r="C121">
        <f>'Monthly Data'!B121</f>
        <v>2023</v>
      </c>
      <c r="D121" s="18">
        <f>'Monthly Data'!N121</f>
        <v>31326096.943291593</v>
      </c>
      <c r="E121" s="10">
        <f t="shared" ca="1" si="13"/>
        <v>508.62936502461724</v>
      </c>
      <c r="F121" s="10">
        <f t="shared" ca="1" si="13"/>
        <v>0</v>
      </c>
      <c r="G121" s="98">
        <f>'Monthly Data'!AI121</f>
        <v>401.47216902018062</v>
      </c>
      <c r="H121" s="98">
        <f>'Monthly Data'!AD121</f>
        <v>0</v>
      </c>
      <c r="I121">
        <f>'Monthly Data'!AV121</f>
        <v>120</v>
      </c>
      <c r="J121">
        <f>'Monthly Data'!BO121</f>
        <v>31</v>
      </c>
      <c r="K121">
        <f>'Monthly Data'!BR121</f>
        <v>0</v>
      </c>
      <c r="L121" s="17">
        <f>'Monthly Data'!AT121</f>
        <v>869576</v>
      </c>
      <c r="M121">
        <f>'Monthly Data'!BJ121</f>
        <v>0</v>
      </c>
      <c r="O121" s="17"/>
      <c r="P121" s="17">
        <f t="shared" ca="1" si="8"/>
        <v>1258205.9387229397</v>
      </c>
      <c r="Q121" s="17">
        <f t="shared" ca="1" si="9"/>
        <v>0</v>
      </c>
      <c r="R121" s="17"/>
      <c r="S121" s="17"/>
      <c r="T121" s="17"/>
      <c r="U121" s="17"/>
      <c r="V121" s="17"/>
      <c r="W121" s="17">
        <f t="shared" ca="1" si="10"/>
        <v>32584302.882014532</v>
      </c>
    </row>
    <row r="122" spans="1:26" x14ac:dyDescent="0.2">
      <c r="A122" s="28">
        <f>EOMONTH(A121,0)+1</f>
        <v>45292</v>
      </c>
      <c r="B122">
        <f>MONTH(A122)</f>
        <v>1</v>
      </c>
      <c r="C122">
        <f>YEAR(A122)</f>
        <v>2024</v>
      </c>
      <c r="E122" s="10">
        <f t="shared" ca="1" si="13"/>
        <v>666.68367523535153</v>
      </c>
      <c r="F122" s="10">
        <f t="shared" ca="1" si="13"/>
        <v>0</v>
      </c>
      <c r="G122" s="98">
        <f>'Monthly Data'!AI122</f>
        <v>563.51250000000005</v>
      </c>
      <c r="H122" s="98">
        <f>'Monthly Data'!AD122</f>
        <v>0</v>
      </c>
      <c r="I122">
        <f>I121+1</f>
        <v>121</v>
      </c>
      <c r="J122">
        <f>J74</f>
        <v>31</v>
      </c>
      <c r="K122">
        <f>'Monthly Data'!BR122</f>
        <v>0</v>
      </c>
      <c r="L122" s="17">
        <f>Economic!I122</f>
        <v>874402</v>
      </c>
      <c r="M122">
        <f>M110</f>
        <v>0</v>
      </c>
      <c r="O122" s="17">
        <f t="shared" ref="O122:O145" si="14">$Z$7</f>
        <v>-9501475.1395959798</v>
      </c>
      <c r="P122" s="17">
        <f t="shared" ref="P122:P130" ca="1" si="15">E122*$Z$8</f>
        <v>7827989.0731372358</v>
      </c>
      <c r="Q122" s="17">
        <f t="shared" ref="Q122:Q130" ca="1" si="16">F122*$Z$9</f>
        <v>0</v>
      </c>
      <c r="R122" s="17">
        <f t="shared" ref="R122:R130" si="17">I122*$Z$10</f>
        <v>-4346013.4185014712</v>
      </c>
      <c r="S122" s="17">
        <f t="shared" ref="S122:S130" si="18">J122*$Z$11</f>
        <v>25636435.683383022</v>
      </c>
      <c r="T122" s="17">
        <f t="shared" ref="T122:T130" si="19">K122*$Z$12</f>
        <v>0</v>
      </c>
      <c r="U122" s="17">
        <f t="shared" ref="U122:U130" si="20">L122*$Z$13</f>
        <v>14909135.476340329</v>
      </c>
      <c r="V122" s="17">
        <f t="shared" ref="V122:V130" si="21">M122*$Z$14</f>
        <v>0</v>
      </c>
      <c r="W122" s="17">
        <f t="shared" ref="W122:W130" ca="1" si="22">SUM(O122:V122)</f>
        <v>34526071.674763136</v>
      </c>
    </row>
    <row r="123" spans="1:26" x14ac:dyDescent="0.2">
      <c r="A123" s="28">
        <f t="shared" ref="A123:A145" si="23">EOMONTH(A122,0)+1</f>
        <v>45323</v>
      </c>
      <c r="B123">
        <f t="shared" ref="B123:B145" si="24">MONTH(A123)</f>
        <v>2</v>
      </c>
      <c r="C123">
        <f t="shared" ref="C123:C145" si="25">YEAR(A123)</f>
        <v>2024</v>
      </c>
      <c r="E123" s="10">
        <f t="shared" ca="1" si="13"/>
        <v>599.3508333333333</v>
      </c>
      <c r="F123" s="10">
        <f t="shared" ca="1" si="13"/>
        <v>0</v>
      </c>
      <c r="G123" s="98">
        <f>'Monthly Data'!AI123</f>
        <v>457.39166666666665</v>
      </c>
      <c r="H123" s="98">
        <f>'Monthly Data'!AD123</f>
        <v>0</v>
      </c>
      <c r="I123">
        <f t="shared" ref="I123:I145" si="26">I122+1</f>
        <v>122</v>
      </c>
      <c r="J123">
        <f t="shared" ref="J123:J145" si="27">J75</f>
        <v>29</v>
      </c>
      <c r="K123">
        <f>'Monthly Data'!BR123</f>
        <v>0</v>
      </c>
      <c r="L123" s="17">
        <f>Economic!I123</f>
        <v>874402</v>
      </c>
      <c r="M123">
        <f t="shared" ref="M123:M145" si="28">M111</f>
        <v>0</v>
      </c>
      <c r="O123" s="17">
        <f t="shared" si="14"/>
        <v>-9501475.1395959798</v>
      </c>
      <c r="P123" s="17">
        <f t="shared" ca="1" si="15"/>
        <v>7037388.1176148038</v>
      </c>
      <c r="Q123" s="17">
        <f t="shared" ca="1" si="16"/>
        <v>0</v>
      </c>
      <c r="R123" s="17">
        <f t="shared" si="17"/>
        <v>-4381930.8847700777</v>
      </c>
      <c r="S123" s="17">
        <f t="shared" si="18"/>
        <v>23982472.090906698</v>
      </c>
      <c r="T123" s="17">
        <f t="shared" si="19"/>
        <v>0</v>
      </c>
      <c r="U123" s="17">
        <f t="shared" si="20"/>
        <v>14909135.476340329</v>
      </c>
      <c r="V123" s="17">
        <f t="shared" si="21"/>
        <v>0</v>
      </c>
      <c r="W123" s="17">
        <f t="shared" ca="1" si="22"/>
        <v>32045589.660495773</v>
      </c>
    </row>
    <row r="124" spans="1:26" x14ac:dyDescent="0.2">
      <c r="A124" s="28">
        <f t="shared" si="23"/>
        <v>45352</v>
      </c>
      <c r="B124">
        <f t="shared" si="24"/>
        <v>3</v>
      </c>
      <c r="C124">
        <f t="shared" si="25"/>
        <v>2024</v>
      </c>
      <c r="E124" s="10">
        <f t="shared" ca="1" si="13"/>
        <v>469.11853767651354</v>
      </c>
      <c r="F124" s="10">
        <f t="shared" ca="1" si="13"/>
        <v>0</v>
      </c>
      <c r="G124" s="98">
        <f>'Monthly Data'!AI124</f>
        <v>341.45416666666671</v>
      </c>
      <c r="H124" s="98">
        <f>'Monthly Data'!AD124</f>
        <v>0</v>
      </c>
      <c r="I124">
        <f t="shared" si="26"/>
        <v>123</v>
      </c>
      <c r="J124">
        <f t="shared" si="27"/>
        <v>31</v>
      </c>
      <c r="K124">
        <f>'Monthly Data'!BR124</f>
        <v>0</v>
      </c>
      <c r="L124" s="17">
        <f>Economic!I124</f>
        <v>874402</v>
      </c>
      <c r="M124">
        <f t="shared" si="28"/>
        <v>0</v>
      </c>
      <c r="O124" s="17">
        <f t="shared" si="14"/>
        <v>-9501475.1395959798</v>
      </c>
      <c r="P124" s="17">
        <f t="shared" ca="1" si="15"/>
        <v>5508241.6494471589</v>
      </c>
      <c r="Q124" s="17">
        <f t="shared" ca="1" si="16"/>
        <v>0</v>
      </c>
      <c r="R124" s="17">
        <f t="shared" si="17"/>
        <v>-4417848.3510386851</v>
      </c>
      <c r="S124" s="17">
        <f t="shared" si="18"/>
        <v>25636435.683383022</v>
      </c>
      <c r="T124" s="17">
        <f t="shared" si="19"/>
        <v>0</v>
      </c>
      <c r="U124" s="17">
        <f t="shared" si="20"/>
        <v>14909135.476340329</v>
      </c>
      <c r="V124" s="17">
        <f t="shared" si="21"/>
        <v>0</v>
      </c>
      <c r="W124" s="17">
        <f t="shared" ca="1" si="22"/>
        <v>32134489.318535842</v>
      </c>
      <c r="Y124" s="17"/>
      <c r="Z124" s="30"/>
    </row>
    <row r="125" spans="1:26" x14ac:dyDescent="0.2">
      <c r="A125" s="28">
        <f t="shared" si="23"/>
        <v>45383</v>
      </c>
      <c r="B125">
        <f t="shared" si="24"/>
        <v>4</v>
      </c>
      <c r="C125">
        <f t="shared" si="25"/>
        <v>2024</v>
      </c>
      <c r="E125" s="10">
        <f t="shared" ca="1" si="13"/>
        <v>233.92395833333336</v>
      </c>
      <c r="F125" s="10">
        <f t="shared" ca="1" si="13"/>
        <v>1.1666666666666714E-2</v>
      </c>
      <c r="G125" s="98">
        <f>'Monthly Data'!AI125</f>
        <v>165.02083333333334</v>
      </c>
      <c r="H125" s="98">
        <f>'Monthly Data'!AD125</f>
        <v>0</v>
      </c>
      <c r="I125">
        <f t="shared" si="26"/>
        <v>124</v>
      </c>
      <c r="J125">
        <f t="shared" si="27"/>
        <v>30</v>
      </c>
      <c r="K125">
        <f>'Monthly Data'!BR125</f>
        <v>0</v>
      </c>
      <c r="L125" s="17">
        <f>Economic!I125</f>
        <v>877135</v>
      </c>
      <c r="M125">
        <f t="shared" si="28"/>
        <v>0</v>
      </c>
      <c r="O125" s="17">
        <f t="shared" si="14"/>
        <v>-9501475.1395959798</v>
      </c>
      <c r="P125" s="17">
        <f t="shared" ca="1" si="15"/>
        <v>2746661.2095037615</v>
      </c>
      <c r="Q125" s="17">
        <f t="shared" ca="1" si="16"/>
        <v>254.51489892739153</v>
      </c>
      <c r="R125" s="17">
        <f t="shared" si="17"/>
        <v>-4453765.8173072925</v>
      </c>
      <c r="S125" s="17">
        <f t="shared" si="18"/>
        <v>24809453.88714486</v>
      </c>
      <c r="T125" s="17">
        <f t="shared" si="19"/>
        <v>0</v>
      </c>
      <c r="U125" s="17">
        <f t="shared" si="20"/>
        <v>14955734.943469679</v>
      </c>
      <c r="V125" s="17">
        <f t="shared" si="21"/>
        <v>0</v>
      </c>
      <c r="W125" s="17">
        <f t="shared" ca="1" si="22"/>
        <v>28556863.598113954</v>
      </c>
      <c r="Y125" s="17"/>
      <c r="Z125" s="30"/>
    </row>
    <row r="126" spans="1:26" x14ac:dyDescent="0.2">
      <c r="A126" s="28">
        <f t="shared" si="23"/>
        <v>45413</v>
      </c>
      <c r="B126">
        <f t="shared" si="24"/>
        <v>5</v>
      </c>
      <c r="C126">
        <f t="shared" si="25"/>
        <v>2024</v>
      </c>
      <c r="E126" s="10">
        <f t="shared" ca="1" si="13"/>
        <v>46.324929225504526</v>
      </c>
      <c r="F126" s="10">
        <f t="shared" ca="1" si="13"/>
        <v>19.778958333333328</v>
      </c>
      <c r="G126" s="98">
        <f>'Monthly Data'!AI126</f>
        <v>2.6791666666666654</v>
      </c>
      <c r="H126" s="98">
        <f>'Monthly Data'!AD126</f>
        <v>13.872916666666676</v>
      </c>
      <c r="I126">
        <f t="shared" si="26"/>
        <v>125</v>
      </c>
      <c r="J126">
        <f t="shared" si="27"/>
        <v>31</v>
      </c>
      <c r="K126">
        <f>'Monthly Data'!BR126</f>
        <v>0</v>
      </c>
      <c r="L126" s="17">
        <f>Economic!I126</f>
        <v>877135</v>
      </c>
      <c r="M126">
        <f t="shared" si="28"/>
        <v>0</v>
      </c>
      <c r="O126" s="17">
        <f t="shared" si="14"/>
        <v>-9501475.1395959798</v>
      </c>
      <c r="P126" s="17">
        <f t="shared" ca="1" si="15"/>
        <v>543932.68241207476</v>
      </c>
      <c r="Q126" s="17">
        <f t="shared" ca="1" si="16"/>
        <v>431489.10695120576</v>
      </c>
      <c r="R126" s="17">
        <f t="shared" si="17"/>
        <v>-4489683.2835758999</v>
      </c>
      <c r="S126" s="17">
        <f t="shared" si="18"/>
        <v>25636435.683383022</v>
      </c>
      <c r="T126" s="17">
        <f t="shared" si="19"/>
        <v>0</v>
      </c>
      <c r="U126" s="17">
        <f t="shared" si="20"/>
        <v>14955734.943469679</v>
      </c>
      <c r="V126" s="17">
        <f t="shared" si="21"/>
        <v>0</v>
      </c>
      <c r="W126" s="17">
        <f t="shared" ca="1" si="22"/>
        <v>27576433.993044101</v>
      </c>
      <c r="Y126" s="17"/>
      <c r="Z126" s="30"/>
    </row>
    <row r="127" spans="1:26" x14ac:dyDescent="0.2">
      <c r="A127" s="28">
        <f t="shared" si="23"/>
        <v>45444</v>
      </c>
      <c r="B127">
        <f t="shared" si="24"/>
        <v>6</v>
      </c>
      <c r="C127">
        <f t="shared" si="25"/>
        <v>2024</v>
      </c>
      <c r="E127" s="10">
        <f t="shared" ref="E127:F142" ca="1" si="29">E115</f>
        <v>1.25875</v>
      </c>
      <c r="F127" s="10">
        <f t="shared" ca="1" si="29"/>
        <v>53.293685210734182</v>
      </c>
      <c r="G127" s="98">
        <f>'Monthly Data'!AI127</f>
        <v>0</v>
      </c>
      <c r="H127" s="98">
        <f>'Monthly Data'!AD127</f>
        <v>58.193750000000009</v>
      </c>
      <c r="I127">
        <f t="shared" si="26"/>
        <v>126</v>
      </c>
      <c r="J127">
        <f t="shared" si="27"/>
        <v>30</v>
      </c>
      <c r="K127">
        <f>'Monthly Data'!BR127</f>
        <v>0</v>
      </c>
      <c r="L127" s="17">
        <f>Economic!I127</f>
        <v>877135</v>
      </c>
      <c r="M127">
        <f t="shared" si="28"/>
        <v>0</v>
      </c>
      <c r="O127" s="17">
        <f t="shared" si="14"/>
        <v>-9501475.1395959798</v>
      </c>
      <c r="P127" s="17">
        <f t="shared" ca="1" si="15"/>
        <v>14779.844792709282</v>
      </c>
      <c r="Q127" s="17">
        <f t="shared" ca="1" si="16"/>
        <v>1162631.7347038437</v>
      </c>
      <c r="R127" s="17">
        <f t="shared" si="17"/>
        <v>-4525600.7498445064</v>
      </c>
      <c r="S127" s="17">
        <f t="shared" si="18"/>
        <v>24809453.88714486</v>
      </c>
      <c r="T127" s="17">
        <f t="shared" si="19"/>
        <v>0</v>
      </c>
      <c r="U127" s="17">
        <f t="shared" si="20"/>
        <v>14955734.943469679</v>
      </c>
      <c r="V127" s="17">
        <f t="shared" si="21"/>
        <v>0</v>
      </c>
      <c r="W127" s="17">
        <f t="shared" ca="1" si="22"/>
        <v>26915524.520670608</v>
      </c>
      <c r="Y127" s="17"/>
      <c r="Z127" s="30"/>
    </row>
    <row r="128" spans="1:26" x14ac:dyDescent="0.2">
      <c r="A128" s="28">
        <f t="shared" si="23"/>
        <v>45474</v>
      </c>
      <c r="B128">
        <f t="shared" si="24"/>
        <v>7</v>
      </c>
      <c r="C128">
        <f t="shared" si="25"/>
        <v>2024</v>
      </c>
      <c r="E128" s="10">
        <f t="shared" ca="1" si="29"/>
        <v>0</v>
      </c>
      <c r="F128" s="10">
        <f t="shared" ca="1" si="29"/>
        <v>104.42694776957208</v>
      </c>
      <c r="G128" s="98">
        <f>'Monthly Data'!AI128</f>
        <v>0</v>
      </c>
      <c r="H128" s="98">
        <f>'Monthly Data'!AD128</f>
        <v>115.8354166666667</v>
      </c>
      <c r="I128">
        <f t="shared" si="26"/>
        <v>127</v>
      </c>
      <c r="J128">
        <f t="shared" si="27"/>
        <v>31</v>
      </c>
      <c r="K128">
        <f>'Monthly Data'!BR128</f>
        <v>0</v>
      </c>
      <c r="L128" s="17">
        <f>Economic!I128</f>
        <v>877865</v>
      </c>
      <c r="M128">
        <f t="shared" si="28"/>
        <v>0</v>
      </c>
      <c r="O128" s="17">
        <f t="shared" si="14"/>
        <v>-9501475.1395959798</v>
      </c>
      <c r="P128" s="17">
        <f t="shared" ca="1" si="15"/>
        <v>0</v>
      </c>
      <c r="Q128" s="17">
        <f t="shared" ca="1" si="16"/>
        <v>2278132.6334458739</v>
      </c>
      <c r="R128" s="17">
        <f t="shared" si="17"/>
        <v>-4561518.2161131138</v>
      </c>
      <c r="S128" s="17">
        <f t="shared" si="18"/>
        <v>25636435.683383022</v>
      </c>
      <c r="T128" s="17">
        <f t="shared" si="19"/>
        <v>0</v>
      </c>
      <c r="U128" s="17">
        <f t="shared" si="20"/>
        <v>14968181.928835368</v>
      </c>
      <c r="V128" s="17">
        <f t="shared" si="21"/>
        <v>0</v>
      </c>
      <c r="W128" s="17">
        <f t="shared" ca="1" si="22"/>
        <v>28819756.88995517</v>
      </c>
      <c r="Y128" s="17"/>
      <c r="Z128" s="30"/>
    </row>
    <row r="129" spans="1:26" x14ac:dyDescent="0.2">
      <c r="A129" s="28">
        <f t="shared" si="23"/>
        <v>45505</v>
      </c>
      <c r="B129">
        <f t="shared" si="24"/>
        <v>8</v>
      </c>
      <c r="C129">
        <f t="shared" si="25"/>
        <v>2024</v>
      </c>
      <c r="E129" s="10">
        <f t="shared" ca="1" si="29"/>
        <v>0.1158333333333335</v>
      </c>
      <c r="F129" s="10">
        <f t="shared" ca="1" si="29"/>
        <v>74.696666666666673</v>
      </c>
      <c r="G129" s="98">
        <f>'Monthly Data'!AI129</f>
        <v>0</v>
      </c>
      <c r="H129" s="98">
        <f>'Monthly Data'!AD129</f>
        <v>95.018749999999983</v>
      </c>
      <c r="I129">
        <f t="shared" si="26"/>
        <v>128</v>
      </c>
      <c r="J129">
        <f t="shared" si="27"/>
        <v>31</v>
      </c>
      <c r="K129">
        <f>'Monthly Data'!BR129</f>
        <v>0</v>
      </c>
      <c r="L129" s="17">
        <f>Economic!I129</f>
        <v>877865</v>
      </c>
      <c r="M129">
        <f t="shared" si="28"/>
        <v>0</v>
      </c>
      <c r="O129" s="17">
        <f t="shared" si="14"/>
        <v>-9501475.1395959798</v>
      </c>
      <c r="P129" s="17">
        <f t="shared" ca="1" si="15"/>
        <v>1360.0784019772213</v>
      </c>
      <c r="Q129" s="17">
        <f t="shared" ca="1" si="16"/>
        <v>1629549.8200182556</v>
      </c>
      <c r="R129" s="17">
        <f t="shared" si="17"/>
        <v>-4597435.6823817212</v>
      </c>
      <c r="S129" s="17">
        <f t="shared" si="18"/>
        <v>25636435.683383022</v>
      </c>
      <c r="T129" s="17">
        <f t="shared" si="19"/>
        <v>0</v>
      </c>
      <c r="U129" s="17">
        <f t="shared" si="20"/>
        <v>14968181.928835368</v>
      </c>
      <c r="V129" s="17">
        <f t="shared" si="21"/>
        <v>0</v>
      </c>
      <c r="W129" s="17">
        <f t="shared" ca="1" si="22"/>
        <v>28136616.68866092</v>
      </c>
      <c r="Y129" s="17"/>
      <c r="Z129" s="30"/>
    </row>
    <row r="130" spans="1:26" x14ac:dyDescent="0.2">
      <c r="A130" s="28">
        <f t="shared" si="23"/>
        <v>45536</v>
      </c>
      <c r="B130">
        <f t="shared" si="24"/>
        <v>9</v>
      </c>
      <c r="C130">
        <f t="shared" si="25"/>
        <v>2024</v>
      </c>
      <c r="E130" s="10">
        <f t="shared" ca="1" si="29"/>
        <v>11.597845892171184</v>
      </c>
      <c r="F130" s="10">
        <f t="shared" ca="1" si="29"/>
        <v>25.91041666666667</v>
      </c>
      <c r="G130" s="98">
        <f>'Monthly Data'!AI130</f>
        <v>3.9000000000000004</v>
      </c>
      <c r="H130" s="98">
        <f>'Monthly Data'!AD130</f>
        <v>44.406250000000014</v>
      </c>
      <c r="I130">
        <f t="shared" si="26"/>
        <v>129</v>
      </c>
      <c r="J130">
        <f t="shared" si="27"/>
        <v>30</v>
      </c>
      <c r="K130">
        <f>'Monthly Data'!BR130</f>
        <v>0</v>
      </c>
      <c r="L130" s="17">
        <f>Economic!I130</f>
        <v>877865</v>
      </c>
      <c r="M130">
        <f t="shared" si="28"/>
        <v>1</v>
      </c>
      <c r="O130" s="17">
        <f t="shared" si="14"/>
        <v>-9501475.1395959798</v>
      </c>
      <c r="P130" s="17">
        <f t="shared" ca="1" si="15"/>
        <v>136178.24207829277</v>
      </c>
      <c r="Q130" s="17">
        <f t="shared" ca="1" si="16"/>
        <v>565250.3210642779</v>
      </c>
      <c r="R130" s="17">
        <f t="shared" si="17"/>
        <v>-4633353.1486503286</v>
      </c>
      <c r="S130" s="17">
        <f t="shared" si="18"/>
        <v>24809453.88714486</v>
      </c>
      <c r="T130" s="17">
        <f t="shared" si="19"/>
        <v>0</v>
      </c>
      <c r="U130" s="17">
        <f t="shared" si="20"/>
        <v>14968181.928835368</v>
      </c>
      <c r="V130" s="17">
        <f t="shared" si="21"/>
        <v>413783.55369814899</v>
      </c>
      <c r="W130" s="17">
        <f t="shared" ca="1" si="22"/>
        <v>26758019.644574638</v>
      </c>
      <c r="Y130" s="17"/>
      <c r="Z130" s="30"/>
    </row>
    <row r="131" spans="1:26" x14ac:dyDescent="0.2">
      <c r="A131" s="28">
        <f t="shared" si="23"/>
        <v>45566</v>
      </c>
      <c r="B131">
        <f t="shared" si="24"/>
        <v>10</v>
      </c>
      <c r="C131">
        <f t="shared" si="25"/>
        <v>2024</v>
      </c>
      <c r="E131" s="10">
        <f t="shared" ca="1" si="29"/>
        <v>128.51888157360821</v>
      </c>
      <c r="F131" s="10">
        <f t="shared" ca="1" si="29"/>
        <v>2.0656249999999989</v>
      </c>
      <c r="G131" s="98">
        <f>'Monthly Data'!AI131</f>
        <v>95.160416666666663</v>
      </c>
      <c r="H131" s="98">
        <f>'Monthly Data'!AD131</f>
        <v>0.19999999999999929</v>
      </c>
      <c r="I131">
        <f t="shared" si="26"/>
        <v>130</v>
      </c>
      <c r="J131">
        <f t="shared" si="27"/>
        <v>31</v>
      </c>
      <c r="K131">
        <f>'Monthly Data'!BR131</f>
        <v>0</v>
      </c>
      <c r="L131" s="17">
        <f>Economic!I131</f>
        <v>869576</v>
      </c>
      <c r="M131">
        <f t="shared" si="28"/>
        <v>1</v>
      </c>
      <c r="O131" s="17">
        <f t="shared" si="14"/>
        <v>-9501475.1395959798</v>
      </c>
      <c r="P131" s="17">
        <f t="shared" ref="P131:P145" ca="1" si="30">E131*$Z$8</f>
        <v>1509028.1013628712</v>
      </c>
      <c r="Q131" s="17">
        <f t="shared" ref="Q131:Q145" ca="1" si="31">F131*$Z$9</f>
        <v>45062.771836876353</v>
      </c>
      <c r="R131" s="17">
        <f t="shared" ref="R131:R145" si="32">I131*$Z$10</f>
        <v>-4669270.614918936</v>
      </c>
      <c r="S131" s="17">
        <f t="shared" ref="S131:S145" si="33">J131*$Z$11</f>
        <v>25636435.683383022</v>
      </c>
      <c r="T131" s="17">
        <f t="shared" ref="T131:T145" si="34">K131*$Z$12</f>
        <v>0</v>
      </c>
      <c r="U131" s="17">
        <f t="shared" ref="U131:U145" si="35">L131*$Z$13</f>
        <v>14826848.967607711</v>
      </c>
      <c r="V131" s="17">
        <f t="shared" ref="V131:V145" si="36">M131*$Z$14</f>
        <v>413783.55369814899</v>
      </c>
      <c r="W131" s="17">
        <f t="shared" ref="W131:W145" ca="1" si="37">SUM(O131:V131)</f>
        <v>28260413.323373713</v>
      </c>
      <c r="Y131" s="17"/>
      <c r="Z131" s="30"/>
    </row>
    <row r="132" spans="1:26" x14ac:dyDescent="0.2">
      <c r="A132" s="28">
        <f t="shared" si="23"/>
        <v>45597</v>
      </c>
      <c r="B132">
        <f t="shared" si="24"/>
        <v>11</v>
      </c>
      <c r="C132">
        <f t="shared" si="25"/>
        <v>2024</v>
      </c>
      <c r="E132" s="10">
        <f t="shared" ca="1" si="29"/>
        <v>332.1049960098469</v>
      </c>
      <c r="F132" s="10">
        <f t="shared" ca="1" si="29"/>
        <v>0</v>
      </c>
      <c r="G132" s="98">
        <f>'Monthly Data'!AI132</f>
        <v>263.02291666666667</v>
      </c>
      <c r="H132" s="98">
        <f>'Monthly Data'!AD132</f>
        <v>0</v>
      </c>
      <c r="I132">
        <f t="shared" si="26"/>
        <v>131</v>
      </c>
      <c r="J132">
        <f t="shared" si="27"/>
        <v>30</v>
      </c>
      <c r="K132">
        <f>'Monthly Data'!BR132</f>
        <v>0</v>
      </c>
      <c r="L132" s="17">
        <f>Economic!I132</f>
        <v>869576</v>
      </c>
      <c r="M132">
        <f t="shared" si="28"/>
        <v>1</v>
      </c>
      <c r="O132" s="17">
        <f t="shared" si="14"/>
        <v>-9501475.1395959798</v>
      </c>
      <c r="P132" s="17">
        <f t="shared" ca="1" si="30"/>
        <v>3899471.9331947346</v>
      </c>
      <c r="Q132" s="17">
        <f t="shared" ca="1" si="31"/>
        <v>0</v>
      </c>
      <c r="R132" s="17">
        <f t="shared" si="32"/>
        <v>-4705188.0811875425</v>
      </c>
      <c r="S132" s="17">
        <f t="shared" si="33"/>
        <v>24809453.88714486</v>
      </c>
      <c r="T132" s="17">
        <f t="shared" si="34"/>
        <v>0</v>
      </c>
      <c r="U132" s="17">
        <f t="shared" si="35"/>
        <v>14826848.967607711</v>
      </c>
      <c r="V132" s="17">
        <f t="shared" si="36"/>
        <v>413783.55369814899</v>
      </c>
      <c r="W132" s="17">
        <f t="shared" ca="1" si="37"/>
        <v>29742895.120861929</v>
      </c>
      <c r="Y132" s="17"/>
      <c r="Z132" s="30"/>
    </row>
    <row r="133" spans="1:26" x14ac:dyDescent="0.2">
      <c r="A133" s="28">
        <f t="shared" si="23"/>
        <v>45627</v>
      </c>
      <c r="B133">
        <f t="shared" si="24"/>
        <v>12</v>
      </c>
      <c r="C133">
        <f t="shared" si="25"/>
        <v>2024</v>
      </c>
      <c r="E133" s="10">
        <f t="shared" ca="1" si="29"/>
        <v>508.62936502461724</v>
      </c>
      <c r="F133" s="10">
        <f t="shared" ca="1" si="29"/>
        <v>0</v>
      </c>
      <c r="G133" s="98">
        <f>'Monthly Data'!AI133</f>
        <v>533.35625000000005</v>
      </c>
      <c r="H133" s="98">
        <f>'Monthly Data'!AD133</f>
        <v>0</v>
      </c>
      <c r="I133">
        <f t="shared" si="26"/>
        <v>132</v>
      </c>
      <c r="J133">
        <f t="shared" si="27"/>
        <v>31</v>
      </c>
      <c r="K133">
        <f>'Monthly Data'!BR133</f>
        <v>0</v>
      </c>
      <c r="L133" s="17">
        <f>Economic!I133</f>
        <v>869576</v>
      </c>
      <c r="M133">
        <f t="shared" si="28"/>
        <v>0</v>
      </c>
      <c r="O133" s="17">
        <f t="shared" si="14"/>
        <v>-9501475.1395959798</v>
      </c>
      <c r="P133" s="17">
        <f t="shared" ca="1" si="30"/>
        <v>5972165.3005585838</v>
      </c>
      <c r="Q133" s="17">
        <f t="shared" ca="1" si="31"/>
        <v>0</v>
      </c>
      <c r="R133" s="17">
        <f t="shared" si="32"/>
        <v>-4741105.5474561499</v>
      </c>
      <c r="S133" s="17">
        <f t="shared" si="33"/>
        <v>25636435.683383022</v>
      </c>
      <c r="T133" s="17">
        <f t="shared" si="34"/>
        <v>0</v>
      </c>
      <c r="U133" s="17">
        <f t="shared" si="35"/>
        <v>14826848.967607711</v>
      </c>
      <c r="V133" s="17">
        <f t="shared" si="36"/>
        <v>0</v>
      </c>
      <c r="W133" s="17">
        <f t="shared" ca="1" si="37"/>
        <v>32192869.264497187</v>
      </c>
      <c r="Y133" s="17"/>
      <c r="Z133" s="30"/>
    </row>
    <row r="134" spans="1:26" x14ac:dyDescent="0.2">
      <c r="A134" s="28">
        <f t="shared" si="23"/>
        <v>45658</v>
      </c>
      <c r="B134">
        <f t="shared" si="24"/>
        <v>1</v>
      </c>
      <c r="C134">
        <f t="shared" si="25"/>
        <v>2025</v>
      </c>
      <c r="E134" s="10">
        <f t="shared" ca="1" si="29"/>
        <v>666.68367523535153</v>
      </c>
      <c r="F134" s="10">
        <f t="shared" ca="1" si="29"/>
        <v>0</v>
      </c>
      <c r="G134" s="98">
        <f>'Monthly Data'!AI134</f>
        <v>0</v>
      </c>
      <c r="H134" s="98">
        <f>'Monthly Data'!AD134</f>
        <v>0</v>
      </c>
      <c r="I134">
        <f t="shared" si="26"/>
        <v>133</v>
      </c>
      <c r="J134">
        <f t="shared" si="27"/>
        <v>31</v>
      </c>
      <c r="K134">
        <f>'Monthly Data'!BR134</f>
        <v>0</v>
      </c>
      <c r="L134" s="17">
        <f>Economic!I134</f>
        <v>874402</v>
      </c>
      <c r="M134">
        <f t="shared" si="28"/>
        <v>0</v>
      </c>
      <c r="O134" s="17">
        <f t="shared" si="14"/>
        <v>-9501475.1395959798</v>
      </c>
      <c r="P134" s="17">
        <f t="shared" ca="1" si="30"/>
        <v>7827989.0731372358</v>
      </c>
      <c r="Q134" s="17">
        <f t="shared" ca="1" si="31"/>
        <v>0</v>
      </c>
      <c r="R134" s="17">
        <f t="shared" si="32"/>
        <v>-4777023.0137247574</v>
      </c>
      <c r="S134" s="17">
        <f t="shared" si="33"/>
        <v>25636435.683383022</v>
      </c>
      <c r="T134" s="17">
        <f t="shared" si="34"/>
        <v>0</v>
      </c>
      <c r="U134" s="17">
        <f t="shared" si="35"/>
        <v>14909135.476340329</v>
      </c>
      <c r="V134" s="17">
        <f t="shared" si="36"/>
        <v>0</v>
      </c>
      <c r="W134" s="17">
        <f t="shared" ca="1" si="37"/>
        <v>34095062.07953985</v>
      </c>
      <c r="Y134" s="17"/>
      <c r="Z134" s="30"/>
    </row>
    <row r="135" spans="1:26" x14ac:dyDescent="0.2">
      <c r="A135" s="28">
        <f t="shared" si="23"/>
        <v>45689</v>
      </c>
      <c r="B135">
        <f t="shared" si="24"/>
        <v>2</v>
      </c>
      <c r="C135">
        <f t="shared" si="25"/>
        <v>2025</v>
      </c>
      <c r="E135" s="10">
        <f t="shared" ca="1" si="29"/>
        <v>599.3508333333333</v>
      </c>
      <c r="F135" s="10">
        <f t="shared" ca="1" si="29"/>
        <v>0</v>
      </c>
      <c r="G135" s="98">
        <f>'Monthly Data'!AI135</f>
        <v>0</v>
      </c>
      <c r="H135" s="98">
        <f>'Monthly Data'!AD135</f>
        <v>0</v>
      </c>
      <c r="I135">
        <f t="shared" si="26"/>
        <v>134</v>
      </c>
      <c r="J135">
        <f t="shared" si="27"/>
        <v>28</v>
      </c>
      <c r="K135">
        <f>'Monthly Data'!BR135</f>
        <v>0</v>
      </c>
      <c r="L135" s="17">
        <f>Economic!I135</f>
        <v>874402</v>
      </c>
      <c r="M135">
        <f t="shared" si="28"/>
        <v>0</v>
      </c>
      <c r="O135" s="17">
        <f t="shared" si="14"/>
        <v>-9501475.1395959798</v>
      </c>
      <c r="P135" s="17">
        <f t="shared" ca="1" si="30"/>
        <v>7037388.1176148038</v>
      </c>
      <c r="Q135" s="17">
        <f t="shared" ca="1" si="31"/>
        <v>0</v>
      </c>
      <c r="R135" s="17">
        <f t="shared" si="32"/>
        <v>-4812940.4799933648</v>
      </c>
      <c r="S135" s="17">
        <f t="shared" si="33"/>
        <v>23155490.294668537</v>
      </c>
      <c r="T135" s="17">
        <f t="shared" si="34"/>
        <v>0</v>
      </c>
      <c r="U135" s="17">
        <f t="shared" si="35"/>
        <v>14909135.476340329</v>
      </c>
      <c r="V135" s="17">
        <f t="shared" si="36"/>
        <v>0</v>
      </c>
      <c r="W135" s="17">
        <f t="shared" ca="1" si="37"/>
        <v>30787598.269034326</v>
      </c>
      <c r="Y135" s="17"/>
      <c r="Z135" s="30"/>
    </row>
    <row r="136" spans="1:26" x14ac:dyDescent="0.2">
      <c r="A136" s="28">
        <f t="shared" si="23"/>
        <v>45717</v>
      </c>
      <c r="B136">
        <f t="shared" si="24"/>
        <v>3</v>
      </c>
      <c r="C136">
        <f t="shared" si="25"/>
        <v>2025</v>
      </c>
      <c r="E136" s="10">
        <f t="shared" ca="1" si="29"/>
        <v>469.11853767651354</v>
      </c>
      <c r="F136" s="10">
        <f t="shared" ca="1" si="29"/>
        <v>0</v>
      </c>
      <c r="G136" s="98">
        <f>'Monthly Data'!AI136</f>
        <v>0</v>
      </c>
      <c r="H136" s="98">
        <f>'Monthly Data'!AD136</f>
        <v>0</v>
      </c>
      <c r="I136">
        <f t="shared" si="26"/>
        <v>135</v>
      </c>
      <c r="J136">
        <f t="shared" si="27"/>
        <v>31</v>
      </c>
      <c r="K136">
        <f>'Monthly Data'!BR136</f>
        <v>0</v>
      </c>
      <c r="L136" s="17">
        <f>Economic!I136</f>
        <v>874402</v>
      </c>
      <c r="M136">
        <f t="shared" si="28"/>
        <v>0</v>
      </c>
      <c r="O136" s="17">
        <f t="shared" si="14"/>
        <v>-9501475.1395959798</v>
      </c>
      <c r="P136" s="17">
        <f t="shared" ca="1" si="30"/>
        <v>5508241.6494471589</v>
      </c>
      <c r="Q136" s="17">
        <f t="shared" ca="1" si="31"/>
        <v>0</v>
      </c>
      <c r="R136" s="17">
        <f t="shared" si="32"/>
        <v>-4848857.9462619713</v>
      </c>
      <c r="S136" s="17">
        <f t="shared" si="33"/>
        <v>25636435.683383022</v>
      </c>
      <c r="T136" s="17">
        <f t="shared" si="34"/>
        <v>0</v>
      </c>
      <c r="U136" s="17">
        <f t="shared" si="35"/>
        <v>14909135.476340329</v>
      </c>
      <c r="V136" s="17">
        <f t="shared" si="36"/>
        <v>0</v>
      </c>
      <c r="W136" s="17">
        <f t="shared" ca="1" si="37"/>
        <v>31703479.723312557</v>
      </c>
      <c r="Y136" s="17"/>
      <c r="Z136" s="30"/>
    </row>
    <row r="137" spans="1:26" x14ac:dyDescent="0.2">
      <c r="A137" s="28">
        <f t="shared" si="23"/>
        <v>45748</v>
      </c>
      <c r="B137">
        <f t="shared" si="24"/>
        <v>4</v>
      </c>
      <c r="C137">
        <f t="shared" si="25"/>
        <v>2025</v>
      </c>
      <c r="E137" s="10">
        <f t="shared" ca="1" si="29"/>
        <v>233.92395833333336</v>
      </c>
      <c r="F137" s="10">
        <f t="shared" ca="1" si="29"/>
        <v>1.1666666666666714E-2</v>
      </c>
      <c r="G137" s="98">
        <f>'Monthly Data'!AI137</f>
        <v>0</v>
      </c>
      <c r="H137" s="98">
        <f>'Monthly Data'!AD137</f>
        <v>0</v>
      </c>
      <c r="I137">
        <f t="shared" si="26"/>
        <v>136</v>
      </c>
      <c r="J137">
        <f t="shared" si="27"/>
        <v>30</v>
      </c>
      <c r="K137">
        <f>'Monthly Data'!BR137</f>
        <v>0</v>
      </c>
      <c r="L137" s="17">
        <f>Economic!I137</f>
        <v>877135</v>
      </c>
      <c r="M137">
        <f t="shared" si="28"/>
        <v>0</v>
      </c>
      <c r="O137" s="17">
        <f t="shared" si="14"/>
        <v>-9501475.1395959798</v>
      </c>
      <c r="P137" s="17">
        <f t="shared" ca="1" si="30"/>
        <v>2746661.2095037615</v>
      </c>
      <c r="Q137" s="17">
        <f t="shared" ca="1" si="31"/>
        <v>254.51489892739153</v>
      </c>
      <c r="R137" s="17">
        <f t="shared" si="32"/>
        <v>-4884775.4125305787</v>
      </c>
      <c r="S137" s="17">
        <f t="shared" si="33"/>
        <v>24809453.88714486</v>
      </c>
      <c r="T137" s="17">
        <f t="shared" si="34"/>
        <v>0</v>
      </c>
      <c r="U137" s="17">
        <f t="shared" si="35"/>
        <v>14955734.943469679</v>
      </c>
      <c r="V137" s="17">
        <f t="shared" si="36"/>
        <v>0</v>
      </c>
      <c r="W137" s="17">
        <f t="shared" ca="1" si="37"/>
        <v>28125854.002890669</v>
      </c>
      <c r="Y137" s="17"/>
      <c r="Z137" s="31"/>
    </row>
    <row r="138" spans="1:26" x14ac:dyDescent="0.2">
      <c r="A138" s="28">
        <f t="shared" si="23"/>
        <v>45778</v>
      </c>
      <c r="B138">
        <f t="shared" si="24"/>
        <v>5</v>
      </c>
      <c r="C138">
        <f t="shared" si="25"/>
        <v>2025</v>
      </c>
      <c r="E138" s="10">
        <f t="shared" ca="1" si="29"/>
        <v>46.324929225504526</v>
      </c>
      <c r="F138" s="10">
        <f t="shared" ca="1" si="29"/>
        <v>19.778958333333328</v>
      </c>
      <c r="G138" s="98">
        <f>'Monthly Data'!AI138</f>
        <v>0</v>
      </c>
      <c r="H138" s="98">
        <f>'Monthly Data'!AD138</f>
        <v>0</v>
      </c>
      <c r="I138">
        <f t="shared" si="26"/>
        <v>137</v>
      </c>
      <c r="J138">
        <f t="shared" si="27"/>
        <v>31</v>
      </c>
      <c r="K138">
        <f>'Monthly Data'!BR138</f>
        <v>0</v>
      </c>
      <c r="L138" s="17">
        <f>Economic!I138</f>
        <v>877135</v>
      </c>
      <c r="M138">
        <f t="shared" si="28"/>
        <v>0</v>
      </c>
      <c r="O138" s="17">
        <f t="shared" si="14"/>
        <v>-9501475.1395959798</v>
      </c>
      <c r="P138" s="17">
        <f t="shared" ca="1" si="30"/>
        <v>543932.68241207476</v>
      </c>
      <c r="Q138" s="17">
        <f t="shared" ca="1" si="31"/>
        <v>431489.10695120576</v>
      </c>
      <c r="R138" s="17">
        <f t="shared" si="32"/>
        <v>-4920692.8787991861</v>
      </c>
      <c r="S138" s="17">
        <f t="shared" si="33"/>
        <v>25636435.683383022</v>
      </c>
      <c r="T138" s="17">
        <f t="shared" si="34"/>
        <v>0</v>
      </c>
      <c r="U138" s="17">
        <f t="shared" si="35"/>
        <v>14955734.943469679</v>
      </c>
      <c r="V138" s="17">
        <f t="shared" si="36"/>
        <v>0</v>
      </c>
      <c r="W138" s="17">
        <f t="shared" ca="1" si="37"/>
        <v>27145424.397820815</v>
      </c>
      <c r="Y138" s="17"/>
      <c r="Z138" s="31"/>
    </row>
    <row r="139" spans="1:26" x14ac:dyDescent="0.2">
      <c r="A139" s="28">
        <f t="shared" si="23"/>
        <v>45809</v>
      </c>
      <c r="B139">
        <f t="shared" si="24"/>
        <v>6</v>
      </c>
      <c r="C139">
        <f t="shared" si="25"/>
        <v>2025</v>
      </c>
      <c r="E139" s="10">
        <f t="shared" ca="1" si="29"/>
        <v>1.25875</v>
      </c>
      <c r="F139" s="10">
        <f t="shared" ca="1" si="29"/>
        <v>53.293685210734182</v>
      </c>
      <c r="G139" s="98">
        <f>'Monthly Data'!AI139</f>
        <v>0</v>
      </c>
      <c r="H139" s="98">
        <f>'Monthly Data'!AD139</f>
        <v>0</v>
      </c>
      <c r="I139">
        <f t="shared" si="26"/>
        <v>138</v>
      </c>
      <c r="J139">
        <f t="shared" si="27"/>
        <v>30</v>
      </c>
      <c r="K139">
        <f>'Monthly Data'!BR139</f>
        <v>0</v>
      </c>
      <c r="L139" s="17">
        <f>Economic!I139</f>
        <v>877135</v>
      </c>
      <c r="M139">
        <f t="shared" si="28"/>
        <v>0</v>
      </c>
      <c r="O139" s="17">
        <f t="shared" si="14"/>
        <v>-9501475.1395959798</v>
      </c>
      <c r="P139" s="17">
        <f t="shared" ca="1" si="30"/>
        <v>14779.844792709282</v>
      </c>
      <c r="Q139" s="17">
        <f t="shared" ca="1" si="31"/>
        <v>1162631.7347038437</v>
      </c>
      <c r="R139" s="17">
        <f t="shared" si="32"/>
        <v>-4956610.3450677935</v>
      </c>
      <c r="S139" s="17">
        <f t="shared" si="33"/>
        <v>24809453.88714486</v>
      </c>
      <c r="T139" s="17">
        <f t="shared" si="34"/>
        <v>0</v>
      </c>
      <c r="U139" s="17">
        <f t="shared" si="35"/>
        <v>14955734.943469679</v>
      </c>
      <c r="V139" s="17">
        <f t="shared" si="36"/>
        <v>0</v>
      </c>
      <c r="W139" s="17">
        <f t="shared" ca="1" si="37"/>
        <v>26484514.925447315</v>
      </c>
      <c r="Y139" s="17"/>
      <c r="Z139" s="31"/>
    </row>
    <row r="140" spans="1:26" x14ac:dyDescent="0.2">
      <c r="A140" s="28">
        <f t="shared" si="23"/>
        <v>45839</v>
      </c>
      <c r="B140">
        <f t="shared" si="24"/>
        <v>7</v>
      </c>
      <c r="C140">
        <f t="shared" si="25"/>
        <v>2025</v>
      </c>
      <c r="E140" s="10">
        <f t="shared" ca="1" si="29"/>
        <v>0</v>
      </c>
      <c r="F140" s="10">
        <f t="shared" ca="1" si="29"/>
        <v>104.42694776957208</v>
      </c>
      <c r="G140" s="98">
        <f>'Monthly Data'!AI140</f>
        <v>0</v>
      </c>
      <c r="H140" s="98">
        <f>'Monthly Data'!AD140</f>
        <v>0</v>
      </c>
      <c r="I140">
        <f t="shared" si="26"/>
        <v>139</v>
      </c>
      <c r="J140">
        <f t="shared" si="27"/>
        <v>31</v>
      </c>
      <c r="K140">
        <f>'Monthly Data'!BR140</f>
        <v>0</v>
      </c>
      <c r="L140" s="17">
        <f>Economic!I140</f>
        <v>877865</v>
      </c>
      <c r="M140">
        <f t="shared" si="28"/>
        <v>0</v>
      </c>
      <c r="O140" s="17">
        <f t="shared" si="14"/>
        <v>-9501475.1395959798</v>
      </c>
      <c r="P140" s="17">
        <f t="shared" ca="1" si="30"/>
        <v>0</v>
      </c>
      <c r="Q140" s="17">
        <f t="shared" ca="1" si="31"/>
        <v>2278132.6334458739</v>
      </c>
      <c r="R140" s="17">
        <f t="shared" si="32"/>
        <v>-4992527.8113364</v>
      </c>
      <c r="S140" s="17">
        <f t="shared" si="33"/>
        <v>25636435.683383022</v>
      </c>
      <c r="T140" s="17">
        <f t="shared" si="34"/>
        <v>0</v>
      </c>
      <c r="U140" s="17">
        <f t="shared" si="35"/>
        <v>14968181.928835368</v>
      </c>
      <c r="V140" s="17">
        <f t="shared" si="36"/>
        <v>0</v>
      </c>
      <c r="W140" s="17">
        <f t="shared" ca="1" si="37"/>
        <v>28388747.294731885</v>
      </c>
      <c r="Y140" s="17"/>
      <c r="Z140" s="31"/>
    </row>
    <row r="141" spans="1:26" x14ac:dyDescent="0.2">
      <c r="A141" s="28">
        <f t="shared" si="23"/>
        <v>45870</v>
      </c>
      <c r="B141">
        <f t="shared" si="24"/>
        <v>8</v>
      </c>
      <c r="C141">
        <f t="shared" si="25"/>
        <v>2025</v>
      </c>
      <c r="E141" s="10">
        <f t="shared" ca="1" si="29"/>
        <v>0.1158333333333335</v>
      </c>
      <c r="F141" s="10">
        <f t="shared" ca="1" si="29"/>
        <v>74.696666666666673</v>
      </c>
      <c r="G141" s="98">
        <f>'Monthly Data'!AI141</f>
        <v>0</v>
      </c>
      <c r="H141" s="98">
        <f>'Monthly Data'!AD141</f>
        <v>0</v>
      </c>
      <c r="I141">
        <f t="shared" si="26"/>
        <v>140</v>
      </c>
      <c r="J141">
        <f t="shared" si="27"/>
        <v>31</v>
      </c>
      <c r="K141">
        <f>'Monthly Data'!BR141</f>
        <v>0</v>
      </c>
      <c r="L141" s="17">
        <f>Economic!I141</f>
        <v>877865</v>
      </c>
      <c r="M141">
        <f t="shared" si="28"/>
        <v>0</v>
      </c>
      <c r="O141" s="17">
        <f t="shared" si="14"/>
        <v>-9501475.1395959798</v>
      </c>
      <c r="P141" s="17">
        <f t="shared" ca="1" si="30"/>
        <v>1360.0784019772213</v>
      </c>
      <c r="Q141" s="17">
        <f t="shared" ca="1" si="31"/>
        <v>1629549.8200182556</v>
      </c>
      <c r="R141" s="17">
        <f t="shared" si="32"/>
        <v>-5028445.2776050074</v>
      </c>
      <c r="S141" s="17">
        <f t="shared" si="33"/>
        <v>25636435.683383022</v>
      </c>
      <c r="T141" s="17">
        <f t="shared" si="34"/>
        <v>0</v>
      </c>
      <c r="U141" s="17">
        <f t="shared" si="35"/>
        <v>14968181.928835368</v>
      </c>
      <c r="V141" s="17">
        <f t="shared" si="36"/>
        <v>0</v>
      </c>
      <c r="W141" s="17">
        <f t="shared" ca="1" si="37"/>
        <v>27705607.093437634</v>
      </c>
      <c r="Y141" s="17"/>
      <c r="Z141" s="31"/>
    </row>
    <row r="142" spans="1:26" x14ac:dyDescent="0.2">
      <c r="A142" s="28">
        <f t="shared" si="23"/>
        <v>45901</v>
      </c>
      <c r="B142">
        <f t="shared" si="24"/>
        <v>9</v>
      </c>
      <c r="C142">
        <f t="shared" si="25"/>
        <v>2025</v>
      </c>
      <c r="E142" s="10">
        <f t="shared" ca="1" si="29"/>
        <v>11.597845892171184</v>
      </c>
      <c r="F142" s="10">
        <f t="shared" ca="1" si="29"/>
        <v>25.91041666666667</v>
      </c>
      <c r="G142" s="98">
        <f>'Monthly Data'!AI142</f>
        <v>0</v>
      </c>
      <c r="H142" s="98">
        <f>'Monthly Data'!AD142</f>
        <v>0</v>
      </c>
      <c r="I142">
        <f t="shared" si="26"/>
        <v>141</v>
      </c>
      <c r="J142">
        <f t="shared" si="27"/>
        <v>30</v>
      </c>
      <c r="K142">
        <f>'Monthly Data'!BR142</f>
        <v>0</v>
      </c>
      <c r="L142" s="17">
        <f>Economic!I142</f>
        <v>877865</v>
      </c>
      <c r="M142">
        <f t="shared" si="28"/>
        <v>1</v>
      </c>
      <c r="O142" s="17">
        <f t="shared" si="14"/>
        <v>-9501475.1395959798</v>
      </c>
      <c r="P142" s="17">
        <f t="shared" ca="1" si="30"/>
        <v>136178.24207829277</v>
      </c>
      <c r="Q142" s="17">
        <f t="shared" ca="1" si="31"/>
        <v>565250.3210642779</v>
      </c>
      <c r="R142" s="17">
        <f t="shared" si="32"/>
        <v>-5064362.7438736148</v>
      </c>
      <c r="S142" s="17">
        <f t="shared" si="33"/>
        <v>24809453.88714486</v>
      </c>
      <c r="T142" s="17">
        <f t="shared" si="34"/>
        <v>0</v>
      </c>
      <c r="U142" s="17">
        <f t="shared" si="35"/>
        <v>14968181.928835368</v>
      </c>
      <c r="V142" s="17">
        <f t="shared" si="36"/>
        <v>413783.55369814899</v>
      </c>
      <c r="W142" s="17">
        <f t="shared" ca="1" si="37"/>
        <v>26327010.049351353</v>
      </c>
      <c r="Y142" s="17"/>
      <c r="Z142" s="31"/>
    </row>
    <row r="143" spans="1:26" x14ac:dyDescent="0.2">
      <c r="A143" s="28">
        <f t="shared" si="23"/>
        <v>45931</v>
      </c>
      <c r="B143">
        <f t="shared" si="24"/>
        <v>10</v>
      </c>
      <c r="C143">
        <f t="shared" si="25"/>
        <v>2025</v>
      </c>
      <c r="E143" s="10">
        <f t="shared" ref="E143:F145" ca="1" si="38">E131</f>
        <v>128.51888157360821</v>
      </c>
      <c r="F143" s="10">
        <f t="shared" ca="1" si="38"/>
        <v>2.0656249999999989</v>
      </c>
      <c r="G143" s="98">
        <f>'Monthly Data'!AI143</f>
        <v>0</v>
      </c>
      <c r="H143" s="98">
        <f>'Monthly Data'!AD143</f>
        <v>0</v>
      </c>
      <c r="I143">
        <f t="shared" si="26"/>
        <v>142</v>
      </c>
      <c r="J143">
        <f t="shared" si="27"/>
        <v>31</v>
      </c>
      <c r="K143">
        <f>'Monthly Data'!BR143</f>
        <v>0</v>
      </c>
      <c r="L143" s="17">
        <f>Economic!I143</f>
        <v>869576</v>
      </c>
      <c r="M143">
        <f t="shared" si="28"/>
        <v>1</v>
      </c>
      <c r="O143" s="17">
        <f t="shared" si="14"/>
        <v>-9501475.1395959798</v>
      </c>
      <c r="P143" s="17">
        <f t="shared" ca="1" si="30"/>
        <v>1509028.1013628712</v>
      </c>
      <c r="Q143" s="17">
        <f t="shared" ca="1" si="31"/>
        <v>45062.771836876353</v>
      </c>
      <c r="R143" s="17">
        <f t="shared" si="32"/>
        <v>-5100280.2101422222</v>
      </c>
      <c r="S143" s="17">
        <f t="shared" si="33"/>
        <v>25636435.683383022</v>
      </c>
      <c r="T143" s="17">
        <f t="shared" si="34"/>
        <v>0</v>
      </c>
      <c r="U143" s="17">
        <f t="shared" si="35"/>
        <v>14826848.967607711</v>
      </c>
      <c r="V143" s="17">
        <f t="shared" si="36"/>
        <v>413783.55369814899</v>
      </c>
      <c r="W143" s="17">
        <f t="shared" ca="1" si="37"/>
        <v>27829403.728150424</v>
      </c>
      <c r="Y143" s="17"/>
      <c r="Z143" s="31"/>
    </row>
    <row r="144" spans="1:26" x14ac:dyDescent="0.2">
      <c r="A144" s="28">
        <f t="shared" si="23"/>
        <v>45962</v>
      </c>
      <c r="B144">
        <f t="shared" si="24"/>
        <v>11</v>
      </c>
      <c r="C144">
        <f t="shared" si="25"/>
        <v>2025</v>
      </c>
      <c r="E144" s="10">
        <f t="shared" ca="1" si="38"/>
        <v>332.1049960098469</v>
      </c>
      <c r="F144" s="10">
        <f t="shared" ca="1" si="38"/>
        <v>0</v>
      </c>
      <c r="G144" s="98">
        <f>'Monthly Data'!AI144</f>
        <v>0</v>
      </c>
      <c r="H144" s="98">
        <f>'Monthly Data'!AD144</f>
        <v>0</v>
      </c>
      <c r="I144">
        <f t="shared" si="26"/>
        <v>143</v>
      </c>
      <c r="J144">
        <f t="shared" si="27"/>
        <v>30</v>
      </c>
      <c r="K144">
        <f>'Monthly Data'!BR144</f>
        <v>0</v>
      </c>
      <c r="L144" s="17">
        <f>Economic!I144</f>
        <v>869576</v>
      </c>
      <c r="M144">
        <f t="shared" si="28"/>
        <v>1</v>
      </c>
      <c r="O144" s="17">
        <f t="shared" si="14"/>
        <v>-9501475.1395959798</v>
      </c>
      <c r="P144" s="17">
        <f t="shared" ca="1" si="30"/>
        <v>3899471.9331947346</v>
      </c>
      <c r="Q144" s="17">
        <f t="shared" ca="1" si="31"/>
        <v>0</v>
      </c>
      <c r="R144" s="17">
        <f t="shared" si="32"/>
        <v>-5136197.6764108287</v>
      </c>
      <c r="S144" s="17">
        <f t="shared" si="33"/>
        <v>24809453.88714486</v>
      </c>
      <c r="T144" s="17">
        <f t="shared" si="34"/>
        <v>0</v>
      </c>
      <c r="U144" s="17">
        <f t="shared" si="35"/>
        <v>14826848.967607711</v>
      </c>
      <c r="V144" s="17">
        <f t="shared" si="36"/>
        <v>413783.55369814899</v>
      </c>
      <c r="W144" s="17">
        <f t="shared" ca="1" si="37"/>
        <v>29311885.525638644</v>
      </c>
      <c r="Y144" s="17"/>
      <c r="Z144" s="31"/>
    </row>
    <row r="145" spans="1:26" x14ac:dyDescent="0.2">
      <c r="A145" s="28">
        <f t="shared" si="23"/>
        <v>45992</v>
      </c>
      <c r="B145">
        <f t="shared" si="24"/>
        <v>12</v>
      </c>
      <c r="C145">
        <f t="shared" si="25"/>
        <v>2025</v>
      </c>
      <c r="E145" s="10">
        <f t="shared" ca="1" si="38"/>
        <v>508.62936502461724</v>
      </c>
      <c r="F145" s="10">
        <f t="shared" ca="1" si="38"/>
        <v>0</v>
      </c>
      <c r="G145" s="98">
        <f>'Monthly Data'!AI145</f>
        <v>0</v>
      </c>
      <c r="H145" s="98">
        <f>'Monthly Data'!AD145</f>
        <v>0</v>
      </c>
      <c r="I145">
        <f t="shared" si="26"/>
        <v>144</v>
      </c>
      <c r="J145">
        <f t="shared" si="27"/>
        <v>31</v>
      </c>
      <c r="K145">
        <f>'Monthly Data'!BR145</f>
        <v>0</v>
      </c>
      <c r="L145" s="17">
        <f>Economic!I145</f>
        <v>869576</v>
      </c>
      <c r="M145">
        <f t="shared" si="28"/>
        <v>0</v>
      </c>
      <c r="O145" s="17">
        <f t="shared" si="14"/>
        <v>-9501475.1395959798</v>
      </c>
      <c r="P145" s="17">
        <f t="shared" ca="1" si="30"/>
        <v>5972165.3005585838</v>
      </c>
      <c r="Q145" s="17">
        <f t="shared" ca="1" si="31"/>
        <v>0</v>
      </c>
      <c r="R145" s="17">
        <f t="shared" si="32"/>
        <v>-5172115.1426794361</v>
      </c>
      <c r="S145" s="17">
        <f t="shared" si="33"/>
        <v>25636435.683383022</v>
      </c>
      <c r="T145" s="17">
        <f t="shared" si="34"/>
        <v>0</v>
      </c>
      <c r="U145" s="17">
        <f t="shared" si="35"/>
        <v>14826848.967607711</v>
      </c>
      <c r="V145" s="17">
        <f t="shared" si="36"/>
        <v>0</v>
      </c>
      <c r="W145" s="17">
        <f t="shared" ca="1" si="37"/>
        <v>31761859.669273902</v>
      </c>
      <c r="Y145" s="17"/>
      <c r="Z145" s="31"/>
    </row>
    <row r="146" spans="1:26" x14ac:dyDescent="0.2">
      <c r="Y146" s="17"/>
      <c r="Z146" s="31"/>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F621-38CD-4D3F-8BE8-D56F8958FC58}">
  <sheetPr codeName="Sheet5"/>
  <dimension ref="B1:AI44"/>
  <sheetViews>
    <sheetView workbookViewId="0">
      <selection activeCell="H12" sqref="H12"/>
    </sheetView>
  </sheetViews>
  <sheetFormatPr defaultRowHeight="12.75" x14ac:dyDescent="0.2"/>
  <cols>
    <col min="1" max="1" width="3.6640625" customWidth="1"/>
    <col min="2" max="2" width="5.1640625" bestFit="1" customWidth="1"/>
    <col min="3" max="3" width="12.83203125" bestFit="1" customWidth="1"/>
    <col min="4" max="4" width="16" bestFit="1" customWidth="1"/>
    <col min="5" max="5" width="14.1640625" bestFit="1" customWidth="1"/>
    <col min="6" max="6" width="14.33203125" customWidth="1"/>
    <col min="7" max="7" width="12.5" bestFit="1" customWidth="1"/>
    <col min="8" max="8" width="12" bestFit="1" customWidth="1"/>
    <col min="9" max="9" width="16.1640625" bestFit="1" customWidth="1"/>
    <col min="10" max="10" width="14.1640625" bestFit="1" customWidth="1"/>
    <col min="12" max="12" width="14.33203125" bestFit="1" customWidth="1"/>
    <col min="13" max="14" width="13" bestFit="1" customWidth="1"/>
    <col min="15" max="15" width="10.6640625" bestFit="1" customWidth="1"/>
    <col min="16" max="16" width="5.83203125" customWidth="1"/>
    <col min="17" max="17" width="5.1640625" bestFit="1" customWidth="1"/>
    <col min="18" max="19" width="13" bestFit="1" customWidth="1"/>
    <col min="20" max="20" width="11.5" bestFit="1" customWidth="1"/>
    <col min="21" max="21" width="5.83203125" customWidth="1"/>
    <col min="22" max="22" width="5.1640625" bestFit="1" customWidth="1"/>
    <col min="23" max="23" width="12" bestFit="1" customWidth="1"/>
    <col min="26" max="26" width="6.1640625" customWidth="1"/>
    <col min="27" max="27" width="5.1640625" bestFit="1" customWidth="1"/>
    <col min="31" max="31" width="6" customWidth="1"/>
    <col min="32" max="32" width="5.1640625" bestFit="1" customWidth="1"/>
  </cols>
  <sheetData>
    <row r="1" spans="2:35" x14ac:dyDescent="0.2">
      <c r="C1" s="483" t="s">
        <v>453</v>
      </c>
      <c r="D1" s="483"/>
      <c r="E1" s="483"/>
      <c r="I1" t="s">
        <v>91</v>
      </c>
      <c r="N1" t="s">
        <v>349</v>
      </c>
      <c r="S1" t="s">
        <v>375</v>
      </c>
      <c r="X1" t="s">
        <v>353</v>
      </c>
      <c r="AC1" t="s">
        <v>454</v>
      </c>
      <c r="AH1" t="s">
        <v>94</v>
      </c>
    </row>
    <row r="2" spans="2:35" x14ac:dyDescent="0.2">
      <c r="C2" t="s">
        <v>455</v>
      </c>
      <c r="D2" t="s">
        <v>456</v>
      </c>
      <c r="E2" t="s">
        <v>377</v>
      </c>
      <c r="H2" t="s">
        <v>455</v>
      </c>
      <c r="I2" t="s">
        <v>456</v>
      </c>
      <c r="J2" t="s">
        <v>377</v>
      </c>
      <c r="M2" t="s">
        <v>455</v>
      </c>
      <c r="N2" t="s">
        <v>456</v>
      </c>
      <c r="O2" t="s">
        <v>377</v>
      </c>
      <c r="R2" t="s">
        <v>455</v>
      </c>
      <c r="S2" t="s">
        <v>456</v>
      </c>
      <c r="T2" t="s">
        <v>377</v>
      </c>
      <c r="W2" t="s">
        <v>455</v>
      </c>
      <c r="X2" t="s">
        <v>456</v>
      </c>
      <c r="Y2" t="s">
        <v>377</v>
      </c>
      <c r="AB2" t="s">
        <v>455</v>
      </c>
      <c r="AC2" t="s">
        <v>456</v>
      </c>
      <c r="AD2" t="s">
        <v>377</v>
      </c>
      <c r="AG2" t="s">
        <v>455</v>
      </c>
      <c r="AH2" t="s">
        <v>456</v>
      </c>
      <c r="AI2" t="s">
        <v>377</v>
      </c>
    </row>
    <row r="3" spans="2:35" x14ac:dyDescent="0.2">
      <c r="B3">
        <v>2013</v>
      </c>
      <c r="C3" s="48">
        <f t="shared" ref="C3:D10" si="0">H3+M3+R3+W3+AB3+AG3</f>
        <v>883531329.51662755</v>
      </c>
      <c r="D3" s="48" t="e">
        <f t="shared" ca="1" si="0"/>
        <v>#REF!</v>
      </c>
      <c r="E3" s="48">
        <f>J3+O3+T3+Y3+AD3+AI3</f>
        <v>58051.5</v>
      </c>
      <c r="G3">
        <f>B3</f>
        <v>2013</v>
      </c>
      <c r="H3" s="48">
        <f>'Normalized Annual Summary'!C9</f>
        <v>375861349.42745566</v>
      </c>
      <c r="I3" s="48">
        <f ca="1">'Normalized Annual Summary'!I9</f>
        <v>367270078.30465817</v>
      </c>
      <c r="J3" s="48">
        <f>'Customer Count'!C8</f>
        <v>42889.75</v>
      </c>
      <c r="L3">
        <f>G3</f>
        <v>2013</v>
      </c>
      <c r="M3" s="48">
        <f>'Normalized Annual Summary'!N9</f>
        <v>138106021.99227589</v>
      </c>
      <c r="N3" s="48">
        <f ca="1">'Normalized Annual Summary'!T9</f>
        <v>136786943.00252929</v>
      </c>
      <c r="O3" s="48">
        <f>'Customer Count'!G8</f>
        <v>4131.75</v>
      </c>
      <c r="Q3">
        <f>L3</f>
        <v>2013</v>
      </c>
      <c r="R3" s="48">
        <f>'Normalized Annual Summary'!Y9</f>
        <v>360554579.57290572</v>
      </c>
      <c r="S3" s="48">
        <f ca="1">'Normalized Annual Summary'!AE9</f>
        <v>349559599.23297721</v>
      </c>
      <c r="T3" s="48">
        <f>'Customer Count'!K8</f>
        <v>495.5</v>
      </c>
      <c r="V3">
        <f>Q3</f>
        <v>2013</v>
      </c>
      <c r="W3" s="48">
        <f>'Normalized Annual Summary'!AJ9</f>
        <v>7471085.0094876662</v>
      </c>
      <c r="X3" s="48" t="e">
        <f>'Normalized Annual Summary'!#REF!</f>
        <v>#REF!</v>
      </c>
      <c r="Y3" s="48">
        <f>'Customer Count'!O8</f>
        <v>9861.75</v>
      </c>
      <c r="AA3">
        <f>V3</f>
        <v>2013</v>
      </c>
      <c r="AB3" s="48">
        <f>'Normalized Annual Summary'!AP9</f>
        <v>403671.29981024703</v>
      </c>
      <c r="AC3" s="48" t="e">
        <f>'Normalized Annual Summary'!#REF!</f>
        <v>#REF!</v>
      </c>
      <c r="AD3" s="48">
        <f>'Customer Count'!S8</f>
        <v>380.75</v>
      </c>
      <c r="AF3">
        <f>AA3</f>
        <v>2013</v>
      </c>
      <c r="AG3" s="48">
        <f>'Normalized Annual Summary'!AV9</f>
        <v>1134622.2146923307</v>
      </c>
      <c r="AH3" s="48">
        <f>'Normalized Annual Summary'!AY9</f>
        <v>1134622.2146923307</v>
      </c>
      <c r="AI3" s="48">
        <f>'Customer Count'!W8</f>
        <v>292</v>
      </c>
    </row>
    <row r="4" spans="2:35" x14ac:dyDescent="0.2">
      <c r="B4">
        <v>2014</v>
      </c>
      <c r="C4" s="48">
        <f t="shared" si="0"/>
        <v>867602831.11000001</v>
      </c>
      <c r="D4" s="48" t="e">
        <f t="shared" ca="1" si="0"/>
        <v>#REF!</v>
      </c>
      <c r="E4" s="48">
        <f t="shared" ref="E4:E10" si="1">J4+O4+T4+Y4+AD4+AI4</f>
        <v>58256</v>
      </c>
      <c r="G4">
        <f t="shared" ref="G4:G10" si="2">B4</f>
        <v>2014</v>
      </c>
      <c r="H4" s="48">
        <f>'Normalized Annual Summary'!C10</f>
        <v>375135884.99000001</v>
      </c>
      <c r="I4" s="48">
        <f ca="1">'Normalized Annual Summary'!I10</f>
        <v>366465236.30704725</v>
      </c>
      <c r="J4" s="48">
        <f>'Customer Count'!C9</f>
        <v>43011.25</v>
      </c>
      <c r="L4">
        <f t="shared" ref="L4:L10" si="3">G4</f>
        <v>2014</v>
      </c>
      <c r="M4" s="48">
        <f>'Normalized Annual Summary'!N10</f>
        <v>135948289.22999999</v>
      </c>
      <c r="N4" s="48">
        <f ca="1">'Normalized Annual Summary'!T10</f>
        <v>137077012.72404474</v>
      </c>
      <c r="O4" s="48">
        <f>'Customer Count'!G9</f>
        <v>4167</v>
      </c>
      <c r="Q4">
        <f t="shared" ref="Q4:Q10" si="4">L4</f>
        <v>2014</v>
      </c>
      <c r="R4" s="48">
        <f>'Normalized Annual Summary'!Y10</f>
        <v>347530976.20000005</v>
      </c>
      <c r="S4" s="48">
        <f ca="1">'Normalized Annual Summary'!AE10</f>
        <v>346445903.5658412</v>
      </c>
      <c r="T4" s="48">
        <f>'Customer Count'!K9</f>
        <v>501.25</v>
      </c>
      <c r="V4">
        <f t="shared" ref="V4:V10" si="5">Q4</f>
        <v>2014</v>
      </c>
      <c r="W4" s="48">
        <f>'Normalized Annual Summary'!AJ10</f>
        <v>7481251.9100000011</v>
      </c>
      <c r="X4" s="48" t="e">
        <f>'Normalized Annual Summary'!#REF!</f>
        <v>#REF!</v>
      </c>
      <c r="Y4" s="48">
        <f>'Customer Count'!O9</f>
        <v>9916.75</v>
      </c>
      <c r="AA4">
        <f t="shared" ref="AA4:AA10" si="6">V4</f>
        <v>2014</v>
      </c>
      <c r="AB4" s="48">
        <f>'Normalized Annual Summary'!AP10</f>
        <v>372541.78</v>
      </c>
      <c r="AC4" s="48" t="e">
        <f>'Normalized Annual Summary'!#REF!</f>
        <v>#REF!</v>
      </c>
      <c r="AD4" s="48">
        <f>'Customer Count'!S9</f>
        <v>366.25</v>
      </c>
      <c r="AF4">
        <f t="shared" ref="AF4:AF10" si="7">AA4</f>
        <v>2014</v>
      </c>
      <c r="AG4" s="48">
        <f>'Normalized Annual Summary'!AV10</f>
        <v>1133887</v>
      </c>
      <c r="AH4" s="48">
        <f>'Normalized Annual Summary'!AY10</f>
        <v>1133887</v>
      </c>
      <c r="AI4" s="48">
        <f>'Customer Count'!W9</f>
        <v>293.5</v>
      </c>
    </row>
    <row r="5" spans="2:35" x14ac:dyDescent="0.2">
      <c r="B5">
        <v>2015</v>
      </c>
      <c r="C5" s="48">
        <f t="shared" si="0"/>
        <v>838412626.39900005</v>
      </c>
      <c r="D5" s="48" t="e">
        <f t="shared" ca="1" si="0"/>
        <v>#REF!</v>
      </c>
      <c r="E5" s="48">
        <f t="shared" si="1"/>
        <v>58431.250000000007</v>
      </c>
      <c r="G5">
        <f t="shared" si="2"/>
        <v>2015</v>
      </c>
      <c r="H5" s="48">
        <f>'Normalized Annual Summary'!C11</f>
        <v>381987925.02999997</v>
      </c>
      <c r="I5" s="48">
        <f ca="1">'Normalized Annual Summary'!I11</f>
        <v>387672048.10758847</v>
      </c>
      <c r="J5" s="48">
        <f>'Customer Count'!C10</f>
        <v>43072.833333333336</v>
      </c>
      <c r="L5">
        <f t="shared" si="3"/>
        <v>2015</v>
      </c>
      <c r="M5" s="48">
        <f>'Normalized Annual Summary'!N11</f>
        <v>128684916.41</v>
      </c>
      <c r="N5" s="48">
        <f ca="1">'Normalized Annual Summary'!T11</f>
        <v>127456775.08428411</v>
      </c>
      <c r="O5" s="48">
        <f>'Customer Count'!G10</f>
        <v>4214.416666666667</v>
      </c>
      <c r="Q5">
        <f t="shared" si="4"/>
        <v>2015</v>
      </c>
      <c r="R5" s="48">
        <f>'Normalized Annual Summary'!Y11</f>
        <v>319951981.80900002</v>
      </c>
      <c r="S5" s="48">
        <f ca="1">'Normalized Annual Summary'!AE11</f>
        <v>321324669.42809826</v>
      </c>
      <c r="T5" s="48">
        <f>'Customer Count'!K10</f>
        <v>481</v>
      </c>
      <c r="V5">
        <f t="shared" si="5"/>
        <v>2015</v>
      </c>
      <c r="W5" s="48">
        <f>'Normalized Annual Summary'!AJ11</f>
        <v>6391575.9499999993</v>
      </c>
      <c r="X5" s="48" t="e">
        <f>'Normalized Annual Summary'!#REF!</f>
        <v>#REF!</v>
      </c>
      <c r="Y5" s="48">
        <f>'Customer Count'!O10</f>
        <v>10029.583333333334</v>
      </c>
      <c r="AA5">
        <f t="shared" si="6"/>
        <v>2015</v>
      </c>
      <c r="AB5" s="48">
        <f>'Normalized Annual Summary'!AP11</f>
        <v>363324.2</v>
      </c>
      <c r="AC5" s="48" t="e">
        <f>'Normalized Annual Summary'!#REF!</f>
        <v>#REF!</v>
      </c>
      <c r="AD5" s="48">
        <f>'Customer Count'!S10</f>
        <v>354.08333333333331</v>
      </c>
      <c r="AF5">
        <f t="shared" si="7"/>
        <v>2015</v>
      </c>
      <c r="AG5" s="48">
        <f>'Normalized Annual Summary'!AV11</f>
        <v>1032903</v>
      </c>
      <c r="AH5" s="48">
        <f>'Normalized Annual Summary'!AY11</f>
        <v>1032903</v>
      </c>
      <c r="AI5" s="48">
        <f>'Customer Count'!W10</f>
        <v>279.33333333333331</v>
      </c>
    </row>
    <row r="6" spans="2:35" x14ac:dyDescent="0.2">
      <c r="B6">
        <v>2016</v>
      </c>
      <c r="C6" s="48">
        <f t="shared" si="0"/>
        <v>824697146.26200008</v>
      </c>
      <c r="D6" s="48" t="e">
        <f t="shared" ca="1" si="0"/>
        <v>#REF!</v>
      </c>
      <c r="E6" s="48">
        <f t="shared" si="1"/>
        <v>58559.583333333328</v>
      </c>
      <c r="G6">
        <f t="shared" si="2"/>
        <v>2016</v>
      </c>
      <c r="H6" s="48">
        <f>'Normalized Annual Summary'!C12</f>
        <v>374588272.57000005</v>
      </c>
      <c r="I6" s="48">
        <f ca="1">'Normalized Annual Summary'!I12</f>
        <v>385713084.6965127</v>
      </c>
      <c r="J6" s="48">
        <f>'Customer Count'!C11</f>
        <v>43112.5</v>
      </c>
      <c r="L6">
        <f t="shared" si="3"/>
        <v>2016</v>
      </c>
      <c r="M6" s="48">
        <f>'Normalized Annual Summary'!N12</f>
        <v>128128422.44000001</v>
      </c>
      <c r="N6" s="48">
        <f ca="1">'Normalized Annual Summary'!T12</f>
        <v>128810523.31262428</v>
      </c>
      <c r="O6" s="48">
        <f>'Customer Count'!G11</f>
        <v>4258.5</v>
      </c>
      <c r="Q6">
        <f t="shared" si="4"/>
        <v>2016</v>
      </c>
      <c r="R6" s="48">
        <f>'Normalized Annual Summary'!Y12</f>
        <v>317045880.71200007</v>
      </c>
      <c r="S6" s="48">
        <f ca="1">'Normalized Annual Summary'!AE12</f>
        <v>322731567.08694953</v>
      </c>
      <c r="T6" s="48">
        <f>'Customer Count'!K11</f>
        <v>476.5</v>
      </c>
      <c r="V6">
        <f t="shared" si="5"/>
        <v>2016</v>
      </c>
      <c r="W6" s="48">
        <f>'Normalized Annual Summary'!AJ12</f>
        <v>3586468.2300000004</v>
      </c>
      <c r="X6" s="48" t="e">
        <f>'Normalized Annual Summary'!#REF!</f>
        <v>#REF!</v>
      </c>
      <c r="Y6" s="48">
        <f>'Customer Count'!O11</f>
        <v>10091.916666666666</v>
      </c>
      <c r="AA6">
        <f t="shared" si="6"/>
        <v>2016</v>
      </c>
      <c r="AB6" s="48">
        <f>'Normalized Annual Summary'!AP12</f>
        <v>360262.31</v>
      </c>
      <c r="AC6" s="48" t="e">
        <f>'Normalized Annual Summary'!#REF!</f>
        <v>#REF!</v>
      </c>
      <c r="AD6" s="48">
        <f>'Customer Count'!S11</f>
        <v>352.16666666666669</v>
      </c>
      <c r="AF6">
        <f t="shared" si="7"/>
        <v>2016</v>
      </c>
      <c r="AG6" s="48">
        <f>'Normalized Annual Summary'!AV12</f>
        <v>987840</v>
      </c>
      <c r="AH6" s="48">
        <f>'Normalized Annual Summary'!AY12</f>
        <v>987840</v>
      </c>
      <c r="AI6" s="48">
        <f>'Customer Count'!W11</f>
        <v>268</v>
      </c>
    </row>
    <row r="7" spans="2:35" x14ac:dyDescent="0.2">
      <c r="B7">
        <v>2017</v>
      </c>
      <c r="C7" s="48">
        <f t="shared" si="0"/>
        <v>849711720.199</v>
      </c>
      <c r="D7" s="48" t="e">
        <f t="shared" ca="1" si="0"/>
        <v>#REF!</v>
      </c>
      <c r="E7" s="48">
        <f t="shared" si="1"/>
        <v>58656.416666666672</v>
      </c>
      <c r="G7">
        <f t="shared" si="2"/>
        <v>2017</v>
      </c>
      <c r="H7" s="48">
        <f>'Normalized Annual Summary'!C13</f>
        <v>380676140.48999995</v>
      </c>
      <c r="I7" s="48">
        <f ca="1">'Normalized Annual Summary'!I13</f>
        <v>379389533.48762441</v>
      </c>
      <c r="J7" s="48">
        <f>'Customer Count'!C12</f>
        <v>43131.25</v>
      </c>
      <c r="L7">
        <f t="shared" si="3"/>
        <v>2017</v>
      </c>
      <c r="M7" s="48">
        <f>'Normalized Annual Summary'!N13</f>
        <v>132582254.64</v>
      </c>
      <c r="N7" s="48">
        <f ca="1">'Normalized Annual Summary'!T13</f>
        <v>134272078.27401471</v>
      </c>
      <c r="O7" s="48">
        <f>'Customer Count'!G12</f>
        <v>4272.916666666667</v>
      </c>
      <c r="Q7">
        <f t="shared" si="4"/>
        <v>2017</v>
      </c>
      <c r="R7" s="48">
        <f>'Normalized Annual Summary'!Y13</f>
        <v>331557996.88900006</v>
      </c>
      <c r="S7" s="48">
        <f ca="1">'Normalized Annual Summary'!AE13</f>
        <v>328570663.31591117</v>
      </c>
      <c r="T7" s="48">
        <f>'Customer Count'!K12</f>
        <v>485.58333333333331</v>
      </c>
      <c r="V7">
        <f t="shared" si="5"/>
        <v>2017</v>
      </c>
      <c r="W7" s="48">
        <f>'Normalized Annual Summary'!AJ13</f>
        <v>3599100.4</v>
      </c>
      <c r="X7" s="48" t="e">
        <f>'Normalized Annual Summary'!#REF!</f>
        <v>#REF!</v>
      </c>
      <c r="Y7" s="48">
        <f>'Customer Count'!O12</f>
        <v>10154.833333333334</v>
      </c>
      <c r="AA7">
        <f t="shared" si="6"/>
        <v>2017</v>
      </c>
      <c r="AB7" s="48">
        <f>'Normalized Annual Summary'!AP13</f>
        <v>348723.78</v>
      </c>
      <c r="AC7" s="48" t="e">
        <f>'Normalized Annual Summary'!#REF!</f>
        <v>#REF!</v>
      </c>
      <c r="AD7" s="48">
        <f>'Customer Count'!S12</f>
        <v>350.5</v>
      </c>
      <c r="AF7">
        <f t="shared" si="7"/>
        <v>2017</v>
      </c>
      <c r="AG7" s="48">
        <f>'Normalized Annual Summary'!AV13</f>
        <v>947504</v>
      </c>
      <c r="AH7" s="48">
        <f>'Normalized Annual Summary'!AY13</f>
        <v>947504</v>
      </c>
      <c r="AI7" s="48">
        <f>'Customer Count'!W12</f>
        <v>261.33333333333331</v>
      </c>
    </row>
    <row r="8" spans="2:35" x14ac:dyDescent="0.2">
      <c r="B8">
        <v>2018</v>
      </c>
      <c r="C8" s="48">
        <f t="shared" si="0"/>
        <v>837996816.04100001</v>
      </c>
      <c r="D8" s="48" t="e">
        <f t="shared" ca="1" si="0"/>
        <v>#REF!</v>
      </c>
      <c r="E8" s="48">
        <f t="shared" si="1"/>
        <v>58856.583333333336</v>
      </c>
      <c r="G8">
        <f t="shared" si="2"/>
        <v>2018</v>
      </c>
      <c r="H8" s="48">
        <f>'Normalized Annual Summary'!C14</f>
        <v>372340611.97000003</v>
      </c>
      <c r="I8" s="48">
        <f ca="1">'Normalized Annual Summary'!I14-I13</f>
        <v>372724953.8369568</v>
      </c>
      <c r="J8" s="48">
        <f>'Customer Count'!C13</f>
        <v>43277.75</v>
      </c>
      <c r="L8">
        <f t="shared" si="3"/>
        <v>2018</v>
      </c>
      <c r="M8" s="48">
        <f>'Normalized Annual Summary'!N14</f>
        <v>136911221.69</v>
      </c>
      <c r="N8" s="48">
        <f ca="1">'Normalized Annual Summary'!T14-N13</f>
        <v>137950865.501084</v>
      </c>
      <c r="O8" s="48">
        <f>'Customer Count'!G13</f>
        <v>4325.666666666667</v>
      </c>
      <c r="Q8">
        <f t="shared" si="4"/>
        <v>2018</v>
      </c>
      <c r="R8" s="48">
        <f>'Normalized Annual Summary'!Y14</f>
        <v>323871927.91100001</v>
      </c>
      <c r="S8" s="48">
        <f ca="1">'Normalized Annual Summary'!AE14-S13</f>
        <v>330486855.58152127</v>
      </c>
      <c r="T8" s="48">
        <f>'Customer Count'!K13</f>
        <v>447.25</v>
      </c>
      <c r="V8">
        <f t="shared" si="5"/>
        <v>2018</v>
      </c>
      <c r="W8" s="48">
        <f>'Normalized Annual Summary'!AJ14</f>
        <v>3626510.8</v>
      </c>
      <c r="X8" s="48" t="e">
        <f>'Normalized Annual Summary'!#REF!</f>
        <v>#REF!</v>
      </c>
      <c r="Y8" s="48">
        <f>'Customer Count'!O13</f>
        <v>10197.5</v>
      </c>
      <c r="AA8">
        <f t="shared" si="6"/>
        <v>2018</v>
      </c>
      <c r="AB8" s="48">
        <f>'Normalized Annual Summary'!AP14</f>
        <v>324715.26</v>
      </c>
      <c r="AC8" s="48" t="e">
        <f>'Normalized Annual Summary'!#REF!</f>
        <v>#REF!</v>
      </c>
      <c r="AD8" s="48">
        <f>'Customer Count'!S13</f>
        <v>348.83333333333331</v>
      </c>
      <c r="AF8">
        <f t="shared" si="7"/>
        <v>2018</v>
      </c>
      <c r="AG8" s="48">
        <f>'Normalized Annual Summary'!AV14</f>
        <v>921828.41</v>
      </c>
      <c r="AH8" s="48">
        <f>'Normalized Annual Summary'!AY14</f>
        <v>921828.41</v>
      </c>
      <c r="AI8" s="48">
        <f>'Customer Count'!W13</f>
        <v>259.58333333333331</v>
      </c>
    </row>
    <row r="9" spans="2:35" x14ac:dyDescent="0.2">
      <c r="B9">
        <v>2019</v>
      </c>
      <c r="C9" s="48">
        <f t="shared" si="0"/>
        <v>0</v>
      </c>
      <c r="D9" s="48" t="e">
        <f ca="1">I9+N9+S9+X9+AC9+AH9</f>
        <v>#REF!</v>
      </c>
      <c r="E9" s="48">
        <f t="shared" si="1"/>
        <v>59023.583333333336</v>
      </c>
      <c r="G9">
        <f t="shared" si="2"/>
        <v>2019</v>
      </c>
      <c r="H9" s="48">
        <f>'Normalized Annual Summary'!C15</f>
        <v>0</v>
      </c>
      <c r="I9" s="48" t="e">
        <f ca="1">'Normalized Annual Summary'!I15-I14</f>
        <v>#REF!</v>
      </c>
      <c r="J9" s="48">
        <f>'Customer Count'!C14</f>
        <v>43407.333333333336</v>
      </c>
      <c r="L9">
        <f t="shared" si="3"/>
        <v>2019</v>
      </c>
      <c r="M9" s="48">
        <f>'Normalized Annual Summary'!N15</f>
        <v>0</v>
      </c>
      <c r="N9" s="48" t="e">
        <f ca="1">'Normalized Annual Summary'!T15-N14</f>
        <v>#REF!</v>
      </c>
      <c r="O9" s="48">
        <f>'Customer Count'!G14</f>
        <v>4331.5</v>
      </c>
      <c r="Q9">
        <f t="shared" si="4"/>
        <v>2019</v>
      </c>
      <c r="R9" s="48">
        <f>'Normalized Annual Summary'!Y15</f>
        <v>0</v>
      </c>
      <c r="S9" s="48" t="e">
        <f ca="1">'Normalized Annual Summary'!AE15-S14</f>
        <v>#REF!</v>
      </c>
      <c r="T9" s="48">
        <f>'Customer Count'!K14</f>
        <v>432</v>
      </c>
      <c r="V9">
        <f t="shared" si="5"/>
        <v>2019</v>
      </c>
      <c r="W9" s="48">
        <f>'Normalized Annual Summary'!AJ15</f>
        <v>0</v>
      </c>
      <c r="X9" s="48" t="e">
        <f>'Normalized Annual Summary'!#REF!</f>
        <v>#REF!</v>
      </c>
      <c r="Y9" s="48">
        <f>'Customer Count'!O14</f>
        <v>10252.916666666666</v>
      </c>
      <c r="AA9">
        <f t="shared" si="6"/>
        <v>2019</v>
      </c>
      <c r="AB9" s="48">
        <f>'Normalized Annual Summary'!AP15</f>
        <v>0</v>
      </c>
      <c r="AC9" s="48" t="e">
        <f>'Normalized Annual Summary'!#REF!</f>
        <v>#REF!</v>
      </c>
      <c r="AD9" s="48">
        <f>'Customer Count'!S14</f>
        <v>346</v>
      </c>
      <c r="AF9">
        <f t="shared" si="7"/>
        <v>2019</v>
      </c>
      <c r="AG9" s="48">
        <f>'Normalized Annual Summary'!AV15</f>
        <v>0</v>
      </c>
      <c r="AH9" s="48">
        <f ca="1">'Normalized Annual Summary'!AY15</f>
        <v>892259.62674432981</v>
      </c>
      <c r="AI9" s="48">
        <f>'Customer Count'!W14</f>
        <v>253.83333333333334</v>
      </c>
    </row>
    <row r="10" spans="2:35" x14ac:dyDescent="0.2">
      <c r="B10">
        <v>2020</v>
      </c>
      <c r="C10" s="48">
        <f t="shared" si="0"/>
        <v>0</v>
      </c>
      <c r="D10" s="48" t="e">
        <f t="shared" ca="1" si="0"/>
        <v>#REF!</v>
      </c>
      <c r="E10" s="48">
        <f t="shared" si="1"/>
        <v>59170.808018356554</v>
      </c>
      <c r="G10">
        <f t="shared" si="2"/>
        <v>2020</v>
      </c>
      <c r="H10" s="48">
        <f>'Normalized Annual Summary'!C16</f>
        <v>0</v>
      </c>
      <c r="I10" s="48" t="e">
        <f ca="1">'Normalized Annual Summary'!I16-I15</f>
        <v>#REF!</v>
      </c>
      <c r="J10" s="48">
        <f>'Customer Count'!C15</f>
        <v>43485.255520673287</v>
      </c>
      <c r="L10">
        <f t="shared" si="3"/>
        <v>2020</v>
      </c>
      <c r="M10" s="48">
        <f>'Normalized Annual Summary'!N16</f>
        <v>0</v>
      </c>
      <c r="N10" s="48" t="e">
        <f ca="1">'Normalized Annual Summary'!T16-N15</f>
        <v>#REF!</v>
      </c>
      <c r="O10" s="48">
        <f>'Customer Count'!G15</f>
        <v>4367.3821119341483</v>
      </c>
      <c r="Q10">
        <f t="shared" si="4"/>
        <v>2020</v>
      </c>
      <c r="R10" s="48">
        <f>'Normalized Annual Summary'!Y16</f>
        <v>0</v>
      </c>
      <c r="S10" s="48" t="e">
        <f ca="1">'Normalized Annual Summary'!AE16-S15</f>
        <v>#REF!</v>
      </c>
      <c r="T10" s="48">
        <f>'Customer Count'!K15</f>
        <v>425.05560782675974</v>
      </c>
      <c r="V10">
        <f t="shared" si="5"/>
        <v>2020</v>
      </c>
      <c r="W10" s="48">
        <f>'Normalized Annual Summary'!AJ16</f>
        <v>0</v>
      </c>
      <c r="X10" s="48" t="e">
        <f>'Normalized Annual Summary'!#REF!</f>
        <v>#REF!</v>
      </c>
      <c r="Y10" s="48">
        <f>'Customer Count'!O15</f>
        <v>10306.094344370955</v>
      </c>
      <c r="AA10">
        <f t="shared" si="6"/>
        <v>2020</v>
      </c>
      <c r="AB10" s="48">
        <f>'Normalized Annual Summary'!AP16</f>
        <v>0</v>
      </c>
      <c r="AC10" s="48" t="e">
        <f>'Normalized Annual Summary'!#REF!</f>
        <v>#REF!</v>
      </c>
      <c r="AD10" s="48">
        <f>'Customer Count'!S15</f>
        <v>339.92938105833389</v>
      </c>
      <c r="AF10">
        <f t="shared" si="7"/>
        <v>2020</v>
      </c>
      <c r="AG10" s="48">
        <f>'Normalized Annual Summary'!AV16</f>
        <v>0</v>
      </c>
      <c r="AH10" s="48">
        <f ca="1">'Normalized Annual Summary'!AY16</f>
        <v>856205.19446467783</v>
      </c>
      <c r="AI10" s="48">
        <f>'Customer Count'!W15</f>
        <v>247.09105249306646</v>
      </c>
    </row>
    <row r="13" spans="2:35" x14ac:dyDescent="0.2">
      <c r="G13">
        <v>2018</v>
      </c>
      <c r="I13" s="17"/>
      <c r="J13" s="17"/>
      <c r="K13" s="17"/>
      <c r="L13" s="17"/>
      <c r="M13" s="17"/>
      <c r="N13" s="17"/>
      <c r="O13" s="17"/>
      <c r="P13" s="17"/>
      <c r="Q13" s="17"/>
      <c r="R13" s="17"/>
      <c r="S13" s="17"/>
    </row>
    <row r="14" spans="2:35" x14ac:dyDescent="0.2">
      <c r="E14" t="s">
        <v>418</v>
      </c>
      <c r="G14">
        <v>2019</v>
      </c>
      <c r="I14" s="17" t="e">
        <f>#REF!+I13</f>
        <v>#REF!</v>
      </c>
      <c r="J14" s="17"/>
      <c r="K14" s="17"/>
      <c r="L14" s="17"/>
      <c r="M14" s="17"/>
      <c r="N14" s="17" t="e">
        <f>#REF!+N13</f>
        <v>#REF!</v>
      </c>
      <c r="O14" s="17"/>
      <c r="P14" s="17"/>
      <c r="Q14" s="17"/>
      <c r="R14" s="17"/>
      <c r="S14" s="17" t="e">
        <f>#REF!</f>
        <v>#REF!</v>
      </c>
    </row>
    <row r="15" spans="2:35" x14ac:dyDescent="0.2">
      <c r="E15" t="s">
        <v>457</v>
      </c>
      <c r="G15">
        <v>2020</v>
      </c>
      <c r="I15" s="17" t="e">
        <f>#REF!+I14</f>
        <v>#REF!</v>
      </c>
      <c r="J15" s="17"/>
      <c r="K15" s="17"/>
      <c r="L15" s="17"/>
      <c r="M15" s="17"/>
      <c r="N15" s="17" t="e">
        <f>#REF!+N14</f>
        <v>#REF!</v>
      </c>
      <c r="O15" s="17"/>
      <c r="P15" s="17"/>
      <c r="Q15" s="17"/>
      <c r="R15" s="17"/>
      <c r="S15" s="17" t="e">
        <f>#REF!+S14</f>
        <v>#REF!</v>
      </c>
    </row>
    <row r="18" spans="4:20" x14ac:dyDescent="0.2">
      <c r="J18">
        <v>2019</v>
      </c>
    </row>
    <row r="19" spans="4:20" x14ac:dyDescent="0.2">
      <c r="E19">
        <v>2018</v>
      </c>
      <c r="F19">
        <v>2019</v>
      </c>
      <c r="G19">
        <v>2020</v>
      </c>
      <c r="J19" t="s">
        <v>458</v>
      </c>
      <c r="K19" t="s">
        <v>459</v>
      </c>
    </row>
    <row r="20" spans="4:20" x14ac:dyDescent="0.2">
      <c r="D20" t="str">
        <f>I1</f>
        <v>Residential</v>
      </c>
      <c r="E20" s="78">
        <v>13753914</v>
      </c>
      <c r="F20" s="77">
        <f t="shared" ref="F20:F26" si="8">N20</f>
        <v>14017096.080000002</v>
      </c>
      <c r="G20" s="77">
        <v>16612607.960000001</v>
      </c>
      <c r="J20" s="76">
        <v>26.91</v>
      </c>
      <c r="L20" s="17">
        <f>J20*J9*12</f>
        <v>14017096.080000002</v>
      </c>
      <c r="M20" s="17"/>
      <c r="N20" s="18">
        <f>L20+M20</f>
        <v>14017096.080000002</v>
      </c>
    </row>
    <row r="21" spans="4:20" x14ac:dyDescent="0.2">
      <c r="D21" t="str">
        <f>N1</f>
        <v>GS &lt; 50</v>
      </c>
      <c r="E21" s="78">
        <v>3737892</v>
      </c>
      <c r="F21" s="77" t="e">
        <f t="shared" ca="1" si="8"/>
        <v>#REF!</v>
      </c>
      <c r="G21" s="77">
        <v>4397494.26</v>
      </c>
      <c r="J21">
        <v>22.42</v>
      </c>
      <c r="K21">
        <v>1.9300000000000001E-2</v>
      </c>
      <c r="L21" s="17">
        <f>J21*O10*12</f>
        <v>1175000.4833947634</v>
      </c>
      <c r="M21" s="17" t="e">
        <f ca="1">K21*N9</f>
        <v>#REF!</v>
      </c>
      <c r="N21" s="18" t="e">
        <f t="shared" ref="N21:N25" ca="1" si="9">L21+M21</f>
        <v>#REF!</v>
      </c>
    </row>
    <row r="22" spans="4:20" x14ac:dyDescent="0.2">
      <c r="D22" t="str">
        <f>S1</f>
        <v>GS &gt; 50</v>
      </c>
      <c r="E22" s="78">
        <v>4832725</v>
      </c>
      <c r="F22" s="77">
        <f t="shared" si="8"/>
        <v>4706406.0088063888</v>
      </c>
      <c r="G22" s="77">
        <v>5588161.9199999999</v>
      </c>
      <c r="J22">
        <v>171.02</v>
      </c>
      <c r="K22">
        <v>4.4433999999999996</v>
      </c>
      <c r="L22" s="17">
        <f>J22*T10*12</f>
        <v>872316.12060638936</v>
      </c>
      <c r="M22" s="17">
        <f>K22*N30</f>
        <v>3834089.8881999995</v>
      </c>
      <c r="N22" s="18">
        <f t="shared" si="9"/>
        <v>4706406.0088063888</v>
      </c>
    </row>
    <row r="23" spans="4:20" x14ac:dyDescent="0.2">
      <c r="D23" t="str">
        <f>X1</f>
        <v>Street Light</v>
      </c>
      <c r="E23" s="78">
        <v>716030</v>
      </c>
      <c r="F23" s="77">
        <f t="shared" si="8"/>
        <v>718033.90327969193</v>
      </c>
      <c r="G23" s="77">
        <v>712778.38</v>
      </c>
      <c r="J23">
        <v>5.58</v>
      </c>
      <c r="K23">
        <v>2.7376</v>
      </c>
      <c r="L23" s="17">
        <f>J23*Y10*12</f>
        <v>690096.07729907916</v>
      </c>
      <c r="M23" s="17">
        <f t="shared" ref="M23:M24" si="10">K23*N31</f>
        <v>27937.825980612794</v>
      </c>
      <c r="N23" s="18">
        <f t="shared" si="9"/>
        <v>718033.90327969193</v>
      </c>
    </row>
    <row r="24" spans="4:20" x14ac:dyDescent="0.2">
      <c r="D24" t="str">
        <f>AC1</f>
        <v>Stentinel Light</v>
      </c>
      <c r="E24" s="78">
        <v>32869</v>
      </c>
      <c r="F24" s="77">
        <f t="shared" si="8"/>
        <v>28197.172381923985</v>
      </c>
      <c r="G24" s="77">
        <v>41421.269999999997</v>
      </c>
      <c r="J24">
        <v>4.07</v>
      </c>
      <c r="K24">
        <v>13.0694</v>
      </c>
      <c r="L24" s="17">
        <f>J24*AD10*12</f>
        <v>16602.15097088903</v>
      </c>
      <c r="M24" s="17">
        <f t="shared" si="10"/>
        <v>11595.021411034953</v>
      </c>
      <c r="N24" s="18">
        <f t="shared" si="9"/>
        <v>28197.172381923985</v>
      </c>
    </row>
    <row r="25" spans="4:20" x14ac:dyDescent="0.2">
      <c r="D25" t="str">
        <f>AH1</f>
        <v>USL</v>
      </c>
      <c r="E25" s="78">
        <v>38273</v>
      </c>
      <c r="F25" s="77">
        <f t="shared" ca="1" si="8"/>
        <v>31638.210834152189</v>
      </c>
      <c r="G25" s="77">
        <v>43662.1</v>
      </c>
      <c r="J25">
        <v>7.33</v>
      </c>
      <c r="K25">
        <v>1.11E-2</v>
      </c>
      <c r="L25" s="17">
        <f>J25*AI10*12</f>
        <v>21734.128977290125</v>
      </c>
      <c r="M25" s="17">
        <f ca="1">K25*AH9</f>
        <v>9904.0818568620616</v>
      </c>
      <c r="N25" s="18">
        <f t="shared" ca="1" si="9"/>
        <v>31638.210834152189</v>
      </c>
    </row>
    <row r="26" spans="4:20" x14ac:dyDescent="0.2">
      <c r="E26" s="78">
        <v>23111704</v>
      </c>
      <c r="F26" s="77" t="e">
        <f t="shared" ca="1" si="8"/>
        <v>#REF!</v>
      </c>
      <c r="G26" s="77">
        <f>SUM(G20:G25)</f>
        <v>27396125.890000001</v>
      </c>
      <c r="N26" s="18" t="e">
        <f ca="1">SUM(N20:N25)</f>
        <v>#REF!</v>
      </c>
    </row>
    <row r="29" spans="4:20" x14ac:dyDescent="0.2">
      <c r="D29" t="str">
        <f>D20</f>
        <v>Residential</v>
      </c>
      <c r="E29" s="79">
        <f>F20-E20</f>
        <v>263182.08000000194</v>
      </c>
      <c r="F29" s="30">
        <f>E29/E20</f>
        <v>1.9135068025000153E-2</v>
      </c>
      <c r="R29" s="17"/>
      <c r="T29" s="18"/>
    </row>
    <row r="30" spans="4:20" x14ac:dyDescent="0.2">
      <c r="D30" t="str">
        <f t="shared" ref="D30:D34" si="11">D21</f>
        <v>GS &lt; 50</v>
      </c>
      <c r="E30" s="79" t="e">
        <f t="shared" ref="E30:E35" ca="1" si="12">F21-E21</f>
        <v>#REF!</v>
      </c>
      <c r="F30" s="30" t="e">
        <f t="shared" ref="F30:F35" ca="1" si="13">E30/E21</f>
        <v>#REF!</v>
      </c>
      <c r="M30" t="str">
        <f>'kW Forecast'!C2</f>
        <v>GS &gt; 50</v>
      </c>
      <c r="N30" s="48">
        <v>862873</v>
      </c>
      <c r="R30" s="17"/>
      <c r="T30" s="18"/>
    </row>
    <row r="31" spans="4:20" x14ac:dyDescent="0.2">
      <c r="D31" t="str">
        <f t="shared" si="11"/>
        <v>GS &gt; 50</v>
      </c>
      <c r="E31" s="79">
        <f t="shared" si="12"/>
        <v>-126318.99119361117</v>
      </c>
      <c r="F31" s="30">
        <f t="shared" si="13"/>
        <v>-2.6138253509895799E-2</v>
      </c>
      <c r="M31" t="str">
        <f>'kW Forecast'!K2</f>
        <v>Street Lights</v>
      </c>
      <c r="N31" s="21">
        <f>'kW Forecast'!L19</f>
        <v>10205.225738096433</v>
      </c>
      <c r="R31" s="17"/>
    </row>
    <row r="32" spans="4:20" x14ac:dyDescent="0.2">
      <c r="D32" t="str">
        <f t="shared" si="11"/>
        <v>Street Light</v>
      </c>
      <c r="E32" s="79">
        <f t="shared" si="12"/>
        <v>2003.9032796919346</v>
      </c>
      <c r="F32" s="30">
        <f t="shared" si="13"/>
        <v>2.7986303362874942E-3</v>
      </c>
      <c r="M32" t="str">
        <f>'kW Forecast'!Q2</f>
        <v>Sentinel</v>
      </c>
      <c r="N32" s="21">
        <f>'kW Forecast'!R19</f>
        <v>887.18850222924948</v>
      </c>
    </row>
    <row r="33" spans="4:6" x14ac:dyDescent="0.2">
      <c r="D33" t="str">
        <f t="shared" si="11"/>
        <v>Stentinel Light</v>
      </c>
      <c r="E33" s="79">
        <f t="shared" si="12"/>
        <v>-4671.8276180760149</v>
      </c>
      <c r="F33" s="30">
        <f t="shared" si="13"/>
        <v>-0.14213476583029647</v>
      </c>
    </row>
    <row r="34" spans="4:6" x14ac:dyDescent="0.2">
      <c r="D34" t="str">
        <f t="shared" si="11"/>
        <v>USL</v>
      </c>
      <c r="E34" s="79">
        <f t="shared" ca="1" si="12"/>
        <v>-6634.7891658478111</v>
      </c>
      <c r="F34" s="30">
        <f t="shared" ca="1" si="13"/>
        <v>-0.17335430109601577</v>
      </c>
    </row>
    <row r="35" spans="4:6" x14ac:dyDescent="0.2">
      <c r="D35" t="s">
        <v>97</v>
      </c>
      <c r="E35" s="79" t="e">
        <f t="shared" ca="1" si="12"/>
        <v>#REF!</v>
      </c>
      <c r="F35" s="30" t="e">
        <f t="shared" ca="1" si="13"/>
        <v>#REF!</v>
      </c>
    </row>
    <row r="37" spans="4:6" x14ac:dyDescent="0.2">
      <c r="D37" t="str">
        <f>D29</f>
        <v>Residential</v>
      </c>
      <c r="E37" s="79">
        <f>G20-F20</f>
        <v>2595511.879999999</v>
      </c>
      <c r="F37" s="30">
        <f>E37/F20</f>
        <v>0.18516758857801868</v>
      </c>
    </row>
    <row r="38" spans="4:6" x14ac:dyDescent="0.2">
      <c r="D38" t="str">
        <f t="shared" ref="D38:D43" si="14">D30</f>
        <v>GS &lt; 50</v>
      </c>
      <c r="E38" s="79" t="e">
        <f t="shared" ref="E38:E43" ca="1" si="15">G21-F21</f>
        <v>#REF!</v>
      </c>
      <c r="F38" s="30" t="e">
        <f t="shared" ref="F38:F43" ca="1" si="16">E38/F21</f>
        <v>#REF!</v>
      </c>
    </row>
    <row r="39" spans="4:6" x14ac:dyDescent="0.2">
      <c r="D39" t="str">
        <f t="shared" si="14"/>
        <v>GS &gt; 50</v>
      </c>
      <c r="E39" s="79">
        <f t="shared" si="15"/>
        <v>881755.9111936111</v>
      </c>
      <c r="F39" s="30">
        <f t="shared" si="16"/>
        <v>0.18735228315273142</v>
      </c>
    </row>
    <row r="40" spans="4:6" x14ac:dyDescent="0.2">
      <c r="D40" t="str">
        <f t="shared" si="14"/>
        <v>Street Light</v>
      </c>
      <c r="E40" s="79">
        <f t="shared" si="15"/>
        <v>-5255.5232796919299</v>
      </c>
      <c r="F40" s="30">
        <f t="shared" si="16"/>
        <v>-7.3193246944006397E-3</v>
      </c>
    </row>
    <row r="41" spans="4:6" x14ac:dyDescent="0.2">
      <c r="D41" t="str">
        <f t="shared" si="14"/>
        <v>Stentinel Light</v>
      </c>
      <c r="E41" s="79">
        <f t="shared" si="15"/>
        <v>13224.097618076012</v>
      </c>
      <c r="F41" s="30">
        <f t="shared" si="16"/>
        <v>0.46898665720657229</v>
      </c>
    </row>
    <row r="42" spans="4:6" x14ac:dyDescent="0.2">
      <c r="D42" t="str">
        <f t="shared" si="14"/>
        <v>USL</v>
      </c>
      <c r="E42" s="79">
        <f t="shared" ca="1" si="15"/>
        <v>12023.88916584781</v>
      </c>
      <c r="F42" s="30">
        <f t="shared" ca="1" si="16"/>
        <v>0.38004327200666166</v>
      </c>
    </row>
    <row r="43" spans="4:6" x14ac:dyDescent="0.2">
      <c r="D43" t="str">
        <f t="shared" si="14"/>
        <v>Total</v>
      </c>
      <c r="E43" s="79" t="e">
        <f t="shared" ca="1" si="15"/>
        <v>#REF!</v>
      </c>
      <c r="F43" s="30" t="e">
        <f t="shared" ca="1" si="16"/>
        <v>#REF!</v>
      </c>
    </row>
    <row r="44" spans="4:6" x14ac:dyDescent="0.2">
      <c r="E44" s="79"/>
      <c r="F44" s="30"/>
    </row>
  </sheetData>
  <mergeCells count="1">
    <mergeCell ref="C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C702-6EC1-4D7B-8D49-DBFBBB0B0AD7}">
  <dimension ref="A1:G17"/>
  <sheetViews>
    <sheetView workbookViewId="0">
      <selection activeCell="M8" sqref="M8"/>
    </sheetView>
  </sheetViews>
  <sheetFormatPr defaultRowHeight="12.75" x14ac:dyDescent="0.2"/>
  <cols>
    <col min="1" max="1" width="19.1640625" bestFit="1" customWidth="1"/>
    <col min="2" max="2" width="14.33203125" bestFit="1" customWidth="1"/>
    <col min="3" max="7" width="21.6640625" customWidth="1"/>
  </cols>
  <sheetData>
    <row r="1" spans="1:7" ht="30.75" thickBot="1" x14ac:dyDescent="0.25">
      <c r="A1" s="83" t="s">
        <v>421</v>
      </c>
      <c r="B1" s="84" t="s">
        <v>460</v>
      </c>
      <c r="C1" s="84" t="s">
        <v>461</v>
      </c>
      <c r="D1" s="84" t="s">
        <v>462</v>
      </c>
      <c r="E1" s="84" t="s">
        <v>463</v>
      </c>
      <c r="F1" s="84" t="s">
        <v>464</v>
      </c>
      <c r="G1" s="84" t="s">
        <v>465</v>
      </c>
    </row>
    <row r="2" spans="1:7" ht="20.25" customHeight="1" thickBot="1" x14ac:dyDescent="0.25">
      <c r="A2" s="85"/>
      <c r="B2" s="86"/>
      <c r="C2" s="87" t="s">
        <v>261</v>
      </c>
      <c r="D2" s="87" t="s">
        <v>263</v>
      </c>
      <c r="E2" s="87" t="s">
        <v>366</v>
      </c>
      <c r="F2" s="87" t="s">
        <v>266</v>
      </c>
      <c r="G2" s="87" t="s">
        <v>466</v>
      </c>
    </row>
    <row r="3" spans="1:7" ht="15" thickBot="1" x14ac:dyDescent="0.25">
      <c r="A3" s="88" t="s">
        <v>91</v>
      </c>
      <c r="B3" s="89" t="s">
        <v>127</v>
      </c>
      <c r="C3" s="90">
        <f t="shared" ref="C3:D8" si="0">D12</f>
        <v>110537.26978791021</v>
      </c>
      <c r="D3" s="90">
        <f t="shared" si="0"/>
        <v>6219.563713399747</v>
      </c>
      <c r="E3" s="90">
        <f>C3+D3</f>
        <v>116756.83350130996</v>
      </c>
      <c r="F3" s="91">
        <f ca="1">'Summary Tables'!E13</f>
        <v>369301993.48558748</v>
      </c>
      <c r="G3" s="95">
        <f ca="1">E3/F3</f>
        <v>3.1615543799079591E-4</v>
      </c>
    </row>
    <row r="4" spans="1:7" ht="15" thickBot="1" x14ac:dyDescent="0.25">
      <c r="A4" s="88" t="s">
        <v>467</v>
      </c>
      <c r="B4" s="89" t="s">
        <v>127</v>
      </c>
      <c r="C4" s="90">
        <f t="shared" si="0"/>
        <v>81253.593016614846</v>
      </c>
      <c r="D4" s="90">
        <f t="shared" si="0"/>
        <v>4571.8688337348658</v>
      </c>
      <c r="E4" s="90">
        <f t="shared" ref="E4:E8" si="1">C4+D4</f>
        <v>85825.461850349719</v>
      </c>
      <c r="F4" s="91">
        <f ca="1">'Summary Tables'!E14</f>
        <v>139426048.39232633</v>
      </c>
      <c r="G4" s="95">
        <f t="shared" ref="G4:G8" ca="1" si="2">E4/F4</f>
        <v>6.155626071309738E-4</v>
      </c>
    </row>
    <row r="5" spans="1:7" ht="15" thickBot="1" x14ac:dyDescent="0.25">
      <c r="A5" s="88" t="s">
        <v>375</v>
      </c>
      <c r="B5" s="89" t="s">
        <v>130</v>
      </c>
      <c r="C5" s="90">
        <f t="shared" si="0"/>
        <v>139259.18772836562</v>
      </c>
      <c r="D5" s="90">
        <f t="shared" si="0"/>
        <v>7835.6502961827046</v>
      </c>
      <c r="E5" s="90">
        <f t="shared" si="1"/>
        <v>147094.83802454831</v>
      </c>
      <c r="F5" s="91">
        <f ca="1">'Summary Tables'!E30</f>
        <v>792308.79858569568</v>
      </c>
      <c r="G5" s="95">
        <f t="shared" ca="1" si="2"/>
        <v>0.1856534198372134</v>
      </c>
    </row>
    <row r="6" spans="1:7" ht="15" thickBot="1" x14ac:dyDescent="0.25">
      <c r="A6" s="88" t="s">
        <v>94</v>
      </c>
      <c r="B6" s="89" t="s">
        <v>127</v>
      </c>
      <c r="C6" s="90">
        <f t="shared" si="0"/>
        <v>0</v>
      </c>
      <c r="D6" s="90">
        <f t="shared" si="0"/>
        <v>0</v>
      </c>
      <c r="E6" s="90">
        <f t="shared" si="1"/>
        <v>0</v>
      </c>
      <c r="F6" s="91">
        <f ca="1">'Summary Tables'!E18</f>
        <v>856205.19446467783</v>
      </c>
      <c r="G6" s="95">
        <f t="shared" ca="1" si="2"/>
        <v>0</v>
      </c>
    </row>
    <row r="7" spans="1:7" ht="15" thickBot="1" x14ac:dyDescent="0.25">
      <c r="A7" s="88" t="s">
        <v>95</v>
      </c>
      <c r="B7" s="89" t="s">
        <v>130</v>
      </c>
      <c r="C7" s="90">
        <f t="shared" si="0"/>
        <v>0</v>
      </c>
      <c r="D7" s="90">
        <f t="shared" si="0"/>
        <v>0</v>
      </c>
      <c r="E7" s="90">
        <f t="shared" si="1"/>
        <v>0</v>
      </c>
      <c r="F7" s="91">
        <f ca="1">'Summary Tables'!E32</f>
        <v>871.6226544649104</v>
      </c>
      <c r="G7" s="95">
        <f t="shared" ca="1" si="2"/>
        <v>0</v>
      </c>
    </row>
    <row r="8" spans="1:7" ht="15" thickBot="1" x14ac:dyDescent="0.25">
      <c r="A8" s="88" t="s">
        <v>96</v>
      </c>
      <c r="B8" s="89" t="s">
        <v>130</v>
      </c>
      <c r="C8" s="90">
        <f t="shared" si="0"/>
        <v>209.93596420364406</v>
      </c>
      <c r="D8" s="90">
        <f t="shared" si="0"/>
        <v>11.812396919191709</v>
      </c>
      <c r="E8" s="90">
        <f t="shared" si="1"/>
        <v>221.74836112283577</v>
      </c>
      <c r="F8" s="91">
        <f ca="1">'Summary Tables'!E31</f>
        <v>10258.156062495182</v>
      </c>
      <c r="G8" s="95">
        <f t="shared" ca="1" si="2"/>
        <v>2.1616785684667968E-2</v>
      </c>
    </row>
    <row r="9" spans="1:7" ht="15.75" thickBot="1" x14ac:dyDescent="0.25">
      <c r="A9" s="92" t="s">
        <v>97</v>
      </c>
      <c r="B9" s="89"/>
      <c r="C9" s="93">
        <f>SUM(C3:C8)</f>
        <v>331259.98649709439</v>
      </c>
      <c r="D9" s="93">
        <f t="shared" ref="D9:E9" si="3">SUM(D3:D8)</f>
        <v>18638.895240236507</v>
      </c>
      <c r="E9" s="93">
        <f t="shared" si="3"/>
        <v>349898.88173733087</v>
      </c>
      <c r="F9" s="94"/>
      <c r="G9" s="94"/>
    </row>
    <row r="11" spans="1:7" ht="14.25" x14ac:dyDescent="0.2">
      <c r="B11" s="96" t="s">
        <v>355</v>
      </c>
      <c r="C11" t="s">
        <v>468</v>
      </c>
      <c r="D11" t="s">
        <v>461</v>
      </c>
      <c r="E11" t="s">
        <v>469</v>
      </c>
      <c r="F11" t="s">
        <v>97</v>
      </c>
      <c r="G11" t="s">
        <v>470</v>
      </c>
    </row>
    <row r="12" spans="1:7" x14ac:dyDescent="0.2">
      <c r="A12" t="s">
        <v>91</v>
      </c>
      <c r="B12">
        <v>153121.3233879102</v>
      </c>
      <c r="C12">
        <v>-42584.053599999999</v>
      </c>
      <c r="D12">
        <f>B12+C12</f>
        <v>110537.26978791021</v>
      </c>
      <c r="E12">
        <v>6219.563713399747</v>
      </c>
      <c r="F12">
        <v>116756.83350130996</v>
      </c>
      <c r="G12">
        <f t="shared" ref="G12:G17" si="4">D12+E12-F12</f>
        <v>0</v>
      </c>
    </row>
    <row r="13" spans="1:7" x14ac:dyDescent="0.2">
      <c r="A13" t="s">
        <v>467</v>
      </c>
      <c r="B13">
        <v>119713.54321661484</v>
      </c>
      <c r="C13">
        <v>-38459.950199999999</v>
      </c>
      <c r="D13">
        <f>B13+C13</f>
        <v>81253.593016614846</v>
      </c>
      <c r="E13">
        <v>4571.8688337348658</v>
      </c>
      <c r="F13">
        <v>85825.461850349719</v>
      </c>
      <c r="G13">
        <f t="shared" si="4"/>
        <v>0</v>
      </c>
    </row>
    <row r="14" spans="1:7" x14ac:dyDescent="0.2">
      <c r="A14" t="s">
        <v>375</v>
      </c>
      <c r="B14">
        <v>149698.10852836561</v>
      </c>
      <c r="C14">
        <v>-10438.9208</v>
      </c>
      <c r="D14">
        <f>B14+C14</f>
        <v>139259.18772836562</v>
      </c>
      <c r="E14">
        <v>7835.6502961827046</v>
      </c>
      <c r="F14">
        <v>147094.83802454831</v>
      </c>
      <c r="G14">
        <f t="shared" si="4"/>
        <v>0</v>
      </c>
    </row>
    <row r="15" spans="1:7" x14ac:dyDescent="0.2">
      <c r="A15" t="s">
        <v>94</v>
      </c>
      <c r="B15">
        <v>0</v>
      </c>
      <c r="C15">
        <v>0</v>
      </c>
      <c r="D15">
        <f t="shared" ref="D15" si="5">B15+C15</f>
        <v>0</v>
      </c>
      <c r="E15">
        <v>0</v>
      </c>
      <c r="F15">
        <v>0</v>
      </c>
      <c r="G15">
        <f t="shared" si="4"/>
        <v>0</v>
      </c>
    </row>
    <row r="16" spans="1:7" x14ac:dyDescent="0.2">
      <c r="A16" t="s">
        <v>95</v>
      </c>
      <c r="B16">
        <v>0</v>
      </c>
      <c r="C16">
        <v>0</v>
      </c>
      <c r="D16">
        <f>B16+C16</f>
        <v>0</v>
      </c>
      <c r="E16">
        <v>0</v>
      </c>
      <c r="F16">
        <v>0</v>
      </c>
      <c r="G16">
        <f t="shared" si="4"/>
        <v>0</v>
      </c>
    </row>
    <row r="17" spans="1:7" x14ac:dyDescent="0.2">
      <c r="A17" t="s">
        <v>96</v>
      </c>
      <c r="B17">
        <v>340.81006420364406</v>
      </c>
      <c r="C17">
        <v>-130.8741</v>
      </c>
      <c r="D17">
        <f>B17+C17</f>
        <v>209.93596420364406</v>
      </c>
      <c r="E17">
        <v>11.812396919191709</v>
      </c>
      <c r="F17">
        <v>221.74836112283577</v>
      </c>
      <c r="G17">
        <f t="shared" si="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2CA5-F989-47A6-8B2B-686E9A801F4D}">
  <sheetPr codeName="Sheet2"/>
  <dimension ref="A1:V146"/>
  <sheetViews>
    <sheetView topLeftCell="H1" workbookViewId="0">
      <selection activeCell="L7" sqref="L7"/>
    </sheetView>
  </sheetViews>
  <sheetFormatPr defaultRowHeight="12.75" x14ac:dyDescent="0.2"/>
  <cols>
    <col min="3" max="3" width="15" style="115" bestFit="1" customWidth="1"/>
    <col min="4" max="4" width="9.5" style="115" bestFit="1" customWidth="1"/>
    <col min="5" max="5" width="14.1640625" style="115" bestFit="1" customWidth="1"/>
    <col min="6" max="6" width="9.5" style="115" bestFit="1" customWidth="1"/>
    <col min="7" max="7" width="10.83203125" style="115" customWidth="1"/>
    <col min="8" max="8" width="11.1640625" style="115" bestFit="1" customWidth="1"/>
    <col min="9" max="9" width="12.1640625" bestFit="1" customWidth="1"/>
    <col min="10" max="13" width="12.1640625" customWidth="1"/>
    <col min="16" max="16" width="14.5" customWidth="1"/>
    <col min="17" max="19" width="13.33203125" bestFit="1" customWidth="1"/>
    <col min="20" max="20" width="13.1640625" hidden="1" customWidth="1"/>
    <col min="21" max="21" width="13.33203125" bestFit="1" customWidth="1"/>
  </cols>
  <sheetData>
    <row r="1" spans="1:22" x14ac:dyDescent="0.2">
      <c r="A1" t="s">
        <v>0</v>
      </c>
      <c r="C1" s="115" t="s">
        <v>39</v>
      </c>
      <c r="D1" s="115" t="s">
        <v>40</v>
      </c>
      <c r="E1" s="115" t="s">
        <v>41</v>
      </c>
      <c r="F1" s="115" t="s">
        <v>42</v>
      </c>
      <c r="G1" s="115" t="s">
        <v>43</v>
      </c>
      <c r="H1" s="115" t="s">
        <v>44</v>
      </c>
      <c r="I1" s="115" t="s">
        <v>45</v>
      </c>
      <c r="J1" s="115" t="s">
        <v>46</v>
      </c>
      <c r="K1" s="115"/>
      <c r="L1" s="115"/>
      <c r="M1" s="115"/>
      <c r="N1" s="16"/>
      <c r="O1" s="426"/>
      <c r="P1" s="426" t="s">
        <v>472</v>
      </c>
      <c r="Q1" s="426"/>
      <c r="R1" s="16"/>
      <c r="S1" s="16"/>
      <c r="T1" s="16"/>
      <c r="U1" s="16"/>
      <c r="V1" s="16"/>
    </row>
    <row r="2" spans="1:22" x14ac:dyDescent="0.2">
      <c r="A2" s="206">
        <v>41640</v>
      </c>
      <c r="B2">
        <f>YEAR(A2)</f>
        <v>2014</v>
      </c>
      <c r="C2" s="115">
        <v>6812.5</v>
      </c>
      <c r="D2" s="115">
        <v>6770.4</v>
      </c>
      <c r="E2" s="115">
        <v>84.3</v>
      </c>
      <c r="F2" s="115">
        <v>83.9</v>
      </c>
      <c r="G2" s="207">
        <v>708787.6</v>
      </c>
      <c r="H2" s="115">
        <v>8082.4</v>
      </c>
      <c r="I2" s="207">
        <v>699057</v>
      </c>
      <c r="J2" s="207">
        <v>8564</v>
      </c>
      <c r="K2" s="207"/>
      <c r="L2" s="207"/>
      <c r="M2" s="207"/>
      <c r="N2" s="16"/>
      <c r="O2" s="16"/>
      <c r="P2" s="16"/>
      <c r="Q2" s="16"/>
      <c r="R2" s="16"/>
      <c r="S2" s="16"/>
      <c r="T2" s="16"/>
      <c r="U2" s="16"/>
      <c r="V2" s="16"/>
    </row>
    <row r="3" spans="1:22" x14ac:dyDescent="0.2">
      <c r="A3" s="206">
        <v>41671</v>
      </c>
      <c r="B3">
        <f>YEAR(A3)</f>
        <v>2014</v>
      </c>
      <c r="C3" s="115">
        <v>6810.3</v>
      </c>
      <c r="D3" s="115">
        <v>6732.3</v>
      </c>
      <c r="E3" s="115">
        <v>83.9</v>
      </c>
      <c r="F3" s="115">
        <v>82.7</v>
      </c>
      <c r="G3" s="207">
        <v>708787.6</v>
      </c>
      <c r="H3" s="115">
        <v>8082.4</v>
      </c>
      <c r="I3" s="207">
        <v>699057</v>
      </c>
      <c r="J3" s="207">
        <v>8564</v>
      </c>
      <c r="K3" s="207"/>
      <c r="L3" s="207"/>
      <c r="M3" s="207"/>
      <c r="N3" s="16"/>
      <c r="O3" s="16"/>
      <c r="P3" s="73" t="s">
        <v>101</v>
      </c>
      <c r="Q3" s="120" t="s">
        <v>102</v>
      </c>
      <c r="R3" s="120" t="s">
        <v>103</v>
      </c>
      <c r="S3" s="120" t="s">
        <v>104</v>
      </c>
      <c r="T3" s="16"/>
      <c r="U3" s="122" t="s">
        <v>105</v>
      </c>
      <c r="V3" s="16"/>
    </row>
    <row r="4" spans="1:22" x14ac:dyDescent="0.2">
      <c r="A4" s="206">
        <v>41699</v>
      </c>
      <c r="B4">
        <f>YEAR(A4)</f>
        <v>2014</v>
      </c>
      <c r="C4" s="115">
        <v>6810.9</v>
      </c>
      <c r="D4" s="115">
        <v>6704.5</v>
      </c>
      <c r="E4" s="115">
        <v>83.4</v>
      </c>
      <c r="F4" s="115">
        <v>81.7</v>
      </c>
      <c r="G4" s="207">
        <v>708787.6</v>
      </c>
      <c r="H4" s="115">
        <v>8082.4</v>
      </c>
      <c r="I4" s="207">
        <v>699057</v>
      </c>
      <c r="J4" s="207">
        <v>8564</v>
      </c>
      <c r="K4" s="207"/>
      <c r="L4" s="207"/>
      <c r="M4" s="207"/>
      <c r="N4" s="16"/>
      <c r="O4" s="16"/>
      <c r="P4" s="423">
        <v>45642</v>
      </c>
      <c r="Q4" s="423">
        <v>45674</v>
      </c>
      <c r="R4" s="423">
        <v>45638</v>
      </c>
      <c r="S4" s="423">
        <v>45638</v>
      </c>
      <c r="T4" s="118"/>
      <c r="U4" s="208"/>
      <c r="V4" s="16"/>
    </row>
    <row r="5" spans="1:22" x14ac:dyDescent="0.2">
      <c r="A5" s="206">
        <v>41730</v>
      </c>
      <c r="B5">
        <f>YEAR(A5)</f>
        <v>2014</v>
      </c>
      <c r="C5" s="115">
        <v>6819.5</v>
      </c>
      <c r="D5" s="115">
        <v>6732.1</v>
      </c>
      <c r="E5" s="115">
        <v>82.7</v>
      </c>
      <c r="F5" s="115">
        <v>81.5</v>
      </c>
      <c r="G5" s="207">
        <v>708787.6</v>
      </c>
      <c r="H5" s="115">
        <v>8082.4</v>
      </c>
      <c r="I5" s="207">
        <v>705966</v>
      </c>
      <c r="J5" s="207">
        <v>8153</v>
      </c>
      <c r="K5" s="207"/>
      <c r="L5" s="207"/>
      <c r="M5" s="207"/>
      <c r="N5" s="16"/>
      <c r="O5" s="16">
        <v>2023</v>
      </c>
      <c r="P5" s="121"/>
      <c r="Q5" s="424">
        <v>1.7000000000000001E-2</v>
      </c>
      <c r="R5" s="424">
        <v>1.7000000000000001E-2</v>
      </c>
      <c r="S5" s="424">
        <v>1.7000000000000001E-2</v>
      </c>
      <c r="T5" s="121"/>
      <c r="U5" s="209">
        <f>AVERAGE(P5:S5)</f>
        <v>1.7000000000000001E-2</v>
      </c>
      <c r="V5" s="16"/>
    </row>
    <row r="6" spans="1:22" x14ac:dyDescent="0.2">
      <c r="A6" s="206">
        <v>41760</v>
      </c>
      <c r="B6">
        <f>YEAR(A6)</f>
        <v>2014</v>
      </c>
      <c r="C6" s="115">
        <v>6821.5</v>
      </c>
      <c r="D6" s="115">
        <v>6790.3</v>
      </c>
      <c r="E6" s="115">
        <v>82.3</v>
      </c>
      <c r="F6" s="115">
        <v>82</v>
      </c>
      <c r="G6" s="207">
        <v>708787.6</v>
      </c>
      <c r="H6" s="115">
        <v>8082.4</v>
      </c>
      <c r="I6" s="207">
        <v>705966</v>
      </c>
      <c r="J6" s="207">
        <v>8153</v>
      </c>
      <c r="K6" s="207"/>
      <c r="L6" s="207"/>
      <c r="M6" s="207"/>
      <c r="N6" s="16" t="s">
        <v>43</v>
      </c>
      <c r="O6" s="122">
        <v>2024</v>
      </c>
      <c r="P6" s="424">
        <v>1.2999999999999999E-2</v>
      </c>
      <c r="Q6" s="424">
        <v>1.4E-2</v>
      </c>
      <c r="R6" s="424">
        <v>1.2E-2</v>
      </c>
      <c r="S6" s="424">
        <v>7.0000000000000001E-3</v>
      </c>
      <c r="T6" s="121"/>
      <c r="U6" s="209">
        <f t="shared" ref="U6:U12" si="0">AVERAGE(P6:S6)</f>
        <v>1.15E-2</v>
      </c>
      <c r="V6" s="16"/>
    </row>
    <row r="7" spans="1:22" x14ac:dyDescent="0.2">
      <c r="A7" s="206">
        <v>41791</v>
      </c>
      <c r="B7">
        <f t="shared" ref="B7:B70" si="1">YEAR(A7)</f>
        <v>2014</v>
      </c>
      <c r="C7" s="115">
        <v>6826.1</v>
      </c>
      <c r="D7" s="115">
        <v>6875.4</v>
      </c>
      <c r="E7" s="115">
        <v>82</v>
      </c>
      <c r="F7" s="115">
        <v>82.8</v>
      </c>
      <c r="G7" s="207">
        <v>708787.6</v>
      </c>
      <c r="H7" s="115">
        <v>8082.4</v>
      </c>
      <c r="I7" s="207">
        <v>705966</v>
      </c>
      <c r="J7" s="207">
        <v>8153</v>
      </c>
      <c r="K7" s="207"/>
      <c r="L7" s="207"/>
      <c r="M7" s="207"/>
      <c r="N7" s="16"/>
      <c r="O7" s="16">
        <v>2025</v>
      </c>
      <c r="P7" s="425">
        <v>1.4999999999999999E-2</v>
      </c>
      <c r="Q7" s="425">
        <v>2.1000000000000001E-2</v>
      </c>
      <c r="R7" s="425">
        <v>0.02</v>
      </c>
      <c r="S7" s="425">
        <v>1.2E-2</v>
      </c>
      <c r="T7" s="16"/>
      <c r="U7" s="209">
        <f t="shared" si="0"/>
        <v>1.7000000000000001E-2</v>
      </c>
      <c r="V7" s="16"/>
    </row>
    <row r="8" spans="1:22" x14ac:dyDescent="0.2">
      <c r="A8" s="206">
        <v>41821</v>
      </c>
      <c r="B8">
        <f t="shared" si="1"/>
        <v>2014</v>
      </c>
      <c r="C8" s="115">
        <v>6836.5</v>
      </c>
      <c r="D8" s="115">
        <v>6932</v>
      </c>
      <c r="E8" s="115">
        <v>82.4</v>
      </c>
      <c r="F8" s="115">
        <v>83.8</v>
      </c>
      <c r="G8" s="207">
        <v>708787.6</v>
      </c>
      <c r="H8" s="115">
        <v>8082.4</v>
      </c>
      <c r="I8" s="207">
        <v>713152</v>
      </c>
      <c r="J8" s="207">
        <v>8324</v>
      </c>
      <c r="K8" s="207"/>
      <c r="L8" s="207"/>
      <c r="M8" s="207"/>
      <c r="N8" s="16"/>
      <c r="O8" s="16"/>
      <c r="P8" s="16"/>
      <c r="Q8" s="16"/>
      <c r="R8" s="16"/>
      <c r="S8" s="16"/>
      <c r="T8" s="16"/>
      <c r="U8" s="209"/>
      <c r="V8" s="123"/>
    </row>
    <row r="9" spans="1:22" x14ac:dyDescent="0.2">
      <c r="A9" s="206">
        <v>41852</v>
      </c>
      <c r="B9">
        <f t="shared" si="1"/>
        <v>2014</v>
      </c>
      <c r="C9" s="115">
        <v>6842.5</v>
      </c>
      <c r="D9" s="115">
        <v>6947.8</v>
      </c>
      <c r="E9" s="115">
        <v>82.5</v>
      </c>
      <c r="F9" s="115">
        <v>84.2</v>
      </c>
      <c r="G9" s="207">
        <v>708787.6</v>
      </c>
      <c r="H9" s="115">
        <v>8082.4</v>
      </c>
      <c r="I9" s="207">
        <v>713152</v>
      </c>
      <c r="J9" s="207">
        <v>8324</v>
      </c>
      <c r="K9" s="207"/>
      <c r="L9" s="207"/>
      <c r="M9" s="207"/>
      <c r="N9" s="16"/>
      <c r="O9" s="16"/>
      <c r="P9" s="423">
        <v>45642</v>
      </c>
      <c r="Q9" s="423">
        <v>45674</v>
      </c>
      <c r="R9" s="423">
        <v>45638</v>
      </c>
      <c r="S9" s="423">
        <v>45638</v>
      </c>
      <c r="T9" s="118"/>
      <c r="U9" s="209"/>
      <c r="V9" s="16"/>
    </row>
    <row r="10" spans="1:22" x14ac:dyDescent="0.2">
      <c r="A10" s="206">
        <v>41883</v>
      </c>
      <c r="B10">
        <f t="shared" si="1"/>
        <v>2014</v>
      </c>
      <c r="C10" s="115">
        <v>6853.6</v>
      </c>
      <c r="D10" s="115">
        <v>6917.2</v>
      </c>
      <c r="E10" s="115">
        <v>83.3</v>
      </c>
      <c r="F10" s="115">
        <v>84.2</v>
      </c>
      <c r="G10" s="207">
        <v>708787.6</v>
      </c>
      <c r="H10" s="115">
        <v>8082.4</v>
      </c>
      <c r="I10" s="207">
        <v>713152</v>
      </c>
      <c r="J10" s="207">
        <v>8324</v>
      </c>
      <c r="K10" s="207"/>
      <c r="L10" s="207"/>
      <c r="M10" s="207"/>
      <c r="N10" s="16"/>
      <c r="O10" s="16">
        <v>2023</v>
      </c>
      <c r="P10" s="121"/>
      <c r="Q10" s="424">
        <v>2.4E-2</v>
      </c>
      <c r="R10" s="424">
        <v>2.4E-2</v>
      </c>
      <c r="S10" s="424">
        <v>2.4E-2</v>
      </c>
      <c r="T10" s="121"/>
      <c r="U10" s="209">
        <f t="shared" si="0"/>
        <v>2.4000000000000004E-2</v>
      </c>
      <c r="V10" s="16"/>
    </row>
    <row r="11" spans="1:22" x14ac:dyDescent="0.2">
      <c r="A11" s="206">
        <v>41913</v>
      </c>
      <c r="B11">
        <f t="shared" si="1"/>
        <v>2014</v>
      </c>
      <c r="C11" s="115">
        <v>6856.6</v>
      </c>
      <c r="D11" s="115">
        <v>6898.9</v>
      </c>
      <c r="E11" s="115">
        <v>83.6</v>
      </c>
      <c r="F11" s="115">
        <v>84.3</v>
      </c>
      <c r="G11" s="207">
        <v>708787.6</v>
      </c>
      <c r="H11" s="115">
        <v>8082.4</v>
      </c>
      <c r="I11" s="207">
        <v>716976</v>
      </c>
      <c r="J11" s="207">
        <v>7289</v>
      </c>
      <c r="K11" s="207"/>
      <c r="L11" s="207"/>
      <c r="M11" s="207"/>
      <c r="N11" s="16" t="s">
        <v>106</v>
      </c>
      <c r="O11" s="122">
        <v>2024</v>
      </c>
      <c r="P11" s="424">
        <v>1.6E-2</v>
      </c>
      <c r="Q11" s="424">
        <v>1.6E-2</v>
      </c>
      <c r="R11" s="424">
        <v>1.4999999999999999E-2</v>
      </c>
      <c r="S11" s="424">
        <v>1.4999999999999999E-2</v>
      </c>
      <c r="T11" s="124"/>
      <c r="U11" s="209">
        <f t="shared" si="0"/>
        <v>1.55E-2</v>
      </c>
      <c r="V11" s="16"/>
    </row>
    <row r="12" spans="1:22" x14ac:dyDescent="0.2">
      <c r="A12" s="206">
        <v>41944</v>
      </c>
      <c r="B12">
        <f t="shared" si="1"/>
        <v>2014</v>
      </c>
      <c r="C12" s="115">
        <v>6858.1</v>
      </c>
      <c r="D12" s="115">
        <v>6871.1</v>
      </c>
      <c r="E12" s="115">
        <v>84.2</v>
      </c>
      <c r="F12" s="115">
        <v>84.8</v>
      </c>
      <c r="G12" s="207">
        <v>708787.6</v>
      </c>
      <c r="H12" s="115">
        <v>8082.4</v>
      </c>
      <c r="I12" s="207">
        <v>716976</v>
      </c>
      <c r="J12" s="207">
        <v>7289</v>
      </c>
      <c r="K12" s="207"/>
      <c r="L12" s="207"/>
      <c r="M12" s="207"/>
      <c r="N12" s="16"/>
      <c r="O12" s="16">
        <v>2025</v>
      </c>
      <c r="P12" s="425">
        <v>1.2999999999999999E-2</v>
      </c>
      <c r="Q12" s="425">
        <v>1.9E-2</v>
      </c>
      <c r="R12" s="425">
        <v>0.01</v>
      </c>
      <c r="S12" s="425">
        <v>1.0999999999999999E-2</v>
      </c>
      <c r="T12" s="16"/>
      <c r="U12" s="209">
        <f t="shared" si="0"/>
        <v>1.3250000000000001E-2</v>
      </c>
      <c r="V12" s="123"/>
    </row>
    <row r="13" spans="1:22" x14ac:dyDescent="0.2">
      <c r="A13" s="206">
        <v>41974</v>
      </c>
      <c r="B13">
        <f t="shared" si="1"/>
        <v>2014</v>
      </c>
      <c r="C13" s="115">
        <v>6860</v>
      </c>
      <c r="D13" s="115">
        <v>6863.1</v>
      </c>
      <c r="E13" s="115">
        <v>84.6</v>
      </c>
      <c r="F13" s="115">
        <v>85.2</v>
      </c>
      <c r="G13" s="207">
        <v>708787.6</v>
      </c>
      <c r="H13" s="115">
        <v>8082.4</v>
      </c>
      <c r="I13" s="207">
        <v>716976</v>
      </c>
      <c r="J13" s="207">
        <v>7289</v>
      </c>
      <c r="K13" s="207"/>
      <c r="L13" s="207"/>
      <c r="M13" s="207"/>
      <c r="N13" s="16"/>
      <c r="O13" s="16"/>
      <c r="P13" s="16"/>
      <c r="Q13" s="16"/>
      <c r="R13" s="16"/>
      <c r="S13" s="16"/>
      <c r="T13" s="16"/>
      <c r="U13" s="209"/>
      <c r="V13" s="16"/>
    </row>
    <row r="14" spans="1:22" x14ac:dyDescent="0.2">
      <c r="A14" s="206">
        <v>42005</v>
      </c>
      <c r="B14">
        <f t="shared" si="1"/>
        <v>2015</v>
      </c>
      <c r="C14" s="115">
        <v>6851.1</v>
      </c>
      <c r="D14" s="115">
        <v>6809.7</v>
      </c>
      <c r="E14" s="115">
        <v>84.9</v>
      </c>
      <c r="F14" s="115">
        <v>84.4</v>
      </c>
      <c r="G14" s="207">
        <v>727609.6</v>
      </c>
      <c r="H14" s="115">
        <v>7729.3</v>
      </c>
      <c r="I14" s="207">
        <v>718587</v>
      </c>
      <c r="J14" s="207">
        <v>7453</v>
      </c>
      <c r="K14" s="207"/>
      <c r="L14" s="207"/>
      <c r="M14" s="207"/>
      <c r="N14" s="125"/>
      <c r="O14" s="122"/>
      <c r="P14" s="122"/>
      <c r="Q14" s="122"/>
      <c r="R14" s="122"/>
      <c r="S14" s="122"/>
      <c r="T14" s="122"/>
      <c r="U14" s="122"/>
      <c r="V14" s="16"/>
    </row>
    <row r="15" spans="1:22" x14ac:dyDescent="0.2">
      <c r="A15" s="206">
        <v>42036</v>
      </c>
      <c r="B15">
        <f t="shared" si="1"/>
        <v>2015</v>
      </c>
      <c r="C15" s="115">
        <v>6859.2</v>
      </c>
      <c r="D15" s="115">
        <v>6782.7</v>
      </c>
      <c r="E15" s="115">
        <v>84.8</v>
      </c>
      <c r="F15" s="115">
        <v>83.3</v>
      </c>
      <c r="G15" s="207">
        <v>727609.6</v>
      </c>
      <c r="H15" s="115">
        <v>7729.3</v>
      </c>
      <c r="I15" s="207">
        <v>718587</v>
      </c>
      <c r="J15" s="207">
        <v>7453</v>
      </c>
      <c r="K15" s="207"/>
      <c r="L15" s="207"/>
      <c r="M15" s="207"/>
      <c r="N15" s="125"/>
      <c r="O15" s="122"/>
      <c r="P15" s="16"/>
      <c r="Q15" s="122"/>
      <c r="R15" s="122"/>
      <c r="S15" s="122"/>
      <c r="T15" s="122"/>
      <c r="U15" s="122"/>
      <c r="V15" s="16"/>
    </row>
    <row r="16" spans="1:22" x14ac:dyDescent="0.2">
      <c r="A16" s="206">
        <v>42064</v>
      </c>
      <c r="B16">
        <f t="shared" si="1"/>
        <v>2015</v>
      </c>
      <c r="C16" s="115">
        <v>6870</v>
      </c>
      <c r="D16" s="115">
        <v>6761.8</v>
      </c>
      <c r="E16" s="115">
        <v>85.2</v>
      </c>
      <c r="F16" s="115">
        <v>83.2</v>
      </c>
      <c r="G16" s="207">
        <v>727609.6</v>
      </c>
      <c r="H16" s="115">
        <v>7729.3</v>
      </c>
      <c r="I16" s="207">
        <v>718587</v>
      </c>
      <c r="J16" s="207">
        <v>7453</v>
      </c>
      <c r="K16" s="207"/>
      <c r="L16" s="207"/>
      <c r="M16" s="207"/>
      <c r="N16" s="18"/>
      <c r="O16" s="18"/>
      <c r="P16" s="119"/>
      <c r="Q16" s="119"/>
    </row>
    <row r="17" spans="1:17" x14ac:dyDescent="0.2">
      <c r="A17" s="206">
        <v>42095</v>
      </c>
      <c r="B17">
        <f t="shared" si="1"/>
        <v>2015</v>
      </c>
      <c r="C17" s="115">
        <v>6876.8</v>
      </c>
      <c r="D17" s="115">
        <v>6786.4</v>
      </c>
      <c r="E17" s="115">
        <v>85.3</v>
      </c>
      <c r="F17" s="115">
        <v>83.8</v>
      </c>
      <c r="G17" s="207">
        <v>727609.6</v>
      </c>
      <c r="H17" s="115">
        <v>7729.3</v>
      </c>
      <c r="I17" s="207">
        <v>723726</v>
      </c>
      <c r="J17" s="207">
        <v>7515</v>
      </c>
      <c r="K17" s="207"/>
      <c r="L17" s="207"/>
      <c r="M17" s="207"/>
      <c r="N17" s="18"/>
      <c r="O17" s="18"/>
      <c r="P17" s="119"/>
      <c r="Q17" s="119"/>
    </row>
    <row r="18" spans="1:17" x14ac:dyDescent="0.2">
      <c r="A18" s="206">
        <v>42125</v>
      </c>
      <c r="B18">
        <f t="shared" si="1"/>
        <v>2015</v>
      </c>
      <c r="C18" s="115">
        <v>6883.3</v>
      </c>
      <c r="D18" s="115">
        <v>6848.1</v>
      </c>
      <c r="E18" s="115">
        <v>85.3</v>
      </c>
      <c r="F18" s="115">
        <v>84.5</v>
      </c>
      <c r="G18" s="207">
        <v>727609.6</v>
      </c>
      <c r="H18" s="115">
        <v>7729.3</v>
      </c>
      <c r="I18" s="207">
        <v>723726</v>
      </c>
      <c r="J18" s="207">
        <v>7515</v>
      </c>
      <c r="K18" s="207"/>
      <c r="L18" s="207"/>
      <c r="M18" s="427" t="s">
        <v>471</v>
      </c>
      <c r="N18" s="18"/>
      <c r="O18" s="18"/>
      <c r="P18" s="119"/>
      <c r="Q18" s="119"/>
    </row>
    <row r="19" spans="1:17" x14ac:dyDescent="0.2">
      <c r="A19" s="206">
        <v>42156</v>
      </c>
      <c r="B19">
        <f t="shared" si="1"/>
        <v>2015</v>
      </c>
      <c r="C19" s="115">
        <v>6883.6</v>
      </c>
      <c r="D19" s="115">
        <v>6930.1</v>
      </c>
      <c r="E19" s="115">
        <v>85</v>
      </c>
      <c r="F19" s="115">
        <v>85.6</v>
      </c>
      <c r="G19" s="207">
        <v>727609.6</v>
      </c>
      <c r="H19" s="115">
        <v>7729.3</v>
      </c>
      <c r="I19" s="207">
        <v>723726</v>
      </c>
      <c r="J19" s="207">
        <v>7515</v>
      </c>
      <c r="K19" s="207"/>
      <c r="L19" s="207"/>
      <c r="M19" s="207"/>
      <c r="N19" s="18"/>
      <c r="O19" s="18"/>
      <c r="P19" s="119"/>
      <c r="Q19" s="119"/>
    </row>
    <row r="20" spans="1:17" x14ac:dyDescent="0.2">
      <c r="A20" s="206">
        <v>42186</v>
      </c>
      <c r="B20">
        <f t="shared" si="1"/>
        <v>2015</v>
      </c>
      <c r="C20" s="115">
        <v>6891.7</v>
      </c>
      <c r="D20" s="115">
        <v>6986.1</v>
      </c>
      <c r="E20" s="115">
        <v>83.6</v>
      </c>
      <c r="F20" s="115">
        <v>85</v>
      </c>
      <c r="G20" s="207">
        <v>727609.6</v>
      </c>
      <c r="H20" s="115">
        <v>7729.3</v>
      </c>
      <c r="I20" s="207">
        <v>730341</v>
      </c>
      <c r="J20" s="207">
        <v>7773</v>
      </c>
      <c r="K20" s="207"/>
      <c r="L20" s="207"/>
      <c r="M20" s="207"/>
      <c r="N20" s="18"/>
      <c r="O20" s="18"/>
    </row>
    <row r="21" spans="1:17" x14ac:dyDescent="0.2">
      <c r="A21" s="206">
        <v>42217</v>
      </c>
      <c r="B21">
        <f t="shared" si="1"/>
        <v>2015</v>
      </c>
      <c r="C21" s="115">
        <v>6896.8</v>
      </c>
      <c r="D21" s="115">
        <v>7000.2</v>
      </c>
      <c r="E21" s="115">
        <v>82.7</v>
      </c>
      <c r="F21" s="115">
        <v>84.7</v>
      </c>
      <c r="G21" s="207">
        <v>727609.6</v>
      </c>
      <c r="H21" s="115">
        <v>7729.3</v>
      </c>
      <c r="I21" s="207">
        <v>730341</v>
      </c>
      <c r="J21" s="207">
        <v>7773</v>
      </c>
      <c r="K21" s="207"/>
      <c r="L21" s="207"/>
      <c r="M21" s="207"/>
      <c r="N21" s="18"/>
      <c r="O21" s="18"/>
    </row>
    <row r="22" spans="1:17" x14ac:dyDescent="0.2">
      <c r="A22" s="206">
        <v>42248</v>
      </c>
      <c r="B22">
        <f t="shared" si="1"/>
        <v>2015</v>
      </c>
      <c r="C22" s="115">
        <v>6893.1</v>
      </c>
      <c r="D22" s="115">
        <v>6953.7</v>
      </c>
      <c r="E22" s="115">
        <v>81.3</v>
      </c>
      <c r="F22" s="115">
        <v>82.5</v>
      </c>
      <c r="G22" s="207">
        <v>727609.6</v>
      </c>
      <c r="H22" s="115">
        <v>7729.3</v>
      </c>
      <c r="I22" s="207">
        <v>730341</v>
      </c>
      <c r="J22" s="207">
        <v>7773</v>
      </c>
      <c r="K22" s="207"/>
      <c r="L22" s="207"/>
      <c r="M22" s="207"/>
      <c r="N22" s="18"/>
      <c r="O22" s="18"/>
    </row>
    <row r="23" spans="1:17" x14ac:dyDescent="0.2">
      <c r="A23" s="206">
        <v>42278</v>
      </c>
      <c r="B23">
        <f t="shared" si="1"/>
        <v>2015</v>
      </c>
      <c r="C23" s="115">
        <v>6892.9</v>
      </c>
      <c r="D23" s="115">
        <v>6932.8</v>
      </c>
      <c r="E23" s="115">
        <v>80.599999999999994</v>
      </c>
      <c r="F23" s="115">
        <v>81.900000000000006</v>
      </c>
      <c r="G23" s="207">
        <v>727609.6</v>
      </c>
      <c r="H23" s="115">
        <v>7729.3</v>
      </c>
      <c r="I23" s="207">
        <v>737784</v>
      </c>
      <c r="J23" s="207">
        <v>8177</v>
      </c>
      <c r="K23" s="207"/>
      <c r="L23" s="207"/>
      <c r="M23" s="207"/>
      <c r="N23" s="18"/>
      <c r="O23" s="18"/>
    </row>
    <row r="24" spans="1:17" x14ac:dyDescent="0.2">
      <c r="A24" s="206">
        <v>42309</v>
      </c>
      <c r="B24">
        <f t="shared" si="1"/>
        <v>2015</v>
      </c>
      <c r="C24" s="115">
        <v>6886.2</v>
      </c>
      <c r="D24" s="115">
        <v>6898.2</v>
      </c>
      <c r="E24" s="115">
        <v>79.8</v>
      </c>
      <c r="F24" s="115">
        <v>80.8</v>
      </c>
      <c r="G24" s="207">
        <v>727609.6</v>
      </c>
      <c r="H24" s="115">
        <v>7729.3</v>
      </c>
      <c r="I24" s="207">
        <v>737784</v>
      </c>
      <c r="J24" s="207">
        <v>8177</v>
      </c>
      <c r="K24" s="207"/>
      <c r="L24" s="207"/>
      <c r="M24" s="207"/>
      <c r="N24" s="18"/>
      <c r="O24" s="18"/>
    </row>
    <row r="25" spans="1:17" x14ac:dyDescent="0.2">
      <c r="A25" s="206">
        <v>42339</v>
      </c>
      <c r="B25">
        <f t="shared" si="1"/>
        <v>2015</v>
      </c>
      <c r="C25" s="115">
        <v>6895.6</v>
      </c>
      <c r="D25" s="115">
        <v>6902.3</v>
      </c>
      <c r="E25" s="115">
        <v>79.8</v>
      </c>
      <c r="F25" s="115">
        <v>80.400000000000006</v>
      </c>
      <c r="G25" s="207">
        <v>727609.6</v>
      </c>
      <c r="H25" s="115">
        <v>7729.3</v>
      </c>
      <c r="I25" s="207">
        <v>737784</v>
      </c>
      <c r="J25" s="207">
        <v>8177</v>
      </c>
      <c r="K25" s="207"/>
      <c r="L25" s="207"/>
      <c r="M25" s="207"/>
      <c r="N25" s="18"/>
      <c r="O25" s="18"/>
    </row>
    <row r="26" spans="1:17" x14ac:dyDescent="0.2">
      <c r="A26" s="206">
        <v>42370</v>
      </c>
      <c r="B26">
        <f t="shared" si="1"/>
        <v>2016</v>
      </c>
      <c r="C26" s="115">
        <v>6908.4</v>
      </c>
      <c r="D26" s="115">
        <v>6871.2</v>
      </c>
      <c r="E26" s="115">
        <v>79.599999999999994</v>
      </c>
      <c r="F26" s="115">
        <v>78.900000000000006</v>
      </c>
      <c r="G26" s="207">
        <v>743976.2</v>
      </c>
      <c r="H26" s="115">
        <v>7852.2</v>
      </c>
      <c r="I26" s="207">
        <v>743287</v>
      </c>
      <c r="J26" s="207">
        <v>8031</v>
      </c>
      <c r="K26" s="207"/>
      <c r="L26" s="207"/>
      <c r="M26" s="207"/>
      <c r="N26" s="18"/>
      <c r="O26" s="18"/>
    </row>
    <row r="27" spans="1:17" x14ac:dyDescent="0.2">
      <c r="A27" s="206">
        <v>42401</v>
      </c>
      <c r="B27">
        <f t="shared" si="1"/>
        <v>2016</v>
      </c>
      <c r="C27" s="115">
        <v>6922.3</v>
      </c>
      <c r="D27" s="115">
        <v>6850.4</v>
      </c>
      <c r="E27" s="115">
        <v>80.3</v>
      </c>
      <c r="F27" s="115">
        <v>78.599999999999994</v>
      </c>
      <c r="G27" s="207">
        <v>743976.2</v>
      </c>
      <c r="H27" s="115">
        <v>7852.2</v>
      </c>
      <c r="I27" s="207">
        <v>743287</v>
      </c>
      <c r="J27" s="207">
        <v>8031</v>
      </c>
      <c r="K27" s="207"/>
      <c r="L27" s="207"/>
      <c r="M27" s="207"/>
      <c r="N27" s="18"/>
      <c r="O27" s="18"/>
    </row>
    <row r="28" spans="1:17" x14ac:dyDescent="0.2">
      <c r="A28" s="206">
        <v>42430</v>
      </c>
      <c r="B28">
        <f t="shared" si="1"/>
        <v>2016</v>
      </c>
      <c r="C28" s="115">
        <v>6930.2</v>
      </c>
      <c r="D28" s="115">
        <v>6827.3</v>
      </c>
      <c r="E28" s="115">
        <v>80.599999999999994</v>
      </c>
      <c r="F28" s="115">
        <v>78.599999999999994</v>
      </c>
      <c r="G28" s="207">
        <v>743976.2</v>
      </c>
      <c r="H28" s="115">
        <v>7852.2</v>
      </c>
      <c r="I28" s="207">
        <v>743287</v>
      </c>
      <c r="J28" s="207">
        <v>8031</v>
      </c>
      <c r="K28" s="207"/>
      <c r="L28" s="207"/>
      <c r="M28" s="207"/>
      <c r="N28" s="18"/>
      <c r="O28" s="18"/>
    </row>
    <row r="29" spans="1:17" x14ac:dyDescent="0.2">
      <c r="A29" s="206">
        <v>42461</v>
      </c>
      <c r="B29">
        <f t="shared" si="1"/>
        <v>2016</v>
      </c>
      <c r="C29" s="115">
        <v>6931.9</v>
      </c>
      <c r="D29" s="115">
        <v>6843.7</v>
      </c>
      <c r="E29" s="115">
        <v>81.7</v>
      </c>
      <c r="F29" s="115">
        <v>80</v>
      </c>
      <c r="G29" s="207">
        <v>743976.2</v>
      </c>
      <c r="H29" s="115">
        <v>7852.2</v>
      </c>
      <c r="I29" s="207">
        <v>740632</v>
      </c>
      <c r="J29" s="207">
        <v>7876</v>
      </c>
      <c r="K29" s="207"/>
      <c r="L29" s="207"/>
      <c r="M29" s="207"/>
      <c r="N29" s="18"/>
      <c r="O29" s="18"/>
    </row>
    <row r="30" spans="1:17" x14ac:dyDescent="0.2">
      <c r="A30" s="206">
        <v>42491</v>
      </c>
      <c r="B30">
        <f t="shared" si="1"/>
        <v>2016</v>
      </c>
      <c r="C30" s="115">
        <v>6944.7</v>
      </c>
      <c r="D30" s="115">
        <v>6913.7</v>
      </c>
      <c r="E30" s="115">
        <v>82</v>
      </c>
      <c r="F30" s="115">
        <v>80.900000000000006</v>
      </c>
      <c r="G30" s="207">
        <v>743976.2</v>
      </c>
      <c r="H30" s="115">
        <v>7852.2</v>
      </c>
      <c r="I30" s="207">
        <v>740632</v>
      </c>
      <c r="J30" s="207">
        <v>7876</v>
      </c>
      <c r="K30" s="207"/>
      <c r="L30" s="207"/>
      <c r="M30" s="207"/>
      <c r="N30" s="18"/>
      <c r="O30" s="18"/>
    </row>
    <row r="31" spans="1:17" x14ac:dyDescent="0.2">
      <c r="A31" s="206">
        <v>42522</v>
      </c>
      <c r="B31">
        <f t="shared" si="1"/>
        <v>2016</v>
      </c>
      <c r="C31" s="115">
        <v>6955.5</v>
      </c>
      <c r="D31" s="115">
        <v>7000.2</v>
      </c>
      <c r="E31" s="115">
        <v>82.5</v>
      </c>
      <c r="F31" s="115">
        <v>83</v>
      </c>
      <c r="G31" s="207">
        <v>743976.2</v>
      </c>
      <c r="H31" s="115">
        <v>7852.2</v>
      </c>
      <c r="I31" s="207">
        <v>740632</v>
      </c>
      <c r="J31" s="207">
        <v>7876</v>
      </c>
      <c r="K31" s="207"/>
      <c r="L31" s="207"/>
      <c r="M31" s="207"/>
      <c r="N31" s="18"/>
      <c r="O31" s="18"/>
    </row>
    <row r="32" spans="1:17" x14ac:dyDescent="0.2">
      <c r="A32" s="206">
        <v>42552</v>
      </c>
      <c r="B32">
        <f t="shared" si="1"/>
        <v>2016</v>
      </c>
      <c r="C32" s="115">
        <v>6956.3</v>
      </c>
      <c r="D32" s="115">
        <v>7049.5</v>
      </c>
      <c r="E32" s="115">
        <v>83.1</v>
      </c>
      <c r="F32" s="115">
        <v>84.7</v>
      </c>
      <c r="G32" s="207">
        <v>743976.2</v>
      </c>
      <c r="H32" s="115">
        <v>7852.2</v>
      </c>
      <c r="I32" s="207">
        <v>746606</v>
      </c>
      <c r="J32" s="207">
        <v>7700</v>
      </c>
      <c r="K32" s="207"/>
      <c r="L32" s="207"/>
      <c r="M32" s="207"/>
      <c r="N32" s="18"/>
      <c r="O32" s="18"/>
    </row>
    <row r="33" spans="1:15" x14ac:dyDescent="0.2">
      <c r="A33" s="206">
        <v>42583</v>
      </c>
      <c r="B33">
        <f t="shared" si="1"/>
        <v>2016</v>
      </c>
      <c r="C33" s="115">
        <v>6953.5</v>
      </c>
      <c r="D33" s="115">
        <v>7045.6</v>
      </c>
      <c r="E33" s="115">
        <v>84.1</v>
      </c>
      <c r="F33" s="115">
        <v>85.5</v>
      </c>
      <c r="G33" s="207">
        <v>743976.2</v>
      </c>
      <c r="H33" s="115">
        <v>7852.2</v>
      </c>
      <c r="I33" s="207">
        <v>746606</v>
      </c>
      <c r="J33" s="207">
        <v>7700</v>
      </c>
      <c r="K33" s="207"/>
      <c r="L33" s="207"/>
      <c r="M33" s="207"/>
      <c r="N33" s="18"/>
      <c r="O33" s="18"/>
    </row>
    <row r="34" spans="1:15" x14ac:dyDescent="0.2">
      <c r="A34" s="206">
        <v>42614</v>
      </c>
      <c r="B34">
        <f t="shared" si="1"/>
        <v>2016</v>
      </c>
      <c r="C34" s="115">
        <v>6950.1</v>
      </c>
      <c r="D34" s="115">
        <v>6998.1</v>
      </c>
      <c r="E34" s="115">
        <v>84.2</v>
      </c>
      <c r="F34" s="115">
        <v>84.8</v>
      </c>
      <c r="G34" s="207">
        <v>743976.2</v>
      </c>
      <c r="H34" s="115">
        <v>7852.2</v>
      </c>
      <c r="I34" s="207">
        <v>746606</v>
      </c>
      <c r="J34" s="207">
        <v>7700</v>
      </c>
      <c r="K34" s="207"/>
      <c r="L34" s="207"/>
      <c r="M34" s="207"/>
      <c r="N34" s="18"/>
      <c r="O34" s="18"/>
    </row>
    <row r="35" spans="1:15" x14ac:dyDescent="0.2">
      <c r="A35" s="206">
        <v>42644</v>
      </c>
      <c r="B35">
        <f t="shared" si="1"/>
        <v>2016</v>
      </c>
      <c r="C35" s="115">
        <v>6963.9</v>
      </c>
      <c r="D35" s="115">
        <v>6990.5</v>
      </c>
      <c r="E35" s="115">
        <v>84.3</v>
      </c>
      <c r="F35" s="115">
        <v>85</v>
      </c>
      <c r="G35" s="207">
        <v>743976.2</v>
      </c>
      <c r="H35" s="115">
        <v>7852.2</v>
      </c>
      <c r="I35" s="207">
        <v>745380</v>
      </c>
      <c r="J35" s="207">
        <v>7803</v>
      </c>
      <c r="K35" s="207"/>
      <c r="L35" s="207"/>
      <c r="M35" s="207"/>
      <c r="N35" s="18"/>
      <c r="O35" s="18"/>
    </row>
    <row r="36" spans="1:15" x14ac:dyDescent="0.2">
      <c r="A36" s="206">
        <v>42675</v>
      </c>
      <c r="B36">
        <f t="shared" si="1"/>
        <v>2016</v>
      </c>
      <c r="C36" s="115">
        <v>6977.8</v>
      </c>
      <c r="D36" s="115">
        <v>6983.4</v>
      </c>
      <c r="E36" s="115">
        <v>84</v>
      </c>
      <c r="F36" s="115">
        <v>85.3</v>
      </c>
      <c r="G36" s="207">
        <v>743976.2</v>
      </c>
      <c r="H36" s="115">
        <v>7852.2</v>
      </c>
      <c r="I36" s="207">
        <v>745380</v>
      </c>
      <c r="J36" s="207">
        <v>7803</v>
      </c>
      <c r="K36" s="207"/>
      <c r="L36" s="207"/>
      <c r="M36" s="207"/>
      <c r="N36" s="18"/>
      <c r="O36" s="18"/>
    </row>
    <row r="37" spans="1:15" x14ac:dyDescent="0.2">
      <c r="A37" s="206">
        <v>42705</v>
      </c>
      <c r="B37">
        <f t="shared" si="1"/>
        <v>2016</v>
      </c>
      <c r="C37" s="115">
        <v>6992.4</v>
      </c>
      <c r="D37" s="115">
        <v>6999.9</v>
      </c>
      <c r="E37" s="115">
        <v>83.5</v>
      </c>
      <c r="F37" s="115">
        <v>84.2</v>
      </c>
      <c r="G37" s="207">
        <v>743976.2</v>
      </c>
      <c r="H37" s="115">
        <v>7852.2</v>
      </c>
      <c r="I37" s="207">
        <v>745380</v>
      </c>
      <c r="J37" s="207">
        <v>7803</v>
      </c>
      <c r="K37" s="207"/>
      <c r="L37" s="207"/>
      <c r="M37" s="207"/>
      <c r="N37" s="18"/>
      <c r="O37" s="18"/>
    </row>
    <row r="38" spans="1:15" x14ac:dyDescent="0.2">
      <c r="A38" s="206">
        <v>42736</v>
      </c>
      <c r="B38">
        <f t="shared" si="1"/>
        <v>2017</v>
      </c>
      <c r="C38" s="115">
        <v>7014.6</v>
      </c>
      <c r="D38" s="115">
        <v>6982.5</v>
      </c>
      <c r="E38" s="115">
        <v>83.1</v>
      </c>
      <c r="F38" s="115">
        <v>82.2</v>
      </c>
      <c r="G38" s="207">
        <v>764464.8</v>
      </c>
      <c r="H38" s="115">
        <v>7685.1</v>
      </c>
      <c r="I38" s="207">
        <v>756702</v>
      </c>
      <c r="J38" s="207">
        <v>7875</v>
      </c>
      <c r="K38" s="207"/>
      <c r="L38" s="207"/>
      <c r="M38" s="207"/>
      <c r="N38" s="18"/>
      <c r="O38" s="18"/>
    </row>
    <row r="39" spans="1:15" x14ac:dyDescent="0.2">
      <c r="A39" s="206">
        <v>42767</v>
      </c>
      <c r="B39">
        <f t="shared" si="1"/>
        <v>2017</v>
      </c>
      <c r="C39" s="115">
        <v>7031.3</v>
      </c>
      <c r="D39" s="115">
        <v>6962.5</v>
      </c>
      <c r="E39" s="115">
        <v>82.5</v>
      </c>
      <c r="F39" s="115">
        <v>80.7</v>
      </c>
      <c r="G39" s="207">
        <v>764464.8</v>
      </c>
      <c r="H39" s="115">
        <v>7685.1</v>
      </c>
      <c r="I39" s="207">
        <v>756702</v>
      </c>
      <c r="J39" s="207">
        <v>7875</v>
      </c>
      <c r="K39" s="207"/>
      <c r="L39" s="207"/>
      <c r="M39" s="207"/>
      <c r="N39" s="18"/>
      <c r="O39" s="18"/>
    </row>
    <row r="40" spans="1:15" x14ac:dyDescent="0.2">
      <c r="A40" s="206">
        <v>42795</v>
      </c>
      <c r="B40">
        <f t="shared" si="1"/>
        <v>2017</v>
      </c>
      <c r="C40" s="115">
        <v>7049</v>
      </c>
      <c r="D40" s="115">
        <v>6946</v>
      </c>
      <c r="E40" s="115">
        <v>81.900000000000006</v>
      </c>
      <c r="F40" s="115">
        <v>79.900000000000006</v>
      </c>
      <c r="G40" s="207">
        <v>764464.8</v>
      </c>
      <c r="H40" s="115">
        <v>7685.1</v>
      </c>
      <c r="I40" s="207">
        <v>756702</v>
      </c>
      <c r="J40" s="207">
        <v>7875</v>
      </c>
      <c r="K40" s="207"/>
      <c r="L40" s="207"/>
      <c r="M40" s="207"/>
      <c r="N40" s="18"/>
      <c r="O40" s="18"/>
    </row>
    <row r="41" spans="1:15" x14ac:dyDescent="0.2">
      <c r="A41" s="206">
        <v>42826</v>
      </c>
      <c r="B41">
        <f t="shared" si="1"/>
        <v>2017</v>
      </c>
      <c r="C41" s="115">
        <v>7055.1</v>
      </c>
      <c r="D41" s="115">
        <v>6963.6</v>
      </c>
      <c r="E41" s="115">
        <v>81</v>
      </c>
      <c r="F41" s="115">
        <v>79.2</v>
      </c>
      <c r="G41" s="207">
        <v>764464.8</v>
      </c>
      <c r="H41" s="115">
        <v>7685.1</v>
      </c>
      <c r="I41" s="207">
        <v>764644</v>
      </c>
      <c r="J41" s="207">
        <v>7641</v>
      </c>
      <c r="K41" s="207"/>
      <c r="L41" s="207"/>
      <c r="M41" s="207"/>
      <c r="N41" s="18"/>
      <c r="O41" s="18"/>
    </row>
    <row r="42" spans="1:15" x14ac:dyDescent="0.2">
      <c r="A42" s="206">
        <v>42856</v>
      </c>
      <c r="B42">
        <f t="shared" si="1"/>
        <v>2017</v>
      </c>
      <c r="C42" s="115">
        <v>7066.7</v>
      </c>
      <c r="D42" s="115">
        <v>7033.4</v>
      </c>
      <c r="E42" s="115">
        <v>80.900000000000006</v>
      </c>
      <c r="F42" s="115">
        <v>79.7</v>
      </c>
      <c r="G42" s="207">
        <v>764464.8</v>
      </c>
      <c r="H42" s="115">
        <v>7685.1</v>
      </c>
      <c r="I42" s="207">
        <v>764644</v>
      </c>
      <c r="J42" s="207">
        <v>7641</v>
      </c>
      <c r="K42" s="207"/>
      <c r="L42" s="207"/>
      <c r="M42" s="207"/>
      <c r="N42" s="18"/>
      <c r="O42" s="18"/>
    </row>
    <row r="43" spans="1:15" x14ac:dyDescent="0.2">
      <c r="A43" s="206">
        <v>42887</v>
      </c>
      <c r="B43">
        <f t="shared" si="1"/>
        <v>2017</v>
      </c>
      <c r="C43" s="115">
        <v>7079.8</v>
      </c>
      <c r="D43" s="115">
        <v>7123</v>
      </c>
      <c r="E43" s="115">
        <v>81.7</v>
      </c>
      <c r="F43" s="115">
        <v>82</v>
      </c>
      <c r="G43" s="207">
        <v>764464.8</v>
      </c>
      <c r="H43" s="115">
        <v>7685.1</v>
      </c>
      <c r="I43" s="207">
        <v>764644</v>
      </c>
      <c r="J43" s="207">
        <v>7641</v>
      </c>
      <c r="K43" s="207"/>
      <c r="L43" s="207"/>
      <c r="M43" s="207"/>
      <c r="N43" s="18"/>
      <c r="O43" s="18"/>
    </row>
    <row r="44" spans="1:15" x14ac:dyDescent="0.2">
      <c r="A44" s="206">
        <v>42917</v>
      </c>
      <c r="B44">
        <f t="shared" si="1"/>
        <v>2017</v>
      </c>
      <c r="C44" s="115">
        <v>7101.9</v>
      </c>
      <c r="D44" s="115">
        <v>7196</v>
      </c>
      <c r="E44" s="115">
        <v>82.6</v>
      </c>
      <c r="F44" s="115">
        <v>84.3</v>
      </c>
      <c r="G44" s="207">
        <v>764464.8</v>
      </c>
      <c r="H44" s="115">
        <v>7685.1</v>
      </c>
      <c r="I44" s="207">
        <v>765060</v>
      </c>
      <c r="J44" s="207">
        <v>7776</v>
      </c>
      <c r="K44" s="207"/>
      <c r="L44" s="207"/>
      <c r="M44" s="207"/>
      <c r="N44" s="18"/>
      <c r="O44" s="18"/>
    </row>
    <row r="45" spans="1:15" x14ac:dyDescent="0.2">
      <c r="A45" s="206">
        <v>42948</v>
      </c>
      <c r="B45">
        <f t="shared" si="1"/>
        <v>2017</v>
      </c>
      <c r="C45" s="115">
        <v>7121.1</v>
      </c>
      <c r="D45" s="115">
        <v>7216.7</v>
      </c>
      <c r="E45" s="115">
        <v>82.7</v>
      </c>
      <c r="F45" s="115">
        <v>84.2</v>
      </c>
      <c r="G45" s="207">
        <v>764464.8</v>
      </c>
      <c r="H45" s="115">
        <v>7685.1</v>
      </c>
      <c r="I45" s="207">
        <v>765060</v>
      </c>
      <c r="J45" s="207">
        <v>7776</v>
      </c>
      <c r="K45" s="207"/>
      <c r="L45" s="207"/>
      <c r="M45" s="207"/>
      <c r="N45" s="18"/>
      <c r="O45" s="18"/>
    </row>
    <row r="46" spans="1:15" x14ac:dyDescent="0.2">
      <c r="A46" s="206">
        <v>42979</v>
      </c>
      <c r="B46">
        <f t="shared" si="1"/>
        <v>2017</v>
      </c>
      <c r="C46" s="115">
        <v>7144.8</v>
      </c>
      <c r="D46" s="115">
        <v>7193.4</v>
      </c>
      <c r="E46" s="115">
        <v>83</v>
      </c>
      <c r="F46" s="115">
        <v>83.7</v>
      </c>
      <c r="G46" s="207">
        <v>764464.8</v>
      </c>
      <c r="H46" s="115">
        <v>7685.1</v>
      </c>
      <c r="I46" s="207">
        <v>765060</v>
      </c>
      <c r="J46" s="207">
        <v>7776</v>
      </c>
      <c r="K46" s="207"/>
      <c r="L46" s="207"/>
      <c r="M46" s="207"/>
      <c r="N46" s="18"/>
      <c r="O46" s="18"/>
    </row>
    <row r="47" spans="1:15" x14ac:dyDescent="0.2">
      <c r="A47" s="206">
        <v>43009</v>
      </c>
      <c r="B47">
        <f t="shared" si="1"/>
        <v>2017</v>
      </c>
      <c r="C47" s="115">
        <v>7161</v>
      </c>
      <c r="D47" s="115">
        <v>7185.2</v>
      </c>
      <c r="E47" s="115">
        <v>83.2</v>
      </c>
      <c r="F47" s="115">
        <v>84.1</v>
      </c>
      <c r="G47" s="207">
        <v>764464.8</v>
      </c>
      <c r="H47" s="115">
        <v>7685.1</v>
      </c>
      <c r="I47" s="207">
        <v>771453</v>
      </c>
      <c r="J47" s="207">
        <v>7448</v>
      </c>
      <c r="K47" s="207"/>
      <c r="L47" s="207"/>
      <c r="M47" s="207"/>
      <c r="N47" s="18"/>
      <c r="O47" s="18"/>
    </row>
    <row r="48" spans="1:15" x14ac:dyDescent="0.2">
      <c r="A48" s="206">
        <v>43040</v>
      </c>
      <c r="B48">
        <f t="shared" si="1"/>
        <v>2017</v>
      </c>
      <c r="C48" s="115">
        <v>7184.7</v>
      </c>
      <c r="D48" s="115">
        <v>7186</v>
      </c>
      <c r="E48" s="115">
        <v>83.6</v>
      </c>
      <c r="F48" s="115">
        <v>84.9</v>
      </c>
      <c r="G48" s="207">
        <v>764464.8</v>
      </c>
      <c r="H48" s="115">
        <v>7685.1</v>
      </c>
      <c r="I48" s="207">
        <v>771453</v>
      </c>
      <c r="J48" s="207">
        <v>7448</v>
      </c>
      <c r="K48" s="207"/>
      <c r="L48" s="207"/>
      <c r="M48" s="207"/>
      <c r="N48" s="18"/>
      <c r="O48" s="18"/>
    </row>
    <row r="49" spans="1:15" x14ac:dyDescent="0.2">
      <c r="A49" s="206">
        <v>43070</v>
      </c>
      <c r="B49">
        <f t="shared" si="1"/>
        <v>2017</v>
      </c>
      <c r="C49" s="115">
        <v>7199.5</v>
      </c>
      <c r="D49" s="115">
        <v>7206.8</v>
      </c>
      <c r="E49" s="115">
        <v>82.7</v>
      </c>
      <c r="F49" s="115">
        <v>83.4</v>
      </c>
      <c r="G49" s="207">
        <v>764464.8</v>
      </c>
      <c r="H49" s="115">
        <v>7685.1</v>
      </c>
      <c r="I49" s="207">
        <v>771453</v>
      </c>
      <c r="J49" s="207">
        <v>7448</v>
      </c>
      <c r="K49" s="207"/>
      <c r="L49" s="207"/>
      <c r="M49" s="207"/>
      <c r="N49" s="18"/>
      <c r="O49" s="18"/>
    </row>
    <row r="50" spans="1:15" x14ac:dyDescent="0.2">
      <c r="A50" s="206">
        <v>43101</v>
      </c>
      <c r="B50">
        <f t="shared" si="1"/>
        <v>2018</v>
      </c>
      <c r="C50" s="115">
        <v>7199.4</v>
      </c>
      <c r="D50" s="115">
        <v>7167.3</v>
      </c>
      <c r="E50" s="115">
        <v>81.8</v>
      </c>
      <c r="F50" s="115">
        <v>80.900000000000006</v>
      </c>
      <c r="G50" s="207">
        <v>789531.6</v>
      </c>
      <c r="H50" s="115">
        <v>7677.9</v>
      </c>
      <c r="I50" s="207">
        <v>779459</v>
      </c>
      <c r="J50" s="207">
        <v>7571</v>
      </c>
      <c r="K50" s="207"/>
      <c r="L50" s="207"/>
      <c r="M50" s="207"/>
      <c r="N50" s="18"/>
      <c r="O50" s="18"/>
    </row>
    <row r="51" spans="1:15" x14ac:dyDescent="0.2">
      <c r="A51" s="206">
        <v>43132</v>
      </c>
      <c r="B51">
        <f t="shared" si="1"/>
        <v>2018</v>
      </c>
      <c r="C51" s="115">
        <v>7188.9</v>
      </c>
      <c r="D51" s="115">
        <v>7120.1</v>
      </c>
      <c r="E51" s="115">
        <v>80.900000000000006</v>
      </c>
      <c r="F51" s="115">
        <v>79.099999999999994</v>
      </c>
      <c r="G51" s="207">
        <v>789531.6</v>
      </c>
      <c r="H51" s="115">
        <v>7677.9</v>
      </c>
      <c r="I51" s="207">
        <v>779459</v>
      </c>
      <c r="J51" s="207">
        <v>7571</v>
      </c>
      <c r="K51" s="207"/>
      <c r="L51" s="207"/>
      <c r="M51" s="207"/>
      <c r="N51" s="18"/>
      <c r="O51" s="18"/>
    </row>
    <row r="52" spans="1:15" x14ac:dyDescent="0.2">
      <c r="A52" s="206">
        <v>43160</v>
      </c>
      <c r="B52">
        <f t="shared" si="1"/>
        <v>2018</v>
      </c>
      <c r="C52" s="115">
        <v>7188.8</v>
      </c>
      <c r="D52" s="115">
        <v>7084.1</v>
      </c>
      <c r="E52" s="115">
        <v>81.3</v>
      </c>
      <c r="F52" s="115">
        <v>79.5</v>
      </c>
      <c r="G52" s="207">
        <v>789531.6</v>
      </c>
      <c r="H52" s="115">
        <v>7677.9</v>
      </c>
      <c r="I52" s="207">
        <v>779459</v>
      </c>
      <c r="J52" s="207">
        <v>7571</v>
      </c>
      <c r="K52" s="207"/>
      <c r="L52" s="207"/>
      <c r="M52" s="207"/>
      <c r="N52" s="18"/>
      <c r="O52" s="18"/>
    </row>
    <row r="53" spans="1:15" x14ac:dyDescent="0.2">
      <c r="A53" s="206">
        <v>43191</v>
      </c>
      <c r="B53">
        <f t="shared" si="1"/>
        <v>2018</v>
      </c>
      <c r="C53" s="115">
        <v>7201.1</v>
      </c>
      <c r="D53" s="115">
        <v>7111.6</v>
      </c>
      <c r="E53" s="115">
        <v>81.3</v>
      </c>
      <c r="F53" s="115">
        <v>79.900000000000006</v>
      </c>
      <c r="G53" s="207">
        <v>789531.6</v>
      </c>
      <c r="H53" s="115">
        <v>7677.9</v>
      </c>
      <c r="I53" s="207">
        <v>784896</v>
      </c>
      <c r="J53" s="207">
        <v>7763</v>
      </c>
      <c r="K53" s="207"/>
      <c r="L53" s="207"/>
      <c r="M53" s="207"/>
      <c r="N53" s="18"/>
      <c r="O53" s="18"/>
    </row>
    <row r="54" spans="1:15" x14ac:dyDescent="0.2">
      <c r="A54" s="206">
        <v>43221</v>
      </c>
      <c r="B54">
        <f t="shared" si="1"/>
        <v>2018</v>
      </c>
      <c r="C54" s="115">
        <v>7208.5</v>
      </c>
      <c r="D54" s="115">
        <v>7176</v>
      </c>
      <c r="E54" s="115">
        <v>81.400000000000006</v>
      </c>
      <c r="F54" s="115">
        <v>80.5</v>
      </c>
      <c r="G54" s="207">
        <v>789531.6</v>
      </c>
      <c r="H54" s="115">
        <v>7677.9</v>
      </c>
      <c r="I54" s="207">
        <v>784896</v>
      </c>
      <c r="J54" s="207">
        <v>7763</v>
      </c>
      <c r="K54" s="207"/>
      <c r="L54" s="207"/>
      <c r="M54" s="207"/>
      <c r="N54" s="18"/>
      <c r="O54" s="18"/>
    </row>
    <row r="55" spans="1:15" x14ac:dyDescent="0.2">
      <c r="A55" s="206">
        <v>43252</v>
      </c>
      <c r="B55">
        <f t="shared" si="1"/>
        <v>2018</v>
      </c>
      <c r="C55" s="115">
        <v>7221.1</v>
      </c>
      <c r="D55" s="115">
        <v>7264.3</v>
      </c>
      <c r="E55" s="115">
        <v>81.7</v>
      </c>
      <c r="F55" s="115">
        <v>82.1</v>
      </c>
      <c r="G55" s="207">
        <v>789531.6</v>
      </c>
      <c r="H55" s="115">
        <v>7677.9</v>
      </c>
      <c r="I55" s="207">
        <v>784896</v>
      </c>
      <c r="J55" s="207">
        <v>7763</v>
      </c>
      <c r="K55" s="207"/>
      <c r="L55" s="207"/>
      <c r="M55" s="207"/>
      <c r="N55" s="18"/>
      <c r="O55" s="18"/>
    </row>
    <row r="56" spans="1:15" x14ac:dyDescent="0.2">
      <c r="A56" s="206">
        <v>43282</v>
      </c>
      <c r="B56">
        <f t="shared" si="1"/>
        <v>2018</v>
      </c>
      <c r="C56" s="115">
        <v>7255</v>
      </c>
      <c r="D56" s="115">
        <v>7345.7</v>
      </c>
      <c r="E56" s="115">
        <v>82</v>
      </c>
      <c r="F56" s="115">
        <v>83.3</v>
      </c>
      <c r="G56" s="207">
        <v>789531.6</v>
      </c>
      <c r="H56" s="115">
        <v>7677.9</v>
      </c>
      <c r="I56" s="207">
        <v>794140</v>
      </c>
      <c r="J56" s="207">
        <v>7623</v>
      </c>
      <c r="K56" s="207"/>
      <c r="L56" s="207"/>
      <c r="M56" s="207"/>
      <c r="N56" s="18"/>
      <c r="O56" s="18"/>
    </row>
    <row r="57" spans="1:15" x14ac:dyDescent="0.2">
      <c r="A57" s="206">
        <v>43313</v>
      </c>
      <c r="B57">
        <f t="shared" si="1"/>
        <v>2018</v>
      </c>
      <c r="C57" s="115">
        <v>7266.2</v>
      </c>
      <c r="D57" s="115">
        <v>7359.5</v>
      </c>
      <c r="E57" s="115">
        <v>82.6</v>
      </c>
      <c r="F57" s="115">
        <v>83.8</v>
      </c>
      <c r="G57" s="207">
        <v>789531.6</v>
      </c>
      <c r="H57" s="115">
        <v>7677.9</v>
      </c>
      <c r="I57" s="207">
        <v>794140</v>
      </c>
      <c r="J57" s="207">
        <v>7623</v>
      </c>
      <c r="K57" s="207"/>
      <c r="L57" s="207"/>
      <c r="M57" s="207"/>
    </row>
    <row r="58" spans="1:15" x14ac:dyDescent="0.2">
      <c r="A58" s="206">
        <v>43344</v>
      </c>
      <c r="B58">
        <f t="shared" si="1"/>
        <v>2018</v>
      </c>
      <c r="C58" s="115">
        <v>7279.6</v>
      </c>
      <c r="D58" s="115">
        <v>7324.4</v>
      </c>
      <c r="E58" s="115">
        <v>83.7</v>
      </c>
      <c r="F58" s="115">
        <v>84.4</v>
      </c>
      <c r="G58" s="207">
        <v>789531.6</v>
      </c>
      <c r="H58" s="115">
        <v>7677.9</v>
      </c>
      <c r="I58" s="207">
        <v>794140</v>
      </c>
      <c r="J58" s="207">
        <v>7623</v>
      </c>
      <c r="K58" s="207"/>
      <c r="L58" s="207"/>
      <c r="M58" s="207"/>
    </row>
    <row r="59" spans="1:15" x14ac:dyDescent="0.2">
      <c r="A59" s="206">
        <v>43374</v>
      </c>
      <c r="B59">
        <f t="shared" si="1"/>
        <v>2018</v>
      </c>
      <c r="C59" s="115">
        <v>7270.3</v>
      </c>
      <c r="D59" s="115">
        <v>7290.6</v>
      </c>
      <c r="E59" s="115">
        <v>85</v>
      </c>
      <c r="F59" s="115">
        <v>85.8</v>
      </c>
      <c r="G59" s="207">
        <v>789531.6</v>
      </c>
      <c r="H59" s="115">
        <v>7677.9</v>
      </c>
      <c r="I59" s="207">
        <v>799632</v>
      </c>
      <c r="J59" s="207">
        <v>7754</v>
      </c>
      <c r="K59" s="207"/>
      <c r="L59" s="207"/>
      <c r="M59" s="207"/>
    </row>
    <row r="60" spans="1:15" x14ac:dyDescent="0.2">
      <c r="A60" s="206">
        <v>43405</v>
      </c>
      <c r="B60">
        <f t="shared" si="1"/>
        <v>2018</v>
      </c>
      <c r="C60" s="115">
        <v>7290</v>
      </c>
      <c r="D60" s="115">
        <v>7288.9</v>
      </c>
      <c r="E60" s="115">
        <v>86</v>
      </c>
      <c r="F60" s="115">
        <v>87</v>
      </c>
      <c r="G60" s="207">
        <v>789531.6</v>
      </c>
      <c r="H60" s="115">
        <v>7677.9</v>
      </c>
      <c r="I60" s="207">
        <v>799632</v>
      </c>
      <c r="J60" s="207">
        <v>7754</v>
      </c>
      <c r="K60" s="207"/>
      <c r="L60" s="207"/>
      <c r="M60" s="207"/>
    </row>
    <row r="61" spans="1:15" x14ac:dyDescent="0.2">
      <c r="A61" s="206">
        <v>43435</v>
      </c>
      <c r="B61">
        <f t="shared" si="1"/>
        <v>2018</v>
      </c>
      <c r="C61" s="115">
        <v>7300.1</v>
      </c>
      <c r="D61" s="115">
        <v>7310.7</v>
      </c>
      <c r="E61" s="115">
        <v>86.5</v>
      </c>
      <c r="F61" s="115">
        <v>87.2</v>
      </c>
      <c r="G61" s="207">
        <v>789531.6</v>
      </c>
      <c r="H61" s="115">
        <v>7677.9</v>
      </c>
      <c r="I61" s="207">
        <v>799632</v>
      </c>
      <c r="J61" s="207">
        <v>7754</v>
      </c>
      <c r="K61" s="207"/>
      <c r="L61" s="207"/>
      <c r="M61" s="207"/>
    </row>
    <row r="62" spans="1:15" x14ac:dyDescent="0.2">
      <c r="A62" s="206">
        <v>43466</v>
      </c>
      <c r="B62">
        <f t="shared" si="1"/>
        <v>2019</v>
      </c>
      <c r="C62" s="115">
        <v>7318</v>
      </c>
      <c r="D62" s="48">
        <v>7289.4</v>
      </c>
      <c r="E62" s="115">
        <v>87.3</v>
      </c>
      <c r="F62" s="48">
        <v>86.4</v>
      </c>
      <c r="G62" s="207">
        <v>807274.5</v>
      </c>
      <c r="H62" s="115">
        <v>7405</v>
      </c>
      <c r="I62" s="207">
        <v>800724</v>
      </c>
      <c r="J62" s="207">
        <v>7368</v>
      </c>
      <c r="K62" s="207"/>
      <c r="L62" s="207"/>
      <c r="M62" s="207"/>
    </row>
    <row r="63" spans="1:15" x14ac:dyDescent="0.2">
      <c r="A63" s="206">
        <v>43497</v>
      </c>
      <c r="B63">
        <f t="shared" si="1"/>
        <v>2019</v>
      </c>
      <c r="C63" s="115">
        <v>7345.4</v>
      </c>
      <c r="D63" s="48">
        <v>7278.4</v>
      </c>
      <c r="E63" s="115">
        <v>88.3</v>
      </c>
      <c r="F63" s="48">
        <v>86.7</v>
      </c>
      <c r="G63" s="207">
        <v>807274.5</v>
      </c>
      <c r="H63" s="115">
        <v>7405</v>
      </c>
      <c r="I63" s="207">
        <v>800724</v>
      </c>
      <c r="J63" s="207">
        <v>7368</v>
      </c>
      <c r="K63" s="207"/>
      <c r="L63" s="207"/>
      <c r="M63" s="207"/>
    </row>
    <row r="64" spans="1:15" x14ac:dyDescent="0.2">
      <c r="A64" s="206">
        <v>43525</v>
      </c>
      <c r="B64">
        <f t="shared" si="1"/>
        <v>2019</v>
      </c>
      <c r="C64" s="115">
        <v>7361.3</v>
      </c>
      <c r="D64" s="48">
        <v>7256.9</v>
      </c>
      <c r="E64" s="115">
        <v>88.6</v>
      </c>
      <c r="F64" s="48">
        <v>86.8</v>
      </c>
      <c r="G64" s="207">
        <v>807274.5</v>
      </c>
      <c r="H64" s="115">
        <v>7405</v>
      </c>
      <c r="I64" s="207">
        <v>800724</v>
      </c>
      <c r="J64" s="207">
        <v>7368</v>
      </c>
      <c r="K64" s="207"/>
      <c r="L64" s="207"/>
      <c r="M64" s="207"/>
    </row>
    <row r="65" spans="1:13" x14ac:dyDescent="0.2">
      <c r="A65" s="206">
        <v>43556</v>
      </c>
      <c r="B65">
        <f t="shared" si="1"/>
        <v>2019</v>
      </c>
      <c r="C65" s="115">
        <v>7382.3</v>
      </c>
      <c r="D65" s="48">
        <v>7294</v>
      </c>
      <c r="E65" s="115">
        <v>89</v>
      </c>
      <c r="F65" s="48">
        <v>87.8</v>
      </c>
      <c r="G65" s="207">
        <v>807274.5</v>
      </c>
      <c r="H65" s="115">
        <v>7405</v>
      </c>
      <c r="I65" s="207">
        <v>806630</v>
      </c>
      <c r="J65" s="207">
        <v>7613</v>
      </c>
      <c r="K65" s="207"/>
      <c r="L65" s="207"/>
      <c r="M65" s="207"/>
    </row>
    <row r="66" spans="1:13" x14ac:dyDescent="0.2">
      <c r="A66" s="206">
        <v>43586</v>
      </c>
      <c r="B66">
        <f t="shared" si="1"/>
        <v>2019</v>
      </c>
      <c r="C66" s="115">
        <v>7398.9</v>
      </c>
      <c r="D66" s="48">
        <v>7366.8</v>
      </c>
      <c r="E66" s="115">
        <v>89</v>
      </c>
      <c r="F66" s="48">
        <v>88.4</v>
      </c>
      <c r="G66" s="207">
        <v>807274.5</v>
      </c>
      <c r="H66" s="115">
        <v>7405</v>
      </c>
      <c r="I66" s="207">
        <v>806630</v>
      </c>
      <c r="J66" s="207">
        <v>7613</v>
      </c>
      <c r="K66" s="207"/>
      <c r="L66" s="207"/>
      <c r="M66" s="207"/>
    </row>
    <row r="67" spans="1:13" x14ac:dyDescent="0.2">
      <c r="A67" s="206">
        <v>43617</v>
      </c>
      <c r="B67">
        <f t="shared" si="1"/>
        <v>2019</v>
      </c>
      <c r="C67" s="115">
        <v>7420.3</v>
      </c>
      <c r="D67" s="48">
        <v>7460.9</v>
      </c>
      <c r="E67" s="115">
        <v>88.2</v>
      </c>
      <c r="F67" s="48">
        <v>88.5</v>
      </c>
      <c r="G67" s="207">
        <v>807274.5</v>
      </c>
      <c r="H67" s="115">
        <v>7405</v>
      </c>
      <c r="I67" s="207">
        <v>806630</v>
      </c>
      <c r="J67" s="207">
        <v>7613</v>
      </c>
      <c r="K67" s="207"/>
      <c r="L67" s="207"/>
      <c r="M67" s="207"/>
    </row>
    <row r="68" spans="1:13" x14ac:dyDescent="0.2">
      <c r="A68" s="206">
        <v>43647</v>
      </c>
      <c r="B68">
        <f t="shared" si="1"/>
        <v>2019</v>
      </c>
      <c r="C68" s="115">
        <v>7423.6</v>
      </c>
      <c r="D68" s="48">
        <v>7509.9</v>
      </c>
      <c r="E68" s="115">
        <v>87.5</v>
      </c>
      <c r="F68" s="48">
        <v>88.8</v>
      </c>
      <c r="G68" s="207">
        <v>807274.5</v>
      </c>
      <c r="H68" s="115">
        <v>7405</v>
      </c>
      <c r="I68" s="207">
        <v>810347</v>
      </c>
      <c r="J68" s="207">
        <v>7299</v>
      </c>
      <c r="K68" s="207"/>
      <c r="L68" s="207"/>
      <c r="M68" s="207"/>
    </row>
    <row r="69" spans="1:13" x14ac:dyDescent="0.2">
      <c r="A69" s="206">
        <v>43678</v>
      </c>
      <c r="B69">
        <f t="shared" si="1"/>
        <v>2019</v>
      </c>
      <c r="C69" s="115">
        <v>7433.8</v>
      </c>
      <c r="D69" s="48">
        <v>7523.3</v>
      </c>
      <c r="E69" s="115">
        <v>86.8</v>
      </c>
      <c r="F69" s="48">
        <v>88</v>
      </c>
      <c r="G69" s="207">
        <v>807274.5</v>
      </c>
      <c r="H69" s="115">
        <v>7405</v>
      </c>
      <c r="I69" s="207">
        <v>810347</v>
      </c>
      <c r="J69" s="207">
        <v>7299</v>
      </c>
      <c r="K69" s="207"/>
      <c r="L69" s="207"/>
      <c r="M69" s="207"/>
    </row>
    <row r="70" spans="1:13" x14ac:dyDescent="0.2">
      <c r="A70" s="206">
        <v>43709</v>
      </c>
      <c r="B70">
        <f t="shared" si="1"/>
        <v>2019</v>
      </c>
      <c r="C70" s="115">
        <v>7448.5</v>
      </c>
      <c r="D70" s="48">
        <v>7505.1</v>
      </c>
      <c r="E70" s="115">
        <v>86.1</v>
      </c>
      <c r="F70" s="48">
        <v>87</v>
      </c>
      <c r="G70" s="207">
        <v>807274.5</v>
      </c>
      <c r="H70" s="115">
        <v>7405</v>
      </c>
      <c r="I70" s="207">
        <v>810347</v>
      </c>
      <c r="J70" s="207">
        <v>7299</v>
      </c>
      <c r="K70" s="207"/>
      <c r="L70" s="207"/>
      <c r="M70" s="207"/>
    </row>
    <row r="71" spans="1:13" x14ac:dyDescent="0.2">
      <c r="A71" s="206">
        <v>43739</v>
      </c>
      <c r="B71">
        <f t="shared" ref="B71:B80" si="2">YEAR(A71)</f>
        <v>2019</v>
      </c>
      <c r="C71" s="115">
        <v>7462.2</v>
      </c>
      <c r="D71" s="48">
        <v>7501.2</v>
      </c>
      <c r="E71" s="115">
        <v>85.3</v>
      </c>
      <c r="F71" s="48">
        <v>86</v>
      </c>
      <c r="G71" s="207">
        <v>807274.5</v>
      </c>
      <c r="H71" s="115">
        <v>7405</v>
      </c>
      <c r="I71" s="207">
        <v>811397</v>
      </c>
      <c r="J71" s="207">
        <v>7340</v>
      </c>
      <c r="K71" s="207"/>
      <c r="L71" s="207"/>
      <c r="M71" s="207"/>
    </row>
    <row r="72" spans="1:13" x14ac:dyDescent="0.2">
      <c r="A72" s="206">
        <v>43770</v>
      </c>
      <c r="B72">
        <f t="shared" si="2"/>
        <v>2019</v>
      </c>
      <c r="C72" s="115">
        <v>7470.1</v>
      </c>
      <c r="D72" s="48">
        <v>7488.3</v>
      </c>
      <c r="E72" s="115">
        <v>85</v>
      </c>
      <c r="F72" s="48">
        <v>85.9</v>
      </c>
      <c r="G72" s="207">
        <v>807274.5</v>
      </c>
      <c r="H72" s="115">
        <v>7405</v>
      </c>
      <c r="I72" s="207">
        <v>811397</v>
      </c>
      <c r="J72" s="207">
        <v>7340</v>
      </c>
      <c r="K72" s="207"/>
      <c r="L72" s="207"/>
      <c r="M72" s="207"/>
    </row>
    <row r="73" spans="1:13" x14ac:dyDescent="0.2">
      <c r="A73" s="206">
        <v>43800</v>
      </c>
      <c r="B73">
        <f t="shared" si="2"/>
        <v>2019</v>
      </c>
      <c r="C73" s="115">
        <v>7482.6</v>
      </c>
      <c r="D73" s="48">
        <v>7493.8</v>
      </c>
      <c r="E73" s="115">
        <v>86.3</v>
      </c>
      <c r="F73" s="48">
        <v>86.9</v>
      </c>
      <c r="G73" s="207">
        <v>807274.5</v>
      </c>
      <c r="H73" s="115">
        <v>7405</v>
      </c>
      <c r="I73" s="207">
        <v>811397</v>
      </c>
      <c r="J73" s="207">
        <v>7340</v>
      </c>
      <c r="K73" s="207"/>
      <c r="L73" s="207"/>
      <c r="M73" s="207"/>
    </row>
    <row r="74" spans="1:13" x14ac:dyDescent="0.2">
      <c r="A74" s="206">
        <v>43831</v>
      </c>
      <c r="B74">
        <f t="shared" si="2"/>
        <v>2020</v>
      </c>
      <c r="C74" s="115">
        <v>7504.9</v>
      </c>
      <c r="D74" s="48">
        <v>7471.6</v>
      </c>
      <c r="E74" s="115">
        <v>87.3</v>
      </c>
      <c r="F74" s="48">
        <v>86.6</v>
      </c>
      <c r="G74" s="207">
        <v>769942</v>
      </c>
      <c r="H74" s="115">
        <v>6539.9</v>
      </c>
      <c r="I74" s="207">
        <v>800126</v>
      </c>
      <c r="J74" s="207">
        <v>7407</v>
      </c>
      <c r="K74" s="207"/>
      <c r="L74" s="207"/>
      <c r="M74" s="207"/>
    </row>
    <row r="75" spans="1:13" x14ac:dyDescent="0.2">
      <c r="A75" s="206">
        <v>43862</v>
      </c>
      <c r="B75">
        <f t="shared" si="2"/>
        <v>2020</v>
      </c>
      <c r="C75" s="115">
        <v>7512.3</v>
      </c>
      <c r="D75" s="115">
        <v>7442.1</v>
      </c>
      <c r="E75" s="115">
        <v>88.2</v>
      </c>
      <c r="F75" s="115">
        <v>86.8</v>
      </c>
      <c r="G75" s="207">
        <v>769942</v>
      </c>
      <c r="H75" s="115">
        <v>6539.9</v>
      </c>
      <c r="I75" s="207">
        <v>800126</v>
      </c>
      <c r="J75" s="207">
        <v>7407</v>
      </c>
      <c r="K75" s="207"/>
      <c r="L75" s="207"/>
      <c r="M75" s="207"/>
    </row>
    <row r="76" spans="1:13" x14ac:dyDescent="0.2">
      <c r="A76" s="206">
        <v>43891</v>
      </c>
      <c r="B76">
        <f t="shared" si="2"/>
        <v>2020</v>
      </c>
      <c r="C76" s="115">
        <v>7358</v>
      </c>
      <c r="D76" s="115">
        <v>7256.2</v>
      </c>
      <c r="E76" s="115">
        <v>85.5</v>
      </c>
      <c r="F76" s="115">
        <v>84.1</v>
      </c>
      <c r="G76" s="207">
        <v>769942</v>
      </c>
      <c r="H76" s="115">
        <v>6539.9</v>
      </c>
      <c r="I76" s="207">
        <v>800126</v>
      </c>
      <c r="J76" s="207">
        <v>7407</v>
      </c>
      <c r="K76" s="207"/>
      <c r="L76" s="207"/>
      <c r="M76" s="207"/>
    </row>
    <row r="77" spans="1:13" x14ac:dyDescent="0.2">
      <c r="A77" s="206">
        <v>43922</v>
      </c>
      <c r="B77">
        <f t="shared" si="2"/>
        <v>2020</v>
      </c>
      <c r="C77" s="115">
        <v>6963.7</v>
      </c>
      <c r="D77" s="115">
        <v>6885.2</v>
      </c>
      <c r="E77" s="115">
        <v>80.900000000000006</v>
      </c>
      <c r="F77" s="115">
        <v>80.2</v>
      </c>
      <c r="G77" s="207">
        <v>769942</v>
      </c>
      <c r="H77" s="115">
        <v>6539.9</v>
      </c>
      <c r="I77" s="207">
        <v>706539</v>
      </c>
      <c r="J77" s="207">
        <v>6073</v>
      </c>
      <c r="K77" s="207"/>
      <c r="L77" s="207"/>
      <c r="M77" s="207"/>
    </row>
    <row r="78" spans="1:13" x14ac:dyDescent="0.2">
      <c r="A78" s="206">
        <v>43952</v>
      </c>
      <c r="B78">
        <f t="shared" si="2"/>
        <v>2020</v>
      </c>
      <c r="C78" s="115">
        <v>6568.2</v>
      </c>
      <c r="D78" s="115">
        <v>6536.7</v>
      </c>
      <c r="E78" s="115">
        <v>76.7</v>
      </c>
      <c r="F78" s="115">
        <v>76.400000000000006</v>
      </c>
      <c r="G78" s="207">
        <v>769942</v>
      </c>
      <c r="H78" s="115">
        <v>6539.9</v>
      </c>
      <c r="I78" s="207">
        <v>706539</v>
      </c>
      <c r="J78" s="207">
        <v>6073</v>
      </c>
      <c r="K78" s="207"/>
      <c r="L78" s="207"/>
      <c r="M78" s="207"/>
    </row>
    <row r="79" spans="1:13" x14ac:dyDescent="0.2">
      <c r="A79" s="206">
        <v>43983</v>
      </c>
      <c r="B79">
        <f t="shared" si="2"/>
        <v>2020</v>
      </c>
      <c r="C79" s="115">
        <v>6459.7</v>
      </c>
      <c r="D79" s="115">
        <v>6498.5</v>
      </c>
      <c r="E79" s="115">
        <v>75.7</v>
      </c>
      <c r="F79" s="115">
        <v>76.099999999999994</v>
      </c>
      <c r="G79" s="207">
        <v>769942</v>
      </c>
      <c r="H79" s="115">
        <v>6539.9</v>
      </c>
      <c r="I79" s="207">
        <v>706539</v>
      </c>
      <c r="J79" s="207">
        <v>6073</v>
      </c>
      <c r="K79" s="207"/>
      <c r="L79" s="207"/>
      <c r="M79" s="207"/>
    </row>
    <row r="80" spans="1:13" x14ac:dyDescent="0.2">
      <c r="A80" s="206">
        <v>44013</v>
      </c>
      <c r="B80">
        <f t="shared" si="2"/>
        <v>2020</v>
      </c>
      <c r="C80" s="115">
        <v>6643.5</v>
      </c>
      <c r="D80" s="115">
        <v>6711.9</v>
      </c>
      <c r="E80" s="115">
        <v>77.8</v>
      </c>
      <c r="F80" s="115">
        <v>79.099999999999994</v>
      </c>
      <c r="G80" s="207">
        <v>769942</v>
      </c>
      <c r="H80" s="115">
        <v>6539.9</v>
      </c>
      <c r="I80" s="207">
        <v>777225</v>
      </c>
      <c r="J80" s="207">
        <v>6188</v>
      </c>
      <c r="K80" s="207"/>
      <c r="L80" s="207"/>
      <c r="M80" s="207"/>
    </row>
    <row r="81" spans="1:22" x14ac:dyDescent="0.2">
      <c r="A81" s="206">
        <v>44044</v>
      </c>
      <c r="B81">
        <f t="shared" ref="B81:B115" si="3">YEAR(A81)</f>
        <v>2020</v>
      </c>
      <c r="C81" s="115">
        <v>6879.1</v>
      </c>
      <c r="D81" s="115">
        <v>6950.9</v>
      </c>
      <c r="E81" s="115">
        <v>79.5</v>
      </c>
      <c r="F81" s="115">
        <v>81</v>
      </c>
      <c r="G81" s="207">
        <v>769942</v>
      </c>
      <c r="H81" s="115">
        <v>6539.9</v>
      </c>
      <c r="I81" s="207">
        <v>777225</v>
      </c>
      <c r="J81" s="207">
        <v>6188</v>
      </c>
      <c r="K81" s="207"/>
      <c r="L81" s="207"/>
      <c r="M81" s="207"/>
    </row>
    <row r="82" spans="1:22" x14ac:dyDescent="0.2">
      <c r="A82" s="206">
        <v>44075</v>
      </c>
      <c r="B82">
        <f t="shared" si="3"/>
        <v>2020</v>
      </c>
      <c r="C82" s="115">
        <v>7040.8</v>
      </c>
      <c r="D82" s="115">
        <v>7075.5</v>
      </c>
      <c r="E82" s="115">
        <v>80.900000000000006</v>
      </c>
      <c r="F82" s="115">
        <v>81.7</v>
      </c>
      <c r="G82" s="207">
        <v>769942</v>
      </c>
      <c r="H82" s="115">
        <v>6539.9</v>
      </c>
      <c r="I82" s="207">
        <v>777225</v>
      </c>
      <c r="J82" s="207">
        <v>6188</v>
      </c>
      <c r="K82" s="207"/>
      <c r="L82" s="207"/>
      <c r="M82" s="207"/>
      <c r="V82" s="18"/>
    </row>
    <row r="83" spans="1:22" x14ac:dyDescent="0.2">
      <c r="A83" s="206">
        <v>44105</v>
      </c>
      <c r="B83">
        <f t="shared" si="3"/>
        <v>2020</v>
      </c>
      <c r="C83" s="115">
        <v>7159.1</v>
      </c>
      <c r="D83" s="115">
        <v>7184.1</v>
      </c>
      <c r="E83" s="115">
        <v>81.5</v>
      </c>
      <c r="F83" s="115">
        <v>82</v>
      </c>
      <c r="G83" s="207">
        <v>769942</v>
      </c>
      <c r="H83" s="115">
        <v>6539.9</v>
      </c>
      <c r="I83" s="207">
        <v>795879</v>
      </c>
      <c r="J83" s="207">
        <v>6491</v>
      </c>
      <c r="K83" s="207"/>
      <c r="L83" s="207"/>
      <c r="M83" s="207"/>
      <c r="V83" s="18"/>
    </row>
    <row r="84" spans="1:22" x14ac:dyDescent="0.2">
      <c r="A84" s="206">
        <v>44136</v>
      </c>
      <c r="B84">
        <f t="shared" si="3"/>
        <v>2020</v>
      </c>
      <c r="C84" s="115">
        <v>7242.5</v>
      </c>
      <c r="D84" s="115">
        <v>7255.2</v>
      </c>
      <c r="E84" s="115">
        <v>81.8</v>
      </c>
      <c r="F84" s="115">
        <v>82.3</v>
      </c>
      <c r="G84" s="207">
        <v>769942</v>
      </c>
      <c r="H84" s="115">
        <v>6539.9</v>
      </c>
      <c r="I84" s="207">
        <v>795879</v>
      </c>
      <c r="J84" s="207">
        <v>6491</v>
      </c>
      <c r="K84" s="207"/>
      <c r="L84" s="207"/>
      <c r="M84" s="207"/>
      <c r="V84" s="18"/>
    </row>
    <row r="85" spans="1:22" x14ac:dyDescent="0.2">
      <c r="A85" s="206">
        <v>44166</v>
      </c>
      <c r="B85">
        <f t="shared" si="3"/>
        <v>2020</v>
      </c>
      <c r="C85" s="115">
        <v>7258.1</v>
      </c>
      <c r="D85" s="115">
        <v>7273.3</v>
      </c>
      <c r="E85" s="115">
        <v>81.400000000000006</v>
      </c>
      <c r="F85" s="115">
        <v>82</v>
      </c>
      <c r="G85" s="207">
        <v>769942</v>
      </c>
      <c r="H85" s="115">
        <v>6539.9</v>
      </c>
      <c r="I85" s="207">
        <v>795879</v>
      </c>
      <c r="J85" s="207">
        <v>6491</v>
      </c>
      <c r="K85" s="207"/>
      <c r="L85" s="207"/>
      <c r="M85" s="207"/>
      <c r="V85" s="18"/>
    </row>
    <row r="86" spans="1:22" x14ac:dyDescent="0.2">
      <c r="A86" s="206">
        <v>44197</v>
      </c>
      <c r="B86">
        <f t="shared" si="3"/>
        <v>2021</v>
      </c>
      <c r="C86" s="115">
        <v>7204.7</v>
      </c>
      <c r="D86" s="115">
        <v>7180.4</v>
      </c>
      <c r="E86" s="115">
        <v>80.599999999999994</v>
      </c>
      <c r="F86" s="115">
        <v>80.2</v>
      </c>
      <c r="G86" s="207">
        <v>809658.6</v>
      </c>
      <c r="H86" s="115">
        <v>6484.1</v>
      </c>
      <c r="I86" s="421">
        <v>808584</v>
      </c>
      <c r="J86" s="421">
        <v>6722</v>
      </c>
      <c r="K86" s="207"/>
      <c r="L86" s="207"/>
      <c r="M86" s="207"/>
      <c r="R86" s="119"/>
      <c r="U86" s="18"/>
      <c r="V86" s="18"/>
    </row>
    <row r="87" spans="1:22" x14ac:dyDescent="0.2">
      <c r="A87" s="206">
        <v>44228</v>
      </c>
      <c r="B87">
        <f t="shared" si="3"/>
        <v>2021</v>
      </c>
      <c r="C87" s="115">
        <v>7181.2</v>
      </c>
      <c r="D87" s="115">
        <v>7124.8</v>
      </c>
      <c r="E87" s="115">
        <v>80</v>
      </c>
      <c r="F87" s="115">
        <v>78.8</v>
      </c>
      <c r="G87" s="207">
        <v>809658.6</v>
      </c>
      <c r="H87" s="115">
        <v>6484.1</v>
      </c>
      <c r="I87" s="421">
        <v>808584</v>
      </c>
      <c r="J87" s="421">
        <v>6722</v>
      </c>
      <c r="K87" s="207"/>
      <c r="L87" s="207"/>
      <c r="M87" s="207"/>
      <c r="R87" s="119"/>
      <c r="U87" s="18"/>
      <c r="V87" s="18"/>
    </row>
    <row r="88" spans="1:22" x14ac:dyDescent="0.2">
      <c r="A88" s="206">
        <v>44256</v>
      </c>
      <c r="B88">
        <f t="shared" si="3"/>
        <v>2021</v>
      </c>
      <c r="C88" s="115">
        <v>7218.1</v>
      </c>
      <c r="D88" s="115">
        <v>7129.5</v>
      </c>
      <c r="E88" s="115">
        <v>80.3</v>
      </c>
      <c r="F88" s="115">
        <v>79.3</v>
      </c>
      <c r="G88" s="207">
        <v>809658.6</v>
      </c>
      <c r="H88" s="115">
        <v>6484.1</v>
      </c>
      <c r="I88" s="421">
        <v>808584</v>
      </c>
      <c r="J88" s="421">
        <v>6722</v>
      </c>
      <c r="K88" s="207"/>
      <c r="L88" s="207"/>
      <c r="M88" s="207"/>
      <c r="R88" s="119"/>
      <c r="U88" s="18"/>
      <c r="V88" s="18"/>
    </row>
    <row r="89" spans="1:22" x14ac:dyDescent="0.2">
      <c r="A89" s="206">
        <v>44287</v>
      </c>
      <c r="B89">
        <f t="shared" si="3"/>
        <v>2021</v>
      </c>
      <c r="C89" s="115">
        <v>7264</v>
      </c>
      <c r="D89" s="115">
        <v>7197</v>
      </c>
      <c r="E89" s="115">
        <v>80.8</v>
      </c>
      <c r="F89" s="115">
        <v>80.3</v>
      </c>
      <c r="G89" s="207">
        <v>809658.6</v>
      </c>
      <c r="H89" s="115">
        <v>6484.1</v>
      </c>
      <c r="I89" s="421">
        <v>802518</v>
      </c>
      <c r="J89" s="421">
        <v>6520</v>
      </c>
      <c r="K89" s="207"/>
      <c r="L89" s="207"/>
      <c r="M89" s="207"/>
      <c r="R89" s="119"/>
      <c r="U89" s="18"/>
      <c r="V89" s="18"/>
    </row>
    <row r="90" spans="1:22" x14ac:dyDescent="0.2">
      <c r="A90" s="206">
        <v>44317</v>
      </c>
      <c r="B90">
        <f t="shared" si="3"/>
        <v>2021</v>
      </c>
      <c r="C90" s="115">
        <v>7259.3</v>
      </c>
      <c r="D90" s="115">
        <v>7237.7</v>
      </c>
      <c r="E90" s="115">
        <v>81.7</v>
      </c>
      <c r="F90" s="115">
        <v>81.8</v>
      </c>
      <c r="G90" s="207">
        <v>809658.6</v>
      </c>
      <c r="H90" s="115">
        <v>6484.1</v>
      </c>
      <c r="I90" s="421">
        <v>802518</v>
      </c>
      <c r="J90" s="421">
        <v>6520</v>
      </c>
      <c r="K90" s="207"/>
      <c r="L90" s="207"/>
      <c r="M90" s="207"/>
      <c r="R90" s="119"/>
      <c r="U90" s="18"/>
      <c r="V90" s="18"/>
    </row>
    <row r="91" spans="1:22" x14ac:dyDescent="0.2">
      <c r="A91" s="206">
        <v>44348</v>
      </c>
      <c r="B91">
        <f t="shared" si="3"/>
        <v>2021</v>
      </c>
      <c r="C91" s="115">
        <v>7245.3</v>
      </c>
      <c r="D91" s="115">
        <v>7293</v>
      </c>
      <c r="E91" s="115">
        <v>81.5</v>
      </c>
      <c r="F91" s="115">
        <v>82.1</v>
      </c>
      <c r="G91" s="207">
        <v>809658.6</v>
      </c>
      <c r="H91" s="115">
        <v>6484.1</v>
      </c>
      <c r="I91" s="421">
        <v>802518</v>
      </c>
      <c r="J91" s="421">
        <v>6520</v>
      </c>
      <c r="K91" s="207"/>
      <c r="L91" s="207"/>
      <c r="M91" s="207"/>
      <c r="R91" s="119"/>
      <c r="U91" s="18"/>
      <c r="V91" s="18"/>
    </row>
    <row r="92" spans="1:22" x14ac:dyDescent="0.2">
      <c r="A92" s="206">
        <v>44378</v>
      </c>
      <c r="B92">
        <f t="shared" si="3"/>
        <v>2021</v>
      </c>
      <c r="C92" s="115">
        <v>7311.4</v>
      </c>
      <c r="D92" s="115">
        <v>7391.8</v>
      </c>
      <c r="E92" s="115">
        <v>80.900000000000006</v>
      </c>
      <c r="F92" s="115">
        <v>82</v>
      </c>
      <c r="G92" s="207">
        <v>809658.6</v>
      </c>
      <c r="H92" s="115">
        <v>6484.1</v>
      </c>
      <c r="I92" s="421">
        <v>819564</v>
      </c>
      <c r="J92" s="421">
        <v>6420</v>
      </c>
      <c r="K92" s="207"/>
      <c r="L92" s="207"/>
      <c r="M92" s="207"/>
      <c r="R92" s="119"/>
      <c r="U92" s="18"/>
      <c r="V92" s="18"/>
    </row>
    <row r="93" spans="1:22" x14ac:dyDescent="0.2">
      <c r="A93" s="206">
        <v>44409</v>
      </c>
      <c r="B93">
        <f t="shared" si="3"/>
        <v>2021</v>
      </c>
      <c r="C93" s="115">
        <v>7400.1</v>
      </c>
      <c r="D93" s="115">
        <v>7475.2</v>
      </c>
      <c r="E93" s="115">
        <v>81.400000000000006</v>
      </c>
      <c r="F93" s="115">
        <v>81.599999999999994</v>
      </c>
      <c r="G93" s="207">
        <v>809658.6</v>
      </c>
      <c r="H93" s="115">
        <v>6484.1</v>
      </c>
      <c r="I93" s="421">
        <v>819564</v>
      </c>
      <c r="J93" s="421">
        <v>6420</v>
      </c>
      <c r="K93" s="207"/>
      <c r="L93" s="207"/>
      <c r="M93" s="207"/>
      <c r="R93" s="119"/>
      <c r="U93" s="18"/>
      <c r="V93" s="18"/>
    </row>
    <row r="94" spans="1:22" x14ac:dyDescent="0.2">
      <c r="A94" s="206">
        <v>44440</v>
      </c>
      <c r="B94">
        <f t="shared" si="3"/>
        <v>2021</v>
      </c>
      <c r="C94" s="115">
        <v>7474.5</v>
      </c>
      <c r="D94" s="115">
        <v>7503.2</v>
      </c>
      <c r="E94" s="115">
        <v>82.9</v>
      </c>
      <c r="F94" s="115">
        <v>82.1</v>
      </c>
      <c r="G94" s="207">
        <v>809658.6</v>
      </c>
      <c r="H94" s="115">
        <v>6484.1</v>
      </c>
      <c r="I94" s="421">
        <v>819564</v>
      </c>
      <c r="J94" s="421">
        <v>6420</v>
      </c>
      <c r="K94" s="207"/>
      <c r="L94" s="207"/>
      <c r="M94" s="207"/>
      <c r="R94" s="119"/>
      <c r="U94" s="18"/>
      <c r="V94" s="18"/>
    </row>
    <row r="95" spans="1:22" x14ac:dyDescent="0.2">
      <c r="A95" s="206">
        <v>44470</v>
      </c>
      <c r="B95">
        <f t="shared" si="3"/>
        <v>2021</v>
      </c>
      <c r="C95" s="115">
        <v>7529.4</v>
      </c>
      <c r="D95" s="115">
        <v>7538.5</v>
      </c>
      <c r="E95" s="115">
        <v>84.1</v>
      </c>
      <c r="F95" s="115">
        <v>83.1</v>
      </c>
      <c r="G95" s="207">
        <v>809658.6</v>
      </c>
      <c r="H95" s="115">
        <v>6484.1</v>
      </c>
      <c r="I95" s="421">
        <v>838397</v>
      </c>
      <c r="J95" s="421">
        <v>6143</v>
      </c>
      <c r="K95" s="207"/>
      <c r="L95" s="207"/>
      <c r="M95" s="207"/>
      <c r="R95" s="119"/>
      <c r="U95" s="18"/>
      <c r="V95" s="18"/>
    </row>
    <row r="96" spans="1:22" x14ac:dyDescent="0.2">
      <c r="A96" s="206">
        <v>44501</v>
      </c>
      <c r="B96">
        <f t="shared" si="3"/>
        <v>2021</v>
      </c>
      <c r="C96" s="115">
        <v>7592</v>
      </c>
      <c r="D96" s="115">
        <v>7590.1</v>
      </c>
      <c r="E96" s="115">
        <v>84.7</v>
      </c>
      <c r="F96" s="115">
        <v>84.8</v>
      </c>
      <c r="G96" s="207">
        <v>809658.6</v>
      </c>
      <c r="H96" s="115">
        <v>6484.1</v>
      </c>
      <c r="I96" s="421">
        <v>838397</v>
      </c>
      <c r="J96" s="421">
        <v>6143</v>
      </c>
      <c r="K96" s="207"/>
      <c r="L96" s="207"/>
      <c r="M96" s="207"/>
      <c r="R96" s="119"/>
      <c r="U96" s="18"/>
      <c r="V96" s="18"/>
    </row>
    <row r="97" spans="1:22" x14ac:dyDescent="0.2">
      <c r="A97" s="206">
        <v>44531</v>
      </c>
      <c r="B97">
        <f t="shared" si="3"/>
        <v>2021</v>
      </c>
      <c r="C97" s="115">
        <v>7644.2</v>
      </c>
      <c r="D97" s="115">
        <v>7647.5</v>
      </c>
      <c r="E97" s="115">
        <v>84.6</v>
      </c>
      <c r="F97" s="115">
        <v>85.1</v>
      </c>
      <c r="G97" s="207">
        <v>809658.6</v>
      </c>
      <c r="H97" s="115">
        <v>6484.1</v>
      </c>
      <c r="I97" s="421">
        <v>838397</v>
      </c>
      <c r="J97" s="421">
        <v>6143</v>
      </c>
      <c r="K97" s="207"/>
      <c r="L97" s="207"/>
      <c r="M97" s="207"/>
      <c r="R97" s="119"/>
      <c r="U97" s="18"/>
      <c r="V97" s="18"/>
    </row>
    <row r="98" spans="1:22" x14ac:dyDescent="0.2">
      <c r="A98" s="206">
        <v>44562</v>
      </c>
      <c r="B98">
        <f t="shared" si="3"/>
        <v>2022</v>
      </c>
      <c r="C98" s="115">
        <v>7627.7</v>
      </c>
      <c r="D98" s="115">
        <v>7595.1</v>
      </c>
      <c r="E98" s="115">
        <v>85.6</v>
      </c>
      <c r="F98" s="115">
        <v>85.5</v>
      </c>
      <c r="G98" s="207">
        <v>839497.4</v>
      </c>
      <c r="H98" s="115">
        <v>6860.3</v>
      </c>
      <c r="I98" s="421">
        <v>845218</v>
      </c>
      <c r="J98" s="421">
        <v>6404</v>
      </c>
      <c r="K98" s="207"/>
      <c r="L98" s="207"/>
      <c r="M98" s="207"/>
      <c r="R98" s="119"/>
      <c r="U98" s="18"/>
      <c r="V98" s="18"/>
    </row>
    <row r="99" spans="1:22" x14ac:dyDescent="0.2">
      <c r="A99" s="206">
        <v>44593</v>
      </c>
      <c r="B99">
        <f t="shared" si="3"/>
        <v>2022</v>
      </c>
      <c r="C99" s="115">
        <v>7651.3</v>
      </c>
      <c r="D99" s="115">
        <v>7588.8</v>
      </c>
      <c r="E99" s="115">
        <v>85.5</v>
      </c>
      <c r="F99" s="115">
        <v>84.7</v>
      </c>
      <c r="G99" s="207">
        <v>839497.4</v>
      </c>
      <c r="H99" s="115">
        <v>6860.3</v>
      </c>
      <c r="I99" s="421">
        <v>845218</v>
      </c>
      <c r="J99" s="421">
        <v>6404</v>
      </c>
      <c r="K99" s="207"/>
      <c r="L99" s="207"/>
      <c r="M99" s="207"/>
      <c r="R99" s="119"/>
      <c r="U99" s="18"/>
      <c r="V99" s="18"/>
    </row>
    <row r="100" spans="1:22" x14ac:dyDescent="0.2">
      <c r="A100" s="206">
        <v>44621</v>
      </c>
      <c r="B100">
        <f t="shared" si="3"/>
        <v>2022</v>
      </c>
      <c r="C100" s="115">
        <v>7662.5</v>
      </c>
      <c r="D100" s="115">
        <v>7573.4</v>
      </c>
      <c r="E100" s="115">
        <v>85.8</v>
      </c>
      <c r="F100" s="115">
        <v>85.2</v>
      </c>
      <c r="G100" s="207">
        <v>839497.4</v>
      </c>
      <c r="H100" s="115">
        <v>6860.3</v>
      </c>
      <c r="I100" s="421">
        <v>845218</v>
      </c>
      <c r="J100" s="421">
        <v>6404</v>
      </c>
      <c r="K100" s="207"/>
      <c r="L100" s="207"/>
      <c r="M100" s="207"/>
      <c r="R100" s="119"/>
      <c r="U100" s="18"/>
      <c r="V100" s="18"/>
    </row>
    <row r="101" spans="1:22" x14ac:dyDescent="0.2">
      <c r="A101" s="206">
        <v>44652</v>
      </c>
      <c r="B101">
        <f t="shared" si="3"/>
        <v>2022</v>
      </c>
      <c r="C101" s="115">
        <v>7736.6</v>
      </c>
      <c r="D101" s="115">
        <v>7670</v>
      </c>
      <c r="E101" s="115">
        <v>85.8</v>
      </c>
      <c r="F101" s="115">
        <v>85.5</v>
      </c>
      <c r="G101" s="207">
        <v>839497.4</v>
      </c>
      <c r="H101" s="115">
        <v>6860.3</v>
      </c>
      <c r="I101" s="421">
        <v>851621</v>
      </c>
      <c r="J101" s="421">
        <v>6942</v>
      </c>
      <c r="K101" s="207"/>
      <c r="L101" s="207"/>
      <c r="M101" s="207"/>
      <c r="R101" s="119"/>
      <c r="U101" s="18"/>
      <c r="V101" s="18"/>
    </row>
    <row r="102" spans="1:22" x14ac:dyDescent="0.2">
      <c r="A102" s="206">
        <v>44682</v>
      </c>
      <c r="B102">
        <f t="shared" si="3"/>
        <v>2022</v>
      </c>
      <c r="C102" s="115">
        <v>7753.3</v>
      </c>
      <c r="D102" s="115">
        <v>7738.6</v>
      </c>
      <c r="E102" s="115">
        <v>85.4</v>
      </c>
      <c r="F102" s="115">
        <v>85.6</v>
      </c>
      <c r="G102" s="207">
        <v>839497.4</v>
      </c>
      <c r="H102" s="115">
        <v>6860.3</v>
      </c>
      <c r="I102" s="421">
        <v>851621</v>
      </c>
      <c r="J102" s="421">
        <v>6942</v>
      </c>
      <c r="K102" s="207"/>
      <c r="L102" s="207"/>
      <c r="M102" s="207"/>
      <c r="R102" s="119"/>
      <c r="U102" s="18"/>
      <c r="V102" s="18"/>
    </row>
    <row r="103" spans="1:22" x14ac:dyDescent="0.2">
      <c r="A103" s="206">
        <v>44713</v>
      </c>
      <c r="B103">
        <f t="shared" si="3"/>
        <v>2022</v>
      </c>
      <c r="C103" s="115">
        <v>7754.8</v>
      </c>
      <c r="D103" s="115">
        <v>7809.2</v>
      </c>
      <c r="E103" s="115">
        <v>85.9</v>
      </c>
      <c r="F103" s="115">
        <v>86.7</v>
      </c>
      <c r="G103" s="207">
        <v>839497.4</v>
      </c>
      <c r="H103" s="115">
        <v>6860.3</v>
      </c>
      <c r="I103" s="421">
        <v>851621</v>
      </c>
      <c r="J103" s="421">
        <v>6942</v>
      </c>
      <c r="K103" s="207"/>
      <c r="L103" s="207"/>
      <c r="M103" s="207"/>
      <c r="R103" s="119"/>
      <c r="U103" s="18"/>
      <c r="V103" s="18"/>
    </row>
    <row r="104" spans="1:22" x14ac:dyDescent="0.2">
      <c r="A104" s="206">
        <v>44743</v>
      </c>
      <c r="B104">
        <f t="shared" si="3"/>
        <v>2022</v>
      </c>
      <c r="C104" s="115">
        <v>7754.8</v>
      </c>
      <c r="D104" s="115">
        <v>7843.6</v>
      </c>
      <c r="E104" s="115">
        <v>85.5</v>
      </c>
      <c r="F104" s="115">
        <v>86.4</v>
      </c>
      <c r="G104" s="207">
        <v>839497.4</v>
      </c>
      <c r="H104" s="115">
        <v>6860.3</v>
      </c>
      <c r="I104" s="421">
        <v>852979</v>
      </c>
      <c r="J104" s="421">
        <v>7373</v>
      </c>
      <c r="K104" s="207"/>
      <c r="L104" s="207"/>
      <c r="M104" s="207"/>
      <c r="R104" s="119"/>
      <c r="U104" s="18"/>
      <c r="V104" s="18"/>
    </row>
    <row r="105" spans="1:22" x14ac:dyDescent="0.2">
      <c r="A105" s="206">
        <v>44774</v>
      </c>
      <c r="B105">
        <f t="shared" si="3"/>
        <v>2022</v>
      </c>
      <c r="C105" s="115">
        <v>7747.4</v>
      </c>
      <c r="D105" s="115">
        <v>7825.4</v>
      </c>
      <c r="E105" s="115">
        <v>85.7</v>
      </c>
      <c r="F105" s="115">
        <v>85.7</v>
      </c>
      <c r="G105" s="207">
        <v>839497.4</v>
      </c>
      <c r="H105" s="115">
        <v>6860.3</v>
      </c>
      <c r="I105" s="421">
        <v>852979</v>
      </c>
      <c r="J105" s="421">
        <v>7373</v>
      </c>
      <c r="K105" s="207"/>
      <c r="L105" s="207"/>
      <c r="M105" s="207"/>
      <c r="R105" s="119"/>
      <c r="U105" s="18"/>
      <c r="V105" s="18"/>
    </row>
    <row r="106" spans="1:22" x14ac:dyDescent="0.2">
      <c r="A106" s="206">
        <v>44805</v>
      </c>
      <c r="B106">
        <f t="shared" si="3"/>
        <v>2022</v>
      </c>
      <c r="C106" s="115">
        <v>7740.7</v>
      </c>
      <c r="D106" s="115">
        <v>7766.7</v>
      </c>
      <c r="E106" s="115">
        <v>84.9</v>
      </c>
      <c r="F106" s="115">
        <v>83.8</v>
      </c>
      <c r="G106" s="207">
        <v>839497.4</v>
      </c>
      <c r="H106" s="115">
        <v>6860.3</v>
      </c>
      <c r="I106" s="421">
        <v>852979</v>
      </c>
      <c r="J106" s="421">
        <v>7373</v>
      </c>
      <c r="K106" s="207"/>
      <c r="L106" s="207"/>
      <c r="M106" s="207"/>
      <c r="R106" s="119"/>
      <c r="U106" s="18"/>
      <c r="V106" s="18"/>
    </row>
    <row r="107" spans="1:22" x14ac:dyDescent="0.2">
      <c r="A107" s="206">
        <v>44835</v>
      </c>
      <c r="B107">
        <f t="shared" si="3"/>
        <v>2022</v>
      </c>
      <c r="C107" s="115">
        <v>7740.3</v>
      </c>
      <c r="D107" s="115">
        <v>7743.5</v>
      </c>
      <c r="E107" s="115">
        <v>84.9</v>
      </c>
      <c r="F107" s="115">
        <v>83.6</v>
      </c>
      <c r="G107" s="207">
        <v>839497.4</v>
      </c>
      <c r="H107" s="115">
        <v>6860.3</v>
      </c>
      <c r="I107" s="421">
        <v>852029</v>
      </c>
      <c r="J107" s="421">
        <v>7589</v>
      </c>
      <c r="K107" s="207"/>
      <c r="L107" s="207"/>
      <c r="M107" s="207"/>
      <c r="R107" s="119"/>
      <c r="U107" s="18"/>
      <c r="V107" s="18"/>
    </row>
    <row r="108" spans="1:22" x14ac:dyDescent="0.2">
      <c r="A108" s="206">
        <v>44866</v>
      </c>
      <c r="B108">
        <f t="shared" si="3"/>
        <v>2022</v>
      </c>
      <c r="C108" s="115">
        <v>7747.2</v>
      </c>
      <c r="D108" s="115">
        <v>7738.9</v>
      </c>
      <c r="E108" s="115">
        <v>85</v>
      </c>
      <c r="F108" s="115">
        <v>84.8</v>
      </c>
      <c r="G108" s="207">
        <v>839497.4</v>
      </c>
      <c r="H108" s="115">
        <v>6860.3</v>
      </c>
      <c r="I108" s="421">
        <v>852029</v>
      </c>
      <c r="J108" s="421">
        <v>7589</v>
      </c>
      <c r="K108" s="207"/>
      <c r="L108" s="207"/>
      <c r="M108" s="207"/>
      <c r="R108" s="119"/>
      <c r="U108" s="18"/>
      <c r="V108" s="18"/>
    </row>
    <row r="109" spans="1:22" x14ac:dyDescent="0.2">
      <c r="A109" s="206">
        <v>44896</v>
      </c>
      <c r="B109">
        <f t="shared" si="3"/>
        <v>2022</v>
      </c>
      <c r="C109" s="115">
        <v>7776.1</v>
      </c>
      <c r="D109" s="115">
        <v>7777.2</v>
      </c>
      <c r="E109" s="115">
        <v>85.8</v>
      </c>
      <c r="F109" s="115">
        <v>86.2</v>
      </c>
      <c r="G109" s="207">
        <v>839497.4</v>
      </c>
      <c r="H109" s="115">
        <v>6860.3</v>
      </c>
      <c r="I109" s="421">
        <v>852029</v>
      </c>
      <c r="J109" s="421">
        <v>7589</v>
      </c>
      <c r="K109" s="207"/>
      <c r="L109" s="207"/>
      <c r="M109" s="207"/>
      <c r="R109" s="119"/>
      <c r="U109" s="18"/>
      <c r="V109" s="18"/>
    </row>
    <row r="110" spans="1:22" x14ac:dyDescent="0.2">
      <c r="A110" s="206">
        <v>44927</v>
      </c>
      <c r="B110">
        <f t="shared" si="3"/>
        <v>2023</v>
      </c>
      <c r="C110" s="115">
        <v>7807</v>
      </c>
      <c r="D110" s="115">
        <v>7776.6</v>
      </c>
      <c r="E110" s="115">
        <v>86.9</v>
      </c>
      <c r="F110" s="115">
        <v>87.1</v>
      </c>
      <c r="G110" s="210">
        <v>852729.2</v>
      </c>
      <c r="H110" s="115">
        <v>6918.4</v>
      </c>
      <c r="I110" s="421">
        <v>860658</v>
      </c>
      <c r="J110" s="421">
        <v>7392</v>
      </c>
      <c r="K110" s="207"/>
      <c r="L110" s="207"/>
      <c r="M110" s="207"/>
      <c r="R110" s="119"/>
      <c r="U110" s="18"/>
      <c r="V110" s="18"/>
    </row>
    <row r="111" spans="1:22" x14ac:dyDescent="0.2">
      <c r="A111" s="206">
        <v>44958</v>
      </c>
      <c r="B111">
        <f t="shared" si="3"/>
        <v>2023</v>
      </c>
      <c r="C111" s="115">
        <v>7840.7</v>
      </c>
      <c r="D111" s="115">
        <v>7780.5</v>
      </c>
      <c r="E111" s="115">
        <v>87.8</v>
      </c>
      <c r="F111" s="115">
        <v>87.5</v>
      </c>
      <c r="G111" s="210">
        <v>852729.2</v>
      </c>
      <c r="H111" s="115">
        <v>6918.4</v>
      </c>
      <c r="I111" s="421">
        <v>860658</v>
      </c>
      <c r="J111" s="421">
        <v>7392</v>
      </c>
      <c r="K111" s="207"/>
      <c r="L111" s="207"/>
      <c r="M111" s="207"/>
      <c r="R111" s="119"/>
      <c r="U111" s="18"/>
      <c r="V111" s="18"/>
    </row>
    <row r="112" spans="1:22" x14ac:dyDescent="0.2">
      <c r="A112" s="206">
        <v>44986</v>
      </c>
      <c r="B112">
        <f t="shared" si="3"/>
        <v>2023</v>
      </c>
      <c r="C112" s="115">
        <v>7866.6</v>
      </c>
      <c r="D112" s="115">
        <v>7781.3</v>
      </c>
      <c r="E112" s="115">
        <v>88</v>
      </c>
      <c r="F112" s="115">
        <v>87.8</v>
      </c>
      <c r="G112" s="210">
        <v>852729.2</v>
      </c>
      <c r="H112" s="115">
        <v>6918.4</v>
      </c>
      <c r="I112" s="421">
        <v>860658</v>
      </c>
      <c r="J112" s="421">
        <v>7392</v>
      </c>
      <c r="K112" s="207"/>
      <c r="L112" s="207"/>
      <c r="M112" s="207"/>
      <c r="R112" s="119"/>
      <c r="U112" s="18"/>
      <c r="V112" s="18"/>
    </row>
    <row r="113" spans="1:22" x14ac:dyDescent="0.2">
      <c r="A113" s="206">
        <v>45017</v>
      </c>
      <c r="B113">
        <f t="shared" si="3"/>
        <v>2023</v>
      </c>
      <c r="C113" s="115">
        <v>7884.3</v>
      </c>
      <c r="D113" s="115">
        <v>7819.6</v>
      </c>
      <c r="E113" s="115">
        <v>87.9</v>
      </c>
      <c r="F113" s="115">
        <v>87.9</v>
      </c>
      <c r="G113" s="210">
        <v>852729.2</v>
      </c>
      <c r="H113" s="115">
        <v>6918.4</v>
      </c>
      <c r="I113" s="421">
        <v>865503</v>
      </c>
      <c r="J113" s="421">
        <v>7118</v>
      </c>
      <c r="K113" s="207"/>
      <c r="L113" s="207"/>
      <c r="M113" s="207"/>
      <c r="R113" s="119"/>
      <c r="U113" s="18"/>
      <c r="V113" s="18"/>
    </row>
    <row r="114" spans="1:22" x14ac:dyDescent="0.2">
      <c r="A114" s="206">
        <v>45047</v>
      </c>
      <c r="B114">
        <f t="shared" si="3"/>
        <v>2023</v>
      </c>
      <c r="C114" s="115">
        <v>7895.3</v>
      </c>
      <c r="D114" s="115">
        <v>7882.6</v>
      </c>
      <c r="E114" s="115">
        <v>87.8</v>
      </c>
      <c r="F114" s="115">
        <v>88.2</v>
      </c>
      <c r="G114" s="210">
        <v>852729.2</v>
      </c>
      <c r="H114" s="115">
        <v>6918.4</v>
      </c>
      <c r="I114" s="421">
        <v>865503</v>
      </c>
      <c r="J114" s="421">
        <v>7118</v>
      </c>
      <c r="K114" s="207"/>
      <c r="L114" s="207"/>
      <c r="M114" s="207"/>
      <c r="R114" s="119"/>
      <c r="U114" s="18"/>
      <c r="V114" s="18"/>
    </row>
    <row r="115" spans="1:22" x14ac:dyDescent="0.2">
      <c r="A115" s="206">
        <v>45078</v>
      </c>
      <c r="B115">
        <f t="shared" si="3"/>
        <v>2023</v>
      </c>
      <c r="C115" s="115">
        <v>7916.1</v>
      </c>
      <c r="D115" s="115">
        <v>7971.2</v>
      </c>
      <c r="E115" s="115">
        <v>86.5</v>
      </c>
      <c r="F115" s="115">
        <v>87.2</v>
      </c>
      <c r="G115" s="210">
        <v>852729.2</v>
      </c>
      <c r="H115" s="115">
        <v>6918.4</v>
      </c>
      <c r="I115" s="421">
        <v>865503</v>
      </c>
      <c r="J115" s="421">
        <v>7118</v>
      </c>
      <c r="K115" s="207"/>
      <c r="L115" s="207"/>
      <c r="M115" s="207"/>
      <c r="R115" s="119"/>
      <c r="U115" s="18"/>
      <c r="V115" s="18"/>
    </row>
    <row r="116" spans="1:22" x14ac:dyDescent="0.2">
      <c r="A116" s="206">
        <v>45108</v>
      </c>
      <c r="B116">
        <f t="shared" ref="B116:B145" si="4">YEAR(A116)</f>
        <v>2023</v>
      </c>
      <c r="C116" s="115">
        <v>7926.1</v>
      </c>
      <c r="D116" s="115">
        <v>8016.9</v>
      </c>
      <c r="E116" s="115">
        <v>85.9</v>
      </c>
      <c r="F116" s="115">
        <v>86.5</v>
      </c>
      <c r="G116" s="210">
        <v>852729.2</v>
      </c>
      <c r="H116" s="115">
        <v>6918.4</v>
      </c>
      <c r="I116" s="421">
        <v>867701</v>
      </c>
      <c r="J116" s="421">
        <v>6933</v>
      </c>
      <c r="K116" s="207"/>
      <c r="L116" s="207"/>
      <c r="M116" s="207"/>
      <c r="R116" s="119"/>
      <c r="U116" s="18"/>
      <c r="V116" s="18"/>
    </row>
    <row r="117" spans="1:22" x14ac:dyDescent="0.2">
      <c r="A117" s="206">
        <v>45139</v>
      </c>
      <c r="B117">
        <f t="shared" si="4"/>
        <v>2023</v>
      </c>
      <c r="C117" s="115">
        <v>7940.5</v>
      </c>
      <c r="D117" s="115">
        <v>8020.3</v>
      </c>
      <c r="E117" s="115">
        <v>85.2</v>
      </c>
      <c r="F117" s="115">
        <v>84.9</v>
      </c>
      <c r="G117" s="210">
        <v>852729.2</v>
      </c>
      <c r="H117" s="115">
        <v>6918.4</v>
      </c>
      <c r="I117" s="421">
        <v>867701</v>
      </c>
      <c r="J117" s="421">
        <v>6933</v>
      </c>
      <c r="K117" s="207"/>
      <c r="L117" s="207"/>
      <c r="M117" s="207"/>
      <c r="R117" s="119"/>
      <c r="U117" s="18"/>
      <c r="V117" s="18"/>
    </row>
    <row r="118" spans="1:22" x14ac:dyDescent="0.2">
      <c r="A118" s="206">
        <v>45170</v>
      </c>
      <c r="B118">
        <f t="shared" si="4"/>
        <v>2023</v>
      </c>
      <c r="C118" s="115">
        <v>7945</v>
      </c>
      <c r="D118" s="115">
        <v>7968.4</v>
      </c>
      <c r="E118" s="115">
        <v>86.1</v>
      </c>
      <c r="F118" s="115">
        <v>84.8</v>
      </c>
      <c r="G118" s="210">
        <v>852729.2</v>
      </c>
      <c r="H118" s="115">
        <v>6918.4</v>
      </c>
      <c r="I118" s="421">
        <v>867701</v>
      </c>
      <c r="J118" s="421">
        <v>6933</v>
      </c>
      <c r="K118" s="207"/>
      <c r="L118" s="207"/>
      <c r="M118" s="207"/>
      <c r="R118" s="119"/>
      <c r="U118" s="18"/>
      <c r="V118" s="18"/>
    </row>
    <row r="119" spans="1:22" x14ac:dyDescent="0.2">
      <c r="A119" s="206">
        <v>45200</v>
      </c>
      <c r="B119">
        <f t="shared" si="4"/>
        <v>2023</v>
      </c>
      <c r="C119" s="115">
        <v>7949.8</v>
      </c>
      <c r="D119" s="115">
        <v>7947.2</v>
      </c>
      <c r="E119" s="115">
        <v>86.6</v>
      </c>
      <c r="F119" s="115">
        <v>85.3</v>
      </c>
      <c r="G119" s="210">
        <v>852729.2</v>
      </c>
      <c r="H119" s="115">
        <v>6918.4</v>
      </c>
      <c r="I119" s="421">
        <v>869576</v>
      </c>
      <c r="J119" s="421">
        <v>7015</v>
      </c>
      <c r="K119" s="207"/>
      <c r="L119" s="207"/>
      <c r="M119" s="207"/>
      <c r="R119" s="119"/>
      <c r="U119" s="18"/>
      <c r="V119" s="18"/>
    </row>
    <row r="120" spans="1:22" x14ac:dyDescent="0.2">
      <c r="A120" s="206">
        <v>45231</v>
      </c>
      <c r="B120">
        <f t="shared" si="4"/>
        <v>2023</v>
      </c>
      <c r="C120" s="115">
        <v>7953.4</v>
      </c>
      <c r="D120" s="115">
        <v>7939.3</v>
      </c>
      <c r="E120" s="115">
        <v>87.2</v>
      </c>
      <c r="F120" s="115">
        <v>86.9</v>
      </c>
      <c r="G120" s="210">
        <v>852729.2</v>
      </c>
      <c r="H120" s="115">
        <v>6918.4</v>
      </c>
      <c r="I120" s="421">
        <v>869576</v>
      </c>
      <c r="J120" s="421">
        <v>7015</v>
      </c>
      <c r="K120" s="207"/>
      <c r="L120" s="207"/>
      <c r="M120" s="207"/>
      <c r="R120" s="119"/>
      <c r="U120" s="18"/>
      <c r="V120" s="18"/>
    </row>
    <row r="121" spans="1:22" x14ac:dyDescent="0.2">
      <c r="A121" s="206">
        <v>45261</v>
      </c>
      <c r="B121">
        <f t="shared" si="4"/>
        <v>2023</v>
      </c>
      <c r="C121" s="115">
        <v>7938</v>
      </c>
      <c r="D121" s="115">
        <v>7938.2</v>
      </c>
      <c r="E121" s="115">
        <v>87.5</v>
      </c>
      <c r="F121" s="115">
        <v>87.9</v>
      </c>
      <c r="G121" s="210">
        <v>852729.2</v>
      </c>
      <c r="H121" s="115">
        <v>6918.4</v>
      </c>
      <c r="I121" s="421">
        <v>869576</v>
      </c>
      <c r="J121" s="421">
        <v>7015</v>
      </c>
      <c r="K121" s="207"/>
      <c r="L121" s="207"/>
      <c r="M121" s="207"/>
      <c r="R121" s="119"/>
      <c r="U121" s="18"/>
      <c r="V121" s="18"/>
    </row>
    <row r="122" spans="1:22" x14ac:dyDescent="0.2">
      <c r="A122" s="206">
        <v>45292</v>
      </c>
      <c r="B122">
        <f t="shared" si="4"/>
        <v>2024</v>
      </c>
      <c r="C122" s="115">
        <v>7934.2</v>
      </c>
      <c r="D122" s="115">
        <v>7904.9</v>
      </c>
      <c r="E122" s="115">
        <v>87.5</v>
      </c>
      <c r="F122" s="115">
        <v>87.9</v>
      </c>
      <c r="G122" s="117">
        <f t="shared" ref="G122:H133" si="5">G110*(1+$U$6)</f>
        <v>862535.5858</v>
      </c>
      <c r="H122" s="117">
        <f t="shared" si="5"/>
        <v>6997.9615999999996</v>
      </c>
      <c r="I122" s="421">
        <v>874402</v>
      </c>
      <c r="J122" s="421">
        <v>7160</v>
      </c>
      <c r="K122" s="207"/>
      <c r="L122" s="207"/>
      <c r="M122" s="207"/>
      <c r="R122" s="119"/>
      <c r="U122" s="18"/>
      <c r="V122" s="18"/>
    </row>
    <row r="123" spans="1:22" x14ac:dyDescent="0.2">
      <c r="A123" s="206">
        <v>45323</v>
      </c>
      <c r="B123">
        <f t="shared" si="4"/>
        <v>2024</v>
      </c>
      <c r="C123" s="115">
        <v>7932</v>
      </c>
      <c r="D123" s="115">
        <v>7874.1</v>
      </c>
      <c r="E123" s="115">
        <v>87</v>
      </c>
      <c r="F123" s="115">
        <v>87</v>
      </c>
      <c r="G123" s="117">
        <f t="shared" si="5"/>
        <v>862535.5858</v>
      </c>
      <c r="H123" s="117">
        <f t="shared" si="5"/>
        <v>6997.9615999999996</v>
      </c>
      <c r="I123" s="421">
        <v>874402</v>
      </c>
      <c r="J123" s="421">
        <v>7160</v>
      </c>
      <c r="K123" s="207"/>
      <c r="L123" s="207"/>
      <c r="M123" s="207"/>
      <c r="R123" s="119"/>
      <c r="U123" s="18"/>
      <c r="V123" s="18"/>
    </row>
    <row r="124" spans="1:22" x14ac:dyDescent="0.2">
      <c r="A124" s="206">
        <v>45352</v>
      </c>
      <c r="B124">
        <f t="shared" si="4"/>
        <v>2024</v>
      </c>
      <c r="C124" s="115">
        <v>7950.9</v>
      </c>
      <c r="D124" s="115">
        <v>7870.9</v>
      </c>
      <c r="E124" s="115">
        <v>85.3</v>
      </c>
      <c r="F124" s="115">
        <v>85</v>
      </c>
      <c r="G124" s="117">
        <f t="shared" si="5"/>
        <v>862535.5858</v>
      </c>
      <c r="H124" s="117">
        <f t="shared" si="5"/>
        <v>6997.9615999999996</v>
      </c>
      <c r="I124" s="421">
        <v>874402</v>
      </c>
      <c r="J124" s="421">
        <v>7160</v>
      </c>
      <c r="K124" s="207"/>
      <c r="L124" s="207"/>
      <c r="M124" s="207"/>
      <c r="R124" s="119"/>
      <c r="U124" s="18"/>
      <c r="V124" s="18"/>
    </row>
    <row r="125" spans="1:22" x14ac:dyDescent="0.2">
      <c r="A125" s="206">
        <v>45383</v>
      </c>
      <c r="B125">
        <f t="shared" si="4"/>
        <v>2024</v>
      </c>
      <c r="C125" s="115">
        <v>7970.1</v>
      </c>
      <c r="D125" s="115">
        <v>7915</v>
      </c>
      <c r="E125" s="115">
        <v>84.1</v>
      </c>
      <c r="F125" s="115">
        <v>84</v>
      </c>
      <c r="G125" s="117">
        <f t="shared" si="5"/>
        <v>862535.5858</v>
      </c>
      <c r="H125" s="117">
        <f t="shared" si="5"/>
        <v>6997.9615999999996</v>
      </c>
      <c r="I125" s="421">
        <v>877135</v>
      </c>
      <c r="J125" s="421">
        <v>7358</v>
      </c>
      <c r="K125" s="207"/>
      <c r="L125" s="207"/>
      <c r="M125" s="207"/>
      <c r="R125" s="119"/>
      <c r="U125" s="18"/>
      <c r="V125" s="18"/>
    </row>
    <row r="126" spans="1:22" x14ac:dyDescent="0.2">
      <c r="A126" s="206">
        <v>45413</v>
      </c>
      <c r="B126">
        <f t="shared" si="4"/>
        <v>2024</v>
      </c>
      <c r="C126" s="115">
        <v>8003.7</v>
      </c>
      <c r="D126" s="115">
        <v>7999.8</v>
      </c>
      <c r="E126" s="115">
        <v>82.8</v>
      </c>
      <c r="F126" s="115">
        <v>82.7</v>
      </c>
      <c r="G126" s="117">
        <f t="shared" si="5"/>
        <v>862535.5858</v>
      </c>
      <c r="H126" s="117">
        <f t="shared" si="5"/>
        <v>6997.9615999999996</v>
      </c>
      <c r="I126" s="421">
        <v>877135</v>
      </c>
      <c r="J126" s="421">
        <v>7358</v>
      </c>
      <c r="K126" s="207"/>
      <c r="L126" s="207"/>
      <c r="M126" s="207"/>
      <c r="R126" s="119"/>
      <c r="U126" s="18"/>
      <c r="V126" s="18"/>
    </row>
    <row r="127" spans="1:22" x14ac:dyDescent="0.2">
      <c r="A127" s="206">
        <v>45444</v>
      </c>
      <c r="B127">
        <f t="shared" si="4"/>
        <v>2024</v>
      </c>
      <c r="C127" s="115">
        <v>8031.8</v>
      </c>
      <c r="D127" s="115">
        <v>8092.5</v>
      </c>
      <c r="E127" s="115">
        <v>82.8</v>
      </c>
      <c r="F127" s="115">
        <v>82.7</v>
      </c>
      <c r="G127" s="117">
        <f t="shared" si="5"/>
        <v>862535.5858</v>
      </c>
      <c r="H127" s="117">
        <f t="shared" si="5"/>
        <v>6997.9615999999996</v>
      </c>
      <c r="I127" s="421">
        <v>877135</v>
      </c>
      <c r="J127" s="421">
        <v>7358</v>
      </c>
      <c r="K127" s="207"/>
      <c r="L127" s="207"/>
      <c r="M127" s="207"/>
      <c r="R127" s="119"/>
      <c r="U127" s="18"/>
      <c r="V127" s="18"/>
    </row>
    <row r="128" spans="1:22" x14ac:dyDescent="0.2">
      <c r="A128" s="206">
        <v>45474</v>
      </c>
      <c r="B128">
        <f t="shared" si="4"/>
        <v>2024</v>
      </c>
      <c r="C128" s="422">
        <v>8059</v>
      </c>
      <c r="D128" s="422">
        <v>8149.4</v>
      </c>
      <c r="E128" s="422">
        <v>83.1</v>
      </c>
      <c r="F128" s="422">
        <v>82.6</v>
      </c>
      <c r="G128" s="117">
        <f t="shared" si="5"/>
        <v>862535.5858</v>
      </c>
      <c r="H128" s="117">
        <f t="shared" si="5"/>
        <v>6997.9615999999996</v>
      </c>
      <c r="I128" s="421">
        <v>877865</v>
      </c>
      <c r="J128" s="421">
        <v>7409</v>
      </c>
      <c r="K128" s="207"/>
      <c r="L128" s="207"/>
      <c r="M128" s="207"/>
      <c r="R128" s="119"/>
      <c r="U128" s="18"/>
      <c r="V128" s="18"/>
    </row>
    <row r="129" spans="1:22" x14ac:dyDescent="0.2">
      <c r="A129" s="206">
        <v>45505</v>
      </c>
      <c r="B129">
        <f t="shared" si="4"/>
        <v>2024</v>
      </c>
      <c r="C129" s="422">
        <v>8066.9</v>
      </c>
      <c r="D129" s="422">
        <v>8147.2</v>
      </c>
      <c r="E129" s="422">
        <v>85</v>
      </c>
      <c r="F129" s="422">
        <v>84.4</v>
      </c>
      <c r="G129" s="117">
        <f t="shared" si="5"/>
        <v>862535.5858</v>
      </c>
      <c r="H129" s="117">
        <f t="shared" si="5"/>
        <v>6997.9615999999996</v>
      </c>
      <c r="I129" s="421">
        <v>877865</v>
      </c>
      <c r="J129" s="421">
        <v>7409</v>
      </c>
      <c r="K129" s="207"/>
      <c r="L129" s="207"/>
      <c r="M129" s="207"/>
      <c r="R129" s="119"/>
      <c r="U129" s="18"/>
      <c r="V129" s="18"/>
    </row>
    <row r="130" spans="1:22" x14ac:dyDescent="0.2">
      <c r="A130" s="206">
        <v>45536</v>
      </c>
      <c r="B130">
        <f t="shared" si="4"/>
        <v>2024</v>
      </c>
      <c r="C130" s="422">
        <v>8086</v>
      </c>
      <c r="D130" s="422">
        <v>8123.6</v>
      </c>
      <c r="E130" s="422">
        <v>86.3</v>
      </c>
      <c r="F130" s="422">
        <v>85.5</v>
      </c>
      <c r="G130" s="117">
        <f t="shared" si="5"/>
        <v>862535.5858</v>
      </c>
      <c r="H130" s="117">
        <f t="shared" si="5"/>
        <v>6997.9615999999996</v>
      </c>
      <c r="I130" s="421">
        <v>877865</v>
      </c>
      <c r="J130" s="421">
        <v>7409</v>
      </c>
      <c r="K130" s="207"/>
      <c r="L130" s="207"/>
      <c r="M130" s="207"/>
      <c r="R130" s="119"/>
      <c r="U130" s="18"/>
      <c r="V130" s="18"/>
    </row>
    <row r="131" spans="1:22" x14ac:dyDescent="0.2">
      <c r="A131" s="206">
        <v>45566</v>
      </c>
      <c r="B131">
        <f t="shared" si="4"/>
        <v>2024</v>
      </c>
      <c r="C131" s="422">
        <v>8094</v>
      </c>
      <c r="D131" s="422">
        <v>8109.5</v>
      </c>
      <c r="E131" s="422">
        <v>86.1</v>
      </c>
      <c r="F131" s="422">
        <v>85.7</v>
      </c>
      <c r="G131" s="117">
        <f t="shared" si="5"/>
        <v>862535.5858</v>
      </c>
      <c r="H131" s="117">
        <f t="shared" si="5"/>
        <v>6997.9615999999996</v>
      </c>
      <c r="I131" s="211">
        <f t="shared" ref="I131:J133" si="6">I119*(1+$AE$15)</f>
        <v>869576</v>
      </c>
      <c r="J131" s="211">
        <f t="shared" si="6"/>
        <v>7015</v>
      </c>
      <c r="K131" s="207"/>
      <c r="L131" s="207"/>
      <c r="M131" s="207"/>
      <c r="R131" s="119"/>
      <c r="U131" s="18"/>
      <c r="V131" s="18"/>
    </row>
    <row r="132" spans="1:22" x14ac:dyDescent="0.2">
      <c r="A132" s="206">
        <v>45597</v>
      </c>
      <c r="B132">
        <f t="shared" si="4"/>
        <v>2024</v>
      </c>
      <c r="C132" s="422">
        <v>8102.8</v>
      </c>
      <c r="D132" s="422">
        <v>8101.2</v>
      </c>
      <c r="E132" s="422">
        <v>85.4</v>
      </c>
      <c r="F132" s="422">
        <v>85.9</v>
      </c>
      <c r="G132" s="117">
        <f t="shared" si="5"/>
        <v>862535.5858</v>
      </c>
      <c r="H132" s="117">
        <f t="shared" si="5"/>
        <v>6997.9615999999996</v>
      </c>
      <c r="I132" s="211">
        <f t="shared" si="6"/>
        <v>869576</v>
      </c>
      <c r="J132" s="211">
        <f t="shared" si="6"/>
        <v>7015</v>
      </c>
      <c r="K132" s="207"/>
      <c r="L132" s="207"/>
      <c r="M132" s="207"/>
      <c r="R132" s="119"/>
      <c r="U132" s="18"/>
      <c r="V132" s="18"/>
    </row>
    <row r="133" spans="1:22" x14ac:dyDescent="0.2">
      <c r="A133" s="206">
        <v>45627</v>
      </c>
      <c r="B133">
        <f t="shared" si="4"/>
        <v>2024</v>
      </c>
      <c r="C133" s="422">
        <v>8105.1</v>
      </c>
      <c r="D133" s="422">
        <v>8097.3</v>
      </c>
      <c r="E133" s="422">
        <v>85</v>
      </c>
      <c r="F133" s="422">
        <v>86.4</v>
      </c>
      <c r="G133" s="117">
        <f t="shared" si="5"/>
        <v>862535.5858</v>
      </c>
      <c r="H133" s="117">
        <f t="shared" si="5"/>
        <v>6997.9615999999996</v>
      </c>
      <c r="I133" s="211">
        <f t="shared" si="6"/>
        <v>869576</v>
      </c>
      <c r="J133" s="211">
        <f t="shared" si="6"/>
        <v>7015</v>
      </c>
      <c r="K133" s="207"/>
      <c r="L133" s="207"/>
      <c r="M133" s="207"/>
      <c r="R133" s="119"/>
      <c r="U133" s="18"/>
      <c r="V133" s="18"/>
    </row>
    <row r="134" spans="1:22" x14ac:dyDescent="0.2">
      <c r="A134" s="116">
        <v>45658</v>
      </c>
      <c r="B134" s="11">
        <f t="shared" si="4"/>
        <v>2025</v>
      </c>
      <c r="C134" s="117">
        <f t="shared" ref="C134:F145" si="7">C122*(1+$U$12)</f>
        <v>8039.3281499999994</v>
      </c>
      <c r="D134" s="117">
        <f t="shared" si="7"/>
        <v>8009.6399249999995</v>
      </c>
      <c r="E134" s="117">
        <f t="shared" si="7"/>
        <v>88.659374999999997</v>
      </c>
      <c r="F134" s="117">
        <f t="shared" si="7"/>
        <v>89.064675000000008</v>
      </c>
      <c r="G134" s="117">
        <f t="shared" ref="G134:H145" si="8">G122*(1+$U$7)</f>
        <v>877198.6907585999</v>
      </c>
      <c r="H134" s="117">
        <f t="shared" si="8"/>
        <v>7116.9269471999987</v>
      </c>
      <c r="I134" s="211">
        <f t="shared" ref="I134:J145" si="9">I122*(1+$AE$16)</f>
        <v>874402</v>
      </c>
      <c r="J134" s="211">
        <f t="shared" si="9"/>
        <v>7160</v>
      </c>
      <c r="K134" s="207"/>
      <c r="L134" s="207"/>
      <c r="M134" s="207"/>
      <c r="R134" s="119"/>
      <c r="U134" s="18"/>
      <c r="V134" s="18"/>
    </row>
    <row r="135" spans="1:22" x14ac:dyDescent="0.2">
      <c r="A135" s="116">
        <v>45689</v>
      </c>
      <c r="B135" s="11">
        <f t="shared" si="4"/>
        <v>2025</v>
      </c>
      <c r="C135" s="117">
        <f t="shared" si="7"/>
        <v>8037.0990000000002</v>
      </c>
      <c r="D135" s="117">
        <f t="shared" si="7"/>
        <v>7978.4318250000006</v>
      </c>
      <c r="E135" s="117">
        <f t="shared" si="7"/>
        <v>88.152749999999997</v>
      </c>
      <c r="F135" s="117">
        <f t="shared" si="7"/>
        <v>88.152749999999997</v>
      </c>
      <c r="G135" s="117">
        <f t="shared" si="8"/>
        <v>877198.6907585999</v>
      </c>
      <c r="H135" s="117">
        <f t="shared" si="8"/>
        <v>7116.9269471999987</v>
      </c>
      <c r="I135" s="211">
        <f t="shared" si="9"/>
        <v>874402</v>
      </c>
      <c r="J135" s="211">
        <f t="shared" si="9"/>
        <v>7160</v>
      </c>
      <c r="K135" s="207"/>
      <c r="L135" s="207"/>
      <c r="M135" s="207"/>
    </row>
    <row r="136" spans="1:22" x14ac:dyDescent="0.2">
      <c r="A136" s="116">
        <v>45717</v>
      </c>
      <c r="B136" s="11">
        <f t="shared" si="4"/>
        <v>2025</v>
      </c>
      <c r="C136" s="117">
        <f t="shared" si="7"/>
        <v>8056.2494249999991</v>
      </c>
      <c r="D136" s="117">
        <f t="shared" si="7"/>
        <v>7975.1894249999996</v>
      </c>
      <c r="E136" s="117">
        <f t="shared" si="7"/>
        <v>86.430224999999993</v>
      </c>
      <c r="F136" s="117">
        <f t="shared" si="7"/>
        <v>86.126249999999999</v>
      </c>
      <c r="G136" s="117">
        <f t="shared" si="8"/>
        <v>877198.6907585999</v>
      </c>
      <c r="H136" s="117">
        <f t="shared" si="8"/>
        <v>7116.9269471999987</v>
      </c>
      <c r="I136" s="211">
        <f t="shared" si="9"/>
        <v>874402</v>
      </c>
      <c r="J136" s="211">
        <f t="shared" si="9"/>
        <v>7160</v>
      </c>
      <c r="K136" s="207"/>
      <c r="L136" s="207"/>
      <c r="M136" s="207"/>
    </row>
    <row r="137" spans="1:22" x14ac:dyDescent="0.2">
      <c r="A137" s="116">
        <v>45748</v>
      </c>
      <c r="B137" s="11">
        <f t="shared" si="4"/>
        <v>2025</v>
      </c>
      <c r="C137" s="117">
        <f t="shared" si="7"/>
        <v>8075.7038250000005</v>
      </c>
      <c r="D137" s="117">
        <f t="shared" si="7"/>
        <v>8019.8737499999997</v>
      </c>
      <c r="E137" s="117">
        <f t="shared" si="7"/>
        <v>85.214324999999988</v>
      </c>
      <c r="F137" s="117">
        <f t="shared" si="7"/>
        <v>85.113</v>
      </c>
      <c r="G137" s="117">
        <f t="shared" si="8"/>
        <v>877198.6907585999</v>
      </c>
      <c r="H137" s="117">
        <f t="shared" si="8"/>
        <v>7116.9269471999987</v>
      </c>
      <c r="I137" s="211">
        <f t="shared" si="9"/>
        <v>877135</v>
      </c>
      <c r="J137" s="211">
        <f t="shared" si="9"/>
        <v>7358</v>
      </c>
      <c r="K137" s="207"/>
      <c r="L137" s="207"/>
      <c r="M137" s="207"/>
    </row>
    <row r="138" spans="1:22" x14ac:dyDescent="0.2">
      <c r="A138" s="116">
        <v>45778</v>
      </c>
      <c r="B138" s="11">
        <f t="shared" si="4"/>
        <v>2025</v>
      </c>
      <c r="C138" s="117">
        <f t="shared" si="7"/>
        <v>8109.7490250000001</v>
      </c>
      <c r="D138" s="117">
        <f t="shared" si="7"/>
        <v>8105.7973499999998</v>
      </c>
      <c r="E138" s="117">
        <f t="shared" si="7"/>
        <v>83.897099999999995</v>
      </c>
      <c r="F138" s="117">
        <f t="shared" si="7"/>
        <v>83.795775000000006</v>
      </c>
      <c r="G138" s="117">
        <f t="shared" si="8"/>
        <v>877198.6907585999</v>
      </c>
      <c r="H138" s="117">
        <f t="shared" si="8"/>
        <v>7116.9269471999987</v>
      </c>
      <c r="I138" s="211">
        <f t="shared" si="9"/>
        <v>877135</v>
      </c>
      <c r="J138" s="211">
        <f t="shared" si="9"/>
        <v>7358</v>
      </c>
      <c r="K138" s="207"/>
      <c r="L138" s="207"/>
      <c r="M138" s="207"/>
    </row>
    <row r="139" spans="1:22" x14ac:dyDescent="0.2">
      <c r="A139" s="116">
        <v>45809</v>
      </c>
      <c r="B139" s="11">
        <f t="shared" si="4"/>
        <v>2025</v>
      </c>
      <c r="C139" s="117">
        <f t="shared" si="7"/>
        <v>8138.2213499999998</v>
      </c>
      <c r="D139" s="117">
        <f t="shared" si="7"/>
        <v>8199.7256249999991</v>
      </c>
      <c r="E139" s="117">
        <f t="shared" si="7"/>
        <v>83.897099999999995</v>
      </c>
      <c r="F139" s="117">
        <f t="shared" si="7"/>
        <v>83.795775000000006</v>
      </c>
      <c r="G139" s="117">
        <f t="shared" si="8"/>
        <v>877198.6907585999</v>
      </c>
      <c r="H139" s="117">
        <f t="shared" si="8"/>
        <v>7116.9269471999987</v>
      </c>
      <c r="I139" s="211">
        <f t="shared" si="9"/>
        <v>877135</v>
      </c>
      <c r="J139" s="211">
        <f t="shared" si="9"/>
        <v>7358</v>
      </c>
      <c r="K139" s="207"/>
      <c r="L139" s="207"/>
      <c r="M139" s="207"/>
    </row>
    <row r="140" spans="1:22" x14ac:dyDescent="0.2">
      <c r="A140" s="116">
        <v>45839</v>
      </c>
      <c r="B140" s="11">
        <f t="shared" si="4"/>
        <v>2025</v>
      </c>
      <c r="C140" s="117">
        <f t="shared" si="7"/>
        <v>8165.7817500000001</v>
      </c>
      <c r="D140" s="117">
        <f t="shared" si="7"/>
        <v>8257.3795499999997</v>
      </c>
      <c r="E140" s="117">
        <f t="shared" si="7"/>
        <v>84.201074999999989</v>
      </c>
      <c r="F140" s="117">
        <f t="shared" si="7"/>
        <v>83.694449999999989</v>
      </c>
      <c r="G140" s="117">
        <f t="shared" si="8"/>
        <v>877198.6907585999</v>
      </c>
      <c r="H140" s="117">
        <f t="shared" si="8"/>
        <v>7116.9269471999987</v>
      </c>
      <c r="I140" s="211">
        <f t="shared" si="9"/>
        <v>877865</v>
      </c>
      <c r="J140" s="211">
        <f t="shared" si="9"/>
        <v>7409</v>
      </c>
      <c r="K140" s="207"/>
      <c r="L140" s="207"/>
      <c r="M140" s="207"/>
    </row>
    <row r="141" spans="1:22" x14ac:dyDescent="0.2">
      <c r="A141" s="116">
        <v>45870</v>
      </c>
      <c r="B141" s="11">
        <f t="shared" si="4"/>
        <v>2025</v>
      </c>
      <c r="C141" s="117">
        <f t="shared" si="7"/>
        <v>8173.7864249999993</v>
      </c>
      <c r="D141" s="117">
        <f t="shared" si="7"/>
        <v>8255.1504000000004</v>
      </c>
      <c r="E141" s="117">
        <f t="shared" si="7"/>
        <v>86.126249999999999</v>
      </c>
      <c r="F141" s="117">
        <f t="shared" si="7"/>
        <v>85.518300000000011</v>
      </c>
      <c r="G141" s="117">
        <f t="shared" si="8"/>
        <v>877198.6907585999</v>
      </c>
      <c r="H141" s="117">
        <f t="shared" si="8"/>
        <v>7116.9269471999987</v>
      </c>
      <c r="I141" s="211">
        <f t="shared" si="9"/>
        <v>877865</v>
      </c>
      <c r="J141" s="211">
        <f t="shared" si="9"/>
        <v>7409</v>
      </c>
      <c r="K141" s="207"/>
      <c r="L141" s="207"/>
      <c r="M141" s="207"/>
    </row>
    <row r="142" spans="1:22" x14ac:dyDescent="0.2">
      <c r="A142" s="116">
        <v>45901</v>
      </c>
      <c r="B142" s="11">
        <f t="shared" si="4"/>
        <v>2025</v>
      </c>
      <c r="C142" s="117">
        <f t="shared" si="7"/>
        <v>8193.1394999999993</v>
      </c>
      <c r="D142" s="117">
        <f t="shared" si="7"/>
        <v>8231.2376999999997</v>
      </c>
      <c r="E142" s="117">
        <f t="shared" si="7"/>
        <v>87.443474999999992</v>
      </c>
      <c r="F142" s="117">
        <f t="shared" si="7"/>
        <v>86.632874999999999</v>
      </c>
      <c r="G142" s="117">
        <f t="shared" si="8"/>
        <v>877198.6907585999</v>
      </c>
      <c r="H142" s="117">
        <f t="shared" si="8"/>
        <v>7116.9269471999987</v>
      </c>
      <c r="I142" s="211">
        <f t="shared" si="9"/>
        <v>877865</v>
      </c>
      <c r="J142" s="211">
        <f t="shared" si="9"/>
        <v>7409</v>
      </c>
      <c r="K142" s="207"/>
      <c r="L142" s="207"/>
      <c r="M142" s="207"/>
    </row>
    <row r="143" spans="1:22" x14ac:dyDescent="0.2">
      <c r="A143" s="116">
        <v>45931</v>
      </c>
      <c r="B143" s="11">
        <f t="shared" si="4"/>
        <v>2025</v>
      </c>
      <c r="C143" s="117">
        <f t="shared" si="7"/>
        <v>8201.2454999999991</v>
      </c>
      <c r="D143" s="117">
        <f t="shared" si="7"/>
        <v>8216.9508750000005</v>
      </c>
      <c r="E143" s="117">
        <f t="shared" si="7"/>
        <v>87.240824999999987</v>
      </c>
      <c r="F143" s="117">
        <f t="shared" si="7"/>
        <v>86.835525000000004</v>
      </c>
      <c r="G143" s="117">
        <f t="shared" si="8"/>
        <v>877198.6907585999</v>
      </c>
      <c r="H143" s="117">
        <f t="shared" si="8"/>
        <v>7116.9269471999987</v>
      </c>
      <c r="I143" s="211">
        <f t="shared" si="9"/>
        <v>869576</v>
      </c>
      <c r="J143" s="211">
        <f t="shared" si="9"/>
        <v>7015</v>
      </c>
      <c r="K143" s="207"/>
      <c r="L143" s="207"/>
      <c r="M143" s="207"/>
    </row>
    <row r="144" spans="1:22" x14ac:dyDescent="0.2">
      <c r="A144" s="116">
        <v>45962</v>
      </c>
      <c r="B144" s="11">
        <f t="shared" si="4"/>
        <v>2025</v>
      </c>
      <c r="C144" s="117">
        <f t="shared" si="7"/>
        <v>8210.1620999999996</v>
      </c>
      <c r="D144" s="117">
        <f t="shared" si="7"/>
        <v>8208.5409</v>
      </c>
      <c r="E144" s="117">
        <f t="shared" si="7"/>
        <v>86.53155000000001</v>
      </c>
      <c r="F144" s="117">
        <f t="shared" si="7"/>
        <v>87.03817500000001</v>
      </c>
      <c r="G144" s="117">
        <f t="shared" si="8"/>
        <v>877198.6907585999</v>
      </c>
      <c r="H144" s="117">
        <f t="shared" si="8"/>
        <v>7116.9269471999987</v>
      </c>
      <c r="I144" s="211">
        <f t="shared" si="9"/>
        <v>869576</v>
      </c>
      <c r="J144" s="211">
        <f t="shared" si="9"/>
        <v>7015</v>
      </c>
      <c r="K144" s="207"/>
      <c r="L144" s="207"/>
      <c r="M144" s="207"/>
    </row>
    <row r="145" spans="1:13" x14ac:dyDescent="0.2">
      <c r="A145" s="116">
        <v>45992</v>
      </c>
      <c r="B145" s="11">
        <f t="shared" si="4"/>
        <v>2025</v>
      </c>
      <c r="C145" s="117">
        <f t="shared" si="7"/>
        <v>8212.4925750000002</v>
      </c>
      <c r="D145" s="117">
        <f t="shared" si="7"/>
        <v>8204.5892249999997</v>
      </c>
      <c r="E145" s="117">
        <f t="shared" si="7"/>
        <v>86.126249999999999</v>
      </c>
      <c r="F145" s="117">
        <f t="shared" si="7"/>
        <v>87.544800000000009</v>
      </c>
      <c r="G145" s="117">
        <f t="shared" si="8"/>
        <v>877198.6907585999</v>
      </c>
      <c r="H145" s="117">
        <f t="shared" si="8"/>
        <v>7116.9269471999987</v>
      </c>
      <c r="I145" s="211">
        <f t="shared" si="9"/>
        <v>869576</v>
      </c>
      <c r="J145" s="211">
        <f t="shared" si="9"/>
        <v>7015</v>
      </c>
      <c r="K145" s="207"/>
      <c r="L145" s="207"/>
      <c r="M145" s="207"/>
    </row>
    <row r="146" spans="1:13" x14ac:dyDescent="0.2">
      <c r="A146" s="116"/>
      <c r="B146"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EE63-18C0-472C-B533-FB24465367D5}">
  <sheetPr codeName="Sheet3"/>
  <dimension ref="A1:DW253"/>
  <sheetViews>
    <sheetView topLeftCell="AC1" workbookViewId="0">
      <selection activeCell="AP14" sqref="AP14"/>
    </sheetView>
  </sheetViews>
  <sheetFormatPr defaultRowHeight="12.75" x14ac:dyDescent="0.2"/>
  <cols>
    <col min="3" max="3" width="9.33203125" bestFit="1" customWidth="1"/>
    <col min="4" max="4" width="8.83203125" bestFit="1" customWidth="1"/>
    <col min="5" max="5" width="9.33203125" bestFit="1" customWidth="1"/>
    <col min="6" max="6" width="8.83203125" bestFit="1" customWidth="1"/>
    <col min="7" max="7" width="9.33203125" bestFit="1" customWidth="1"/>
    <col min="8" max="8" width="8.83203125" bestFit="1" customWidth="1"/>
    <col min="9" max="9" width="14.1640625" bestFit="1" customWidth="1"/>
    <col min="10" max="16" width="8.83203125" bestFit="1" customWidth="1"/>
    <col min="21" max="21" width="9.33203125" bestFit="1" customWidth="1"/>
    <col min="33" max="33" width="9.33203125" bestFit="1" customWidth="1"/>
    <col min="125" max="127" width="13.83203125" bestFit="1" customWidth="1"/>
  </cols>
  <sheetData>
    <row r="1" spans="1:127" x14ac:dyDescent="0.2">
      <c r="A1" t="s">
        <v>1</v>
      </c>
      <c r="B1" t="s">
        <v>2</v>
      </c>
      <c r="C1" t="s">
        <v>24</v>
      </c>
      <c r="D1" t="s">
        <v>25</v>
      </c>
      <c r="E1" t="s">
        <v>26</v>
      </c>
      <c r="F1" t="s">
        <v>27</v>
      </c>
      <c r="G1" t="s">
        <v>28</v>
      </c>
      <c r="H1" t="s">
        <v>29</v>
      </c>
      <c r="I1" t="s">
        <v>30</v>
      </c>
      <c r="J1" t="s">
        <v>31</v>
      </c>
      <c r="K1" t="s">
        <v>32</v>
      </c>
      <c r="L1" t="s">
        <v>33</v>
      </c>
      <c r="M1" t="s">
        <v>34</v>
      </c>
      <c r="N1" t="s">
        <v>35</v>
      </c>
      <c r="O1" t="s">
        <v>36</v>
      </c>
      <c r="P1" t="s">
        <v>37</v>
      </c>
      <c r="Q1" t="s">
        <v>38</v>
      </c>
      <c r="DU1" t="str">
        <f>'Monthly Data'!D1</f>
        <v>Residential_kWh</v>
      </c>
      <c r="DV1" t="str">
        <f>'Monthly Data'!H1</f>
        <v>GS_lt_50_kWh</v>
      </c>
      <c r="DW1" t="str">
        <f>'Monthly Data'!L1</f>
        <v>GS_gt_50_kWh</v>
      </c>
    </row>
    <row r="2" spans="1:127" x14ac:dyDescent="0.2">
      <c r="A2">
        <v>2014</v>
      </c>
      <c r="B2">
        <v>1</v>
      </c>
      <c r="C2" s="98">
        <v>1085.0791666666667</v>
      </c>
      <c r="D2" s="98">
        <v>0</v>
      </c>
      <c r="E2" s="98">
        <v>1023.0791666666669</v>
      </c>
      <c r="F2" s="98">
        <v>0</v>
      </c>
      <c r="G2" s="98">
        <v>961.07916666666677</v>
      </c>
      <c r="H2" s="98">
        <v>0</v>
      </c>
      <c r="I2" s="98">
        <v>899.07916666666665</v>
      </c>
      <c r="J2" s="98">
        <v>0</v>
      </c>
      <c r="K2" s="98">
        <v>837.07916666666665</v>
      </c>
      <c r="L2" s="98">
        <v>0</v>
      </c>
      <c r="M2" s="98">
        <v>775.07916666666665</v>
      </c>
      <c r="N2" s="98">
        <v>0</v>
      </c>
      <c r="O2" s="98">
        <v>713.07916666666665</v>
      </c>
      <c r="P2" s="98">
        <v>0</v>
      </c>
      <c r="Q2" s="253">
        <v>-15.002553763440861</v>
      </c>
      <c r="DU2" s="17">
        <f>'Monthly Data'!D2</f>
        <v>49640365.235135742</v>
      </c>
      <c r="DV2" s="17">
        <f>'Monthly Data'!H2</f>
        <v>15134987.594169056</v>
      </c>
      <c r="DW2" s="17">
        <f>'Monthly Data'!L2</f>
        <v>37824332.456469558</v>
      </c>
    </row>
    <row r="3" spans="1:127" x14ac:dyDescent="0.2">
      <c r="A3">
        <v>2014</v>
      </c>
      <c r="B3">
        <v>2</v>
      </c>
      <c r="C3" s="98">
        <v>929.85208333333344</v>
      </c>
      <c r="D3" s="98">
        <v>0</v>
      </c>
      <c r="E3" s="98">
        <v>873.85208333333344</v>
      </c>
      <c r="F3" s="98">
        <v>0</v>
      </c>
      <c r="G3" s="98">
        <v>817.85208333333344</v>
      </c>
      <c r="H3" s="98">
        <v>0</v>
      </c>
      <c r="I3" s="98">
        <v>761.85208333333344</v>
      </c>
      <c r="J3" s="98">
        <v>0</v>
      </c>
      <c r="K3" s="98">
        <v>705.85208333333344</v>
      </c>
      <c r="L3" s="98">
        <v>0</v>
      </c>
      <c r="M3" s="98">
        <v>649.85208333333344</v>
      </c>
      <c r="N3" s="98">
        <v>0</v>
      </c>
      <c r="O3" s="98">
        <v>593.85208333333344</v>
      </c>
      <c r="P3" s="98">
        <v>0</v>
      </c>
      <c r="Q3" s="253">
        <v>-13.209002976190476</v>
      </c>
      <c r="U3">
        <v>1</v>
      </c>
      <c r="V3">
        <f>U3+1</f>
        <v>2</v>
      </c>
      <c r="W3">
        <f t="shared" ref="W3:AF3" si="0">V3+1</f>
        <v>3</v>
      </c>
      <c r="X3">
        <f t="shared" si="0"/>
        <v>4</v>
      </c>
      <c r="Y3">
        <f t="shared" si="0"/>
        <v>5</v>
      </c>
      <c r="Z3">
        <f t="shared" si="0"/>
        <v>6</v>
      </c>
      <c r="AA3">
        <f t="shared" si="0"/>
        <v>7</v>
      </c>
      <c r="AB3">
        <f t="shared" si="0"/>
        <v>8</v>
      </c>
      <c r="AC3">
        <f t="shared" si="0"/>
        <v>9</v>
      </c>
      <c r="AD3">
        <f t="shared" si="0"/>
        <v>10</v>
      </c>
      <c r="AE3">
        <f t="shared" si="0"/>
        <v>11</v>
      </c>
      <c r="AF3">
        <f t="shared" si="0"/>
        <v>12</v>
      </c>
      <c r="AJ3">
        <v>1</v>
      </c>
      <c r="AK3">
        <f>AJ3+1</f>
        <v>2</v>
      </c>
      <c r="AL3">
        <f t="shared" ref="AL3:AU3" si="1">AK3+1</f>
        <v>3</v>
      </c>
      <c r="AM3">
        <f t="shared" si="1"/>
        <v>4</v>
      </c>
      <c r="AN3">
        <f t="shared" si="1"/>
        <v>5</v>
      </c>
      <c r="AO3">
        <f t="shared" si="1"/>
        <v>6</v>
      </c>
      <c r="AP3">
        <f t="shared" si="1"/>
        <v>7</v>
      </c>
      <c r="AQ3">
        <f t="shared" si="1"/>
        <v>8</v>
      </c>
      <c r="AR3">
        <f t="shared" si="1"/>
        <v>9</v>
      </c>
      <c r="AS3">
        <f t="shared" si="1"/>
        <v>10</v>
      </c>
      <c r="AT3">
        <f t="shared" si="1"/>
        <v>11</v>
      </c>
      <c r="AU3">
        <f t="shared" si="1"/>
        <v>12</v>
      </c>
      <c r="AY3">
        <v>1</v>
      </c>
      <c r="AZ3">
        <f>AY3+1</f>
        <v>2</v>
      </c>
      <c r="BA3">
        <f t="shared" ref="BA3:BJ3" si="2">AZ3+1</f>
        <v>3</v>
      </c>
      <c r="BB3">
        <f t="shared" si="2"/>
        <v>4</v>
      </c>
      <c r="BC3">
        <f t="shared" si="2"/>
        <v>5</v>
      </c>
      <c r="BD3">
        <f t="shared" si="2"/>
        <v>6</v>
      </c>
      <c r="BE3">
        <f t="shared" si="2"/>
        <v>7</v>
      </c>
      <c r="BF3">
        <f t="shared" si="2"/>
        <v>8</v>
      </c>
      <c r="BG3">
        <f t="shared" si="2"/>
        <v>9</v>
      </c>
      <c r="BH3">
        <f t="shared" si="2"/>
        <v>10</v>
      </c>
      <c r="BI3">
        <f t="shared" si="2"/>
        <v>11</v>
      </c>
      <c r="BJ3">
        <f t="shared" si="2"/>
        <v>12</v>
      </c>
      <c r="BN3">
        <v>1</v>
      </c>
      <c r="BO3">
        <f>BN3+1</f>
        <v>2</v>
      </c>
      <c r="BP3">
        <f t="shared" ref="BP3:BY3" si="3">BO3+1</f>
        <v>3</v>
      </c>
      <c r="BQ3">
        <f t="shared" si="3"/>
        <v>4</v>
      </c>
      <c r="BR3">
        <f t="shared" si="3"/>
        <v>5</v>
      </c>
      <c r="BS3">
        <f t="shared" si="3"/>
        <v>6</v>
      </c>
      <c r="BT3">
        <f t="shared" si="3"/>
        <v>7</v>
      </c>
      <c r="BU3">
        <f t="shared" si="3"/>
        <v>8</v>
      </c>
      <c r="BV3">
        <f t="shared" si="3"/>
        <v>9</v>
      </c>
      <c r="BW3">
        <f t="shared" si="3"/>
        <v>10</v>
      </c>
      <c r="BX3">
        <f t="shared" si="3"/>
        <v>11</v>
      </c>
      <c r="BY3">
        <f t="shared" si="3"/>
        <v>12</v>
      </c>
      <c r="CC3">
        <v>1</v>
      </c>
      <c r="CD3">
        <f>CC3+1</f>
        <v>2</v>
      </c>
      <c r="CE3">
        <f t="shared" ref="CE3:CN3" si="4">CD3+1</f>
        <v>3</v>
      </c>
      <c r="CF3">
        <f t="shared" si="4"/>
        <v>4</v>
      </c>
      <c r="CG3">
        <f t="shared" si="4"/>
        <v>5</v>
      </c>
      <c r="CH3">
        <f t="shared" si="4"/>
        <v>6</v>
      </c>
      <c r="CI3">
        <f t="shared" si="4"/>
        <v>7</v>
      </c>
      <c r="CJ3">
        <f t="shared" si="4"/>
        <v>8</v>
      </c>
      <c r="CK3">
        <f t="shared" si="4"/>
        <v>9</v>
      </c>
      <c r="CL3">
        <f t="shared" si="4"/>
        <v>10</v>
      </c>
      <c r="CM3">
        <f t="shared" si="4"/>
        <v>11</v>
      </c>
      <c r="CN3">
        <f t="shared" si="4"/>
        <v>12</v>
      </c>
      <c r="CR3">
        <v>1</v>
      </c>
      <c r="CS3">
        <f>CR3+1</f>
        <v>2</v>
      </c>
      <c r="CT3">
        <f t="shared" ref="CT3:DC3" si="5">CS3+1</f>
        <v>3</v>
      </c>
      <c r="CU3">
        <f t="shared" si="5"/>
        <v>4</v>
      </c>
      <c r="CV3">
        <f t="shared" si="5"/>
        <v>5</v>
      </c>
      <c r="CW3">
        <f t="shared" si="5"/>
        <v>6</v>
      </c>
      <c r="CX3">
        <f t="shared" si="5"/>
        <v>7</v>
      </c>
      <c r="CY3">
        <f t="shared" si="5"/>
        <v>8</v>
      </c>
      <c r="CZ3">
        <f t="shared" si="5"/>
        <v>9</v>
      </c>
      <c r="DA3">
        <f t="shared" si="5"/>
        <v>10</v>
      </c>
      <c r="DB3">
        <f t="shared" si="5"/>
        <v>11</v>
      </c>
      <c r="DC3">
        <f t="shared" si="5"/>
        <v>12</v>
      </c>
      <c r="DG3">
        <v>1</v>
      </c>
      <c r="DH3">
        <f>DG3+1</f>
        <v>2</v>
      </c>
      <c r="DI3">
        <f t="shared" ref="DI3:DR3" si="6">DH3+1</f>
        <v>3</v>
      </c>
      <c r="DJ3">
        <f t="shared" si="6"/>
        <v>4</v>
      </c>
      <c r="DK3">
        <f t="shared" si="6"/>
        <v>5</v>
      </c>
      <c r="DL3">
        <f t="shared" si="6"/>
        <v>6</v>
      </c>
      <c r="DM3">
        <f t="shared" si="6"/>
        <v>7</v>
      </c>
      <c r="DN3">
        <f t="shared" si="6"/>
        <v>8</v>
      </c>
      <c r="DO3">
        <f t="shared" si="6"/>
        <v>9</v>
      </c>
      <c r="DP3">
        <f t="shared" si="6"/>
        <v>10</v>
      </c>
      <c r="DQ3">
        <f t="shared" si="6"/>
        <v>11</v>
      </c>
      <c r="DR3">
        <f t="shared" si="6"/>
        <v>12</v>
      </c>
      <c r="DU3" s="17">
        <f>'Monthly Data'!D3</f>
        <v>42750019.905124813</v>
      </c>
      <c r="DV3" s="17">
        <f>'Monthly Data'!H3</f>
        <v>13462387.242650717</v>
      </c>
      <c r="DW3" s="17">
        <f>'Monthly Data'!L3</f>
        <v>33982095.533818133</v>
      </c>
    </row>
    <row r="4" spans="1:127" x14ac:dyDescent="0.2">
      <c r="A4">
        <v>2014</v>
      </c>
      <c r="B4">
        <v>3</v>
      </c>
      <c r="C4" s="98">
        <v>927.39791666666656</v>
      </c>
      <c r="D4" s="98">
        <v>0</v>
      </c>
      <c r="E4" s="98">
        <v>865.39791666666656</v>
      </c>
      <c r="F4" s="98">
        <v>0</v>
      </c>
      <c r="G4" s="98">
        <v>803.39791666666656</v>
      </c>
      <c r="H4" s="98">
        <v>0</v>
      </c>
      <c r="I4" s="98">
        <v>741.39791666666667</v>
      </c>
      <c r="J4" s="98">
        <v>0</v>
      </c>
      <c r="K4" s="98">
        <v>679.39791666666656</v>
      </c>
      <c r="L4" s="98">
        <v>0</v>
      </c>
      <c r="M4" s="98">
        <v>617.39791666666656</v>
      </c>
      <c r="N4" s="98">
        <v>0</v>
      </c>
      <c r="O4" s="98">
        <v>555.39791666666667</v>
      </c>
      <c r="P4" s="98">
        <v>0</v>
      </c>
      <c r="Q4" s="253">
        <v>-9.9160618279569892</v>
      </c>
      <c r="T4" t="str">
        <f ca="1">OFFSET($C$1,0,(COLUMN()-COLUMN($T$4))/7.5)</f>
        <v>HDD20</v>
      </c>
      <c r="U4" t="s">
        <v>48</v>
      </c>
      <c r="V4" t="s">
        <v>49</v>
      </c>
      <c r="W4" t="s">
        <v>50</v>
      </c>
      <c r="X4" t="s">
        <v>51</v>
      </c>
      <c r="Y4" t="s">
        <v>52</v>
      </c>
      <c r="Z4" t="s">
        <v>53</v>
      </c>
      <c r="AA4" t="s">
        <v>54</v>
      </c>
      <c r="AB4" t="s">
        <v>55</v>
      </c>
      <c r="AC4" t="s">
        <v>56</v>
      </c>
      <c r="AD4" t="s">
        <v>57</v>
      </c>
      <c r="AE4" t="s">
        <v>58</v>
      </c>
      <c r="AF4" t="s">
        <v>59</v>
      </c>
      <c r="AI4" t="str">
        <f>$E$1</f>
        <v>HDD18</v>
      </c>
      <c r="AJ4" t="s">
        <v>48</v>
      </c>
      <c r="AK4" t="s">
        <v>49</v>
      </c>
      <c r="AL4" t="s">
        <v>50</v>
      </c>
      <c r="AM4" t="s">
        <v>51</v>
      </c>
      <c r="AN4" t="s">
        <v>52</v>
      </c>
      <c r="AO4" t="s">
        <v>53</v>
      </c>
      <c r="AP4" t="s">
        <v>54</v>
      </c>
      <c r="AQ4" t="s">
        <v>55</v>
      </c>
      <c r="AR4" t="s">
        <v>56</v>
      </c>
      <c r="AS4" t="s">
        <v>57</v>
      </c>
      <c r="AT4" t="s">
        <v>58</v>
      </c>
      <c r="AU4" t="s">
        <v>59</v>
      </c>
      <c r="AX4" t="str">
        <f>$G$1</f>
        <v>HDD16</v>
      </c>
      <c r="AY4" t="s">
        <v>48</v>
      </c>
      <c r="AZ4" t="s">
        <v>49</v>
      </c>
      <c r="BA4" t="s">
        <v>50</v>
      </c>
      <c r="BB4" t="s">
        <v>51</v>
      </c>
      <c r="BC4" t="s">
        <v>52</v>
      </c>
      <c r="BD4" t="s">
        <v>53</v>
      </c>
      <c r="BE4" t="s">
        <v>54</v>
      </c>
      <c r="BF4" t="s">
        <v>55</v>
      </c>
      <c r="BG4" t="s">
        <v>56</v>
      </c>
      <c r="BH4" t="s">
        <v>57</v>
      </c>
      <c r="BI4" t="s">
        <v>58</v>
      </c>
      <c r="BJ4" t="s">
        <v>59</v>
      </c>
      <c r="BM4" t="str">
        <f>$I$1</f>
        <v>HDD14</v>
      </c>
      <c r="BN4" t="s">
        <v>48</v>
      </c>
      <c r="BO4" t="s">
        <v>49</v>
      </c>
      <c r="BP4" t="s">
        <v>50</v>
      </c>
      <c r="BQ4" t="s">
        <v>51</v>
      </c>
      <c r="BR4" t="s">
        <v>52</v>
      </c>
      <c r="BS4" t="s">
        <v>53</v>
      </c>
      <c r="BT4" t="s">
        <v>54</v>
      </c>
      <c r="BU4" t="s">
        <v>55</v>
      </c>
      <c r="BV4" t="s">
        <v>56</v>
      </c>
      <c r="BW4" t="s">
        <v>57</v>
      </c>
      <c r="BX4" t="s">
        <v>58</v>
      </c>
      <c r="BY4" t="s">
        <v>59</v>
      </c>
      <c r="CB4" t="str">
        <f>$K$1</f>
        <v>HDD12</v>
      </c>
      <c r="CC4" t="s">
        <v>48</v>
      </c>
      <c r="CD4" t="s">
        <v>49</v>
      </c>
      <c r="CE4" t="s">
        <v>50</v>
      </c>
      <c r="CF4" t="s">
        <v>51</v>
      </c>
      <c r="CG4" t="s">
        <v>52</v>
      </c>
      <c r="CH4" t="s">
        <v>53</v>
      </c>
      <c r="CI4" t="s">
        <v>54</v>
      </c>
      <c r="CJ4" t="s">
        <v>55</v>
      </c>
      <c r="CK4" t="s">
        <v>56</v>
      </c>
      <c r="CL4" t="s">
        <v>57</v>
      </c>
      <c r="CM4" t="s">
        <v>58</v>
      </c>
      <c r="CN4" t="s">
        <v>59</v>
      </c>
      <c r="CQ4" t="str">
        <f>$M$1</f>
        <v>HDD10</v>
      </c>
      <c r="CR4" t="s">
        <v>48</v>
      </c>
      <c r="CS4" t="s">
        <v>49</v>
      </c>
      <c r="CT4" t="s">
        <v>50</v>
      </c>
      <c r="CU4" t="s">
        <v>51</v>
      </c>
      <c r="CV4" t="s">
        <v>52</v>
      </c>
      <c r="CW4" t="s">
        <v>53</v>
      </c>
      <c r="CX4" t="s">
        <v>54</v>
      </c>
      <c r="CY4" t="s">
        <v>55</v>
      </c>
      <c r="CZ4" t="s">
        <v>56</v>
      </c>
      <c r="DA4" t="s">
        <v>57</v>
      </c>
      <c r="DB4" t="s">
        <v>58</v>
      </c>
      <c r="DC4" t="s">
        <v>59</v>
      </c>
      <c r="DF4" t="str">
        <f>$O$1</f>
        <v>HDD8</v>
      </c>
      <c r="DG4" t="s">
        <v>48</v>
      </c>
      <c r="DH4" t="s">
        <v>49</v>
      </c>
      <c r="DI4" t="s">
        <v>50</v>
      </c>
      <c r="DJ4" t="s">
        <v>51</v>
      </c>
      <c r="DK4" t="s">
        <v>52</v>
      </c>
      <c r="DL4" t="s">
        <v>53</v>
      </c>
      <c r="DM4" t="s">
        <v>54</v>
      </c>
      <c r="DN4" t="s">
        <v>55</v>
      </c>
      <c r="DO4" t="s">
        <v>56</v>
      </c>
      <c r="DP4" t="s">
        <v>57</v>
      </c>
      <c r="DQ4" t="s">
        <v>58</v>
      </c>
      <c r="DR4" t="s">
        <v>59</v>
      </c>
      <c r="DU4" s="17">
        <f>'Monthly Data'!D4</f>
        <v>41025103.627203047</v>
      </c>
      <c r="DV4" s="17">
        <f>'Monthly Data'!H4</f>
        <v>13747064.365901466</v>
      </c>
      <c r="DW4" s="17">
        <f>'Monthly Data'!L4</f>
        <v>36090706.761883967</v>
      </c>
    </row>
    <row r="5" spans="1:127" x14ac:dyDescent="0.2">
      <c r="A5">
        <v>2014</v>
      </c>
      <c r="B5">
        <v>4</v>
      </c>
      <c r="C5" s="98">
        <v>557.06666666666661</v>
      </c>
      <c r="D5" s="98">
        <v>0</v>
      </c>
      <c r="E5" s="98">
        <v>497.06666666666672</v>
      </c>
      <c r="F5" s="98">
        <v>0</v>
      </c>
      <c r="G5" s="98">
        <v>437.06666666666672</v>
      </c>
      <c r="H5" s="98">
        <v>0</v>
      </c>
      <c r="I5" s="98">
        <v>377.06666666666672</v>
      </c>
      <c r="J5" s="98">
        <v>0</v>
      </c>
      <c r="K5" s="98">
        <v>317.06666666666666</v>
      </c>
      <c r="L5" s="98">
        <v>0</v>
      </c>
      <c r="M5" s="98">
        <v>257.06666666666666</v>
      </c>
      <c r="N5" s="98">
        <v>0</v>
      </c>
      <c r="O5" s="98">
        <v>197.06666666666666</v>
      </c>
      <c r="P5" s="98">
        <v>0</v>
      </c>
      <c r="Q5" s="253">
        <v>1.431111111111111</v>
      </c>
      <c r="T5">
        <v>2014</v>
      </c>
      <c r="U5" s="98">
        <f>SUMIFS($C:$C,$A:$A,$T5,$B:$B,U$3)</f>
        <v>1085.0791666666667</v>
      </c>
      <c r="V5" s="98">
        <f t="shared" ref="V5:AF5" si="7">SUMIFS($C:$C,$A:$A,$T5,$B:$B,V$3)</f>
        <v>929.85208333333344</v>
      </c>
      <c r="W5" s="98">
        <f t="shared" si="7"/>
        <v>927.39791666666656</v>
      </c>
      <c r="X5" s="98">
        <f t="shared" si="7"/>
        <v>557.06666666666661</v>
      </c>
      <c r="Y5" s="98">
        <f t="shared" si="7"/>
        <v>272.16875000000005</v>
      </c>
      <c r="Z5" s="98">
        <f t="shared" si="7"/>
        <v>92.066666666666663</v>
      </c>
      <c r="AA5" s="98">
        <f t="shared" si="7"/>
        <v>103.67916666666667</v>
      </c>
      <c r="AB5" s="98">
        <f t="shared" si="7"/>
        <v>99.397916666666674</v>
      </c>
      <c r="AC5" s="98">
        <f t="shared" si="7"/>
        <v>233.62083333333331</v>
      </c>
      <c r="AD5" s="98">
        <f t="shared" si="7"/>
        <v>427.89998004923433</v>
      </c>
      <c r="AE5" s="98">
        <f t="shared" si="7"/>
        <v>713.34929225504527</v>
      </c>
      <c r="AF5" s="98">
        <f t="shared" si="7"/>
        <v>824.76666666666654</v>
      </c>
      <c r="AG5" s="100">
        <f>SUM(U5:AF5)</f>
        <v>6266.3451056376125</v>
      </c>
      <c r="AI5">
        <v>2014</v>
      </c>
      <c r="AJ5" s="98">
        <f>SUMIFS($E:$E,$A:$A,$T5,$B:$B,AJ$3)</f>
        <v>1023.0791666666669</v>
      </c>
      <c r="AK5" s="98">
        <f t="shared" ref="AK5:AU5" si="8">SUMIFS($E:$E,$A:$A,$T5,$B:$B,AK$3)</f>
        <v>873.85208333333344</v>
      </c>
      <c r="AL5" s="98">
        <f t="shared" si="8"/>
        <v>865.39791666666656</v>
      </c>
      <c r="AM5" s="98">
        <f t="shared" si="8"/>
        <v>497.06666666666672</v>
      </c>
      <c r="AN5" s="98">
        <f t="shared" si="8"/>
        <v>212.16874999999999</v>
      </c>
      <c r="AO5" s="98">
        <f t="shared" si="8"/>
        <v>46.591666666666683</v>
      </c>
      <c r="AP5" s="98">
        <f t="shared" si="8"/>
        <v>54.441666666666691</v>
      </c>
      <c r="AQ5" s="98">
        <f t="shared" si="8"/>
        <v>55.460416666666688</v>
      </c>
      <c r="AR5" s="98">
        <f t="shared" si="8"/>
        <v>174.86249999999995</v>
      </c>
      <c r="AS5" s="98">
        <f t="shared" si="8"/>
        <v>365.89998004923433</v>
      </c>
      <c r="AT5" s="98">
        <f t="shared" si="8"/>
        <v>653.34929225504527</v>
      </c>
      <c r="AU5" s="98">
        <f t="shared" si="8"/>
        <v>762.76666666666654</v>
      </c>
      <c r="AV5" s="100">
        <f>SUM(AJ5:AU5)</f>
        <v>5584.9367723042797</v>
      </c>
      <c r="AX5">
        <v>2014</v>
      </c>
      <c r="AY5" s="98">
        <f>SUMIFS($G:$G,$A:$A,$T5,$B:$B,AY$3)</f>
        <v>961.07916666666677</v>
      </c>
      <c r="AZ5" s="98">
        <f t="shared" ref="AZ5:BJ5" si="9">SUMIFS($G:$G,$A:$A,$T5,$B:$B,AZ$3)</f>
        <v>817.85208333333344</v>
      </c>
      <c r="BA5" s="98">
        <f t="shared" si="9"/>
        <v>803.39791666666656</v>
      </c>
      <c r="BB5" s="98">
        <f t="shared" si="9"/>
        <v>437.06666666666672</v>
      </c>
      <c r="BC5" s="98">
        <f t="shared" si="9"/>
        <v>157.91874999999999</v>
      </c>
      <c r="BD5" s="98">
        <f t="shared" si="9"/>
        <v>17.608333333333334</v>
      </c>
      <c r="BE5" s="98">
        <f t="shared" si="9"/>
        <v>23.037500000000009</v>
      </c>
      <c r="BF5" s="98">
        <f t="shared" si="9"/>
        <v>27.906250000000014</v>
      </c>
      <c r="BG5" s="98">
        <f t="shared" si="9"/>
        <v>127.7375</v>
      </c>
      <c r="BH5" s="98">
        <f t="shared" si="9"/>
        <v>303.89998004923439</v>
      </c>
      <c r="BI5" s="98">
        <f t="shared" si="9"/>
        <v>593.34929225504516</v>
      </c>
      <c r="BJ5" s="98">
        <f t="shared" si="9"/>
        <v>700.76666666666654</v>
      </c>
      <c r="BK5" s="100">
        <f>SUM(AY5:BJ5)</f>
        <v>4971.6201056376121</v>
      </c>
      <c r="BM5">
        <v>2014</v>
      </c>
      <c r="BN5" s="98">
        <f>SUMIFS($I:$I,$A:$A,$T5,$B:$B,BN$3)</f>
        <v>899.07916666666665</v>
      </c>
      <c r="BO5" s="98">
        <f t="shared" ref="BO5:BY5" si="10">SUMIFS($I:$I,$A:$A,$T5,$B:$B,BO$3)</f>
        <v>761.85208333333344</v>
      </c>
      <c r="BP5" s="98">
        <f t="shared" si="10"/>
        <v>741.39791666666667</v>
      </c>
      <c r="BQ5" s="98">
        <f t="shared" si="10"/>
        <v>377.06666666666672</v>
      </c>
      <c r="BR5" s="98">
        <f t="shared" si="10"/>
        <v>112.65624999999999</v>
      </c>
      <c r="BS5" s="98">
        <f t="shared" si="10"/>
        <v>5.9916666666666618</v>
      </c>
      <c r="BT5" s="98">
        <f t="shared" si="10"/>
        <v>5.15</v>
      </c>
      <c r="BU5" s="98">
        <f t="shared" si="10"/>
        <v>10.464583333333341</v>
      </c>
      <c r="BV5" s="98">
        <f t="shared" si="10"/>
        <v>90.399999999999991</v>
      </c>
      <c r="BW5" s="98">
        <f t="shared" si="10"/>
        <v>242.94164671590113</v>
      </c>
      <c r="BX5" s="98">
        <f t="shared" si="10"/>
        <v>533.34929225504516</v>
      </c>
      <c r="BY5" s="98">
        <f t="shared" si="10"/>
        <v>638.76666666666642</v>
      </c>
      <c r="BZ5" s="100">
        <f>SUM(BN5:BY5)</f>
        <v>4419.1159389709464</v>
      </c>
      <c r="CB5">
        <v>2014</v>
      </c>
      <c r="CC5" s="98">
        <f>SUMIFS($K:$K,$A:$A,$T5,$B:$B,CC$3)</f>
        <v>837.07916666666665</v>
      </c>
      <c r="CD5" s="98">
        <f t="shared" ref="CD5:CN5" si="11">SUMIFS($K:$K,$A:$A,$T5,$B:$B,CD$3)</f>
        <v>705.85208333333344</v>
      </c>
      <c r="CE5" s="98">
        <f t="shared" si="11"/>
        <v>679.39791666666656</v>
      </c>
      <c r="CF5" s="98">
        <f t="shared" si="11"/>
        <v>317.06666666666666</v>
      </c>
      <c r="CG5" s="98">
        <f t="shared" si="11"/>
        <v>74.822916666666671</v>
      </c>
      <c r="CH5" s="98">
        <f t="shared" si="11"/>
        <v>0.90833333333333144</v>
      </c>
      <c r="CI5" s="98">
        <f t="shared" si="11"/>
        <v>0</v>
      </c>
      <c r="CJ5" s="98">
        <f t="shared" si="11"/>
        <v>3.9541666666666693</v>
      </c>
      <c r="CK5" s="98">
        <f t="shared" si="11"/>
        <v>60.024999999999991</v>
      </c>
      <c r="CL5" s="98">
        <f t="shared" si="11"/>
        <v>186.66039671590113</v>
      </c>
      <c r="CM5" s="98">
        <f t="shared" si="11"/>
        <v>473.34929225504521</v>
      </c>
      <c r="CN5" s="98">
        <f t="shared" si="11"/>
        <v>576.76666666666654</v>
      </c>
      <c r="CO5" s="100">
        <f>SUM(CC5:CN5)</f>
        <v>3915.8826056376129</v>
      </c>
      <c r="CQ5">
        <v>2014</v>
      </c>
      <c r="CR5" s="98">
        <f>SUMIFS($M:$M,$A:$A,$T5,$B:$B,CR$3)</f>
        <v>775.07916666666665</v>
      </c>
      <c r="CS5" s="98">
        <f t="shared" ref="CS5:DC15" si="12">SUMIFS($M:$M,$A:$A,$T5,$B:$B,CS$3)</f>
        <v>649.85208333333344</v>
      </c>
      <c r="CT5" s="98">
        <f t="shared" si="12"/>
        <v>617.39791666666656</v>
      </c>
      <c r="CU5" s="98">
        <f t="shared" si="12"/>
        <v>257.06666666666666</v>
      </c>
      <c r="CV5" s="98">
        <f t="shared" si="12"/>
        <v>45.758333333333333</v>
      </c>
      <c r="CW5" s="98">
        <f t="shared" si="12"/>
        <v>0</v>
      </c>
      <c r="CX5" s="98">
        <f t="shared" si="12"/>
        <v>0</v>
      </c>
      <c r="CY5" s="98">
        <f t="shared" si="12"/>
        <v>1.1333333333333346</v>
      </c>
      <c r="CZ5" s="98">
        <f t="shared" si="12"/>
        <v>35.229166666666664</v>
      </c>
      <c r="DA5" s="98">
        <f t="shared" si="12"/>
        <v>131.08956338256775</v>
      </c>
      <c r="DB5" s="98">
        <f t="shared" si="12"/>
        <v>413.34929225504521</v>
      </c>
      <c r="DC5" s="98">
        <f t="shared" si="12"/>
        <v>514.76666666666665</v>
      </c>
      <c r="DD5" s="100">
        <f>SUM(CR5:DC5)</f>
        <v>3440.7221889709463</v>
      </c>
      <c r="DF5">
        <v>2014</v>
      </c>
      <c r="DG5" s="98">
        <f>SUMIFS($O:$O,$A:$A,$T5,$B:$B,DG$3)</f>
        <v>713.07916666666665</v>
      </c>
      <c r="DH5" s="98">
        <f t="shared" ref="DH5:DR5" si="13">SUMIFS($O:$O,$A:$A,$T5,$B:$B,DH$3)</f>
        <v>593.85208333333344</v>
      </c>
      <c r="DI5" s="98">
        <f t="shared" si="13"/>
        <v>555.39791666666667</v>
      </c>
      <c r="DJ5" s="98">
        <f t="shared" si="13"/>
        <v>197.06666666666666</v>
      </c>
      <c r="DK5" s="98">
        <f t="shared" si="13"/>
        <v>22.237500000000001</v>
      </c>
      <c r="DL5" s="98">
        <f t="shared" si="13"/>
        <v>0</v>
      </c>
      <c r="DM5" s="98">
        <f t="shared" si="13"/>
        <v>0</v>
      </c>
      <c r="DN5" s="98">
        <f t="shared" si="13"/>
        <v>0</v>
      </c>
      <c r="DO5" s="98">
        <f t="shared" si="13"/>
        <v>14.124999999999998</v>
      </c>
      <c r="DP5" s="98">
        <f t="shared" si="13"/>
        <v>83.693730049234432</v>
      </c>
      <c r="DQ5" s="98">
        <f t="shared" si="13"/>
        <v>353.34929225504521</v>
      </c>
      <c r="DR5" s="98">
        <f t="shared" si="13"/>
        <v>452.76666666666665</v>
      </c>
      <c r="DS5" s="100">
        <f>SUM(DG5:DR5)</f>
        <v>2985.56802230428</v>
      </c>
      <c r="DU5" s="17">
        <f>'Monthly Data'!D5</f>
        <v>33587027.926572323</v>
      </c>
      <c r="DV5" s="17">
        <f>'Monthly Data'!H5</f>
        <v>11849699.51665595</v>
      </c>
      <c r="DW5" s="17">
        <f>'Monthly Data'!L5</f>
        <v>30998705.850172173</v>
      </c>
    </row>
    <row r="6" spans="1:127" x14ac:dyDescent="0.2">
      <c r="A6">
        <v>2014</v>
      </c>
      <c r="B6">
        <v>5</v>
      </c>
      <c r="C6" s="98">
        <v>272.16875000000005</v>
      </c>
      <c r="D6" s="98">
        <v>0.44583333333333286</v>
      </c>
      <c r="E6" s="98">
        <v>212.16874999999999</v>
      </c>
      <c r="F6" s="98">
        <v>2.4458333333333329</v>
      </c>
      <c r="G6" s="98">
        <v>157.91874999999999</v>
      </c>
      <c r="H6" s="98">
        <v>10.19583333333334</v>
      </c>
      <c r="I6" s="98">
        <v>112.65624999999999</v>
      </c>
      <c r="J6" s="98">
        <v>26.933333333333344</v>
      </c>
      <c r="K6" s="98">
        <v>74.822916666666671</v>
      </c>
      <c r="L6" s="98">
        <v>51.100000000000009</v>
      </c>
      <c r="M6" s="98">
        <v>45.758333333333333</v>
      </c>
      <c r="N6" s="98">
        <v>84.035416666666677</v>
      </c>
      <c r="O6" s="98">
        <v>22.237500000000001</v>
      </c>
      <c r="P6" s="98">
        <v>122.51458333333333</v>
      </c>
      <c r="Q6" s="253">
        <v>11.234744623655915</v>
      </c>
      <c r="T6">
        <f>T5+1</f>
        <v>2015</v>
      </c>
      <c r="U6" s="98">
        <f t="shared" ref="U6:AF15" si="14">SUMIFS($C:$C,$A:$A,$T6,$B:$B,U$3)</f>
        <v>1073.3187500000001</v>
      </c>
      <c r="V6" s="98">
        <f t="shared" si="14"/>
        <v>1085.0562499999999</v>
      </c>
      <c r="W6" s="98">
        <f t="shared" si="14"/>
        <v>824.78333333333353</v>
      </c>
      <c r="X6" s="98">
        <f t="shared" si="14"/>
        <v>504.73333333333329</v>
      </c>
      <c r="Y6" s="98">
        <f t="shared" si="14"/>
        <v>233.73541666666668</v>
      </c>
      <c r="Z6" s="98">
        <f t="shared" si="14"/>
        <v>120.16593897094629</v>
      </c>
      <c r="AA6" s="98">
        <f t="shared" si="14"/>
        <v>57.60833333333332</v>
      </c>
      <c r="AB6" s="98">
        <f t="shared" si="14"/>
        <v>81.683333333333323</v>
      </c>
      <c r="AC6" s="98">
        <f t="shared" si="14"/>
        <v>126.35833333333335</v>
      </c>
      <c r="AD6" s="98">
        <f t="shared" si="14"/>
        <v>453.93749999999994</v>
      </c>
      <c r="AE6" s="98">
        <f t="shared" si="14"/>
        <v>544.27500000000009</v>
      </c>
      <c r="AF6" s="98">
        <f t="shared" si="14"/>
        <v>662.51250000000016</v>
      </c>
      <c r="AG6" s="100">
        <f t="shared" ref="AG6:AG30" si="15">SUM(U6:AF6)</f>
        <v>5768.1680223042795</v>
      </c>
      <c r="AI6">
        <f>AI5+1</f>
        <v>2015</v>
      </c>
      <c r="AJ6" s="98">
        <f t="shared" ref="AJ6:AU15" si="16">SUMIFS($E:$E,$A:$A,$T6,$B:$B,AJ$3)</f>
        <v>1011.3187499999999</v>
      </c>
      <c r="AK6" s="98">
        <f t="shared" si="16"/>
        <v>1029.0562500000001</v>
      </c>
      <c r="AL6" s="98">
        <f t="shared" si="16"/>
        <v>762.78333333333342</v>
      </c>
      <c r="AM6" s="98">
        <f t="shared" si="16"/>
        <v>444.73333333333335</v>
      </c>
      <c r="AN6" s="98">
        <f t="shared" si="16"/>
        <v>175.32291666666669</v>
      </c>
      <c r="AO6" s="98">
        <f t="shared" si="16"/>
        <v>64.263855637612963</v>
      </c>
      <c r="AP6" s="98">
        <f t="shared" si="16"/>
        <v>26.133333333333333</v>
      </c>
      <c r="AQ6" s="98">
        <f t="shared" si="16"/>
        <v>38.716666666666669</v>
      </c>
      <c r="AR6" s="98">
        <f t="shared" si="16"/>
        <v>86.031249999999986</v>
      </c>
      <c r="AS6" s="98">
        <f t="shared" si="16"/>
        <v>391.9375</v>
      </c>
      <c r="AT6" s="98">
        <f t="shared" si="16"/>
        <v>484.27499999999998</v>
      </c>
      <c r="AU6" s="98">
        <f t="shared" si="16"/>
        <v>600.51250000000016</v>
      </c>
      <c r="AV6" s="100">
        <f t="shared" ref="AV6:AV14" si="17">SUM(AJ6:AU6)</f>
        <v>5115.0846889709455</v>
      </c>
      <c r="AX6">
        <f>AX5+1</f>
        <v>2015</v>
      </c>
      <c r="AY6" s="98">
        <f t="shared" ref="AY6:BJ15" si="18">SUMIFS($G:$G,$A:$A,$T6,$B:$B,AY$3)</f>
        <v>949.31874999999991</v>
      </c>
      <c r="AZ6" s="98">
        <f t="shared" si="18"/>
        <v>973.05624999999998</v>
      </c>
      <c r="BA6" s="98">
        <f t="shared" si="18"/>
        <v>700.78333333333342</v>
      </c>
      <c r="BB6" s="98">
        <f t="shared" si="18"/>
        <v>384.73333333333335</v>
      </c>
      <c r="BC6" s="98">
        <f t="shared" si="18"/>
        <v>125.00624999999999</v>
      </c>
      <c r="BD6" s="98">
        <f t="shared" si="18"/>
        <v>26.70000000000001</v>
      </c>
      <c r="BE6" s="98">
        <f t="shared" si="18"/>
        <v>8.5208333333333268</v>
      </c>
      <c r="BF6" s="98">
        <f t="shared" si="18"/>
        <v>13.720833333333342</v>
      </c>
      <c r="BG6" s="98">
        <f t="shared" si="18"/>
        <v>53.285416666666649</v>
      </c>
      <c r="BH6" s="98">
        <f t="shared" si="18"/>
        <v>329.9375</v>
      </c>
      <c r="BI6" s="98">
        <f t="shared" si="18"/>
        <v>424.27499999999998</v>
      </c>
      <c r="BJ6" s="98">
        <f t="shared" si="18"/>
        <v>538.51250000000005</v>
      </c>
      <c r="BK6" s="100">
        <f t="shared" ref="BK6:BK14" si="19">SUM(AY6:BJ6)</f>
        <v>4527.8499999999995</v>
      </c>
      <c r="BM6">
        <f>BM5+1</f>
        <v>2015</v>
      </c>
      <c r="BN6" s="98">
        <f t="shared" ref="BN6:BY15" si="20">SUMIFS($I:$I,$A:$A,$T6,$B:$B,BN$3)</f>
        <v>887.31875000000002</v>
      </c>
      <c r="BO6" s="98">
        <f t="shared" si="20"/>
        <v>917.05624999999998</v>
      </c>
      <c r="BP6" s="98">
        <f t="shared" si="20"/>
        <v>638.78333333333342</v>
      </c>
      <c r="BQ6" s="98">
        <f t="shared" si="20"/>
        <v>324.73333333333335</v>
      </c>
      <c r="BR6" s="98">
        <f t="shared" si="20"/>
        <v>81.410416666666677</v>
      </c>
      <c r="BS6" s="98">
        <f t="shared" si="20"/>
        <v>8.9208333333333343</v>
      </c>
      <c r="BT6" s="98">
        <f t="shared" si="20"/>
        <v>1.6875</v>
      </c>
      <c r="BU6" s="98">
        <f t="shared" si="20"/>
        <v>4.6541666666666686</v>
      </c>
      <c r="BV6" s="98">
        <f t="shared" si="20"/>
        <v>27.347916666666659</v>
      </c>
      <c r="BW6" s="98">
        <f t="shared" si="20"/>
        <v>268.27499999999998</v>
      </c>
      <c r="BX6" s="98">
        <f t="shared" si="20"/>
        <v>364.27499999999998</v>
      </c>
      <c r="BY6" s="98">
        <f t="shared" si="20"/>
        <v>476.51250000000005</v>
      </c>
      <c r="BZ6" s="100">
        <f t="shared" ref="BZ6:BZ14" si="21">SUM(BN6:BY6)</f>
        <v>4000.9749999999995</v>
      </c>
      <c r="CB6">
        <f>CB5+1</f>
        <v>2015</v>
      </c>
      <c r="CC6" s="98">
        <f t="shared" ref="CC6:CN15" si="22">SUMIFS($K:$K,$A:$A,$T6,$B:$B,CC$3)</f>
        <v>825.31875000000002</v>
      </c>
      <c r="CD6" s="98">
        <f t="shared" si="22"/>
        <v>861.05624999999998</v>
      </c>
      <c r="CE6" s="98">
        <f t="shared" si="22"/>
        <v>576.78333333333353</v>
      </c>
      <c r="CF6" s="98">
        <f t="shared" si="22"/>
        <v>264.73333333333335</v>
      </c>
      <c r="CG6" s="98">
        <f t="shared" si="22"/>
        <v>46.254166666666663</v>
      </c>
      <c r="CH6" s="98">
        <f t="shared" si="22"/>
        <v>1.7604166666666696</v>
      </c>
      <c r="CI6" s="98">
        <f t="shared" si="22"/>
        <v>0</v>
      </c>
      <c r="CJ6" s="98">
        <f t="shared" si="22"/>
        <v>0</v>
      </c>
      <c r="CK6" s="98">
        <f t="shared" si="22"/>
        <v>10.968749999999995</v>
      </c>
      <c r="CL6" s="98">
        <f t="shared" si="22"/>
        <v>209.20416666666668</v>
      </c>
      <c r="CM6" s="98">
        <f t="shared" si="22"/>
        <v>304.27499999999998</v>
      </c>
      <c r="CN6" s="98">
        <f t="shared" si="22"/>
        <v>414.51249999999999</v>
      </c>
      <c r="CO6" s="100">
        <f t="shared" ref="CO6:CO14" si="23">SUM(CC6:CN6)</f>
        <v>3514.8666666666672</v>
      </c>
      <c r="CQ6">
        <f>CQ5+1</f>
        <v>2015</v>
      </c>
      <c r="CR6" s="98">
        <f t="shared" ref="CR6:CR15" si="24">SUMIFS($M:$M,$A:$A,$T6,$B:$B,CR$3)</f>
        <v>763.31875000000002</v>
      </c>
      <c r="CS6" s="98">
        <f t="shared" si="12"/>
        <v>805.05624999999998</v>
      </c>
      <c r="CT6" s="98">
        <f t="shared" si="12"/>
        <v>514.78333333333342</v>
      </c>
      <c r="CU6" s="98">
        <f t="shared" si="12"/>
        <v>206.76874999999998</v>
      </c>
      <c r="CV6" s="98">
        <f t="shared" si="12"/>
        <v>22.945833333333329</v>
      </c>
      <c r="CW6" s="98">
        <f t="shared" si="12"/>
        <v>0</v>
      </c>
      <c r="CX6" s="98">
        <f t="shared" si="12"/>
        <v>0</v>
      </c>
      <c r="CY6" s="98">
        <f t="shared" si="12"/>
        <v>0</v>
      </c>
      <c r="CZ6" s="98">
        <f t="shared" si="12"/>
        <v>5.0249999999999986</v>
      </c>
      <c r="DA6" s="98">
        <f t="shared" si="12"/>
        <v>151.64166666666668</v>
      </c>
      <c r="DB6" s="98">
        <f t="shared" si="12"/>
        <v>246.22083333333336</v>
      </c>
      <c r="DC6" s="98">
        <f t="shared" si="12"/>
        <v>352.51249999999993</v>
      </c>
      <c r="DD6" s="100">
        <f t="shared" ref="DD6:DD14" si="25">SUM(CR6:DC6)</f>
        <v>3068.2729166666668</v>
      </c>
      <c r="DF6">
        <f>DF5+1</f>
        <v>2015</v>
      </c>
      <c r="DG6" s="98">
        <f t="shared" ref="DG6:DR15" si="26">SUMIFS($O:$O,$A:$A,$T6,$B:$B,DG$3)</f>
        <v>701.31875000000002</v>
      </c>
      <c r="DH6" s="98">
        <f t="shared" si="26"/>
        <v>749.05624999999998</v>
      </c>
      <c r="DI6" s="98">
        <f t="shared" si="26"/>
        <v>452.78333333333325</v>
      </c>
      <c r="DJ6" s="98">
        <f t="shared" si="26"/>
        <v>154.65208333333331</v>
      </c>
      <c r="DK6" s="98">
        <f t="shared" si="26"/>
        <v>6.9916666666666663</v>
      </c>
      <c r="DL6" s="98">
        <f t="shared" si="26"/>
        <v>0</v>
      </c>
      <c r="DM6" s="98">
        <f t="shared" si="26"/>
        <v>0</v>
      </c>
      <c r="DN6" s="98">
        <f t="shared" si="26"/>
        <v>0</v>
      </c>
      <c r="DO6" s="98">
        <f t="shared" si="26"/>
        <v>1.0249999999999986</v>
      </c>
      <c r="DP6" s="98">
        <f t="shared" si="26"/>
        <v>95.88333333333334</v>
      </c>
      <c r="DQ6" s="98">
        <f t="shared" si="26"/>
        <v>192.30208333333331</v>
      </c>
      <c r="DR6" s="98">
        <f t="shared" si="26"/>
        <v>290.51249999999999</v>
      </c>
      <c r="DS6" s="100">
        <f t="shared" ref="DS6:DS14" si="27">SUM(DG6:DR6)</f>
        <v>2644.5250000000001</v>
      </c>
      <c r="DU6" s="17">
        <f>'Monthly Data'!D6</f>
        <v>27231928.804067481</v>
      </c>
      <c r="DV6" s="17">
        <f>'Monthly Data'!H6</f>
        <v>11001148.955615092</v>
      </c>
      <c r="DW6" s="17">
        <f>'Monthly Data'!L6</f>
        <v>29077828.031337366</v>
      </c>
    </row>
    <row r="7" spans="1:127" x14ac:dyDescent="0.2">
      <c r="A7">
        <v>2014</v>
      </c>
      <c r="B7">
        <v>6</v>
      </c>
      <c r="C7" s="98">
        <v>92.066666666666663</v>
      </c>
      <c r="D7" s="98">
        <v>6.9208333333333343</v>
      </c>
      <c r="E7" s="98">
        <v>46.591666666666683</v>
      </c>
      <c r="F7" s="98">
        <v>21.445833333333336</v>
      </c>
      <c r="G7" s="98">
        <v>17.608333333333334</v>
      </c>
      <c r="H7" s="98">
        <v>52.462500000000006</v>
      </c>
      <c r="I7" s="98">
        <v>5.9916666666666618</v>
      </c>
      <c r="J7" s="98">
        <v>100.84583333333332</v>
      </c>
      <c r="K7" s="98">
        <v>0.90833333333333144</v>
      </c>
      <c r="L7" s="98">
        <v>155.76249999999999</v>
      </c>
      <c r="M7" s="98">
        <v>0</v>
      </c>
      <c r="N7" s="98">
        <v>214.85416666666669</v>
      </c>
      <c r="O7" s="98">
        <v>0</v>
      </c>
      <c r="P7" s="98">
        <v>274.85416666666663</v>
      </c>
      <c r="Q7" s="253">
        <v>17.161805555555556</v>
      </c>
      <c r="T7">
        <f t="shared" ref="T7:T29" si="28">T6+1</f>
        <v>2016</v>
      </c>
      <c r="U7" s="98">
        <f t="shared" si="14"/>
        <v>925.80416666666679</v>
      </c>
      <c r="V7" s="98">
        <f t="shared" si="14"/>
        <v>897.26875000000018</v>
      </c>
      <c r="W7" s="98">
        <f t="shared" si="14"/>
        <v>711.50208333333353</v>
      </c>
      <c r="X7" s="98">
        <f t="shared" si="14"/>
        <v>591.29166666666652</v>
      </c>
      <c r="Y7" s="98">
        <f t="shared" si="14"/>
        <v>235.00208333333333</v>
      </c>
      <c r="Z7" s="98">
        <f t="shared" si="14"/>
        <v>107.67083333333335</v>
      </c>
      <c r="AA7" s="98">
        <f t="shared" si="14"/>
        <v>37.758333333333326</v>
      </c>
      <c r="AB7" s="98">
        <f t="shared" si="14"/>
        <v>37.162499999999994</v>
      </c>
      <c r="AC7" s="98">
        <f t="shared" si="14"/>
        <v>150.91041666666669</v>
      </c>
      <c r="AD7" s="98">
        <f t="shared" si="14"/>
        <v>387.71666666666664</v>
      </c>
      <c r="AE7" s="98">
        <f t="shared" si="14"/>
        <v>523.76249999999993</v>
      </c>
      <c r="AF7" s="98">
        <f t="shared" si="14"/>
        <v>844.79583333333323</v>
      </c>
      <c r="AG7" s="100">
        <f t="shared" si="15"/>
        <v>5450.6458333333339</v>
      </c>
      <c r="AI7">
        <f t="shared" ref="AI7:AI15" si="29">AI6+1</f>
        <v>2016</v>
      </c>
      <c r="AJ7" s="98">
        <f t="shared" si="16"/>
        <v>863.80416666666667</v>
      </c>
      <c r="AK7" s="98">
        <f t="shared" si="16"/>
        <v>839.26875000000018</v>
      </c>
      <c r="AL7" s="98">
        <f t="shared" si="16"/>
        <v>649.50208333333353</v>
      </c>
      <c r="AM7" s="98">
        <f t="shared" si="16"/>
        <v>531.29166666666652</v>
      </c>
      <c r="AN7" s="98">
        <f t="shared" si="16"/>
        <v>180.35208333333333</v>
      </c>
      <c r="AO7" s="98">
        <f t="shared" si="16"/>
        <v>68.266666666666652</v>
      </c>
      <c r="AP7" s="98">
        <f t="shared" si="16"/>
        <v>17.566666666666663</v>
      </c>
      <c r="AQ7" s="98">
        <f t="shared" si="16"/>
        <v>10.483333333333327</v>
      </c>
      <c r="AR7" s="98">
        <f t="shared" si="16"/>
        <v>95.339583333333309</v>
      </c>
      <c r="AS7" s="98">
        <f t="shared" si="16"/>
        <v>325.71666666666675</v>
      </c>
      <c r="AT7" s="98">
        <f t="shared" si="16"/>
        <v>463.76249999999999</v>
      </c>
      <c r="AU7" s="98">
        <f t="shared" si="16"/>
        <v>782.79583333333323</v>
      </c>
      <c r="AV7" s="100">
        <f t="shared" si="17"/>
        <v>4828.1500000000005</v>
      </c>
      <c r="AX7">
        <f t="shared" ref="AX7:AX15" si="30">AX6+1</f>
        <v>2016</v>
      </c>
      <c r="AY7" s="98">
        <f t="shared" si="18"/>
        <v>801.80416666666679</v>
      </c>
      <c r="AZ7" s="98">
        <f t="shared" si="18"/>
        <v>781.26874999999995</v>
      </c>
      <c r="BA7" s="98">
        <f t="shared" si="18"/>
        <v>587.50208333333342</v>
      </c>
      <c r="BB7" s="98">
        <f t="shared" si="18"/>
        <v>471.29166666666652</v>
      </c>
      <c r="BC7" s="98">
        <f t="shared" si="18"/>
        <v>129.07708333333335</v>
      </c>
      <c r="BD7" s="98">
        <f t="shared" si="18"/>
        <v>38.383333333333319</v>
      </c>
      <c r="BE7" s="98">
        <f t="shared" si="18"/>
        <v>6.3541666666666643</v>
      </c>
      <c r="BF7" s="98">
        <f t="shared" si="18"/>
        <v>1.7749999999999986</v>
      </c>
      <c r="BG7" s="98">
        <f t="shared" si="18"/>
        <v>53.858333333333334</v>
      </c>
      <c r="BH7" s="98">
        <f t="shared" si="18"/>
        <v>266.12083333333339</v>
      </c>
      <c r="BI7" s="98">
        <f t="shared" si="18"/>
        <v>403.76249999999999</v>
      </c>
      <c r="BJ7" s="98">
        <f t="shared" si="18"/>
        <v>720.79583333333323</v>
      </c>
      <c r="BK7" s="100">
        <f t="shared" si="19"/>
        <v>4261.9937499999996</v>
      </c>
      <c r="BM7">
        <f t="shared" ref="BM7:BM15" si="31">BM6+1</f>
        <v>2016</v>
      </c>
      <c r="BN7" s="98">
        <f t="shared" si="20"/>
        <v>739.80416666666667</v>
      </c>
      <c r="BO7" s="98">
        <f t="shared" si="20"/>
        <v>723.26874999999995</v>
      </c>
      <c r="BP7" s="98">
        <f t="shared" si="20"/>
        <v>525.5020833333333</v>
      </c>
      <c r="BQ7" s="98">
        <f t="shared" si="20"/>
        <v>411.29166666666652</v>
      </c>
      <c r="BR7" s="98">
        <f t="shared" si="20"/>
        <v>87.768750000000026</v>
      </c>
      <c r="BS7" s="98">
        <f t="shared" si="20"/>
        <v>15.795833333333331</v>
      </c>
      <c r="BT7" s="98">
        <f t="shared" si="20"/>
        <v>0.6458333333333357</v>
      </c>
      <c r="BU7" s="98">
        <f t="shared" si="20"/>
        <v>0</v>
      </c>
      <c r="BV7" s="98">
        <f t="shared" si="20"/>
        <v>25.270833333333336</v>
      </c>
      <c r="BW7" s="98">
        <f t="shared" si="20"/>
        <v>210.64166666666668</v>
      </c>
      <c r="BX7" s="98">
        <f t="shared" si="20"/>
        <v>343.76249999999999</v>
      </c>
      <c r="BY7" s="98">
        <f t="shared" si="20"/>
        <v>658.79583333333323</v>
      </c>
      <c r="BZ7" s="100">
        <f t="shared" si="21"/>
        <v>3742.5479166666664</v>
      </c>
      <c r="CB7">
        <f t="shared" ref="CB7:CB15" si="32">CB6+1</f>
        <v>2016</v>
      </c>
      <c r="CC7" s="98">
        <f t="shared" si="22"/>
        <v>677.80416666666667</v>
      </c>
      <c r="CD7" s="98">
        <f t="shared" si="22"/>
        <v>665.26874999999995</v>
      </c>
      <c r="CE7" s="98">
        <f t="shared" si="22"/>
        <v>463.5020833333333</v>
      </c>
      <c r="CF7" s="98">
        <f t="shared" si="22"/>
        <v>351.29166666666657</v>
      </c>
      <c r="CG7" s="98">
        <f t="shared" si="22"/>
        <v>57.731249999999996</v>
      </c>
      <c r="CH7" s="98">
        <f t="shared" si="22"/>
        <v>5.7208333333333341</v>
      </c>
      <c r="CI7" s="98">
        <f t="shared" si="22"/>
        <v>0</v>
      </c>
      <c r="CJ7" s="98">
        <f t="shared" si="22"/>
        <v>0</v>
      </c>
      <c r="CK7" s="98">
        <f t="shared" si="22"/>
        <v>8.9458333333333382</v>
      </c>
      <c r="CL7" s="98">
        <f t="shared" si="22"/>
        <v>163.39166666666668</v>
      </c>
      <c r="CM7" s="98">
        <f t="shared" si="22"/>
        <v>283.76250000000005</v>
      </c>
      <c r="CN7" s="98">
        <f t="shared" si="22"/>
        <v>596.79583333333335</v>
      </c>
      <c r="CO7" s="100">
        <f t="shared" si="23"/>
        <v>3274.2145833333334</v>
      </c>
      <c r="CQ7">
        <f t="shared" ref="CQ7:CQ15" si="33">CQ6+1</f>
        <v>2016</v>
      </c>
      <c r="CR7" s="98">
        <f t="shared" si="24"/>
        <v>615.80416666666679</v>
      </c>
      <c r="CS7" s="98">
        <f t="shared" si="12"/>
        <v>607.26874999999995</v>
      </c>
      <c r="CT7" s="98">
        <f t="shared" si="12"/>
        <v>401.50208333333336</v>
      </c>
      <c r="CU7" s="98">
        <f t="shared" si="12"/>
        <v>293.09999999999997</v>
      </c>
      <c r="CV7" s="98">
        <f t="shared" si="12"/>
        <v>34.1875</v>
      </c>
      <c r="CW7" s="98">
        <f t="shared" si="12"/>
        <v>2.2375000000000016</v>
      </c>
      <c r="CX7" s="98">
        <f t="shared" si="12"/>
        <v>0</v>
      </c>
      <c r="CY7" s="98">
        <f t="shared" si="12"/>
        <v>0</v>
      </c>
      <c r="CZ7" s="98">
        <f t="shared" si="12"/>
        <v>1.0041666666666682</v>
      </c>
      <c r="DA7" s="98">
        <f t="shared" si="12"/>
        <v>121.99583333333332</v>
      </c>
      <c r="DB7" s="98">
        <f t="shared" si="12"/>
        <v>223.76250000000002</v>
      </c>
      <c r="DC7" s="98">
        <f t="shared" si="12"/>
        <v>534.79583333333335</v>
      </c>
      <c r="DD7" s="100">
        <f t="shared" si="25"/>
        <v>2835.6583333333328</v>
      </c>
      <c r="DF7">
        <f t="shared" ref="DF7:DF15" si="34">DF6+1</f>
        <v>2016</v>
      </c>
      <c r="DG7" s="98">
        <f t="shared" si="26"/>
        <v>553.80416666666667</v>
      </c>
      <c r="DH7" s="98">
        <f t="shared" si="26"/>
        <v>549.26874999999995</v>
      </c>
      <c r="DI7" s="98">
        <f t="shared" si="26"/>
        <v>339.50208333333336</v>
      </c>
      <c r="DJ7" s="98">
        <f t="shared" si="26"/>
        <v>237.70000000000002</v>
      </c>
      <c r="DK7" s="98">
        <f t="shared" si="26"/>
        <v>19.037500000000001</v>
      </c>
      <c r="DL7" s="98">
        <f t="shared" si="26"/>
        <v>0.2375000000000016</v>
      </c>
      <c r="DM7" s="98">
        <f t="shared" si="26"/>
        <v>0</v>
      </c>
      <c r="DN7" s="98">
        <f t="shared" si="26"/>
        <v>0</v>
      </c>
      <c r="DO7" s="98">
        <f t="shared" si="26"/>
        <v>0</v>
      </c>
      <c r="DP7" s="98">
        <f t="shared" si="26"/>
        <v>85.466666666666654</v>
      </c>
      <c r="DQ7" s="98">
        <f t="shared" si="26"/>
        <v>165.07083333333335</v>
      </c>
      <c r="DR7" s="98">
        <f t="shared" si="26"/>
        <v>472.79583333333329</v>
      </c>
      <c r="DS7" s="100">
        <f t="shared" si="27"/>
        <v>2422.8833333333332</v>
      </c>
      <c r="DU7" s="17">
        <f>'Monthly Data'!D7</f>
        <v>24474897.388553303</v>
      </c>
      <c r="DV7" s="17">
        <f>'Monthly Data'!H7</f>
        <v>10508919.920623412</v>
      </c>
      <c r="DW7" s="17">
        <f>'Monthly Data'!L7</f>
        <v>27920269.231459297</v>
      </c>
    </row>
    <row r="8" spans="1:127" x14ac:dyDescent="0.2">
      <c r="A8">
        <v>2014</v>
      </c>
      <c r="B8">
        <v>7</v>
      </c>
      <c r="C8" s="98">
        <v>103.67916666666667</v>
      </c>
      <c r="D8" s="98">
        <v>2.4083333333333279</v>
      </c>
      <c r="E8" s="98">
        <v>54.441666666666691</v>
      </c>
      <c r="F8" s="98">
        <v>15.170833333333327</v>
      </c>
      <c r="G8" s="98">
        <v>23.037500000000009</v>
      </c>
      <c r="H8" s="98">
        <v>45.766666666666652</v>
      </c>
      <c r="I8" s="98">
        <v>5.15</v>
      </c>
      <c r="J8" s="98">
        <v>89.879166666666649</v>
      </c>
      <c r="K8" s="98">
        <v>0</v>
      </c>
      <c r="L8" s="98">
        <v>146.72916666666663</v>
      </c>
      <c r="M8" s="98">
        <v>0</v>
      </c>
      <c r="N8" s="98">
        <v>208.72916666666663</v>
      </c>
      <c r="O8" s="98">
        <v>0</v>
      </c>
      <c r="P8" s="98">
        <v>270.72916666666669</v>
      </c>
      <c r="Q8" s="253">
        <v>16.73319892473118</v>
      </c>
      <c r="T8">
        <f t="shared" si="28"/>
        <v>2017</v>
      </c>
      <c r="U8" s="98">
        <f t="shared" si="14"/>
        <v>850.22916666666663</v>
      </c>
      <c r="V8" s="98">
        <f t="shared" si="14"/>
        <v>755.37916666666638</v>
      </c>
      <c r="W8" s="98">
        <f t="shared" si="14"/>
        <v>827.80416666666679</v>
      </c>
      <c r="X8" s="98">
        <f t="shared" si="14"/>
        <v>472.65275117675691</v>
      </c>
      <c r="Y8" s="98">
        <f t="shared" si="14"/>
        <v>307.0916666666667</v>
      </c>
      <c r="Z8" s="98">
        <f t="shared" si="14"/>
        <v>127.08958333333334</v>
      </c>
      <c r="AA8" s="98">
        <f t="shared" si="14"/>
        <v>67.291666666666629</v>
      </c>
      <c r="AB8" s="98">
        <f t="shared" si="14"/>
        <v>119.70833333333333</v>
      </c>
      <c r="AC8" s="98">
        <f t="shared" si="14"/>
        <v>154.60833333333335</v>
      </c>
      <c r="AD8" s="98">
        <f t="shared" si="14"/>
        <v>322.61875000000003</v>
      </c>
      <c r="AE8" s="98">
        <f t="shared" si="14"/>
        <v>668.26249999999993</v>
      </c>
      <c r="AF8" s="98">
        <f t="shared" si="14"/>
        <v>1019.3625</v>
      </c>
      <c r="AG8" s="100">
        <f t="shared" si="15"/>
        <v>5692.0985845100904</v>
      </c>
      <c r="AI8">
        <f t="shared" si="29"/>
        <v>2017</v>
      </c>
      <c r="AJ8" s="98">
        <f t="shared" si="16"/>
        <v>788.22916666666674</v>
      </c>
      <c r="AK8" s="98">
        <f t="shared" si="16"/>
        <v>699.37916666666649</v>
      </c>
      <c r="AL8" s="98">
        <f t="shared" si="16"/>
        <v>765.80416666666667</v>
      </c>
      <c r="AM8" s="98">
        <f t="shared" si="16"/>
        <v>412.65275117675696</v>
      </c>
      <c r="AN8" s="98">
        <f t="shared" si="16"/>
        <v>247.05000000000007</v>
      </c>
      <c r="AO8" s="98">
        <f t="shared" si="16"/>
        <v>75.668750000000003</v>
      </c>
      <c r="AP8" s="98">
        <f t="shared" si="16"/>
        <v>28.824999999999989</v>
      </c>
      <c r="AQ8" s="98">
        <f t="shared" si="16"/>
        <v>65.024999999999991</v>
      </c>
      <c r="AR8" s="98">
        <f t="shared" si="16"/>
        <v>109.65416666666665</v>
      </c>
      <c r="AS8" s="98">
        <f t="shared" si="16"/>
        <v>260.61874999999998</v>
      </c>
      <c r="AT8" s="98">
        <f t="shared" si="16"/>
        <v>608.26250000000005</v>
      </c>
      <c r="AU8" s="98">
        <f t="shared" si="16"/>
        <v>957.36249999999995</v>
      </c>
      <c r="AV8" s="100">
        <f t="shared" si="17"/>
        <v>5018.5319178434238</v>
      </c>
      <c r="AX8">
        <f t="shared" si="30"/>
        <v>2017</v>
      </c>
      <c r="AY8" s="98">
        <f t="shared" si="18"/>
        <v>726.22916666666686</v>
      </c>
      <c r="AZ8" s="98">
        <f t="shared" si="18"/>
        <v>643.37916666666649</v>
      </c>
      <c r="BA8" s="98">
        <f t="shared" si="18"/>
        <v>703.80416666666656</v>
      </c>
      <c r="BB8" s="98">
        <f t="shared" si="18"/>
        <v>352.65275117675702</v>
      </c>
      <c r="BC8" s="98">
        <f t="shared" si="18"/>
        <v>188.87916666666672</v>
      </c>
      <c r="BD8" s="98">
        <f t="shared" si="18"/>
        <v>37.554166666666667</v>
      </c>
      <c r="BE8" s="98">
        <f t="shared" si="18"/>
        <v>9.1666666666666607</v>
      </c>
      <c r="BF8" s="98">
        <f t="shared" si="18"/>
        <v>28.216666666666654</v>
      </c>
      <c r="BG8" s="98">
        <f t="shared" si="18"/>
        <v>72.543749999999989</v>
      </c>
      <c r="BH8" s="98">
        <f t="shared" si="18"/>
        <v>200.76041666666666</v>
      </c>
      <c r="BI8" s="98">
        <f t="shared" si="18"/>
        <v>548.26250000000005</v>
      </c>
      <c r="BJ8" s="98">
        <f t="shared" si="18"/>
        <v>895.36249999999995</v>
      </c>
      <c r="BK8" s="100">
        <f t="shared" si="19"/>
        <v>4406.81108451009</v>
      </c>
      <c r="BM8">
        <f t="shared" si="31"/>
        <v>2017</v>
      </c>
      <c r="BN8" s="98">
        <f t="shared" si="20"/>
        <v>664.22916666666686</v>
      </c>
      <c r="BO8" s="98">
        <f t="shared" si="20"/>
        <v>587.37916666666672</v>
      </c>
      <c r="BP8" s="98">
        <f t="shared" si="20"/>
        <v>641.80416666666667</v>
      </c>
      <c r="BQ8" s="98">
        <f t="shared" si="20"/>
        <v>294.36666666666673</v>
      </c>
      <c r="BR8" s="98">
        <f t="shared" si="20"/>
        <v>135.26666666666671</v>
      </c>
      <c r="BS8" s="98">
        <f t="shared" si="20"/>
        <v>16.50833333333334</v>
      </c>
      <c r="BT8" s="98">
        <f t="shared" si="20"/>
        <v>1.9166666666666643</v>
      </c>
      <c r="BU8" s="98">
        <f t="shared" si="20"/>
        <v>10.395833333333329</v>
      </c>
      <c r="BV8" s="98">
        <f t="shared" si="20"/>
        <v>44.502083333333324</v>
      </c>
      <c r="BW8" s="98">
        <f t="shared" si="20"/>
        <v>148.1854166666667</v>
      </c>
      <c r="BX8" s="98">
        <f t="shared" si="20"/>
        <v>488.26249999999999</v>
      </c>
      <c r="BY8" s="98">
        <f t="shared" si="20"/>
        <v>833.36250000000018</v>
      </c>
      <c r="BZ8" s="100">
        <f t="shared" si="21"/>
        <v>3866.1791666666672</v>
      </c>
      <c r="CB8">
        <f t="shared" si="32"/>
        <v>2017</v>
      </c>
      <c r="CC8" s="98">
        <f t="shared" si="22"/>
        <v>602.22916666666686</v>
      </c>
      <c r="CD8" s="98">
        <f t="shared" si="22"/>
        <v>531.37916666666683</v>
      </c>
      <c r="CE8" s="98">
        <f t="shared" si="22"/>
        <v>579.80416666666656</v>
      </c>
      <c r="CF8" s="98">
        <f t="shared" si="22"/>
        <v>236.36666666666676</v>
      </c>
      <c r="CG8" s="98">
        <f t="shared" si="22"/>
        <v>90.116666666666674</v>
      </c>
      <c r="CH8" s="98">
        <f t="shared" si="22"/>
        <v>4.0458333333333361</v>
      </c>
      <c r="CI8" s="98">
        <f t="shared" si="22"/>
        <v>0</v>
      </c>
      <c r="CJ8" s="98">
        <f t="shared" si="22"/>
        <v>2.2291666666666643</v>
      </c>
      <c r="CK8" s="98">
        <f t="shared" si="22"/>
        <v>24.054166666666667</v>
      </c>
      <c r="CL8" s="98">
        <f t="shared" si="22"/>
        <v>102.87708333333335</v>
      </c>
      <c r="CM8" s="98">
        <f t="shared" si="22"/>
        <v>428.26250000000005</v>
      </c>
      <c r="CN8" s="98">
        <f t="shared" si="22"/>
        <v>771.36249999999995</v>
      </c>
      <c r="CO8" s="100">
        <f t="shared" si="23"/>
        <v>3372.7270833333341</v>
      </c>
      <c r="CQ8">
        <f t="shared" si="33"/>
        <v>2017</v>
      </c>
      <c r="CR8" s="98">
        <f t="shared" si="24"/>
        <v>540.22916666666674</v>
      </c>
      <c r="CS8" s="98">
        <f t="shared" si="12"/>
        <v>475.37916666666683</v>
      </c>
      <c r="CT8" s="98">
        <f t="shared" si="12"/>
        <v>517.80416666666656</v>
      </c>
      <c r="CU8" s="98">
        <f t="shared" si="12"/>
        <v>178.72500000000002</v>
      </c>
      <c r="CV8" s="98">
        <f t="shared" si="12"/>
        <v>56.574999999999996</v>
      </c>
      <c r="CW8" s="98">
        <f t="shared" si="12"/>
        <v>0.59999999999999964</v>
      </c>
      <c r="CX8" s="98">
        <f t="shared" si="12"/>
        <v>0</v>
      </c>
      <c r="CY8" s="98">
        <f t="shared" si="12"/>
        <v>2.5000000000000355E-2</v>
      </c>
      <c r="CZ8" s="98">
        <f t="shared" si="12"/>
        <v>10.408333333333333</v>
      </c>
      <c r="DA8" s="98">
        <f t="shared" si="12"/>
        <v>68.772916666666674</v>
      </c>
      <c r="DB8" s="98">
        <f t="shared" si="12"/>
        <v>368.26250000000005</v>
      </c>
      <c r="DC8" s="98">
        <f t="shared" si="12"/>
        <v>709.36250000000007</v>
      </c>
      <c r="DD8" s="100">
        <f t="shared" si="25"/>
        <v>2926.1437500000002</v>
      </c>
      <c r="DF8">
        <f t="shared" si="34"/>
        <v>2017</v>
      </c>
      <c r="DG8" s="98">
        <f t="shared" si="26"/>
        <v>478.2291666666668</v>
      </c>
      <c r="DH8" s="98">
        <f t="shared" si="26"/>
        <v>419.37916666666678</v>
      </c>
      <c r="DI8" s="98">
        <f t="shared" si="26"/>
        <v>455.80416666666662</v>
      </c>
      <c r="DJ8" s="98">
        <f t="shared" si="26"/>
        <v>122.72500000000002</v>
      </c>
      <c r="DK8" s="98">
        <f t="shared" si="26"/>
        <v>31.19583333333334</v>
      </c>
      <c r="DL8" s="98">
        <f t="shared" si="26"/>
        <v>0</v>
      </c>
      <c r="DM8" s="98">
        <f t="shared" si="26"/>
        <v>0</v>
      </c>
      <c r="DN8" s="98">
        <f t="shared" si="26"/>
        <v>0</v>
      </c>
      <c r="DO8" s="98">
        <f t="shared" si="26"/>
        <v>2.5083333333333329</v>
      </c>
      <c r="DP8" s="98">
        <f t="shared" si="26"/>
        <v>46.764583333333334</v>
      </c>
      <c r="DQ8" s="98">
        <f t="shared" si="26"/>
        <v>308.26249999999999</v>
      </c>
      <c r="DR8" s="98">
        <f t="shared" si="26"/>
        <v>647.36249999999995</v>
      </c>
      <c r="DS8" s="100">
        <f t="shared" si="27"/>
        <v>2512.2312500000007</v>
      </c>
      <c r="DU8" s="17">
        <f>'Monthly Data'!D8</f>
        <v>24815427.961209074</v>
      </c>
      <c r="DV8" s="17">
        <f>'Monthly Data'!H8</f>
        <v>10787172.324980062</v>
      </c>
      <c r="DW8" s="17">
        <f>'Monthly Data'!L8</f>
        <v>27860486.925324831</v>
      </c>
    </row>
    <row r="9" spans="1:127" x14ac:dyDescent="0.2">
      <c r="A9">
        <v>2014</v>
      </c>
      <c r="B9">
        <v>8</v>
      </c>
      <c r="C9" s="98">
        <v>99.397916666666674</v>
      </c>
      <c r="D9" s="98">
        <v>2.7708333333333357</v>
      </c>
      <c r="E9" s="98">
        <v>55.460416666666688</v>
      </c>
      <c r="F9" s="98">
        <v>20.833333333333353</v>
      </c>
      <c r="G9" s="98">
        <v>27.906250000000014</v>
      </c>
      <c r="H9" s="98">
        <v>55.279166666666697</v>
      </c>
      <c r="I9" s="98">
        <v>10.464583333333341</v>
      </c>
      <c r="J9" s="98">
        <v>99.837500000000034</v>
      </c>
      <c r="K9" s="98">
        <v>3.9541666666666693</v>
      </c>
      <c r="L9" s="98">
        <v>155.32708333333335</v>
      </c>
      <c r="M9" s="98">
        <v>1.1333333333333346</v>
      </c>
      <c r="N9" s="98">
        <v>214.50625000000002</v>
      </c>
      <c r="O9" s="98">
        <v>0</v>
      </c>
      <c r="P9" s="98">
        <v>275.3729166666667</v>
      </c>
      <c r="Q9" s="253">
        <v>16.882997311827953</v>
      </c>
      <c r="T9">
        <f t="shared" si="28"/>
        <v>2018</v>
      </c>
      <c r="U9" s="98">
        <f t="shared" si="14"/>
        <v>977.3104166666667</v>
      </c>
      <c r="V9" s="98">
        <f t="shared" si="14"/>
        <v>817.08958333333317</v>
      </c>
      <c r="W9" s="98">
        <f t="shared" si="14"/>
        <v>778.80624999999986</v>
      </c>
      <c r="X9" s="98">
        <f t="shared" si="14"/>
        <v>636.60625000000005</v>
      </c>
      <c r="Y9" s="98">
        <f t="shared" si="14"/>
        <v>207.95416666666665</v>
      </c>
      <c r="Z9" s="98">
        <f t="shared" si="14"/>
        <v>108.74583333333337</v>
      </c>
      <c r="AA9" s="98">
        <f t="shared" si="14"/>
        <v>23.839563382567764</v>
      </c>
      <c r="AB9" s="98">
        <f t="shared" si="14"/>
        <v>37.42083333333332</v>
      </c>
      <c r="AC9" s="98">
        <f t="shared" si="14"/>
        <v>187.00416666666669</v>
      </c>
      <c r="AD9" s="98">
        <f t="shared" si="14"/>
        <v>505.03750000000002</v>
      </c>
      <c r="AE9" s="98">
        <f t="shared" si="14"/>
        <v>736.37708333333353</v>
      </c>
      <c r="AF9" s="98">
        <f t="shared" si="14"/>
        <v>846.44791666666663</v>
      </c>
      <c r="AG9" s="100">
        <f t="shared" si="15"/>
        <v>5862.6395633825678</v>
      </c>
      <c r="AI9">
        <f t="shared" si="29"/>
        <v>2018</v>
      </c>
      <c r="AJ9" s="98">
        <f t="shared" si="16"/>
        <v>915.3104166666667</v>
      </c>
      <c r="AK9" s="98">
        <f t="shared" si="16"/>
        <v>761.08958333333317</v>
      </c>
      <c r="AL9" s="98">
        <f t="shared" si="16"/>
        <v>716.80624999999975</v>
      </c>
      <c r="AM9" s="98">
        <f t="shared" si="16"/>
        <v>576.60624999999993</v>
      </c>
      <c r="AN9" s="98">
        <f t="shared" si="16"/>
        <v>156.5333333333333</v>
      </c>
      <c r="AO9" s="98">
        <f t="shared" si="16"/>
        <v>65.32083333333334</v>
      </c>
      <c r="AP9" s="98">
        <f t="shared" si="16"/>
        <v>6.3381877941892562</v>
      </c>
      <c r="AQ9" s="98">
        <f t="shared" si="16"/>
        <v>15.641666666666659</v>
      </c>
      <c r="AR9" s="98">
        <f t="shared" si="16"/>
        <v>141.23333333333332</v>
      </c>
      <c r="AS9" s="98">
        <f t="shared" si="16"/>
        <v>443.03749999999991</v>
      </c>
      <c r="AT9" s="98">
        <f t="shared" si="16"/>
        <v>676.37708333333342</v>
      </c>
      <c r="AU9" s="98">
        <f t="shared" si="16"/>
        <v>784.44791666666663</v>
      </c>
      <c r="AV9" s="100">
        <f t="shared" si="17"/>
        <v>5258.7423544608555</v>
      </c>
      <c r="AX9">
        <f t="shared" si="30"/>
        <v>2018</v>
      </c>
      <c r="AY9" s="98">
        <f t="shared" si="18"/>
        <v>853.3104166666667</v>
      </c>
      <c r="AZ9" s="98">
        <f t="shared" si="18"/>
        <v>705.08958333333317</v>
      </c>
      <c r="BA9" s="98">
        <f t="shared" si="18"/>
        <v>654.80624999999986</v>
      </c>
      <c r="BB9" s="98">
        <f t="shared" si="18"/>
        <v>516.60624999999993</v>
      </c>
      <c r="BC9" s="98">
        <f t="shared" si="18"/>
        <v>110.37500000000001</v>
      </c>
      <c r="BD9" s="98">
        <f t="shared" si="18"/>
        <v>33.812499999999993</v>
      </c>
      <c r="BE9" s="98">
        <f t="shared" si="18"/>
        <v>1.6666666666665719E-2</v>
      </c>
      <c r="BF9" s="98">
        <f t="shared" si="18"/>
        <v>6.458333333333325</v>
      </c>
      <c r="BG9" s="98">
        <f t="shared" si="18"/>
        <v>101.02083333333333</v>
      </c>
      <c r="BH9" s="98">
        <f t="shared" si="18"/>
        <v>381.03750000000008</v>
      </c>
      <c r="BI9" s="98">
        <f t="shared" si="18"/>
        <v>616.37708333333342</v>
      </c>
      <c r="BJ9" s="98">
        <f t="shared" si="18"/>
        <v>722.44791666666663</v>
      </c>
      <c r="BK9" s="100">
        <f t="shared" si="19"/>
        <v>4701.3583333333336</v>
      </c>
      <c r="BM9">
        <f t="shared" si="31"/>
        <v>2018</v>
      </c>
      <c r="BN9" s="98">
        <f t="shared" si="20"/>
        <v>791.3104166666667</v>
      </c>
      <c r="BO9" s="98">
        <f t="shared" si="20"/>
        <v>649.08958333333328</v>
      </c>
      <c r="BP9" s="98">
        <f t="shared" si="20"/>
        <v>592.80624999999975</v>
      </c>
      <c r="BQ9" s="98">
        <f t="shared" si="20"/>
        <v>456.60625000000005</v>
      </c>
      <c r="BR9" s="98">
        <f t="shared" si="20"/>
        <v>73.558333333333323</v>
      </c>
      <c r="BS9" s="98">
        <f t="shared" si="20"/>
        <v>15.445833333333335</v>
      </c>
      <c r="BT9" s="98">
        <f t="shared" si="20"/>
        <v>0</v>
      </c>
      <c r="BU9" s="98">
        <f t="shared" si="20"/>
        <v>1.8875000000000011</v>
      </c>
      <c r="BV9" s="98">
        <f t="shared" si="20"/>
        <v>67.524999999999991</v>
      </c>
      <c r="BW9" s="98">
        <f t="shared" si="20"/>
        <v>320.22916666666674</v>
      </c>
      <c r="BX9" s="98">
        <f t="shared" si="20"/>
        <v>556.3770833333333</v>
      </c>
      <c r="BY9" s="98">
        <f t="shared" si="20"/>
        <v>660.44791666666663</v>
      </c>
      <c r="BZ9" s="100">
        <f t="shared" si="21"/>
        <v>4185.2833333333328</v>
      </c>
      <c r="CB9">
        <f t="shared" si="32"/>
        <v>2018</v>
      </c>
      <c r="CC9" s="98">
        <f t="shared" si="22"/>
        <v>729.3104166666667</v>
      </c>
      <c r="CD9" s="98">
        <f t="shared" si="22"/>
        <v>593.08958333333339</v>
      </c>
      <c r="CE9" s="98">
        <f t="shared" si="22"/>
        <v>530.80624999999986</v>
      </c>
      <c r="CF9" s="98">
        <f t="shared" si="22"/>
        <v>396.60624999999999</v>
      </c>
      <c r="CG9" s="98">
        <f t="shared" si="22"/>
        <v>41.137500000000003</v>
      </c>
      <c r="CH9" s="98">
        <f t="shared" si="22"/>
        <v>4.9208333333333307</v>
      </c>
      <c r="CI9" s="98">
        <f t="shared" si="22"/>
        <v>0</v>
      </c>
      <c r="CJ9" s="98">
        <f t="shared" si="22"/>
        <v>0</v>
      </c>
      <c r="CK9" s="98">
        <f t="shared" si="22"/>
        <v>39.441666666666656</v>
      </c>
      <c r="CL9" s="98">
        <f t="shared" si="22"/>
        <v>260.22916666666669</v>
      </c>
      <c r="CM9" s="98">
        <f t="shared" si="22"/>
        <v>496.37708333333336</v>
      </c>
      <c r="CN9" s="98">
        <f t="shared" si="22"/>
        <v>598.44791666666663</v>
      </c>
      <c r="CO9" s="100">
        <f t="shared" si="23"/>
        <v>3690.3666666666659</v>
      </c>
      <c r="CQ9">
        <f t="shared" si="33"/>
        <v>2018</v>
      </c>
      <c r="CR9" s="98">
        <f t="shared" si="24"/>
        <v>667.31041666666681</v>
      </c>
      <c r="CS9" s="98">
        <f t="shared" si="12"/>
        <v>537.08958333333339</v>
      </c>
      <c r="CT9" s="98">
        <f t="shared" si="12"/>
        <v>468.80624999999998</v>
      </c>
      <c r="CU9" s="98">
        <f t="shared" si="12"/>
        <v>336.60624999999999</v>
      </c>
      <c r="CV9" s="98">
        <f t="shared" si="12"/>
        <v>20.166666666666668</v>
      </c>
      <c r="CW9" s="98">
        <f t="shared" si="12"/>
        <v>1.0624999999999982</v>
      </c>
      <c r="CX9" s="98">
        <f t="shared" si="12"/>
        <v>0</v>
      </c>
      <c r="CY9" s="98">
        <f t="shared" si="12"/>
        <v>0</v>
      </c>
      <c r="CZ9" s="98">
        <f t="shared" si="12"/>
        <v>19.612499999999997</v>
      </c>
      <c r="DA9" s="98">
        <f t="shared" si="12"/>
        <v>200.22916666666666</v>
      </c>
      <c r="DB9" s="98">
        <f t="shared" si="12"/>
        <v>436.37708333333336</v>
      </c>
      <c r="DC9" s="98">
        <f t="shared" si="12"/>
        <v>536.44791666666663</v>
      </c>
      <c r="DD9" s="100">
        <f t="shared" si="25"/>
        <v>3223.7083333333335</v>
      </c>
      <c r="DF9">
        <f t="shared" si="34"/>
        <v>2018</v>
      </c>
      <c r="DG9" s="98">
        <f t="shared" si="26"/>
        <v>605.31041666666681</v>
      </c>
      <c r="DH9" s="98">
        <f t="shared" si="26"/>
        <v>481.08958333333334</v>
      </c>
      <c r="DI9" s="98">
        <f t="shared" si="26"/>
        <v>406.80624999999998</v>
      </c>
      <c r="DJ9" s="98">
        <f t="shared" si="26"/>
        <v>279.26875000000007</v>
      </c>
      <c r="DK9" s="98">
        <f t="shared" si="26"/>
        <v>7.6416666666666666</v>
      </c>
      <c r="DL9" s="98">
        <f t="shared" si="26"/>
        <v>0</v>
      </c>
      <c r="DM9" s="98">
        <f t="shared" si="26"/>
        <v>0</v>
      </c>
      <c r="DN9" s="98">
        <f t="shared" si="26"/>
        <v>0</v>
      </c>
      <c r="DO9" s="98">
        <f t="shared" si="26"/>
        <v>10.433333333333334</v>
      </c>
      <c r="DP9" s="98">
        <f t="shared" si="26"/>
        <v>144.84583333333333</v>
      </c>
      <c r="DQ9" s="98">
        <f t="shared" si="26"/>
        <v>376.37708333333336</v>
      </c>
      <c r="DR9" s="98">
        <f t="shared" si="26"/>
        <v>474.44791666666669</v>
      </c>
      <c r="DS9" s="100">
        <f t="shared" si="27"/>
        <v>2786.2208333333338</v>
      </c>
      <c r="DU9" s="17">
        <f>'Monthly Data'!D9</f>
        <v>24906971.037229616</v>
      </c>
      <c r="DV9" s="17">
        <f>'Monthly Data'!H9</f>
        <v>10690684.239202976</v>
      </c>
      <c r="DW9" s="17">
        <f>'Monthly Data'!L9</f>
        <v>27969559.419198349</v>
      </c>
    </row>
    <row r="10" spans="1:127" x14ac:dyDescent="0.2">
      <c r="A10">
        <v>2014</v>
      </c>
      <c r="B10">
        <v>9</v>
      </c>
      <c r="C10" s="98">
        <v>233.62083333333331</v>
      </c>
      <c r="D10" s="98">
        <v>0</v>
      </c>
      <c r="E10" s="98">
        <v>174.86249999999995</v>
      </c>
      <c r="F10" s="98">
        <v>1.2416666666666636</v>
      </c>
      <c r="G10" s="98">
        <v>127.7375</v>
      </c>
      <c r="H10" s="98">
        <v>14.11666666666666</v>
      </c>
      <c r="I10" s="98">
        <v>90.399999999999991</v>
      </c>
      <c r="J10" s="98">
        <v>36.779166666666654</v>
      </c>
      <c r="K10" s="98">
        <v>60.024999999999991</v>
      </c>
      <c r="L10" s="98">
        <v>66.404166666666654</v>
      </c>
      <c r="M10" s="98">
        <v>35.229166666666664</v>
      </c>
      <c r="N10" s="98">
        <v>101.60833333333333</v>
      </c>
      <c r="O10" s="98">
        <v>14.124999999999998</v>
      </c>
      <c r="P10" s="98">
        <v>140.50416666666669</v>
      </c>
      <c r="Q10" s="253">
        <v>12.212638888888886</v>
      </c>
      <c r="T10">
        <f t="shared" si="28"/>
        <v>2019</v>
      </c>
      <c r="U10" s="98">
        <f t="shared" si="14"/>
        <v>1109.2395833333335</v>
      </c>
      <c r="V10" s="98">
        <f t="shared" si="14"/>
        <v>894.45833333333337</v>
      </c>
      <c r="W10" s="98">
        <f t="shared" si="14"/>
        <v>803.16666666666663</v>
      </c>
      <c r="X10" s="98">
        <f t="shared" si="14"/>
        <v>547.67708333333337</v>
      </c>
      <c r="Y10" s="98">
        <f t="shared" si="14"/>
        <v>347.69791666666663</v>
      </c>
      <c r="Z10" s="98">
        <f t="shared" si="14"/>
        <v>132.03262558837852</v>
      </c>
      <c r="AA10" s="98">
        <f t="shared" si="14"/>
        <v>19.483333333333356</v>
      </c>
      <c r="AB10" s="98">
        <f t="shared" si="14"/>
        <v>80.250000000000014</v>
      </c>
      <c r="AC10" s="98">
        <f t="shared" si="14"/>
        <v>204.99791666666664</v>
      </c>
      <c r="AD10" s="98">
        <f t="shared" si="14"/>
        <v>423.1117922550452</v>
      </c>
      <c r="AE10" s="98">
        <f t="shared" si="14"/>
        <v>731.92083333333346</v>
      </c>
      <c r="AF10" s="98">
        <f t="shared" si="14"/>
        <v>852.69583333333355</v>
      </c>
      <c r="AG10" s="100">
        <f t="shared" si="15"/>
        <v>6146.7319178434245</v>
      </c>
      <c r="AI10">
        <f t="shared" si="29"/>
        <v>2019</v>
      </c>
      <c r="AJ10" s="98">
        <f t="shared" si="16"/>
        <v>1047.2395833333335</v>
      </c>
      <c r="AK10" s="98">
        <f t="shared" si="16"/>
        <v>838.45833333333326</v>
      </c>
      <c r="AL10" s="98">
        <f t="shared" si="16"/>
        <v>741.16666666666674</v>
      </c>
      <c r="AM10" s="98">
        <f t="shared" si="16"/>
        <v>487.67708333333331</v>
      </c>
      <c r="AN10" s="98">
        <f t="shared" si="16"/>
        <v>285.69791666666669</v>
      </c>
      <c r="AO10" s="98">
        <f t="shared" si="16"/>
        <v>83.111792255045174</v>
      </c>
      <c r="AP10" s="98">
        <f t="shared" si="16"/>
        <v>3.2125000000000092</v>
      </c>
      <c r="AQ10" s="98">
        <f t="shared" si="16"/>
        <v>36.795833333333341</v>
      </c>
      <c r="AR10" s="98">
        <f t="shared" si="16"/>
        <v>147.32291666666666</v>
      </c>
      <c r="AS10" s="98">
        <f t="shared" si="16"/>
        <v>361.11179225504515</v>
      </c>
      <c r="AT10" s="98">
        <f t="shared" si="16"/>
        <v>671.92083333333335</v>
      </c>
      <c r="AU10" s="98">
        <f t="shared" si="16"/>
        <v>790.69583333333355</v>
      </c>
      <c r="AV10" s="100">
        <f t="shared" si="17"/>
        <v>5494.4110845100904</v>
      </c>
      <c r="AX10">
        <f t="shared" si="30"/>
        <v>2019</v>
      </c>
      <c r="AY10" s="98">
        <f t="shared" si="18"/>
        <v>985.23958333333337</v>
      </c>
      <c r="AZ10" s="98">
        <f t="shared" si="18"/>
        <v>782.45833333333337</v>
      </c>
      <c r="BA10" s="98">
        <f t="shared" si="18"/>
        <v>679.16666666666674</v>
      </c>
      <c r="BB10" s="98">
        <f t="shared" si="18"/>
        <v>427.67708333333331</v>
      </c>
      <c r="BC10" s="98">
        <f t="shared" si="18"/>
        <v>223.69791666666666</v>
      </c>
      <c r="BD10" s="98">
        <f t="shared" si="18"/>
        <v>48.532625588378508</v>
      </c>
      <c r="BE10" s="98">
        <f t="shared" si="18"/>
        <v>0</v>
      </c>
      <c r="BF10" s="98">
        <f t="shared" si="18"/>
        <v>13.158333333333335</v>
      </c>
      <c r="BG10" s="98">
        <f t="shared" si="18"/>
        <v>94.785416666666663</v>
      </c>
      <c r="BH10" s="98">
        <f t="shared" si="18"/>
        <v>299.11179225504515</v>
      </c>
      <c r="BI10" s="98">
        <f t="shared" si="18"/>
        <v>611.92083333333323</v>
      </c>
      <c r="BJ10" s="98">
        <f t="shared" si="18"/>
        <v>728.69583333333355</v>
      </c>
      <c r="BK10" s="100">
        <f t="shared" si="19"/>
        <v>4894.4444178434233</v>
      </c>
      <c r="BM10">
        <f t="shared" si="31"/>
        <v>2019</v>
      </c>
      <c r="BN10" s="98">
        <f t="shared" si="20"/>
        <v>923.23958333333337</v>
      </c>
      <c r="BO10" s="98">
        <f t="shared" si="20"/>
        <v>726.45833333333337</v>
      </c>
      <c r="BP10" s="98">
        <f t="shared" si="20"/>
        <v>617.16666666666674</v>
      </c>
      <c r="BQ10" s="98">
        <f t="shared" si="20"/>
        <v>367.67708333333331</v>
      </c>
      <c r="BR10" s="98">
        <f t="shared" si="20"/>
        <v>162.75208333333333</v>
      </c>
      <c r="BS10" s="98">
        <f t="shared" si="20"/>
        <v>24.593042255045169</v>
      </c>
      <c r="BT10" s="98">
        <f t="shared" si="20"/>
        <v>0</v>
      </c>
      <c r="BU10" s="98">
        <f t="shared" si="20"/>
        <v>3.345833333333335</v>
      </c>
      <c r="BV10" s="98">
        <f t="shared" si="20"/>
        <v>47.39791666666666</v>
      </c>
      <c r="BW10" s="98">
        <f t="shared" si="20"/>
        <v>238.55345892171184</v>
      </c>
      <c r="BX10" s="98">
        <f t="shared" si="20"/>
        <v>551.92083333333323</v>
      </c>
      <c r="BY10" s="98">
        <f t="shared" si="20"/>
        <v>666.69583333333344</v>
      </c>
      <c r="BZ10" s="100">
        <f t="shared" si="21"/>
        <v>4329.800667843424</v>
      </c>
      <c r="CB10">
        <f t="shared" si="32"/>
        <v>2019</v>
      </c>
      <c r="CC10" s="98">
        <f t="shared" si="22"/>
        <v>861.23958333333326</v>
      </c>
      <c r="CD10" s="98">
        <f t="shared" si="22"/>
        <v>670.45833333333337</v>
      </c>
      <c r="CE10" s="98">
        <f t="shared" si="22"/>
        <v>555.16666666666674</v>
      </c>
      <c r="CF10" s="98">
        <f t="shared" si="22"/>
        <v>307.67708333333331</v>
      </c>
      <c r="CG10" s="98">
        <f t="shared" si="22"/>
        <v>108.52291666666665</v>
      </c>
      <c r="CH10" s="98">
        <f t="shared" si="22"/>
        <v>10.513875588378506</v>
      </c>
      <c r="CI10" s="98">
        <f t="shared" si="22"/>
        <v>0</v>
      </c>
      <c r="CJ10" s="98">
        <f t="shared" si="22"/>
        <v>0</v>
      </c>
      <c r="CK10" s="98">
        <f t="shared" si="22"/>
        <v>15.400000000000002</v>
      </c>
      <c r="CL10" s="98">
        <f t="shared" si="22"/>
        <v>179.78262558837852</v>
      </c>
      <c r="CM10" s="98">
        <f t="shared" si="22"/>
        <v>491.92083333333318</v>
      </c>
      <c r="CN10" s="98">
        <f t="shared" si="22"/>
        <v>604.69583333333333</v>
      </c>
      <c r="CO10" s="100">
        <f t="shared" si="23"/>
        <v>3805.3777511767566</v>
      </c>
      <c r="CQ10">
        <f t="shared" si="33"/>
        <v>2019</v>
      </c>
      <c r="CR10" s="98">
        <f t="shared" si="24"/>
        <v>799.23958333333326</v>
      </c>
      <c r="CS10" s="98">
        <f t="shared" si="12"/>
        <v>614.45833333333326</v>
      </c>
      <c r="CT10" s="98">
        <f t="shared" si="12"/>
        <v>493.16666666666669</v>
      </c>
      <c r="CU10" s="98">
        <f t="shared" si="12"/>
        <v>247.67708333333331</v>
      </c>
      <c r="CV10" s="98">
        <f t="shared" si="12"/>
        <v>65.560416666666669</v>
      </c>
      <c r="CW10" s="98">
        <f t="shared" si="12"/>
        <v>3.5374999999999988</v>
      </c>
      <c r="CX10" s="98">
        <f t="shared" si="12"/>
        <v>0</v>
      </c>
      <c r="CY10" s="98">
        <f t="shared" si="12"/>
        <v>0</v>
      </c>
      <c r="CZ10" s="98">
        <f t="shared" si="12"/>
        <v>2.8083333333333336</v>
      </c>
      <c r="DA10" s="98">
        <f t="shared" si="12"/>
        <v>124.45762558837849</v>
      </c>
      <c r="DB10" s="98">
        <f t="shared" si="12"/>
        <v>431.92083333333318</v>
      </c>
      <c r="DC10" s="98">
        <f t="shared" si="12"/>
        <v>542.69583333333344</v>
      </c>
      <c r="DD10" s="100">
        <f t="shared" si="25"/>
        <v>3325.5222089217114</v>
      </c>
      <c r="DF10">
        <f t="shared" si="34"/>
        <v>2019</v>
      </c>
      <c r="DG10" s="98">
        <f t="shared" si="26"/>
        <v>737.23958333333337</v>
      </c>
      <c r="DH10" s="98">
        <f t="shared" si="26"/>
        <v>558.45833333333337</v>
      </c>
      <c r="DI10" s="98">
        <f t="shared" si="26"/>
        <v>431.16666666666669</v>
      </c>
      <c r="DJ10" s="98">
        <f t="shared" si="26"/>
        <v>187.72291666666666</v>
      </c>
      <c r="DK10" s="98">
        <f t="shared" si="26"/>
        <v>33.952083333333341</v>
      </c>
      <c r="DL10" s="98">
        <f t="shared" si="26"/>
        <v>1.0125000000000002</v>
      </c>
      <c r="DM10" s="98">
        <f t="shared" si="26"/>
        <v>0</v>
      </c>
      <c r="DN10" s="98">
        <f t="shared" si="26"/>
        <v>0</v>
      </c>
      <c r="DO10" s="98">
        <f t="shared" si="26"/>
        <v>0</v>
      </c>
      <c r="DP10" s="98">
        <f t="shared" si="26"/>
        <v>76.520125588378491</v>
      </c>
      <c r="DQ10" s="98">
        <f t="shared" si="26"/>
        <v>371.92083333333318</v>
      </c>
      <c r="DR10" s="98">
        <f t="shared" si="26"/>
        <v>480.69583333333338</v>
      </c>
      <c r="DS10" s="100">
        <f t="shared" si="27"/>
        <v>2878.6888755883783</v>
      </c>
      <c r="DU10" s="17">
        <f>'Monthly Data'!D10</f>
        <v>25204006.662983</v>
      </c>
      <c r="DV10" s="17">
        <f>'Monthly Data'!H10</f>
        <v>10229284.221668828</v>
      </c>
      <c r="DW10" s="17">
        <f>'Monthly Data'!L10</f>
        <v>28259066.069258932</v>
      </c>
    </row>
    <row r="11" spans="1:127" x14ac:dyDescent="0.2">
      <c r="A11">
        <v>2014</v>
      </c>
      <c r="B11">
        <v>10</v>
      </c>
      <c r="C11" s="98">
        <v>427.89998004923433</v>
      </c>
      <c r="D11" s="98">
        <v>0</v>
      </c>
      <c r="E11" s="98">
        <v>365.89998004923433</v>
      </c>
      <c r="F11" s="98">
        <v>0</v>
      </c>
      <c r="G11" s="98">
        <v>303.89998004923439</v>
      </c>
      <c r="H11" s="98">
        <v>0</v>
      </c>
      <c r="I11" s="98">
        <v>242.94164671590113</v>
      </c>
      <c r="J11" s="98">
        <v>1.0416666666666643</v>
      </c>
      <c r="K11" s="98">
        <v>186.66039671590113</v>
      </c>
      <c r="L11" s="98">
        <v>6.7604166666666643</v>
      </c>
      <c r="M11" s="98">
        <v>131.08956338256775</v>
      </c>
      <c r="N11" s="98">
        <v>13.189583333333331</v>
      </c>
      <c r="O11" s="98">
        <v>83.693730049234432</v>
      </c>
      <c r="P11" s="98">
        <v>27.793750000000003</v>
      </c>
      <c r="Q11" s="253">
        <v>6.1967748371214686</v>
      </c>
      <c r="T11">
        <f t="shared" si="28"/>
        <v>2020</v>
      </c>
      <c r="U11" s="98">
        <f t="shared" si="14"/>
        <v>870.02637558837841</v>
      </c>
      <c r="V11" s="98">
        <f t="shared" si="14"/>
        <v>851.21666666666647</v>
      </c>
      <c r="W11" s="98">
        <f t="shared" si="14"/>
        <v>699.14720892171169</v>
      </c>
      <c r="X11" s="98">
        <f t="shared" si="14"/>
        <v>539.53541666666661</v>
      </c>
      <c r="Y11" s="98">
        <f t="shared" si="14"/>
        <v>324.04791666666671</v>
      </c>
      <c r="Z11" s="98">
        <f t="shared" si="14"/>
        <v>98.004166666666663</v>
      </c>
      <c r="AA11" s="98">
        <f t="shared" si="14"/>
        <v>19.943749999999984</v>
      </c>
      <c r="AB11" s="98">
        <f t="shared" si="14"/>
        <v>93.145833333333343</v>
      </c>
      <c r="AC11" s="98">
        <f t="shared" si="14"/>
        <v>249.07637558837854</v>
      </c>
      <c r="AD11" s="98">
        <f t="shared" si="14"/>
        <v>505.96041666666662</v>
      </c>
      <c r="AE11" s="98">
        <f t="shared" si="14"/>
        <v>551.84583333333342</v>
      </c>
      <c r="AF11" s="98">
        <f t="shared" si="14"/>
        <v>814.51387558837837</v>
      </c>
      <c r="AG11" s="100">
        <f t="shared" si="15"/>
        <v>5616.4638356868472</v>
      </c>
      <c r="AI11">
        <f t="shared" si="29"/>
        <v>2020</v>
      </c>
      <c r="AJ11" s="98">
        <f t="shared" si="16"/>
        <v>808.02637558837841</v>
      </c>
      <c r="AK11" s="98">
        <f t="shared" si="16"/>
        <v>793.21666666666647</v>
      </c>
      <c r="AL11" s="98">
        <f t="shared" si="16"/>
        <v>637.14720892171169</v>
      </c>
      <c r="AM11" s="98">
        <f t="shared" si="16"/>
        <v>479.53541666666666</v>
      </c>
      <c r="AN11" s="98">
        <f t="shared" si="16"/>
        <v>272.61875000000003</v>
      </c>
      <c r="AO11" s="98">
        <f t="shared" si="16"/>
        <v>61.88333333333334</v>
      </c>
      <c r="AP11" s="98">
        <f t="shared" si="16"/>
        <v>4.3479166666666558</v>
      </c>
      <c r="AQ11" s="98">
        <f t="shared" si="16"/>
        <v>54.837499999999999</v>
      </c>
      <c r="AR11" s="98">
        <f t="shared" si="16"/>
        <v>189.07637558837848</v>
      </c>
      <c r="AS11" s="98">
        <f t="shared" si="16"/>
        <v>443.96041666666656</v>
      </c>
      <c r="AT11" s="98">
        <f t="shared" si="16"/>
        <v>491.84583333333336</v>
      </c>
      <c r="AU11" s="98">
        <f t="shared" si="16"/>
        <v>752.51387558837837</v>
      </c>
      <c r="AV11" s="100">
        <f t="shared" si="17"/>
        <v>4989.0096690201799</v>
      </c>
      <c r="AX11">
        <f t="shared" si="30"/>
        <v>2020</v>
      </c>
      <c r="AY11" s="98">
        <f t="shared" si="18"/>
        <v>746.02637558837841</v>
      </c>
      <c r="AZ11" s="98">
        <f t="shared" si="18"/>
        <v>735.21666666666658</v>
      </c>
      <c r="BA11" s="98">
        <f t="shared" si="18"/>
        <v>575.14720892171181</v>
      </c>
      <c r="BB11" s="98">
        <f t="shared" si="18"/>
        <v>419.53541666666666</v>
      </c>
      <c r="BC11" s="98">
        <f t="shared" si="18"/>
        <v>224.81458333333342</v>
      </c>
      <c r="BD11" s="98">
        <f t="shared" si="18"/>
        <v>35.118750000000006</v>
      </c>
      <c r="BE11" s="98">
        <f t="shared" si="18"/>
        <v>0</v>
      </c>
      <c r="BF11" s="98">
        <f t="shared" si="18"/>
        <v>24.360416666666666</v>
      </c>
      <c r="BG11" s="98">
        <f t="shared" si="18"/>
        <v>132.51387558837851</v>
      </c>
      <c r="BH11" s="98">
        <f t="shared" si="18"/>
        <v>381.96041666666656</v>
      </c>
      <c r="BI11" s="98">
        <f t="shared" si="18"/>
        <v>431.84583333333342</v>
      </c>
      <c r="BJ11" s="98">
        <f t="shared" si="18"/>
        <v>690.51387558837837</v>
      </c>
      <c r="BK11" s="100">
        <f t="shared" si="19"/>
        <v>4397.0534190201806</v>
      </c>
      <c r="BM11">
        <f t="shared" si="31"/>
        <v>2020</v>
      </c>
      <c r="BN11" s="98">
        <f t="shared" si="20"/>
        <v>684.0263755883783</v>
      </c>
      <c r="BO11" s="98">
        <f t="shared" si="20"/>
        <v>677.21666666666658</v>
      </c>
      <c r="BP11" s="98">
        <f t="shared" si="20"/>
        <v>513.14720892171192</v>
      </c>
      <c r="BQ11" s="98">
        <f t="shared" si="20"/>
        <v>359.53541666666661</v>
      </c>
      <c r="BR11" s="98">
        <f t="shared" si="20"/>
        <v>180.78333333333342</v>
      </c>
      <c r="BS11" s="98">
        <f t="shared" si="20"/>
        <v>15.577083333333341</v>
      </c>
      <c r="BT11" s="98">
        <f t="shared" si="20"/>
        <v>0</v>
      </c>
      <c r="BU11" s="98">
        <f t="shared" si="20"/>
        <v>4.2041666666666604</v>
      </c>
      <c r="BV11" s="98">
        <f t="shared" si="20"/>
        <v>83.647208921711837</v>
      </c>
      <c r="BW11" s="98">
        <f t="shared" si="20"/>
        <v>319.96041666666662</v>
      </c>
      <c r="BX11" s="98">
        <f t="shared" si="20"/>
        <v>373.25833333333338</v>
      </c>
      <c r="BY11" s="98">
        <f t="shared" si="20"/>
        <v>628.51387558837837</v>
      </c>
      <c r="BZ11" s="100">
        <f t="shared" si="21"/>
        <v>3839.8700856868472</v>
      </c>
      <c r="CB11">
        <f t="shared" si="32"/>
        <v>2020</v>
      </c>
      <c r="CC11" s="98">
        <f t="shared" si="22"/>
        <v>622.02637558837841</v>
      </c>
      <c r="CD11" s="98">
        <f t="shared" si="22"/>
        <v>619.21666666666658</v>
      </c>
      <c r="CE11" s="98">
        <f t="shared" si="22"/>
        <v>451.14720892171192</v>
      </c>
      <c r="CF11" s="98">
        <f t="shared" si="22"/>
        <v>299.53541666666661</v>
      </c>
      <c r="CG11" s="98">
        <f t="shared" si="22"/>
        <v>140.3354166666667</v>
      </c>
      <c r="CH11" s="98">
        <f t="shared" si="22"/>
        <v>5.8562500000000046</v>
      </c>
      <c r="CI11" s="98">
        <f t="shared" si="22"/>
        <v>0</v>
      </c>
      <c r="CJ11" s="98">
        <f t="shared" si="22"/>
        <v>0.56666666666666465</v>
      </c>
      <c r="CK11" s="98">
        <f t="shared" si="22"/>
        <v>45.793042255045179</v>
      </c>
      <c r="CL11" s="98">
        <f t="shared" si="22"/>
        <v>257.96041666666662</v>
      </c>
      <c r="CM11" s="98">
        <f t="shared" si="22"/>
        <v>317.25833333333338</v>
      </c>
      <c r="CN11" s="98">
        <f t="shared" si="22"/>
        <v>566.51387558837848</v>
      </c>
      <c r="CO11" s="100">
        <f t="shared" si="23"/>
        <v>3326.2096690201806</v>
      </c>
      <c r="CQ11">
        <f t="shared" si="33"/>
        <v>2020</v>
      </c>
      <c r="CR11" s="98">
        <f t="shared" si="24"/>
        <v>560.02637558837853</v>
      </c>
      <c r="CS11" s="98">
        <f t="shared" si="12"/>
        <v>561.2166666666667</v>
      </c>
      <c r="CT11" s="98">
        <f t="shared" si="12"/>
        <v>389.14720892171187</v>
      </c>
      <c r="CU11" s="98">
        <f t="shared" si="12"/>
        <v>239.53541666666663</v>
      </c>
      <c r="CV11" s="98">
        <f t="shared" si="12"/>
        <v>104.33541666666667</v>
      </c>
      <c r="CW11" s="98">
        <f t="shared" si="12"/>
        <v>1.7916666666666679</v>
      </c>
      <c r="CX11" s="98">
        <f t="shared" si="12"/>
        <v>0</v>
      </c>
      <c r="CY11" s="98">
        <f t="shared" si="12"/>
        <v>0</v>
      </c>
      <c r="CZ11" s="98">
        <f t="shared" si="12"/>
        <v>19.81666666666667</v>
      </c>
      <c r="DA11" s="98">
        <f t="shared" si="12"/>
        <v>197.31041666666664</v>
      </c>
      <c r="DB11" s="98">
        <f t="shared" si="12"/>
        <v>261.77916666666664</v>
      </c>
      <c r="DC11" s="98">
        <f t="shared" si="12"/>
        <v>504.51387558837848</v>
      </c>
      <c r="DD11" s="100">
        <f t="shared" si="25"/>
        <v>2839.4728767651354</v>
      </c>
      <c r="DF11">
        <f t="shared" si="34"/>
        <v>2020</v>
      </c>
      <c r="DG11" s="98">
        <f t="shared" si="26"/>
        <v>498.02637558837858</v>
      </c>
      <c r="DH11" s="98">
        <f t="shared" si="26"/>
        <v>503.21666666666675</v>
      </c>
      <c r="DI11" s="98">
        <f t="shared" si="26"/>
        <v>327.14720892171192</v>
      </c>
      <c r="DJ11" s="98">
        <f t="shared" si="26"/>
        <v>179.53541666666666</v>
      </c>
      <c r="DK11" s="98">
        <f t="shared" si="26"/>
        <v>72.089583333333337</v>
      </c>
      <c r="DL11" s="98">
        <f t="shared" si="26"/>
        <v>0</v>
      </c>
      <c r="DM11" s="98">
        <f t="shared" si="26"/>
        <v>0</v>
      </c>
      <c r="DN11" s="98">
        <f t="shared" si="26"/>
        <v>0</v>
      </c>
      <c r="DO11" s="98">
        <f t="shared" si="26"/>
        <v>5.720833333333335</v>
      </c>
      <c r="DP11" s="98">
        <f t="shared" si="26"/>
        <v>140.88749999999999</v>
      </c>
      <c r="DQ11" s="98">
        <f t="shared" si="26"/>
        <v>209.66666666666669</v>
      </c>
      <c r="DR11" s="98">
        <f t="shared" si="26"/>
        <v>442.51387558837848</v>
      </c>
      <c r="DS11" s="100">
        <f t="shared" si="27"/>
        <v>2378.8041267651361</v>
      </c>
      <c r="DU11" s="17">
        <f>'Monthly Data'!D11</f>
        <v>29865057.783578724</v>
      </c>
      <c r="DV11" s="17">
        <f>'Monthly Data'!H11</f>
        <v>11235665.648191687</v>
      </c>
      <c r="DW11" s="17">
        <f>'Monthly Data'!L11</f>
        <v>30650228.528282408</v>
      </c>
    </row>
    <row r="12" spans="1:127" x14ac:dyDescent="0.2">
      <c r="A12">
        <v>2014</v>
      </c>
      <c r="B12">
        <v>11</v>
      </c>
      <c r="C12" s="98">
        <v>713.34929225504527</v>
      </c>
      <c r="D12" s="98">
        <v>0</v>
      </c>
      <c r="E12" s="98">
        <v>653.34929225504527</v>
      </c>
      <c r="F12" s="98">
        <v>0</v>
      </c>
      <c r="G12" s="98">
        <v>593.34929225504516</v>
      </c>
      <c r="H12" s="98">
        <v>0</v>
      </c>
      <c r="I12" s="98">
        <v>533.34929225504516</v>
      </c>
      <c r="J12" s="98">
        <v>0</v>
      </c>
      <c r="K12" s="98">
        <v>473.34929225504521</v>
      </c>
      <c r="L12" s="98">
        <v>0</v>
      </c>
      <c r="M12" s="98">
        <v>413.34929225504521</v>
      </c>
      <c r="N12" s="98">
        <v>0</v>
      </c>
      <c r="O12" s="98">
        <v>353.34929225504521</v>
      </c>
      <c r="P12" s="98">
        <v>0</v>
      </c>
      <c r="Q12" s="253">
        <v>-3.7783097418348386</v>
      </c>
      <c r="T12">
        <f t="shared" si="28"/>
        <v>2021</v>
      </c>
      <c r="U12" s="98">
        <f t="shared" si="14"/>
        <v>885.92429225504532</v>
      </c>
      <c r="V12" s="98">
        <f t="shared" si="14"/>
        <v>863.86250000000007</v>
      </c>
      <c r="W12" s="98">
        <f t="shared" si="14"/>
        <v>690.87637558837832</v>
      </c>
      <c r="X12" s="98">
        <f t="shared" si="14"/>
        <v>431.53958333333327</v>
      </c>
      <c r="Y12" s="98">
        <f t="shared" si="14"/>
        <v>277.77291666666662</v>
      </c>
      <c r="Z12" s="98">
        <f t="shared" si="14"/>
        <v>87.543750000000003</v>
      </c>
      <c r="AA12" s="98">
        <f t="shared" si="14"/>
        <v>61.520833333333329</v>
      </c>
      <c r="AB12" s="98">
        <f t="shared" si="14"/>
        <v>42.133333333333312</v>
      </c>
      <c r="AC12" s="98">
        <f t="shared" si="14"/>
        <v>206.98749999999998</v>
      </c>
      <c r="AD12" s="98">
        <f t="shared" si="14"/>
        <v>297.17916666666673</v>
      </c>
      <c r="AE12" s="98">
        <f t="shared" si="14"/>
        <v>616.31041666666681</v>
      </c>
      <c r="AF12" s="98">
        <f t="shared" si="14"/>
        <v>819.20416666666677</v>
      </c>
      <c r="AG12" s="100">
        <f t="shared" si="15"/>
        <v>5280.8548345100908</v>
      </c>
      <c r="AI12">
        <f t="shared" si="29"/>
        <v>2021</v>
      </c>
      <c r="AJ12" s="98">
        <f t="shared" si="16"/>
        <v>823.92429225504532</v>
      </c>
      <c r="AK12" s="98">
        <f t="shared" si="16"/>
        <v>807.86250000000007</v>
      </c>
      <c r="AL12" s="98">
        <f t="shared" si="16"/>
        <v>628.87637558837844</v>
      </c>
      <c r="AM12" s="98">
        <f t="shared" si="16"/>
        <v>371.53958333333327</v>
      </c>
      <c r="AN12" s="98">
        <f t="shared" si="16"/>
        <v>223.77291666666665</v>
      </c>
      <c r="AO12" s="98">
        <f t="shared" si="16"/>
        <v>44.868750000000006</v>
      </c>
      <c r="AP12" s="98">
        <f t="shared" si="16"/>
        <v>29.13333333333334</v>
      </c>
      <c r="AQ12" s="98">
        <f t="shared" si="16"/>
        <v>18.133333333333326</v>
      </c>
      <c r="AR12" s="98">
        <f t="shared" si="16"/>
        <v>147.24166666666667</v>
      </c>
      <c r="AS12" s="98">
        <f t="shared" si="16"/>
        <v>235.17916666666665</v>
      </c>
      <c r="AT12" s="98">
        <f t="shared" si="16"/>
        <v>556.3104166666667</v>
      </c>
      <c r="AU12" s="98">
        <f t="shared" si="16"/>
        <v>757.20416666666677</v>
      </c>
      <c r="AV12" s="100">
        <f t="shared" si="17"/>
        <v>4644.0465011767574</v>
      </c>
      <c r="AX12">
        <f t="shared" si="30"/>
        <v>2021</v>
      </c>
      <c r="AY12" s="98">
        <f t="shared" si="18"/>
        <v>761.92429225504532</v>
      </c>
      <c r="AZ12" s="98">
        <f t="shared" si="18"/>
        <v>751.86250000000018</v>
      </c>
      <c r="BA12" s="98">
        <f t="shared" si="18"/>
        <v>566.87637558837844</v>
      </c>
      <c r="BB12" s="98">
        <f t="shared" si="18"/>
        <v>311.53958333333333</v>
      </c>
      <c r="BC12" s="98">
        <f t="shared" si="18"/>
        <v>173.94791666666671</v>
      </c>
      <c r="BD12" s="98">
        <f t="shared" si="18"/>
        <v>19.447916666666671</v>
      </c>
      <c r="BE12" s="98">
        <f t="shared" si="18"/>
        <v>11.262500000000006</v>
      </c>
      <c r="BF12" s="98">
        <f t="shared" si="18"/>
        <v>3.6874999999999982</v>
      </c>
      <c r="BG12" s="98">
        <f t="shared" si="18"/>
        <v>91.837500000000006</v>
      </c>
      <c r="BH12" s="98">
        <f t="shared" si="18"/>
        <v>176.92083333333332</v>
      </c>
      <c r="BI12" s="98">
        <f t="shared" si="18"/>
        <v>496.3104166666667</v>
      </c>
      <c r="BJ12" s="98">
        <f t="shared" si="18"/>
        <v>695.20416666666654</v>
      </c>
      <c r="BK12" s="100">
        <f t="shared" si="19"/>
        <v>4060.8215011767561</v>
      </c>
      <c r="BM12">
        <f t="shared" si="31"/>
        <v>2021</v>
      </c>
      <c r="BN12" s="98">
        <f t="shared" si="20"/>
        <v>699.9242922550452</v>
      </c>
      <c r="BO12" s="98">
        <f t="shared" si="20"/>
        <v>695.86250000000018</v>
      </c>
      <c r="BP12" s="98">
        <f t="shared" si="20"/>
        <v>504.87637558837855</v>
      </c>
      <c r="BQ12" s="98">
        <f t="shared" si="20"/>
        <v>253.46458333333328</v>
      </c>
      <c r="BR12" s="98">
        <f t="shared" si="20"/>
        <v>128.06458333333336</v>
      </c>
      <c r="BS12" s="98">
        <f t="shared" si="20"/>
        <v>6.9791666666666696</v>
      </c>
      <c r="BT12" s="98">
        <f t="shared" si="20"/>
        <v>1.4416666666666718</v>
      </c>
      <c r="BU12" s="98">
        <f t="shared" si="20"/>
        <v>0.39583333333333393</v>
      </c>
      <c r="BV12" s="98">
        <f t="shared" si="20"/>
        <v>45.997916666666669</v>
      </c>
      <c r="BW12" s="98">
        <f t="shared" si="20"/>
        <v>127.73124999999999</v>
      </c>
      <c r="BX12" s="98">
        <f t="shared" si="20"/>
        <v>436.3104166666667</v>
      </c>
      <c r="BY12" s="98">
        <f t="shared" si="20"/>
        <v>633.20416666666654</v>
      </c>
      <c r="BZ12" s="100">
        <f t="shared" si="21"/>
        <v>3534.2527511767566</v>
      </c>
      <c r="CB12">
        <f t="shared" si="32"/>
        <v>2021</v>
      </c>
      <c r="CC12" s="98">
        <f t="shared" si="22"/>
        <v>637.9242922550452</v>
      </c>
      <c r="CD12" s="98">
        <f t="shared" si="22"/>
        <v>639.86250000000018</v>
      </c>
      <c r="CE12" s="98">
        <f t="shared" si="22"/>
        <v>442.87637558837849</v>
      </c>
      <c r="CF12" s="98">
        <f t="shared" si="22"/>
        <v>200.60624999999999</v>
      </c>
      <c r="CG12" s="98">
        <f t="shared" si="22"/>
        <v>92.268749999999997</v>
      </c>
      <c r="CH12" s="98">
        <f t="shared" si="22"/>
        <v>3.3708333333333318</v>
      </c>
      <c r="CI12" s="98">
        <f t="shared" si="22"/>
        <v>0</v>
      </c>
      <c r="CJ12" s="98">
        <f t="shared" si="22"/>
        <v>0</v>
      </c>
      <c r="CK12" s="98">
        <f t="shared" si="22"/>
        <v>20.447916666666664</v>
      </c>
      <c r="CL12" s="98">
        <f t="shared" si="22"/>
        <v>91.706250000000011</v>
      </c>
      <c r="CM12" s="98">
        <f t="shared" si="22"/>
        <v>376.3104166666667</v>
      </c>
      <c r="CN12" s="98">
        <f t="shared" si="22"/>
        <v>571.20416666666665</v>
      </c>
      <c r="CO12" s="100">
        <f t="shared" si="23"/>
        <v>3076.5777511767574</v>
      </c>
      <c r="CQ12">
        <f t="shared" si="33"/>
        <v>2021</v>
      </c>
      <c r="CR12" s="98">
        <f t="shared" si="24"/>
        <v>575.9242922550452</v>
      </c>
      <c r="CS12" s="98">
        <f t="shared" si="12"/>
        <v>583.86250000000018</v>
      </c>
      <c r="CT12" s="98">
        <f t="shared" si="12"/>
        <v>380.87637558837855</v>
      </c>
      <c r="CU12" s="98">
        <f t="shared" si="12"/>
        <v>152.30624999999998</v>
      </c>
      <c r="CV12" s="98">
        <f t="shared" si="12"/>
        <v>61.727083333333333</v>
      </c>
      <c r="CW12" s="98">
        <f t="shared" si="12"/>
        <v>1.3708333333333318</v>
      </c>
      <c r="CX12" s="98">
        <f t="shared" si="12"/>
        <v>0</v>
      </c>
      <c r="CY12" s="98">
        <f t="shared" si="12"/>
        <v>0</v>
      </c>
      <c r="CZ12" s="98">
        <f t="shared" si="12"/>
        <v>5.2583333333333302</v>
      </c>
      <c r="DA12" s="98">
        <f t="shared" si="12"/>
        <v>60.793750000000003</v>
      </c>
      <c r="DB12" s="98">
        <f t="shared" si="12"/>
        <v>316.31041666666664</v>
      </c>
      <c r="DC12" s="98">
        <f t="shared" si="12"/>
        <v>509.20416666666665</v>
      </c>
      <c r="DD12" s="100">
        <f t="shared" si="25"/>
        <v>2647.634001176757</v>
      </c>
      <c r="DF12">
        <f t="shared" si="34"/>
        <v>2021</v>
      </c>
      <c r="DG12" s="98">
        <f t="shared" si="26"/>
        <v>513.9242922550452</v>
      </c>
      <c r="DH12" s="98">
        <f t="shared" si="26"/>
        <v>527.86250000000007</v>
      </c>
      <c r="DI12" s="98">
        <f t="shared" si="26"/>
        <v>319.10137558837852</v>
      </c>
      <c r="DJ12" s="98">
        <f t="shared" si="26"/>
        <v>108.33958333333334</v>
      </c>
      <c r="DK12" s="98">
        <f t="shared" si="26"/>
        <v>35.72708333333334</v>
      </c>
      <c r="DL12" s="98">
        <f t="shared" si="26"/>
        <v>0</v>
      </c>
      <c r="DM12" s="98">
        <f t="shared" si="26"/>
        <v>0</v>
      </c>
      <c r="DN12" s="98">
        <f t="shared" si="26"/>
        <v>0</v>
      </c>
      <c r="DO12" s="98">
        <f t="shared" si="26"/>
        <v>2.5000000000001243E-2</v>
      </c>
      <c r="DP12" s="98">
        <f t="shared" si="26"/>
        <v>33.033333333333339</v>
      </c>
      <c r="DQ12" s="98">
        <f t="shared" si="26"/>
        <v>257.49374999999998</v>
      </c>
      <c r="DR12" s="98">
        <f t="shared" si="26"/>
        <v>447.20416666666665</v>
      </c>
      <c r="DS12" s="100">
        <f t="shared" si="27"/>
        <v>2242.7110845100906</v>
      </c>
      <c r="DU12" s="17">
        <f>'Monthly Data'!D12</f>
        <v>35545780.43213661</v>
      </c>
      <c r="DV12" s="17">
        <f>'Monthly Data'!H12</f>
        <v>12104165.456808859</v>
      </c>
      <c r="DW12" s="17">
        <f>'Monthly Data'!L12</f>
        <v>32624106.072655495</v>
      </c>
    </row>
    <row r="13" spans="1:127" x14ac:dyDescent="0.2">
      <c r="A13">
        <v>2014</v>
      </c>
      <c r="B13">
        <v>12</v>
      </c>
      <c r="C13" s="98">
        <v>824.76666666666654</v>
      </c>
      <c r="D13" s="98">
        <v>0</v>
      </c>
      <c r="E13" s="98">
        <v>762.76666666666654</v>
      </c>
      <c r="F13" s="98">
        <v>0</v>
      </c>
      <c r="G13" s="98">
        <v>700.76666666666654</v>
      </c>
      <c r="H13" s="98">
        <v>0</v>
      </c>
      <c r="I13" s="98">
        <v>638.76666666666642</v>
      </c>
      <c r="J13" s="98">
        <v>0</v>
      </c>
      <c r="K13" s="98">
        <v>576.76666666666654</v>
      </c>
      <c r="L13" s="98">
        <v>0</v>
      </c>
      <c r="M13" s="98">
        <v>514.76666666666665</v>
      </c>
      <c r="N13" s="98">
        <v>0</v>
      </c>
      <c r="O13" s="98">
        <v>452.76666666666665</v>
      </c>
      <c r="P13" s="98">
        <v>0</v>
      </c>
      <c r="Q13" s="253">
        <v>-6.6053763440860207</v>
      </c>
      <c r="T13">
        <f t="shared" si="28"/>
        <v>2022</v>
      </c>
      <c r="U13" s="98">
        <f t="shared" si="14"/>
        <v>1127.0833333333333</v>
      </c>
      <c r="V13" s="98">
        <f t="shared" si="14"/>
        <v>907.50000000000023</v>
      </c>
      <c r="W13" s="98">
        <f t="shared" si="14"/>
        <v>769.76804225504509</v>
      </c>
      <c r="X13" s="98">
        <f t="shared" si="14"/>
        <v>520.62291666666658</v>
      </c>
      <c r="Y13" s="98">
        <f t="shared" si="14"/>
        <v>203.87429225504519</v>
      </c>
      <c r="Z13" s="98">
        <f t="shared" si="14"/>
        <v>121.22500000000002</v>
      </c>
      <c r="AA13" s="98">
        <f t="shared" si="14"/>
        <v>54.837500000000006</v>
      </c>
      <c r="AB13" s="98">
        <f t="shared" si="14"/>
        <v>57.940958921711875</v>
      </c>
      <c r="AC13" s="98">
        <f t="shared" si="14"/>
        <v>184.38887558837854</v>
      </c>
      <c r="AD13" s="98">
        <f t="shared" si="14"/>
        <v>401.57566784342367</v>
      </c>
      <c r="AE13" s="98">
        <f t="shared" si="14"/>
        <v>574.06804225504516</v>
      </c>
      <c r="AF13" s="98">
        <f t="shared" si="14"/>
        <v>790.52218897094622</v>
      </c>
      <c r="AG13" s="100">
        <f t="shared" si="15"/>
        <v>5713.4068180895965</v>
      </c>
      <c r="AI13">
        <f t="shared" si="29"/>
        <v>2022</v>
      </c>
      <c r="AJ13" s="98">
        <f t="shared" si="16"/>
        <v>1065.0833333333333</v>
      </c>
      <c r="AK13" s="98">
        <f t="shared" si="16"/>
        <v>851.50000000000023</v>
      </c>
      <c r="AL13" s="98">
        <f t="shared" si="16"/>
        <v>707.7680422550452</v>
      </c>
      <c r="AM13" s="98">
        <f t="shared" si="16"/>
        <v>460.62291666666664</v>
      </c>
      <c r="AN13" s="98">
        <f t="shared" si="16"/>
        <v>154.68262558837847</v>
      </c>
      <c r="AO13" s="98">
        <f t="shared" si="16"/>
        <v>78.029166666666669</v>
      </c>
      <c r="AP13" s="98">
        <f t="shared" si="16"/>
        <v>18.5</v>
      </c>
      <c r="AQ13" s="98">
        <f t="shared" si="16"/>
        <v>24.468042255045177</v>
      </c>
      <c r="AR13" s="98">
        <f t="shared" si="16"/>
        <v>131.98887558837851</v>
      </c>
      <c r="AS13" s="98">
        <f t="shared" si="16"/>
        <v>339.57566784342362</v>
      </c>
      <c r="AT13" s="98">
        <f t="shared" si="16"/>
        <v>514.06804225504504</v>
      </c>
      <c r="AU13" s="98">
        <f t="shared" si="16"/>
        <v>728.5221889709461</v>
      </c>
      <c r="AV13" s="100">
        <f t="shared" si="17"/>
        <v>5074.808901422929</v>
      </c>
      <c r="AX13">
        <f t="shared" si="30"/>
        <v>2022</v>
      </c>
      <c r="AY13" s="98">
        <f t="shared" si="18"/>
        <v>1003.0833333333333</v>
      </c>
      <c r="AZ13" s="98">
        <f t="shared" si="18"/>
        <v>795.50000000000023</v>
      </c>
      <c r="BA13" s="98">
        <f t="shared" si="18"/>
        <v>645.7680422550452</v>
      </c>
      <c r="BB13" s="98">
        <f t="shared" si="18"/>
        <v>400.62291666666658</v>
      </c>
      <c r="BC13" s="98">
        <f t="shared" si="18"/>
        <v>108.21179225504518</v>
      </c>
      <c r="BD13" s="98">
        <f t="shared" si="18"/>
        <v>38.033333333333331</v>
      </c>
      <c r="BE13" s="98">
        <f t="shared" si="18"/>
        <v>1.2750000000000021</v>
      </c>
      <c r="BF13" s="98">
        <f t="shared" si="18"/>
        <v>7.0222089217118455</v>
      </c>
      <c r="BG13" s="98">
        <f t="shared" si="18"/>
        <v>90.980542255045179</v>
      </c>
      <c r="BH13" s="98">
        <f t="shared" si="18"/>
        <v>277.57566784342367</v>
      </c>
      <c r="BI13" s="98">
        <f t="shared" si="18"/>
        <v>454.06804225504504</v>
      </c>
      <c r="BJ13" s="98">
        <f t="shared" si="18"/>
        <v>666.5221889709461</v>
      </c>
      <c r="BK13" s="100">
        <f t="shared" si="19"/>
        <v>4488.663068089596</v>
      </c>
      <c r="BM13">
        <f t="shared" si="31"/>
        <v>2022</v>
      </c>
      <c r="BN13" s="98">
        <f t="shared" si="20"/>
        <v>941.08333333333326</v>
      </c>
      <c r="BO13" s="98">
        <f t="shared" si="20"/>
        <v>739.5</v>
      </c>
      <c r="BP13" s="98">
        <f t="shared" si="20"/>
        <v>583.7680422550452</v>
      </c>
      <c r="BQ13" s="98">
        <f t="shared" si="20"/>
        <v>340.62291666666658</v>
      </c>
      <c r="BR13" s="98">
        <f t="shared" si="20"/>
        <v>68.470125588378522</v>
      </c>
      <c r="BS13" s="98">
        <f t="shared" si="20"/>
        <v>8.7416666666666689</v>
      </c>
      <c r="BT13" s="98">
        <f t="shared" si="20"/>
        <v>0</v>
      </c>
      <c r="BU13" s="98">
        <f t="shared" si="20"/>
        <v>0.79304225504517589</v>
      </c>
      <c r="BV13" s="98">
        <f t="shared" si="20"/>
        <v>60.320125588378495</v>
      </c>
      <c r="BW13" s="98">
        <f t="shared" si="20"/>
        <v>216.45900117675706</v>
      </c>
      <c r="BX13" s="98">
        <f t="shared" si="20"/>
        <v>394.06804225504504</v>
      </c>
      <c r="BY13" s="98">
        <f t="shared" si="20"/>
        <v>604.52218897094622</v>
      </c>
      <c r="BZ13" s="100">
        <f t="shared" si="21"/>
        <v>3958.3484847562631</v>
      </c>
      <c r="CB13">
        <f t="shared" si="32"/>
        <v>2022</v>
      </c>
      <c r="CC13" s="98">
        <f t="shared" si="22"/>
        <v>879.08333333333314</v>
      </c>
      <c r="CD13" s="98">
        <f t="shared" si="22"/>
        <v>683.50000000000023</v>
      </c>
      <c r="CE13" s="98">
        <f t="shared" si="22"/>
        <v>521.7680422550452</v>
      </c>
      <c r="CF13" s="98">
        <f t="shared" si="22"/>
        <v>280.62291666666664</v>
      </c>
      <c r="CG13" s="98">
        <f t="shared" si="22"/>
        <v>38.105542255045179</v>
      </c>
      <c r="CH13" s="98">
        <f t="shared" si="22"/>
        <v>0.94999999999999929</v>
      </c>
      <c r="CI13" s="98">
        <f t="shared" si="22"/>
        <v>0</v>
      </c>
      <c r="CJ13" s="98">
        <f t="shared" si="22"/>
        <v>0</v>
      </c>
      <c r="CK13" s="98">
        <f t="shared" si="22"/>
        <v>33.615958921711837</v>
      </c>
      <c r="CL13" s="98">
        <f t="shared" si="22"/>
        <v>162.45900117675706</v>
      </c>
      <c r="CM13" s="98">
        <f t="shared" si="22"/>
        <v>337.18470892171183</v>
      </c>
      <c r="CN13" s="98">
        <f t="shared" si="22"/>
        <v>542.52218897094622</v>
      </c>
      <c r="CO13" s="100">
        <f t="shared" si="23"/>
        <v>3479.8116925012173</v>
      </c>
      <c r="CQ13">
        <f t="shared" si="33"/>
        <v>2022</v>
      </c>
      <c r="CR13" s="98">
        <f t="shared" si="24"/>
        <v>817.08333333333314</v>
      </c>
      <c r="CS13" s="98">
        <f t="shared" si="12"/>
        <v>627.50000000000011</v>
      </c>
      <c r="CT13" s="98">
        <f t="shared" si="12"/>
        <v>459.76804225504515</v>
      </c>
      <c r="CU13" s="98">
        <f t="shared" si="12"/>
        <v>221.58125000000004</v>
      </c>
      <c r="CV13" s="98">
        <f t="shared" si="12"/>
        <v>14.455542255045183</v>
      </c>
      <c r="CW13" s="98">
        <f t="shared" si="12"/>
        <v>0</v>
      </c>
      <c r="CX13" s="98">
        <f t="shared" si="12"/>
        <v>0</v>
      </c>
      <c r="CY13" s="98">
        <f t="shared" si="12"/>
        <v>0</v>
      </c>
      <c r="CZ13" s="98">
        <f t="shared" si="12"/>
        <v>14.699292255045174</v>
      </c>
      <c r="DA13" s="98">
        <f t="shared" si="12"/>
        <v>113.78608451009033</v>
      </c>
      <c r="DB13" s="98">
        <f t="shared" si="12"/>
        <v>283.5805422550452</v>
      </c>
      <c r="DC13" s="98">
        <f t="shared" si="12"/>
        <v>480.52218897094639</v>
      </c>
      <c r="DD13" s="100">
        <f t="shared" si="25"/>
        <v>3032.976275834551</v>
      </c>
      <c r="DF13">
        <f t="shared" si="34"/>
        <v>2022</v>
      </c>
      <c r="DG13" s="98">
        <f t="shared" si="26"/>
        <v>755.08333333333314</v>
      </c>
      <c r="DH13" s="98">
        <f t="shared" si="26"/>
        <v>571.50000000000011</v>
      </c>
      <c r="DI13" s="98">
        <f t="shared" si="26"/>
        <v>397.76804225504515</v>
      </c>
      <c r="DJ13" s="98">
        <f t="shared" si="26"/>
        <v>165.8979166666667</v>
      </c>
      <c r="DK13" s="98">
        <f t="shared" si="26"/>
        <v>1.2250000000000014</v>
      </c>
      <c r="DL13" s="98">
        <f t="shared" si="26"/>
        <v>0</v>
      </c>
      <c r="DM13" s="98">
        <f t="shared" si="26"/>
        <v>0</v>
      </c>
      <c r="DN13" s="98">
        <f t="shared" si="26"/>
        <v>0</v>
      </c>
      <c r="DO13" s="98">
        <f t="shared" si="26"/>
        <v>4.993042255045177</v>
      </c>
      <c r="DP13" s="98">
        <f t="shared" si="26"/>
        <v>68.484708921711828</v>
      </c>
      <c r="DQ13" s="98">
        <f t="shared" si="26"/>
        <v>234.09720892171185</v>
      </c>
      <c r="DR13" s="98">
        <f t="shared" si="26"/>
        <v>418.52218897094639</v>
      </c>
      <c r="DS13" s="100">
        <f t="shared" si="27"/>
        <v>2617.5714413244605</v>
      </c>
      <c r="DU13" s="17">
        <f>'Monthly Data'!D13</f>
        <v>42013064.965675682</v>
      </c>
      <c r="DV13" s="17">
        <f>'Monthly Data'!H13</f>
        <v>13556675.9780323</v>
      </c>
      <c r="DW13" s="17">
        <f>'Monthly Data'!L13</f>
        <v>34752028.161274001</v>
      </c>
    </row>
    <row r="14" spans="1:127" x14ac:dyDescent="0.2">
      <c r="A14">
        <v>2015</v>
      </c>
      <c r="B14">
        <v>1</v>
      </c>
      <c r="C14" s="98">
        <v>1073.3187500000001</v>
      </c>
      <c r="D14" s="98">
        <v>0</v>
      </c>
      <c r="E14" s="98">
        <v>1011.3187499999999</v>
      </c>
      <c r="F14" s="98">
        <v>0</v>
      </c>
      <c r="G14" s="98">
        <v>949.31874999999991</v>
      </c>
      <c r="H14" s="98">
        <v>0</v>
      </c>
      <c r="I14" s="98">
        <v>887.31875000000002</v>
      </c>
      <c r="J14" s="98">
        <v>0</v>
      </c>
      <c r="K14" s="98">
        <v>825.31875000000002</v>
      </c>
      <c r="L14" s="98">
        <v>0</v>
      </c>
      <c r="M14" s="98">
        <v>763.31875000000002</v>
      </c>
      <c r="N14" s="98">
        <v>0</v>
      </c>
      <c r="O14" s="98">
        <v>701.31875000000002</v>
      </c>
      <c r="P14" s="98">
        <v>0</v>
      </c>
      <c r="Q14" s="253">
        <v>-14.623185483870966</v>
      </c>
      <c r="T14">
        <f t="shared" si="28"/>
        <v>2023</v>
      </c>
      <c r="U14" s="98">
        <f t="shared" si="14"/>
        <v>862.82150117675701</v>
      </c>
      <c r="V14" s="98">
        <f t="shared" si="14"/>
        <v>811.82499999999993</v>
      </c>
      <c r="W14" s="98">
        <f t="shared" si="14"/>
        <v>757.93333333333317</v>
      </c>
      <c r="X14" s="98">
        <f t="shared" si="14"/>
        <v>490.43541666666664</v>
      </c>
      <c r="Y14" s="98">
        <f t="shared" si="14"/>
        <v>261.56666666666666</v>
      </c>
      <c r="Z14" s="98">
        <f t="shared" si="14"/>
        <v>85.08054225504516</v>
      </c>
      <c r="AA14" s="98">
        <f t="shared" si="14"/>
        <v>44.083333333333329</v>
      </c>
      <c r="AB14" s="98">
        <f t="shared" si="14"/>
        <v>104.625</v>
      </c>
      <c r="AC14" s="98">
        <f t="shared" si="14"/>
        <v>158.93749999999997</v>
      </c>
      <c r="AD14" s="98">
        <f t="shared" si="14"/>
        <v>372.08887558837841</v>
      </c>
      <c r="AE14" s="98">
        <f t="shared" si="14"/>
        <v>639.4867922550452</v>
      </c>
      <c r="AF14" s="98">
        <f t="shared" si="14"/>
        <v>711.47216902018079</v>
      </c>
      <c r="AG14" s="100">
        <f t="shared" si="15"/>
        <v>5300.3561302954058</v>
      </c>
      <c r="AI14">
        <f t="shared" si="29"/>
        <v>2023</v>
      </c>
      <c r="AJ14" s="98">
        <f t="shared" si="16"/>
        <v>800.82150117675724</v>
      </c>
      <c r="AK14" s="98">
        <f t="shared" si="16"/>
        <v>755.82499999999993</v>
      </c>
      <c r="AL14" s="98">
        <f t="shared" si="16"/>
        <v>695.93333333333317</v>
      </c>
      <c r="AM14" s="98">
        <f t="shared" si="16"/>
        <v>430.43541666666664</v>
      </c>
      <c r="AN14" s="98">
        <f t="shared" si="16"/>
        <v>206.96666666666667</v>
      </c>
      <c r="AO14" s="98">
        <f t="shared" si="16"/>
        <v>49.529166666666654</v>
      </c>
      <c r="AP14" s="98">
        <f t="shared" si="16"/>
        <v>13.6</v>
      </c>
      <c r="AQ14" s="98">
        <f t="shared" si="16"/>
        <v>48.87916666666667</v>
      </c>
      <c r="AR14" s="98">
        <f t="shared" si="16"/>
        <v>108.49583333333337</v>
      </c>
      <c r="AS14" s="98">
        <f t="shared" si="16"/>
        <v>314.55762558837853</v>
      </c>
      <c r="AT14" s="98">
        <f t="shared" si="16"/>
        <v>579.4867922550452</v>
      </c>
      <c r="AU14" s="98">
        <f t="shared" si="16"/>
        <v>649.47216902018079</v>
      </c>
      <c r="AV14" s="100">
        <f t="shared" si="17"/>
        <v>4654.0026713736943</v>
      </c>
      <c r="AX14">
        <f t="shared" si="30"/>
        <v>2023</v>
      </c>
      <c r="AY14" s="98">
        <f t="shared" si="18"/>
        <v>738.82150117675724</v>
      </c>
      <c r="AZ14" s="98">
        <f t="shared" si="18"/>
        <v>699.82499999999993</v>
      </c>
      <c r="BA14" s="98">
        <f t="shared" si="18"/>
        <v>633.93333333333328</v>
      </c>
      <c r="BB14" s="98">
        <f t="shared" si="18"/>
        <v>370.55208333333326</v>
      </c>
      <c r="BC14" s="98">
        <f t="shared" si="18"/>
        <v>154.73333333333329</v>
      </c>
      <c r="BD14" s="98">
        <f t="shared" si="18"/>
        <v>24.508333333333326</v>
      </c>
      <c r="BE14" s="98">
        <f t="shared" si="18"/>
        <v>1.9833333333333325</v>
      </c>
      <c r="BF14" s="98">
        <f t="shared" si="18"/>
        <v>16.139583333333327</v>
      </c>
      <c r="BG14" s="98">
        <f t="shared" si="18"/>
        <v>60.497916666666661</v>
      </c>
      <c r="BH14" s="98">
        <f t="shared" si="18"/>
        <v>260.45762558837851</v>
      </c>
      <c r="BI14" s="98">
        <f t="shared" si="18"/>
        <v>519.4867922550452</v>
      </c>
      <c r="BJ14" s="98">
        <f t="shared" si="18"/>
        <v>587.47216902018067</v>
      </c>
      <c r="BK14" s="100">
        <f t="shared" si="19"/>
        <v>4068.411004707028</v>
      </c>
      <c r="BM14">
        <f t="shared" si="31"/>
        <v>2023</v>
      </c>
      <c r="BN14" s="98">
        <f t="shared" si="20"/>
        <v>676.82150117675701</v>
      </c>
      <c r="BO14" s="98">
        <f t="shared" si="20"/>
        <v>643.82499999999993</v>
      </c>
      <c r="BP14" s="98">
        <f t="shared" si="20"/>
        <v>571.93333333333339</v>
      </c>
      <c r="BQ14" s="98">
        <f t="shared" si="20"/>
        <v>313.46458333333328</v>
      </c>
      <c r="BR14" s="98">
        <f t="shared" si="20"/>
        <v>110.7708333333333</v>
      </c>
      <c r="BS14" s="98">
        <f t="shared" si="20"/>
        <v>8.8625000000000007</v>
      </c>
      <c r="BT14" s="98">
        <f t="shared" si="20"/>
        <v>0</v>
      </c>
      <c r="BU14" s="98">
        <f t="shared" si="20"/>
        <v>3.2750000000000004</v>
      </c>
      <c r="BV14" s="98">
        <f t="shared" si="20"/>
        <v>25.80416666666666</v>
      </c>
      <c r="BW14" s="98">
        <f t="shared" si="20"/>
        <v>209.40345892171183</v>
      </c>
      <c r="BX14" s="98">
        <f t="shared" si="20"/>
        <v>459.4867922550452</v>
      </c>
      <c r="BY14" s="98">
        <f t="shared" si="20"/>
        <v>525.47216902018056</v>
      </c>
      <c r="BZ14" s="100">
        <f t="shared" si="21"/>
        <v>3549.1193380403615</v>
      </c>
      <c r="CB14">
        <f t="shared" si="32"/>
        <v>2023</v>
      </c>
      <c r="CC14" s="98">
        <f t="shared" si="22"/>
        <v>614.82150117675712</v>
      </c>
      <c r="CD14" s="98">
        <f t="shared" si="22"/>
        <v>587.82499999999993</v>
      </c>
      <c r="CE14" s="98">
        <f t="shared" si="22"/>
        <v>509.93333333333345</v>
      </c>
      <c r="CF14" s="98">
        <f t="shared" si="22"/>
        <v>257.67291666666665</v>
      </c>
      <c r="CG14" s="98">
        <f t="shared" si="22"/>
        <v>70.770833333333329</v>
      </c>
      <c r="CH14" s="98">
        <f t="shared" si="22"/>
        <v>3.9875000000000025</v>
      </c>
      <c r="CI14" s="98">
        <f t="shared" si="22"/>
        <v>0</v>
      </c>
      <c r="CJ14" s="98">
        <f t="shared" si="22"/>
        <v>0.57083333333333286</v>
      </c>
      <c r="CK14" s="98">
        <f t="shared" si="22"/>
        <v>7.8166666666666664</v>
      </c>
      <c r="CL14" s="98">
        <f t="shared" si="22"/>
        <v>160.86595892171184</v>
      </c>
      <c r="CM14" s="98">
        <f t="shared" si="22"/>
        <v>399.48679225504515</v>
      </c>
      <c r="CN14" s="98">
        <f t="shared" si="22"/>
        <v>463.47216902018073</v>
      </c>
      <c r="CO14" s="100">
        <f t="shared" si="23"/>
        <v>3077.2235047070285</v>
      </c>
      <c r="CQ14">
        <f t="shared" si="33"/>
        <v>2023</v>
      </c>
      <c r="CR14" s="98">
        <f t="shared" si="24"/>
        <v>552.82150117675701</v>
      </c>
      <c r="CS14" s="98">
        <f t="shared" si="12"/>
        <v>531.82499999999993</v>
      </c>
      <c r="CT14" s="98">
        <f t="shared" si="12"/>
        <v>447.93333333333351</v>
      </c>
      <c r="CU14" s="98">
        <f t="shared" si="12"/>
        <v>205.87291666666664</v>
      </c>
      <c r="CV14" s="98">
        <f t="shared" si="12"/>
        <v>37.537500000000009</v>
      </c>
      <c r="CW14" s="98">
        <f t="shared" si="12"/>
        <v>1.9875000000000025</v>
      </c>
      <c r="CX14" s="98">
        <f t="shared" si="12"/>
        <v>0</v>
      </c>
      <c r="CY14" s="98">
        <f t="shared" si="12"/>
        <v>0</v>
      </c>
      <c r="CZ14" s="98">
        <f t="shared" si="12"/>
        <v>2.1166666666666671</v>
      </c>
      <c r="DA14" s="98">
        <f t="shared" si="12"/>
        <v>115.11179225504519</v>
      </c>
      <c r="DB14" s="98">
        <f t="shared" si="12"/>
        <v>339.48679225504515</v>
      </c>
      <c r="DC14" s="98">
        <f t="shared" si="12"/>
        <v>401.47216902018062</v>
      </c>
      <c r="DD14" s="100">
        <f t="shared" si="25"/>
        <v>2636.1651713736942</v>
      </c>
      <c r="DF14">
        <f t="shared" si="34"/>
        <v>2023</v>
      </c>
      <c r="DG14" s="98">
        <f t="shared" si="26"/>
        <v>490.82150117675701</v>
      </c>
      <c r="DH14" s="98">
        <f t="shared" si="26"/>
        <v>475.82499999999993</v>
      </c>
      <c r="DI14" s="98">
        <f t="shared" si="26"/>
        <v>385.93333333333351</v>
      </c>
      <c r="DJ14" s="98">
        <f t="shared" si="26"/>
        <v>158.83541666666665</v>
      </c>
      <c r="DK14" s="98">
        <f t="shared" si="26"/>
        <v>17.824999999999999</v>
      </c>
      <c r="DL14" s="98">
        <f t="shared" si="26"/>
        <v>0</v>
      </c>
      <c r="DM14" s="98">
        <f t="shared" si="26"/>
        <v>0</v>
      </c>
      <c r="DN14" s="98">
        <f t="shared" si="26"/>
        <v>0</v>
      </c>
      <c r="DO14" s="98">
        <f t="shared" si="26"/>
        <v>0</v>
      </c>
      <c r="DP14" s="98">
        <f t="shared" si="26"/>
        <v>75.534708921711839</v>
      </c>
      <c r="DQ14" s="98">
        <f t="shared" si="26"/>
        <v>279.48679225504515</v>
      </c>
      <c r="DR14" s="98">
        <f t="shared" si="26"/>
        <v>339.47216902018067</v>
      </c>
      <c r="DS14" s="100">
        <f t="shared" si="27"/>
        <v>2223.733921373695</v>
      </c>
      <c r="DU14" s="17">
        <f>'Monthly Data'!D14</f>
        <v>47258923.534219489</v>
      </c>
      <c r="DV14" s="17">
        <f>'Monthly Data'!H14</f>
        <v>14689139.738448234</v>
      </c>
      <c r="DW14" s="17">
        <f>'Monthly Data'!L14</f>
        <v>37151226.00113786</v>
      </c>
    </row>
    <row r="15" spans="1:127" x14ac:dyDescent="0.2">
      <c r="A15">
        <v>2015</v>
      </c>
      <c r="B15">
        <v>2</v>
      </c>
      <c r="C15" s="98">
        <v>1085.0562499999999</v>
      </c>
      <c r="D15" s="98">
        <v>0</v>
      </c>
      <c r="E15" s="98">
        <v>1029.0562500000001</v>
      </c>
      <c r="F15" s="98">
        <v>0</v>
      </c>
      <c r="G15" s="98">
        <v>973.05624999999998</v>
      </c>
      <c r="H15" s="98">
        <v>0</v>
      </c>
      <c r="I15" s="98">
        <v>917.05624999999998</v>
      </c>
      <c r="J15" s="98">
        <v>0</v>
      </c>
      <c r="K15" s="98">
        <v>861.05624999999998</v>
      </c>
      <c r="L15" s="98">
        <v>0</v>
      </c>
      <c r="M15" s="98">
        <v>805.05624999999998</v>
      </c>
      <c r="N15" s="98">
        <v>0</v>
      </c>
      <c r="O15" s="98">
        <v>749.05624999999998</v>
      </c>
      <c r="P15" s="98">
        <v>0</v>
      </c>
      <c r="Q15" s="253">
        <v>-18.752008928571424</v>
      </c>
      <c r="T15">
        <f t="shared" si="28"/>
        <v>2024</v>
      </c>
      <c r="U15" s="98">
        <f t="shared" si="14"/>
        <v>873.51250000000005</v>
      </c>
      <c r="V15" s="98">
        <f t="shared" si="14"/>
        <v>747.39166666666665</v>
      </c>
      <c r="W15" s="98">
        <f t="shared" si="14"/>
        <v>651.45416666666642</v>
      </c>
      <c r="X15" s="98">
        <f t="shared" si="14"/>
        <v>463.87916666666666</v>
      </c>
      <c r="Y15" s="98">
        <f t="shared" si="14"/>
        <v>202.8125</v>
      </c>
      <c r="Z15" s="98">
        <f t="shared" si="14"/>
        <v>113.12708333333332</v>
      </c>
      <c r="AA15" s="98">
        <f t="shared" si="14"/>
        <v>37.364583333333329</v>
      </c>
      <c r="AB15" s="98">
        <f t="shared" si="14"/>
        <v>65.081249999999997</v>
      </c>
      <c r="AC15" s="98">
        <f t="shared" si="14"/>
        <v>117.28541666666663</v>
      </c>
      <c r="AD15" s="98">
        <f t="shared" si="14"/>
        <v>370.53125000000006</v>
      </c>
      <c r="AE15" s="98">
        <f t="shared" si="14"/>
        <v>558.92291666666665</v>
      </c>
      <c r="AF15" s="98">
        <f t="shared" si="14"/>
        <v>843.35625000000005</v>
      </c>
      <c r="AG15" s="100">
        <f t="shared" ref="AG15" si="35">SUM(U15:AF15)</f>
        <v>5044.71875</v>
      </c>
      <c r="AI15">
        <f t="shared" si="29"/>
        <v>2024</v>
      </c>
      <c r="AJ15" s="98">
        <f t="shared" si="16"/>
        <v>811.51250000000005</v>
      </c>
      <c r="AK15" s="98">
        <f t="shared" si="16"/>
        <v>689.39166666666665</v>
      </c>
      <c r="AL15" s="98">
        <f t="shared" si="16"/>
        <v>589.45416666666654</v>
      </c>
      <c r="AM15" s="98">
        <f t="shared" si="16"/>
        <v>403.87916666666666</v>
      </c>
      <c r="AN15" s="98">
        <f t="shared" si="16"/>
        <v>145.15416666666664</v>
      </c>
      <c r="AO15" s="98">
        <f t="shared" si="16"/>
        <v>68.720833333333317</v>
      </c>
      <c r="AP15" s="98">
        <f t="shared" si="16"/>
        <v>10.652083333333334</v>
      </c>
      <c r="AQ15" s="98">
        <f t="shared" si="16"/>
        <v>33.681249999999999</v>
      </c>
      <c r="AR15" s="98">
        <f t="shared" si="16"/>
        <v>74.385416666666686</v>
      </c>
      <c r="AS15" s="98">
        <f t="shared" si="16"/>
        <v>308.53125</v>
      </c>
      <c r="AT15" s="98">
        <f t="shared" si="16"/>
        <v>498.92291666666665</v>
      </c>
      <c r="AU15" s="98">
        <f t="shared" si="16"/>
        <v>781.35624999999993</v>
      </c>
      <c r="AV15" s="100">
        <f t="shared" ref="AV15" si="36">SUM(AJ15:AU15)</f>
        <v>4415.6416666666664</v>
      </c>
      <c r="AX15">
        <f t="shared" si="30"/>
        <v>2024</v>
      </c>
      <c r="AY15" s="98">
        <f t="shared" si="18"/>
        <v>749.51250000000005</v>
      </c>
      <c r="AZ15" s="98">
        <f t="shared" si="18"/>
        <v>631.39166666666665</v>
      </c>
      <c r="BA15" s="98">
        <f t="shared" si="18"/>
        <v>527.45416666666654</v>
      </c>
      <c r="BB15" s="98">
        <f t="shared" si="18"/>
        <v>343.87916666666666</v>
      </c>
      <c r="BC15" s="98">
        <f t="shared" si="18"/>
        <v>92.68541666666664</v>
      </c>
      <c r="BD15" s="98">
        <f t="shared" si="18"/>
        <v>33.62083333333333</v>
      </c>
      <c r="BE15" s="98">
        <f t="shared" si="18"/>
        <v>1.8999999999999986</v>
      </c>
      <c r="BF15" s="98">
        <f t="shared" si="18"/>
        <v>13.2</v>
      </c>
      <c r="BG15" s="98">
        <f t="shared" si="18"/>
        <v>38.591666666666683</v>
      </c>
      <c r="BH15" s="98">
        <f t="shared" si="18"/>
        <v>246.73125000000002</v>
      </c>
      <c r="BI15" s="98">
        <f t="shared" si="18"/>
        <v>438.92291666666665</v>
      </c>
      <c r="BJ15" s="98">
        <f t="shared" si="18"/>
        <v>719.35624999999993</v>
      </c>
      <c r="BK15" s="100">
        <f t="shared" ref="BK15" si="37">SUM(AY15:BJ15)</f>
        <v>3837.2458333333325</v>
      </c>
      <c r="BM15">
        <f t="shared" si="31"/>
        <v>2024</v>
      </c>
      <c r="BN15" s="98">
        <f>SUMIFS($I:$I,$A:$A,$T15,$B:$B,BN$3)</f>
        <v>687.51250000000005</v>
      </c>
      <c r="BO15" s="98">
        <f t="shared" si="20"/>
        <v>573.39166666666665</v>
      </c>
      <c r="BP15" s="98">
        <f t="shared" si="20"/>
        <v>465.45416666666665</v>
      </c>
      <c r="BQ15" s="98">
        <f t="shared" si="20"/>
        <v>283.87916666666678</v>
      </c>
      <c r="BR15" s="98">
        <f t="shared" si="20"/>
        <v>50.627083333333339</v>
      </c>
      <c r="BS15" s="98">
        <f t="shared" si="20"/>
        <v>11.199999999999998</v>
      </c>
      <c r="BT15" s="98">
        <f t="shared" si="20"/>
        <v>0</v>
      </c>
      <c r="BU15" s="98">
        <f t="shared" si="20"/>
        <v>2.3000000000000007</v>
      </c>
      <c r="BV15" s="98">
        <f t="shared" si="20"/>
        <v>19.100000000000001</v>
      </c>
      <c r="BW15" s="98">
        <f t="shared" si="20"/>
        <v>191.26041666666669</v>
      </c>
      <c r="BX15" s="98">
        <f t="shared" si="20"/>
        <v>379.02291666666673</v>
      </c>
      <c r="BY15" s="98">
        <f t="shared" si="20"/>
        <v>657.35625000000005</v>
      </c>
      <c r="BZ15" s="100">
        <f t="shared" ref="BZ15" si="38">SUM(BN15:BY15)</f>
        <v>3321.104166666667</v>
      </c>
      <c r="CB15">
        <f t="shared" si="32"/>
        <v>2024</v>
      </c>
      <c r="CC15" s="98">
        <f t="shared" si="22"/>
        <v>625.51250000000005</v>
      </c>
      <c r="CD15" s="98">
        <f t="shared" si="22"/>
        <v>515.39166666666665</v>
      </c>
      <c r="CE15" s="98">
        <f t="shared" si="22"/>
        <v>403.45416666666671</v>
      </c>
      <c r="CF15" s="98">
        <f t="shared" si="22"/>
        <v>223.87916666666672</v>
      </c>
      <c r="CG15" s="98">
        <f t="shared" si="22"/>
        <v>20.881250000000001</v>
      </c>
      <c r="CH15" s="98">
        <f t="shared" si="22"/>
        <v>1.4000000000000004</v>
      </c>
      <c r="CI15" s="98">
        <f t="shared" si="22"/>
        <v>0</v>
      </c>
      <c r="CJ15" s="98">
        <f t="shared" si="22"/>
        <v>0</v>
      </c>
      <c r="CK15" s="98">
        <f t="shared" si="22"/>
        <v>7.5</v>
      </c>
      <c r="CL15" s="98">
        <f t="shared" si="22"/>
        <v>141.66041666666669</v>
      </c>
      <c r="CM15" s="98">
        <f t="shared" si="22"/>
        <v>321.02291666666667</v>
      </c>
      <c r="CN15" s="98">
        <f t="shared" si="22"/>
        <v>595.35625000000005</v>
      </c>
      <c r="CO15" s="100">
        <f t="shared" ref="CO15" si="39">SUM(CC15:CN15)</f>
        <v>2856.0583333333334</v>
      </c>
      <c r="CQ15">
        <f t="shared" si="33"/>
        <v>2024</v>
      </c>
      <c r="CR15" s="98">
        <f t="shared" si="24"/>
        <v>563.51250000000005</v>
      </c>
      <c r="CS15" s="98">
        <f t="shared" si="12"/>
        <v>457.39166666666665</v>
      </c>
      <c r="CT15" s="98">
        <f t="shared" si="12"/>
        <v>341.45416666666671</v>
      </c>
      <c r="CU15" s="98">
        <f t="shared" si="12"/>
        <v>165.02083333333334</v>
      </c>
      <c r="CV15" s="98">
        <f t="shared" si="12"/>
        <v>2.6791666666666654</v>
      </c>
      <c r="CW15" s="98">
        <f t="shared" si="12"/>
        <v>0</v>
      </c>
      <c r="CX15" s="98">
        <f t="shared" si="12"/>
        <v>0</v>
      </c>
      <c r="CY15" s="98">
        <f t="shared" si="12"/>
        <v>0</v>
      </c>
      <c r="CZ15" s="98">
        <f t="shared" si="12"/>
        <v>3.9000000000000004</v>
      </c>
      <c r="DA15" s="98">
        <f t="shared" si="12"/>
        <v>95.160416666666663</v>
      </c>
      <c r="DB15" s="98">
        <f t="shared" si="12"/>
        <v>263.02291666666667</v>
      </c>
      <c r="DC15" s="98">
        <f t="shared" si="12"/>
        <v>533.35625000000005</v>
      </c>
      <c r="DD15" s="100">
        <f t="shared" ref="DD15" si="40">SUM(CR15:DC15)</f>
        <v>2425.4979166666662</v>
      </c>
      <c r="DF15">
        <f t="shared" si="34"/>
        <v>2024</v>
      </c>
      <c r="DG15" s="98">
        <f t="shared" si="26"/>
        <v>501.51250000000005</v>
      </c>
      <c r="DH15" s="98">
        <f t="shared" si="26"/>
        <v>399.39166666666665</v>
      </c>
      <c r="DI15" s="98">
        <f t="shared" si="26"/>
        <v>279.45416666666671</v>
      </c>
      <c r="DJ15" s="98">
        <f t="shared" si="26"/>
        <v>109.46041666666665</v>
      </c>
      <c r="DK15" s="98">
        <f t="shared" si="26"/>
        <v>0</v>
      </c>
      <c r="DL15" s="98">
        <f t="shared" si="26"/>
        <v>0</v>
      </c>
      <c r="DM15" s="98">
        <f t="shared" si="26"/>
        <v>0</v>
      </c>
      <c r="DN15" s="98">
        <f t="shared" si="26"/>
        <v>0</v>
      </c>
      <c r="DO15" s="98">
        <f t="shared" si="26"/>
        <v>1.9000000000000004</v>
      </c>
      <c r="DP15" s="98">
        <f t="shared" si="26"/>
        <v>56.760416666666664</v>
      </c>
      <c r="DQ15" s="98">
        <f t="shared" si="26"/>
        <v>205.02291666666665</v>
      </c>
      <c r="DR15" s="98">
        <f t="shared" si="26"/>
        <v>471.35624999999999</v>
      </c>
      <c r="DS15" s="100">
        <f t="shared" ref="DS15" si="41">SUM(DG15:DR15)</f>
        <v>2024.8583333333333</v>
      </c>
      <c r="DU15" s="17">
        <f>'Monthly Data'!D15</f>
        <v>41892378.734094054</v>
      </c>
      <c r="DV15" s="17">
        <f>'Monthly Data'!H15</f>
        <v>13306886.801167568</v>
      </c>
      <c r="DW15" s="17">
        <f>'Monthly Data'!L15</f>
        <v>34029362.201537922</v>
      </c>
    </row>
    <row r="16" spans="1:127" x14ac:dyDescent="0.2">
      <c r="A16">
        <v>2015</v>
      </c>
      <c r="B16">
        <v>3</v>
      </c>
      <c r="C16" s="98">
        <v>824.78333333333353</v>
      </c>
      <c r="D16" s="98">
        <v>0</v>
      </c>
      <c r="E16" s="98">
        <v>762.78333333333342</v>
      </c>
      <c r="F16" s="98">
        <v>0</v>
      </c>
      <c r="G16" s="98">
        <v>700.78333333333342</v>
      </c>
      <c r="H16" s="98">
        <v>0</v>
      </c>
      <c r="I16" s="98">
        <v>638.78333333333342</v>
      </c>
      <c r="J16" s="98">
        <v>0</v>
      </c>
      <c r="K16" s="98">
        <v>576.78333333333353</v>
      </c>
      <c r="L16" s="98">
        <v>0</v>
      </c>
      <c r="M16" s="98">
        <v>514.78333333333342</v>
      </c>
      <c r="N16" s="98">
        <v>0</v>
      </c>
      <c r="O16" s="98">
        <v>452.78333333333325</v>
      </c>
      <c r="P16" s="98">
        <v>0</v>
      </c>
      <c r="Q16" s="253">
        <v>-6.6059139784946224</v>
      </c>
      <c r="T16" t="s">
        <v>107</v>
      </c>
      <c r="U16" s="99">
        <f>AVERAGE(U5:U14)</f>
        <v>976.68367523535164</v>
      </c>
      <c r="V16" s="99">
        <f t="shared" ref="V16:AF16" si="42">AVERAGE(V5:V14)</f>
        <v>881.3508333333333</v>
      </c>
      <c r="W16" s="99">
        <f t="shared" si="42"/>
        <v>779.11853767651348</v>
      </c>
      <c r="X16" s="99">
        <f t="shared" si="42"/>
        <v>529.21610845100895</v>
      </c>
      <c r="Y16" s="99">
        <f t="shared" si="42"/>
        <v>267.0911792255045</v>
      </c>
      <c r="Z16" s="99">
        <f t="shared" si="42"/>
        <v>107.96249401477034</v>
      </c>
      <c r="AA16" s="99">
        <f t="shared" si="42"/>
        <v>49.00458133825677</v>
      </c>
      <c r="AB16" s="99">
        <f t="shared" si="42"/>
        <v>75.346804225504528</v>
      </c>
      <c r="AC16" s="99">
        <f t="shared" si="42"/>
        <v>185.68902511767573</v>
      </c>
      <c r="AD16" s="99">
        <f t="shared" si="42"/>
        <v>409.71263157360818</v>
      </c>
      <c r="AE16" s="99">
        <f t="shared" si="42"/>
        <v>629.9658293431803</v>
      </c>
      <c r="AF16" s="99">
        <f t="shared" si="42"/>
        <v>818.62936502461719</v>
      </c>
      <c r="AG16" s="100">
        <f t="shared" si="15"/>
        <v>5709.7710645593252</v>
      </c>
      <c r="AI16" t="s">
        <v>107</v>
      </c>
      <c r="AJ16" s="99">
        <f>AVERAGE(AJ5:AJ14)</f>
        <v>914.68367523535164</v>
      </c>
      <c r="AK16" s="99">
        <f t="shared" ref="AK16:AU16" si="43">AVERAGE(AK5:AK14)</f>
        <v>824.95083333333332</v>
      </c>
      <c r="AL16" s="99">
        <f t="shared" si="43"/>
        <v>717.11853767651348</v>
      </c>
      <c r="AM16" s="99">
        <f t="shared" si="43"/>
        <v>469.21610845100895</v>
      </c>
      <c r="AN16" s="99">
        <f t="shared" si="43"/>
        <v>211.51659589217115</v>
      </c>
      <c r="AO16" s="99">
        <f t="shared" si="43"/>
        <v>63.753398122599151</v>
      </c>
      <c r="AP16" s="99">
        <f t="shared" si="43"/>
        <v>20.209860446085592</v>
      </c>
      <c r="AQ16" s="99">
        <f t="shared" si="43"/>
        <v>36.844095892171183</v>
      </c>
      <c r="AR16" s="99">
        <f t="shared" si="43"/>
        <v>133.12465011767569</v>
      </c>
      <c r="AS16" s="99">
        <f t="shared" si="43"/>
        <v>348.15950657360816</v>
      </c>
      <c r="AT16" s="99">
        <f t="shared" si="43"/>
        <v>569.96582934318008</v>
      </c>
      <c r="AU16" s="99">
        <f t="shared" si="43"/>
        <v>756.62936502461719</v>
      </c>
      <c r="AV16" s="100">
        <f t="shared" ref="AV16" si="44">SUM(AJ16:AU16)</f>
        <v>5066.1724561083156</v>
      </c>
      <c r="AX16" t="s">
        <v>107</v>
      </c>
      <c r="AY16" s="99">
        <f>AVERAGE(AY5:AY14)</f>
        <v>852.68367523535142</v>
      </c>
      <c r="AZ16" s="99">
        <f t="shared" ref="AZ16:BJ16" si="45">AVERAGE(AZ5:AZ14)</f>
        <v>768.55083333333323</v>
      </c>
      <c r="BA16" s="99">
        <f t="shared" si="45"/>
        <v>655.11853767651348</v>
      </c>
      <c r="BB16" s="99">
        <f t="shared" si="45"/>
        <v>409.22777511767572</v>
      </c>
      <c r="BC16" s="99">
        <f t="shared" si="45"/>
        <v>159.66617922550455</v>
      </c>
      <c r="BD16" s="99">
        <f t="shared" si="45"/>
        <v>31.969929225504519</v>
      </c>
      <c r="BE16" s="99">
        <f t="shared" si="45"/>
        <v>6.1616666666666671</v>
      </c>
      <c r="BF16" s="99">
        <f t="shared" si="45"/>
        <v>14.244512558837851</v>
      </c>
      <c r="BG16" s="99">
        <f t="shared" si="45"/>
        <v>87.906108451009032</v>
      </c>
      <c r="BH16" s="99">
        <f t="shared" si="45"/>
        <v>287.77825657360813</v>
      </c>
      <c r="BI16" s="99">
        <f t="shared" si="45"/>
        <v>509.96582934318013</v>
      </c>
      <c r="BJ16" s="99">
        <f t="shared" si="45"/>
        <v>694.62936502461719</v>
      </c>
      <c r="BK16" s="100">
        <f t="shared" ref="BK16" si="46">SUM(AY16:BJ16)</f>
        <v>4477.9026684318023</v>
      </c>
      <c r="BM16" t="s">
        <v>107</v>
      </c>
      <c r="BN16" s="99">
        <f>AVERAGE(BN5:BN14)</f>
        <v>790.6836752353513</v>
      </c>
      <c r="BO16" s="99">
        <f t="shared" ref="BO16:BY16" si="47">AVERAGE(BO5:BO14)</f>
        <v>712.15083333333325</v>
      </c>
      <c r="BP16" s="99">
        <f t="shared" si="47"/>
        <v>593.1185376765136</v>
      </c>
      <c r="BQ16" s="99">
        <f t="shared" si="47"/>
        <v>349.88291666666669</v>
      </c>
      <c r="BR16" s="99">
        <f t="shared" si="47"/>
        <v>114.15013755883786</v>
      </c>
      <c r="BS16" s="99">
        <f t="shared" si="47"/>
        <v>12.741595892171185</v>
      </c>
      <c r="BT16" s="99">
        <f t="shared" si="47"/>
        <v>1.0841666666666672</v>
      </c>
      <c r="BU16" s="99">
        <f t="shared" si="47"/>
        <v>3.941595892171184</v>
      </c>
      <c r="BV16" s="99">
        <f t="shared" si="47"/>
        <v>51.821316784342365</v>
      </c>
      <c r="BW16" s="99">
        <f t="shared" si="47"/>
        <v>230.23804824027485</v>
      </c>
      <c r="BX16" s="99">
        <f t="shared" si="47"/>
        <v>450.10707934318015</v>
      </c>
      <c r="BY16" s="99">
        <f t="shared" si="47"/>
        <v>632.62936502461719</v>
      </c>
      <c r="BZ16" s="100">
        <f t="shared" ref="BZ16" si="48">SUM(BN16:BY16)</f>
        <v>3942.549268314126</v>
      </c>
      <c r="CB16" t="s">
        <v>107</v>
      </c>
      <c r="CC16" s="99">
        <f>AVERAGE(CC5:CC14)</f>
        <v>728.68367523535153</v>
      </c>
      <c r="CD16" s="99">
        <f t="shared" ref="CD16:CN16" si="49">AVERAGE(CD5:CD14)</f>
        <v>655.75083333333328</v>
      </c>
      <c r="CE16" s="99">
        <f t="shared" si="49"/>
        <v>531.1185376765136</v>
      </c>
      <c r="CF16" s="99">
        <f t="shared" si="49"/>
        <v>291.21791666666667</v>
      </c>
      <c r="CG16" s="99">
        <f t="shared" si="49"/>
        <v>76.006595892171191</v>
      </c>
      <c r="CH16" s="99">
        <f t="shared" si="49"/>
        <v>4.2034708921711843</v>
      </c>
      <c r="CI16" s="99">
        <f t="shared" si="49"/>
        <v>0</v>
      </c>
      <c r="CJ16" s="99">
        <f t="shared" si="49"/>
        <v>0.73208333333333309</v>
      </c>
      <c r="CK16" s="99">
        <f t="shared" si="49"/>
        <v>26.6509001176757</v>
      </c>
      <c r="CL16" s="99">
        <f t="shared" si="49"/>
        <v>177.51367324027484</v>
      </c>
      <c r="CM16" s="99">
        <f t="shared" si="49"/>
        <v>390.8187460098469</v>
      </c>
      <c r="CN16" s="99">
        <f t="shared" si="49"/>
        <v>570.62936502461719</v>
      </c>
      <c r="CO16" s="100">
        <f t="shared" ref="CO16" si="50">SUM(CC16:CN16)</f>
        <v>3453.325797421955</v>
      </c>
      <c r="CQ16" t="s">
        <v>107</v>
      </c>
      <c r="CR16" s="99">
        <f>AVERAGE(CR5:CR14)</f>
        <v>666.68367523535153</v>
      </c>
      <c r="CS16" s="99">
        <f t="shared" ref="CS16:DC16" si="51">AVERAGE(CS5:CS14)</f>
        <v>599.3508333333333</v>
      </c>
      <c r="CT16" s="99">
        <f t="shared" si="51"/>
        <v>469.11853767651354</v>
      </c>
      <c r="CU16" s="99">
        <f t="shared" si="51"/>
        <v>233.92395833333336</v>
      </c>
      <c r="CV16" s="99">
        <f t="shared" si="51"/>
        <v>46.324929225504526</v>
      </c>
      <c r="CW16" s="99">
        <f t="shared" si="51"/>
        <v>1.25875</v>
      </c>
      <c r="CX16" s="99">
        <f t="shared" si="51"/>
        <v>0</v>
      </c>
      <c r="CY16" s="99">
        <f t="shared" si="51"/>
        <v>0.1158333333333335</v>
      </c>
      <c r="CZ16" s="99">
        <f t="shared" si="51"/>
        <v>11.597845892171184</v>
      </c>
      <c r="DA16" s="99">
        <f t="shared" si="51"/>
        <v>128.51888157360821</v>
      </c>
      <c r="DB16" s="99">
        <f t="shared" si="51"/>
        <v>332.1049960098469</v>
      </c>
      <c r="DC16" s="99">
        <f t="shared" si="51"/>
        <v>508.62936502461724</v>
      </c>
      <c r="DD16" s="100">
        <f t="shared" ref="DD16" si="52">SUM(CR16:DC16)</f>
        <v>2997.6276056376128</v>
      </c>
      <c r="DF16" t="s">
        <v>107</v>
      </c>
      <c r="DG16" s="99">
        <f>AVERAGE(DG5:DG14)</f>
        <v>604.68367523535153</v>
      </c>
      <c r="DH16" s="99">
        <f t="shared" ref="DH16:DR16" si="53">AVERAGE(DH5:DH14)</f>
        <v>542.95083333333332</v>
      </c>
      <c r="DI16" s="99">
        <f t="shared" si="53"/>
        <v>407.14103767651352</v>
      </c>
      <c r="DJ16" s="99">
        <f t="shared" si="53"/>
        <v>179.174375</v>
      </c>
      <c r="DK16" s="99">
        <f t="shared" si="53"/>
        <v>24.792291666666667</v>
      </c>
      <c r="DL16" s="99">
        <f t="shared" si="53"/>
        <v>0.12500000000000017</v>
      </c>
      <c r="DM16" s="99">
        <f t="shared" si="53"/>
        <v>0</v>
      </c>
      <c r="DN16" s="99">
        <f t="shared" si="53"/>
        <v>0</v>
      </c>
      <c r="DO16" s="99">
        <f t="shared" si="53"/>
        <v>3.8830542255045173</v>
      </c>
      <c r="DP16" s="99">
        <f t="shared" si="53"/>
        <v>85.111452348103654</v>
      </c>
      <c r="DQ16" s="99">
        <f t="shared" si="53"/>
        <v>274.80270434318021</v>
      </c>
      <c r="DR16" s="99">
        <f t="shared" si="53"/>
        <v>446.62936502461719</v>
      </c>
      <c r="DS16" s="100">
        <f t="shared" ref="DS16" si="54">SUM(DG16:DR16)</f>
        <v>2569.2937888532706</v>
      </c>
      <c r="DU16" s="17">
        <f>'Monthly Data'!D16</f>
        <v>39082279.742133871</v>
      </c>
      <c r="DV16" s="17">
        <f>'Monthly Data'!H16</f>
        <v>13270254.565220349</v>
      </c>
      <c r="DW16" s="17">
        <f>'Monthly Data'!L16</f>
        <v>34772180.453177564</v>
      </c>
    </row>
    <row r="17" spans="1:127" x14ac:dyDescent="0.2">
      <c r="A17">
        <v>2015</v>
      </c>
      <c r="B17">
        <v>4</v>
      </c>
      <c r="C17" s="98">
        <v>504.73333333333329</v>
      </c>
      <c r="D17" s="98">
        <v>0</v>
      </c>
      <c r="E17" s="98">
        <v>444.73333333333335</v>
      </c>
      <c r="F17" s="98">
        <v>0</v>
      </c>
      <c r="G17" s="98">
        <v>384.73333333333335</v>
      </c>
      <c r="H17" s="98">
        <v>0</v>
      </c>
      <c r="I17" s="98">
        <v>324.73333333333335</v>
      </c>
      <c r="J17" s="98">
        <v>0</v>
      </c>
      <c r="K17" s="98">
        <v>264.73333333333335</v>
      </c>
      <c r="L17" s="98">
        <v>0</v>
      </c>
      <c r="M17" s="98">
        <v>206.76874999999998</v>
      </c>
      <c r="N17" s="98">
        <v>2.0354166666666664</v>
      </c>
      <c r="O17" s="98">
        <v>154.65208333333331</v>
      </c>
      <c r="P17" s="98">
        <v>9.9187500000000028</v>
      </c>
      <c r="Q17" s="253">
        <v>3.1755555555555559</v>
      </c>
      <c r="AG17" s="100"/>
      <c r="AV17" s="100"/>
      <c r="BK17" s="100"/>
      <c r="BZ17" s="100"/>
      <c r="CO17" s="100"/>
      <c r="DD17" s="100"/>
      <c r="DS17" s="100"/>
      <c r="DU17" s="17">
        <f>'Monthly Data'!D17</f>
        <v>31178246.266066507</v>
      </c>
      <c r="DV17" s="17">
        <f>'Monthly Data'!H17</f>
        <v>11355959.214046992</v>
      </c>
      <c r="DW17" s="17">
        <f>'Monthly Data'!L17</f>
        <v>28869057.523803413</v>
      </c>
    </row>
    <row r="18" spans="1:127" x14ac:dyDescent="0.2">
      <c r="A18">
        <v>2015</v>
      </c>
      <c r="B18">
        <v>5</v>
      </c>
      <c r="C18" s="98">
        <v>233.73541666666668</v>
      </c>
      <c r="D18" s="98">
        <v>0</v>
      </c>
      <c r="E18" s="98">
        <v>175.32291666666669</v>
      </c>
      <c r="F18" s="98">
        <v>3.587499999999995</v>
      </c>
      <c r="G18" s="98">
        <v>125.00624999999999</v>
      </c>
      <c r="H18" s="98">
        <v>15.270833333333325</v>
      </c>
      <c r="I18" s="98">
        <v>81.410416666666677</v>
      </c>
      <c r="J18" s="98">
        <v>33.67499999999999</v>
      </c>
      <c r="K18" s="98">
        <v>46.254166666666663</v>
      </c>
      <c r="L18" s="98">
        <v>60.518749999999983</v>
      </c>
      <c r="M18" s="98">
        <v>22.945833333333329</v>
      </c>
      <c r="N18" s="98">
        <v>99.210416666666646</v>
      </c>
      <c r="O18" s="98">
        <v>6.9916666666666663</v>
      </c>
      <c r="P18" s="98">
        <v>145.25624999999999</v>
      </c>
      <c r="Q18" s="253">
        <v>12.460147849462372</v>
      </c>
      <c r="T18" t="str">
        <f ca="1">OFFSET($D$1,0,(COLUMN()-COLUMN($T$4))/7.5)</f>
        <v>CDD20</v>
      </c>
      <c r="U18" t="s">
        <v>48</v>
      </c>
      <c r="V18" t="s">
        <v>49</v>
      </c>
      <c r="W18" t="s">
        <v>50</v>
      </c>
      <c r="X18" t="s">
        <v>51</v>
      </c>
      <c r="Y18" t="s">
        <v>52</v>
      </c>
      <c r="Z18" t="s">
        <v>53</v>
      </c>
      <c r="AA18" t="s">
        <v>54</v>
      </c>
      <c r="AB18" t="s">
        <v>55</v>
      </c>
      <c r="AC18" t="s">
        <v>56</v>
      </c>
      <c r="AD18" t="s">
        <v>57</v>
      </c>
      <c r="AE18" t="s">
        <v>58</v>
      </c>
      <c r="AF18" t="s">
        <v>59</v>
      </c>
      <c r="AG18" s="100"/>
      <c r="AI18" t="str">
        <f>$F$1</f>
        <v>CDD18</v>
      </c>
      <c r="AJ18" t="s">
        <v>48</v>
      </c>
      <c r="AK18" t="s">
        <v>49</v>
      </c>
      <c r="AL18" t="s">
        <v>50</v>
      </c>
      <c r="AM18" t="s">
        <v>51</v>
      </c>
      <c r="AN18" t="s">
        <v>52</v>
      </c>
      <c r="AO18" t="s">
        <v>53</v>
      </c>
      <c r="AP18" t="s">
        <v>54</v>
      </c>
      <c r="AQ18" t="s">
        <v>55</v>
      </c>
      <c r="AR18" t="s">
        <v>56</v>
      </c>
      <c r="AS18" t="s">
        <v>57</v>
      </c>
      <c r="AT18" t="s">
        <v>58</v>
      </c>
      <c r="AU18" t="s">
        <v>59</v>
      </c>
      <c r="AV18" s="100"/>
      <c r="AX18" t="str">
        <f>$H$1</f>
        <v>CDD16</v>
      </c>
      <c r="AY18" t="s">
        <v>48</v>
      </c>
      <c r="AZ18" t="s">
        <v>49</v>
      </c>
      <c r="BA18" t="s">
        <v>50</v>
      </c>
      <c r="BB18" t="s">
        <v>51</v>
      </c>
      <c r="BC18" t="s">
        <v>52</v>
      </c>
      <c r="BD18" t="s">
        <v>53</v>
      </c>
      <c r="BE18" t="s">
        <v>54</v>
      </c>
      <c r="BF18" t="s">
        <v>55</v>
      </c>
      <c r="BG18" t="s">
        <v>56</v>
      </c>
      <c r="BH18" t="s">
        <v>57</v>
      </c>
      <c r="BI18" t="s">
        <v>58</v>
      </c>
      <c r="BJ18" t="s">
        <v>59</v>
      </c>
      <c r="BK18" s="100"/>
      <c r="BM18" t="str">
        <f>$J$1</f>
        <v>CDD14</v>
      </c>
      <c r="BN18" t="s">
        <v>48</v>
      </c>
      <c r="BO18" t="s">
        <v>49</v>
      </c>
      <c r="BP18" t="s">
        <v>50</v>
      </c>
      <c r="BQ18" t="s">
        <v>51</v>
      </c>
      <c r="BR18" t="s">
        <v>52</v>
      </c>
      <c r="BS18" t="s">
        <v>53</v>
      </c>
      <c r="BT18" t="s">
        <v>54</v>
      </c>
      <c r="BU18" t="s">
        <v>55</v>
      </c>
      <c r="BV18" t="s">
        <v>56</v>
      </c>
      <c r="BW18" t="s">
        <v>57</v>
      </c>
      <c r="BX18" t="s">
        <v>58</v>
      </c>
      <c r="BY18" t="s">
        <v>59</v>
      </c>
      <c r="BZ18" s="100"/>
      <c r="CB18" t="str">
        <f>$L$1</f>
        <v>CDD12</v>
      </c>
      <c r="CC18" t="s">
        <v>48</v>
      </c>
      <c r="CD18" t="s">
        <v>49</v>
      </c>
      <c r="CE18" t="s">
        <v>50</v>
      </c>
      <c r="CF18" t="s">
        <v>51</v>
      </c>
      <c r="CG18" t="s">
        <v>52</v>
      </c>
      <c r="CH18" t="s">
        <v>53</v>
      </c>
      <c r="CI18" t="s">
        <v>54</v>
      </c>
      <c r="CJ18" t="s">
        <v>55</v>
      </c>
      <c r="CK18" t="s">
        <v>56</v>
      </c>
      <c r="CL18" t="s">
        <v>57</v>
      </c>
      <c r="CM18" t="s">
        <v>58</v>
      </c>
      <c r="CN18" t="s">
        <v>59</v>
      </c>
      <c r="CO18" s="100"/>
      <c r="CQ18" t="str">
        <f>$N$1</f>
        <v>CDD10</v>
      </c>
      <c r="CR18" t="s">
        <v>48</v>
      </c>
      <c r="CS18" t="s">
        <v>49</v>
      </c>
      <c r="CT18" t="s">
        <v>50</v>
      </c>
      <c r="CU18" t="s">
        <v>51</v>
      </c>
      <c r="CV18" t="s">
        <v>52</v>
      </c>
      <c r="CW18" t="s">
        <v>53</v>
      </c>
      <c r="CX18" t="s">
        <v>54</v>
      </c>
      <c r="CY18" t="s">
        <v>55</v>
      </c>
      <c r="CZ18" t="s">
        <v>56</v>
      </c>
      <c r="DA18" t="s">
        <v>57</v>
      </c>
      <c r="DB18" t="s">
        <v>58</v>
      </c>
      <c r="DC18" t="s">
        <v>59</v>
      </c>
      <c r="DD18" s="100"/>
      <c r="DF18" t="str">
        <f>$P$1</f>
        <v>CDD8</v>
      </c>
      <c r="DG18" t="s">
        <v>48</v>
      </c>
      <c r="DH18" t="s">
        <v>49</v>
      </c>
      <c r="DI18" t="s">
        <v>50</v>
      </c>
      <c r="DJ18" t="s">
        <v>51</v>
      </c>
      <c r="DK18" t="s">
        <v>52</v>
      </c>
      <c r="DL18" t="s">
        <v>53</v>
      </c>
      <c r="DM18" t="s">
        <v>54</v>
      </c>
      <c r="DN18" t="s">
        <v>55</v>
      </c>
      <c r="DO18" t="s">
        <v>56</v>
      </c>
      <c r="DP18" t="s">
        <v>57</v>
      </c>
      <c r="DQ18" t="s">
        <v>58</v>
      </c>
      <c r="DR18" t="s">
        <v>59</v>
      </c>
      <c r="DS18" s="100"/>
      <c r="DU18" s="17">
        <f>'Monthly Data'!D18</f>
        <v>25431453.950545076</v>
      </c>
      <c r="DV18" s="17">
        <f>'Monthly Data'!H18</f>
        <v>10564990.77938907</v>
      </c>
      <c r="DW18" s="17">
        <f>'Monthly Data'!L18</f>
        <v>27546876.457056116</v>
      </c>
    </row>
    <row r="19" spans="1:127" x14ac:dyDescent="0.2">
      <c r="A19">
        <v>2015</v>
      </c>
      <c r="B19">
        <v>6</v>
      </c>
      <c r="C19" s="98">
        <v>120.16593897094629</v>
      </c>
      <c r="D19" s="98">
        <v>0</v>
      </c>
      <c r="E19" s="98">
        <v>64.263855637612963</v>
      </c>
      <c r="F19" s="98">
        <v>4.09791666666667</v>
      </c>
      <c r="G19" s="98">
        <v>26.70000000000001</v>
      </c>
      <c r="H19" s="98">
        <v>26.534061029053731</v>
      </c>
      <c r="I19" s="98">
        <v>8.9208333333333343</v>
      </c>
      <c r="J19" s="98">
        <v>68.754894362387049</v>
      </c>
      <c r="K19" s="98">
        <v>1.7604166666666696</v>
      </c>
      <c r="L19" s="98">
        <v>121.59447769572037</v>
      </c>
      <c r="M19" s="98">
        <v>0</v>
      </c>
      <c r="N19" s="98">
        <v>179.83406102905374</v>
      </c>
      <c r="O19" s="98">
        <v>0</v>
      </c>
      <c r="P19" s="98">
        <v>239.8340610290538</v>
      </c>
      <c r="Q19" s="253">
        <v>15.994468700968451</v>
      </c>
      <c r="T19">
        <v>2014</v>
      </c>
      <c r="U19" s="98">
        <f>SUMIFS($D:$D,$A:$A,$T19,$B:$B,U$3)</f>
        <v>0</v>
      </c>
      <c r="V19" s="98">
        <f t="shared" ref="V19:AF29" si="55">SUMIFS($D:$D,$A:$A,$T19,$B:$B,V$3)</f>
        <v>0</v>
      </c>
      <c r="W19" s="98">
        <f t="shared" si="55"/>
        <v>0</v>
      </c>
      <c r="X19" s="98">
        <f t="shared" si="55"/>
        <v>0</v>
      </c>
      <c r="Y19" s="98">
        <f t="shared" si="55"/>
        <v>0.44583333333333286</v>
      </c>
      <c r="Z19" s="98">
        <f t="shared" si="55"/>
        <v>6.9208333333333343</v>
      </c>
      <c r="AA19" s="98">
        <f t="shared" si="55"/>
        <v>2.4083333333333279</v>
      </c>
      <c r="AB19" s="98">
        <f t="shared" si="55"/>
        <v>2.7708333333333357</v>
      </c>
      <c r="AC19" s="98">
        <f t="shared" si="55"/>
        <v>0</v>
      </c>
      <c r="AD19" s="98">
        <f t="shared" si="55"/>
        <v>0</v>
      </c>
      <c r="AE19" s="98">
        <f t="shared" si="55"/>
        <v>0</v>
      </c>
      <c r="AF19" s="98">
        <f t="shared" si="55"/>
        <v>0</v>
      </c>
      <c r="AG19" s="100">
        <f t="shared" si="15"/>
        <v>12.545833333333331</v>
      </c>
      <c r="AI19">
        <v>2014</v>
      </c>
      <c r="AJ19" s="98">
        <f>SUMIFS($F:$F,$A:$A,$T19,$B:$B,AJ$3)</f>
        <v>0</v>
      </c>
      <c r="AK19" s="98">
        <f t="shared" ref="AK19:AU19" si="56">SUMIFS($F:$F,$A:$A,$T19,$B:$B,AK$3)</f>
        <v>0</v>
      </c>
      <c r="AL19" s="98">
        <f t="shared" si="56"/>
        <v>0</v>
      </c>
      <c r="AM19" s="98">
        <f t="shared" si="56"/>
        <v>0</v>
      </c>
      <c r="AN19" s="98">
        <f t="shared" si="56"/>
        <v>2.4458333333333329</v>
      </c>
      <c r="AO19" s="98">
        <f t="shared" si="56"/>
        <v>21.445833333333336</v>
      </c>
      <c r="AP19" s="98">
        <f t="shared" si="56"/>
        <v>15.170833333333327</v>
      </c>
      <c r="AQ19" s="98">
        <f t="shared" si="56"/>
        <v>20.833333333333353</v>
      </c>
      <c r="AR19" s="98">
        <f t="shared" si="56"/>
        <v>1.2416666666666636</v>
      </c>
      <c r="AS19" s="98">
        <f t="shared" si="56"/>
        <v>0</v>
      </c>
      <c r="AT19" s="98">
        <f t="shared" si="56"/>
        <v>0</v>
      </c>
      <c r="AU19" s="98">
        <f t="shared" si="56"/>
        <v>0</v>
      </c>
      <c r="AV19" s="100">
        <f t="shared" ref="AV19:AV28" si="57">SUM(AJ19:AU19)</f>
        <v>61.137500000000017</v>
      </c>
      <c r="AX19">
        <v>2014</v>
      </c>
      <c r="AY19" s="98">
        <f>SUMIFS($H:$H,$A:$A,$T19,$B:$B,AY$3)</f>
        <v>0</v>
      </c>
      <c r="AZ19" s="98">
        <f t="shared" ref="AZ19:BJ19" si="58">SUMIFS($H:$H,$A:$A,$T19,$B:$B,AZ$3)</f>
        <v>0</v>
      </c>
      <c r="BA19" s="98">
        <f t="shared" si="58"/>
        <v>0</v>
      </c>
      <c r="BB19" s="98">
        <f t="shared" si="58"/>
        <v>0</v>
      </c>
      <c r="BC19" s="98">
        <f t="shared" si="58"/>
        <v>10.19583333333334</v>
      </c>
      <c r="BD19" s="98">
        <f t="shared" si="58"/>
        <v>52.462500000000006</v>
      </c>
      <c r="BE19" s="98">
        <f t="shared" si="58"/>
        <v>45.766666666666652</v>
      </c>
      <c r="BF19" s="98">
        <f t="shared" si="58"/>
        <v>55.279166666666697</v>
      </c>
      <c r="BG19" s="98">
        <f t="shared" si="58"/>
        <v>14.11666666666666</v>
      </c>
      <c r="BH19" s="98">
        <f t="shared" si="58"/>
        <v>0</v>
      </c>
      <c r="BI19" s="98">
        <f t="shared" si="58"/>
        <v>0</v>
      </c>
      <c r="BJ19" s="98">
        <f t="shared" si="58"/>
        <v>0</v>
      </c>
      <c r="BK19" s="100">
        <f t="shared" ref="BK19:BK28" si="59">SUM(AY19:BJ19)</f>
        <v>177.82083333333338</v>
      </c>
      <c r="BM19">
        <v>2014</v>
      </c>
      <c r="BN19" s="98">
        <f>SUMIFS($J:$J,$A:$A,$T19,$B:$B,BN$3)</f>
        <v>0</v>
      </c>
      <c r="BO19" s="98">
        <f t="shared" ref="BO19:BY19" si="60">SUMIFS($J:$J,$A:$A,$T19,$B:$B,BO$3)</f>
        <v>0</v>
      </c>
      <c r="BP19" s="98">
        <f t="shared" si="60"/>
        <v>0</v>
      </c>
      <c r="BQ19" s="98">
        <f t="shared" si="60"/>
        <v>0</v>
      </c>
      <c r="BR19" s="98">
        <f t="shared" si="60"/>
        <v>26.933333333333344</v>
      </c>
      <c r="BS19" s="98">
        <f t="shared" si="60"/>
        <v>100.84583333333332</v>
      </c>
      <c r="BT19" s="98">
        <f t="shared" si="60"/>
        <v>89.879166666666649</v>
      </c>
      <c r="BU19" s="98">
        <f t="shared" si="60"/>
        <v>99.837500000000034</v>
      </c>
      <c r="BV19" s="98">
        <f t="shared" si="60"/>
        <v>36.779166666666654</v>
      </c>
      <c r="BW19" s="98">
        <f t="shared" si="60"/>
        <v>1.0416666666666643</v>
      </c>
      <c r="BX19" s="98">
        <f t="shared" si="60"/>
        <v>0</v>
      </c>
      <c r="BY19" s="98">
        <f t="shared" si="60"/>
        <v>0</v>
      </c>
      <c r="BZ19" s="100">
        <f t="shared" ref="BZ19:BZ28" si="61">SUM(BN19:BY19)</f>
        <v>355.31666666666666</v>
      </c>
      <c r="CB19">
        <v>2014</v>
      </c>
      <c r="CC19" s="98">
        <f>SUMIFS($L:$L,$A:$A,$T19,$B:$B,CC$3)</f>
        <v>0</v>
      </c>
      <c r="CD19" s="98">
        <f t="shared" ref="CD19:CN29" si="62">SUMIFS($L:$L,$A:$A,$T19,$B:$B,CD$3)</f>
        <v>0</v>
      </c>
      <c r="CE19" s="98">
        <f t="shared" si="62"/>
        <v>0</v>
      </c>
      <c r="CF19" s="98">
        <f t="shared" si="62"/>
        <v>0</v>
      </c>
      <c r="CG19" s="98">
        <f t="shared" si="62"/>
        <v>51.100000000000009</v>
      </c>
      <c r="CH19" s="98">
        <f t="shared" si="62"/>
        <v>155.76249999999999</v>
      </c>
      <c r="CI19" s="98">
        <f t="shared" si="62"/>
        <v>146.72916666666663</v>
      </c>
      <c r="CJ19" s="98">
        <f t="shared" si="62"/>
        <v>155.32708333333335</v>
      </c>
      <c r="CK19" s="98">
        <f t="shared" si="62"/>
        <v>66.404166666666654</v>
      </c>
      <c r="CL19" s="98">
        <f t="shared" si="62"/>
        <v>6.7604166666666643</v>
      </c>
      <c r="CM19" s="98">
        <f t="shared" si="62"/>
        <v>0</v>
      </c>
      <c r="CN19" s="98">
        <f t="shared" si="62"/>
        <v>0</v>
      </c>
      <c r="CO19" s="100">
        <f t="shared" ref="CO19:CO28" si="63">SUM(CC19:CN19)</f>
        <v>582.08333333333326</v>
      </c>
      <c r="CQ19">
        <v>2014</v>
      </c>
      <c r="CR19" s="98">
        <f>SUMIFS($N:$N,$A:$A,$T19,$B:$B,CR$3)</f>
        <v>0</v>
      </c>
      <c r="CS19" s="98">
        <f t="shared" ref="CS19:DC29" si="64">SUMIFS($N:$N,$A:$A,$T19,$B:$B,CS$3)</f>
        <v>0</v>
      </c>
      <c r="CT19" s="98">
        <f t="shared" si="64"/>
        <v>0</v>
      </c>
      <c r="CU19" s="98">
        <f t="shared" si="64"/>
        <v>0</v>
      </c>
      <c r="CV19" s="98">
        <f t="shared" si="64"/>
        <v>84.035416666666677</v>
      </c>
      <c r="CW19" s="98">
        <f t="shared" si="64"/>
        <v>214.85416666666669</v>
      </c>
      <c r="CX19" s="98">
        <f t="shared" si="64"/>
        <v>208.72916666666663</v>
      </c>
      <c r="CY19" s="98">
        <f t="shared" si="64"/>
        <v>214.50625000000002</v>
      </c>
      <c r="CZ19" s="98">
        <f t="shared" si="64"/>
        <v>101.60833333333333</v>
      </c>
      <c r="DA19" s="98">
        <f t="shared" si="64"/>
        <v>13.189583333333331</v>
      </c>
      <c r="DB19" s="98">
        <f t="shared" si="64"/>
        <v>0</v>
      </c>
      <c r="DC19" s="98">
        <f t="shared" si="64"/>
        <v>0</v>
      </c>
      <c r="DD19" s="100">
        <f t="shared" ref="DD19:DD28" si="65">SUM(CR19:DC19)</f>
        <v>836.92291666666665</v>
      </c>
      <c r="DF19">
        <v>2014</v>
      </c>
      <c r="DG19" s="98">
        <f>SUMIFS($P:$P,$A:$A,$T19,$B:$B,DG$3)</f>
        <v>0</v>
      </c>
      <c r="DH19" s="98">
        <f t="shared" ref="DH19:DR29" si="66">SUMIFS($P:$P,$A:$A,$T19,$B:$B,DH$3)</f>
        <v>0</v>
      </c>
      <c r="DI19" s="98">
        <f t="shared" si="66"/>
        <v>0</v>
      </c>
      <c r="DJ19" s="98">
        <f t="shared" si="66"/>
        <v>0</v>
      </c>
      <c r="DK19" s="98">
        <f t="shared" si="66"/>
        <v>122.51458333333333</v>
      </c>
      <c r="DL19" s="98">
        <f t="shared" si="66"/>
        <v>274.85416666666663</v>
      </c>
      <c r="DM19" s="98">
        <f t="shared" si="66"/>
        <v>270.72916666666669</v>
      </c>
      <c r="DN19" s="98">
        <f t="shared" si="66"/>
        <v>275.3729166666667</v>
      </c>
      <c r="DO19" s="98">
        <f t="shared" si="66"/>
        <v>140.50416666666669</v>
      </c>
      <c r="DP19" s="98">
        <f t="shared" si="66"/>
        <v>27.793750000000003</v>
      </c>
      <c r="DQ19" s="98">
        <f t="shared" si="66"/>
        <v>0</v>
      </c>
      <c r="DR19" s="98">
        <f t="shared" si="66"/>
        <v>0</v>
      </c>
      <c r="DS19" s="100">
        <f t="shared" ref="DS19:DS28" si="67">SUM(DG19:DR19)</f>
        <v>1111.76875</v>
      </c>
      <c r="DU19" s="17">
        <f>'Monthly Data'!D19</f>
        <v>23725336.020671904</v>
      </c>
      <c r="DV19" s="17">
        <f>'Monthly Data'!H19</f>
        <v>10218771.283099867</v>
      </c>
      <c r="DW19" s="17">
        <f>'Monthly Data'!L19</f>
        <v>27143762.528781489</v>
      </c>
    </row>
    <row r="20" spans="1:127" x14ac:dyDescent="0.2">
      <c r="A20">
        <v>2015</v>
      </c>
      <c r="B20">
        <v>7</v>
      </c>
      <c r="C20" s="98">
        <v>57.60833333333332</v>
      </c>
      <c r="D20" s="98">
        <v>24.195833333333326</v>
      </c>
      <c r="E20" s="98">
        <v>26.133333333333333</v>
      </c>
      <c r="F20" s="98">
        <v>54.720833333333339</v>
      </c>
      <c r="G20" s="98">
        <v>8.5208333333333268</v>
      </c>
      <c r="H20" s="98">
        <v>99.108333333333334</v>
      </c>
      <c r="I20" s="98">
        <v>1.6875</v>
      </c>
      <c r="J20" s="98">
        <v>154.27500000000001</v>
      </c>
      <c r="K20" s="98">
        <v>0</v>
      </c>
      <c r="L20" s="98">
        <v>214.58750000000001</v>
      </c>
      <c r="M20" s="98">
        <v>0</v>
      </c>
      <c r="N20" s="98">
        <v>276.58749999999998</v>
      </c>
      <c r="O20" s="98">
        <v>0</v>
      </c>
      <c r="P20" s="98">
        <v>338.58750000000003</v>
      </c>
      <c r="Q20" s="253">
        <v>18.922177419354835</v>
      </c>
      <c r="T20">
        <f>T19+1</f>
        <v>2015</v>
      </c>
      <c r="U20" s="98">
        <f t="shared" ref="U20:U29" si="68">SUMIFS($D:$D,$A:$A,$T20,$B:$B,U$3)</f>
        <v>0</v>
      </c>
      <c r="V20" s="98">
        <f t="shared" si="55"/>
        <v>0</v>
      </c>
      <c r="W20" s="98">
        <f t="shared" si="55"/>
        <v>0</v>
      </c>
      <c r="X20" s="98">
        <f t="shared" si="55"/>
        <v>0</v>
      </c>
      <c r="Y20" s="98">
        <f t="shared" si="55"/>
        <v>0</v>
      </c>
      <c r="Z20" s="98">
        <f t="shared" si="55"/>
        <v>0</v>
      </c>
      <c r="AA20" s="98">
        <f t="shared" si="55"/>
        <v>24.195833333333326</v>
      </c>
      <c r="AB20" s="98">
        <f t="shared" si="55"/>
        <v>9.7291666666666679</v>
      </c>
      <c r="AC20" s="98">
        <f t="shared" si="55"/>
        <v>7.3666666666666565</v>
      </c>
      <c r="AD20" s="98">
        <f t="shared" si="55"/>
        <v>0</v>
      </c>
      <c r="AE20" s="98">
        <f t="shared" si="55"/>
        <v>0</v>
      </c>
      <c r="AF20" s="98">
        <f t="shared" si="55"/>
        <v>0</v>
      </c>
      <c r="AG20" s="100">
        <f t="shared" si="15"/>
        <v>41.291666666666657</v>
      </c>
      <c r="AI20">
        <f>AI19+1</f>
        <v>2015</v>
      </c>
      <c r="AJ20" s="98">
        <f t="shared" ref="AJ20:AU29" si="69">SUMIFS($F:$F,$A:$A,$T20,$B:$B,AJ$3)</f>
        <v>0</v>
      </c>
      <c r="AK20" s="98">
        <f t="shared" si="69"/>
        <v>0</v>
      </c>
      <c r="AL20" s="98">
        <f t="shared" si="69"/>
        <v>0</v>
      </c>
      <c r="AM20" s="98">
        <f t="shared" si="69"/>
        <v>0</v>
      </c>
      <c r="AN20" s="98">
        <f t="shared" si="69"/>
        <v>3.587499999999995</v>
      </c>
      <c r="AO20" s="98">
        <f t="shared" si="69"/>
        <v>4.09791666666667</v>
      </c>
      <c r="AP20" s="98">
        <f t="shared" si="69"/>
        <v>54.720833333333339</v>
      </c>
      <c r="AQ20" s="98">
        <f t="shared" si="69"/>
        <v>28.762500000000021</v>
      </c>
      <c r="AR20" s="98">
        <f t="shared" si="69"/>
        <v>27.039583333333312</v>
      </c>
      <c r="AS20" s="98">
        <f t="shared" si="69"/>
        <v>0</v>
      </c>
      <c r="AT20" s="98">
        <f t="shared" si="69"/>
        <v>0</v>
      </c>
      <c r="AU20" s="98">
        <f t="shared" si="69"/>
        <v>0</v>
      </c>
      <c r="AV20" s="100">
        <f t="shared" si="57"/>
        <v>118.20833333333333</v>
      </c>
      <c r="AX20">
        <f>AX19+1</f>
        <v>2015</v>
      </c>
      <c r="AY20" s="98">
        <f t="shared" ref="AY20:BJ29" si="70">SUMIFS($H:$H,$A:$A,$T20,$B:$B,AY$3)</f>
        <v>0</v>
      </c>
      <c r="AZ20" s="98">
        <f t="shared" si="70"/>
        <v>0</v>
      </c>
      <c r="BA20" s="98">
        <f t="shared" si="70"/>
        <v>0</v>
      </c>
      <c r="BB20" s="98">
        <f t="shared" si="70"/>
        <v>0</v>
      </c>
      <c r="BC20" s="98">
        <f t="shared" si="70"/>
        <v>15.270833333333325</v>
      </c>
      <c r="BD20" s="98">
        <f t="shared" si="70"/>
        <v>26.534061029053731</v>
      </c>
      <c r="BE20" s="98">
        <f t="shared" si="70"/>
        <v>99.108333333333334</v>
      </c>
      <c r="BF20" s="98">
        <f t="shared" si="70"/>
        <v>65.76666666666668</v>
      </c>
      <c r="BG20" s="98">
        <f t="shared" si="70"/>
        <v>54.29374999999996</v>
      </c>
      <c r="BH20" s="98">
        <f t="shared" si="70"/>
        <v>0</v>
      </c>
      <c r="BI20" s="98">
        <f t="shared" si="70"/>
        <v>0</v>
      </c>
      <c r="BJ20" s="98">
        <f t="shared" si="70"/>
        <v>0</v>
      </c>
      <c r="BK20" s="100">
        <f t="shared" si="59"/>
        <v>260.97364436238706</v>
      </c>
      <c r="BM20">
        <f>BM19+1</f>
        <v>2015</v>
      </c>
      <c r="BN20" s="98">
        <f t="shared" ref="BN20:BY29" si="71">SUMIFS($J:$J,$A:$A,$T20,$B:$B,BN$3)</f>
        <v>0</v>
      </c>
      <c r="BO20" s="98">
        <f t="shared" si="71"/>
        <v>0</v>
      </c>
      <c r="BP20" s="98">
        <f t="shared" si="71"/>
        <v>0</v>
      </c>
      <c r="BQ20" s="98">
        <f t="shared" si="71"/>
        <v>0</v>
      </c>
      <c r="BR20" s="98">
        <f t="shared" si="71"/>
        <v>33.67499999999999</v>
      </c>
      <c r="BS20" s="98">
        <f t="shared" si="71"/>
        <v>68.754894362387049</v>
      </c>
      <c r="BT20" s="98">
        <f t="shared" si="71"/>
        <v>154.27500000000001</v>
      </c>
      <c r="BU20" s="98">
        <f t="shared" si="71"/>
        <v>118.7</v>
      </c>
      <c r="BV20" s="98">
        <f t="shared" si="71"/>
        <v>88.356249999999974</v>
      </c>
      <c r="BW20" s="98">
        <f t="shared" si="71"/>
        <v>0.3374999999999968</v>
      </c>
      <c r="BX20" s="98">
        <f t="shared" si="71"/>
        <v>0</v>
      </c>
      <c r="BY20" s="98">
        <f t="shared" si="71"/>
        <v>0</v>
      </c>
      <c r="BZ20" s="100">
        <f t="shared" si="61"/>
        <v>464.09864436238701</v>
      </c>
      <c r="CB20">
        <f>CB19+1</f>
        <v>2015</v>
      </c>
      <c r="CC20" s="98">
        <f t="shared" ref="CC20:CC29" si="72">SUMIFS($L:$L,$A:$A,$T20,$B:$B,CC$3)</f>
        <v>0</v>
      </c>
      <c r="CD20" s="98">
        <f t="shared" si="62"/>
        <v>0</v>
      </c>
      <c r="CE20" s="98">
        <f t="shared" si="62"/>
        <v>0</v>
      </c>
      <c r="CF20" s="98">
        <f t="shared" si="62"/>
        <v>0</v>
      </c>
      <c r="CG20" s="98">
        <f t="shared" si="62"/>
        <v>60.518749999999983</v>
      </c>
      <c r="CH20" s="98">
        <f t="shared" si="62"/>
        <v>121.59447769572037</v>
      </c>
      <c r="CI20" s="98">
        <f t="shared" si="62"/>
        <v>214.58750000000001</v>
      </c>
      <c r="CJ20" s="98">
        <f t="shared" si="62"/>
        <v>176.04583333333341</v>
      </c>
      <c r="CK20" s="98">
        <f t="shared" si="62"/>
        <v>131.9770833333333</v>
      </c>
      <c r="CL20" s="98">
        <f t="shared" si="62"/>
        <v>3.2666666666666622</v>
      </c>
      <c r="CM20" s="98">
        <f t="shared" si="62"/>
        <v>0</v>
      </c>
      <c r="CN20" s="98">
        <f t="shared" si="62"/>
        <v>0</v>
      </c>
      <c r="CO20" s="100">
        <f t="shared" si="63"/>
        <v>707.99031102905371</v>
      </c>
      <c r="CQ20">
        <f>CQ19+1</f>
        <v>2015</v>
      </c>
      <c r="CR20" s="98">
        <f t="shared" ref="CR20:CR29" si="73">SUMIFS($N:$N,$A:$A,$T20,$B:$B,CR$3)</f>
        <v>0</v>
      </c>
      <c r="CS20" s="98">
        <f t="shared" si="64"/>
        <v>0</v>
      </c>
      <c r="CT20" s="98">
        <f t="shared" si="64"/>
        <v>0</v>
      </c>
      <c r="CU20" s="98">
        <f t="shared" si="64"/>
        <v>2.0354166666666664</v>
      </c>
      <c r="CV20" s="98">
        <f t="shared" si="64"/>
        <v>99.210416666666646</v>
      </c>
      <c r="CW20" s="98">
        <f t="shared" si="64"/>
        <v>179.83406102905374</v>
      </c>
      <c r="CX20" s="98">
        <f t="shared" si="64"/>
        <v>276.58749999999998</v>
      </c>
      <c r="CY20" s="98">
        <f t="shared" si="64"/>
        <v>238.04583333333341</v>
      </c>
      <c r="CZ20" s="98">
        <f t="shared" si="64"/>
        <v>186.03333333333336</v>
      </c>
      <c r="DA20" s="98">
        <f t="shared" si="64"/>
        <v>7.7041666666666604</v>
      </c>
      <c r="DB20" s="98">
        <f t="shared" si="64"/>
        <v>1.9458333333333311</v>
      </c>
      <c r="DC20" s="98">
        <f t="shared" si="64"/>
        <v>0</v>
      </c>
      <c r="DD20" s="100">
        <f t="shared" si="65"/>
        <v>991.39656102905371</v>
      </c>
      <c r="DF20">
        <f>DF19+1</f>
        <v>2015</v>
      </c>
      <c r="DG20" s="98">
        <f t="shared" ref="DG20:DG29" si="74">SUMIFS($P:$P,$A:$A,$T20,$B:$B,DG$3)</f>
        <v>0</v>
      </c>
      <c r="DH20" s="98">
        <f t="shared" si="66"/>
        <v>0</v>
      </c>
      <c r="DI20" s="98">
        <f t="shared" si="66"/>
        <v>0</v>
      </c>
      <c r="DJ20" s="98">
        <f t="shared" si="66"/>
        <v>9.9187500000000028</v>
      </c>
      <c r="DK20" s="98">
        <f t="shared" si="66"/>
        <v>145.25624999999999</v>
      </c>
      <c r="DL20" s="98">
        <f t="shared" si="66"/>
        <v>239.8340610290538</v>
      </c>
      <c r="DM20" s="98">
        <f t="shared" si="66"/>
        <v>338.58750000000003</v>
      </c>
      <c r="DN20" s="98">
        <f t="shared" si="66"/>
        <v>300.04583333333341</v>
      </c>
      <c r="DO20" s="98">
        <f t="shared" si="66"/>
        <v>242.03333333333336</v>
      </c>
      <c r="DP20" s="98">
        <f t="shared" si="66"/>
        <v>13.945833333333329</v>
      </c>
      <c r="DQ20" s="98">
        <f t="shared" si="66"/>
        <v>8.02708333333333</v>
      </c>
      <c r="DR20" s="98">
        <f t="shared" si="66"/>
        <v>0</v>
      </c>
      <c r="DS20" s="100">
        <f t="shared" si="67"/>
        <v>1297.6486443623874</v>
      </c>
      <c r="DU20" s="17">
        <f>'Monthly Data'!D20</f>
        <v>25279867.837755114</v>
      </c>
      <c r="DV20" s="17">
        <f>'Monthly Data'!H20</f>
        <v>10819001.617096173</v>
      </c>
      <c r="DW20" s="17">
        <f>'Monthly Data'!L20</f>
        <v>28513321.914981727</v>
      </c>
    </row>
    <row r="21" spans="1:127" x14ac:dyDescent="0.2">
      <c r="A21">
        <v>2015</v>
      </c>
      <c r="B21">
        <v>8</v>
      </c>
      <c r="C21" s="98">
        <v>81.683333333333323</v>
      </c>
      <c r="D21" s="98">
        <v>9.7291666666666679</v>
      </c>
      <c r="E21" s="98">
        <v>38.716666666666669</v>
      </c>
      <c r="F21" s="98">
        <v>28.762500000000021</v>
      </c>
      <c r="G21" s="98">
        <v>13.720833333333342</v>
      </c>
      <c r="H21" s="98">
        <v>65.76666666666668</v>
      </c>
      <c r="I21" s="98">
        <v>4.6541666666666686</v>
      </c>
      <c r="J21" s="98">
        <v>118.7</v>
      </c>
      <c r="K21" s="98">
        <v>0</v>
      </c>
      <c r="L21" s="98">
        <v>176.04583333333341</v>
      </c>
      <c r="M21" s="98">
        <v>0</v>
      </c>
      <c r="N21" s="98">
        <v>238.04583333333341</v>
      </c>
      <c r="O21" s="98">
        <v>0</v>
      </c>
      <c r="P21" s="98">
        <v>300.04583333333341</v>
      </c>
      <c r="Q21" s="253">
        <v>17.67889784946237</v>
      </c>
      <c r="T21">
        <f t="shared" si="28"/>
        <v>2016</v>
      </c>
      <c r="U21" s="98">
        <f t="shared" si="68"/>
        <v>0</v>
      </c>
      <c r="V21" s="98">
        <f t="shared" si="55"/>
        <v>0</v>
      </c>
      <c r="W21" s="98">
        <f t="shared" si="55"/>
        <v>0</v>
      </c>
      <c r="X21" s="98">
        <f t="shared" si="55"/>
        <v>0</v>
      </c>
      <c r="Y21" s="98">
        <f t="shared" si="55"/>
        <v>2.8916666666666693</v>
      </c>
      <c r="Z21" s="98">
        <f t="shared" si="55"/>
        <v>15.889583333333327</v>
      </c>
      <c r="AA21" s="98">
        <f t="shared" si="55"/>
        <v>28.125000000000011</v>
      </c>
      <c r="AB21" s="98">
        <f t="shared" si="55"/>
        <v>29.074999999999996</v>
      </c>
      <c r="AC21" s="98">
        <f t="shared" si="55"/>
        <v>3.5000000000000036</v>
      </c>
      <c r="AD21" s="98">
        <f t="shared" si="55"/>
        <v>0</v>
      </c>
      <c r="AE21" s="98">
        <f t="shared" si="55"/>
        <v>0</v>
      </c>
      <c r="AF21" s="98">
        <f t="shared" si="55"/>
        <v>0</v>
      </c>
      <c r="AG21" s="100">
        <f t="shared" si="15"/>
        <v>79.481250000000003</v>
      </c>
      <c r="AI21">
        <f t="shared" ref="AI21:AI29" si="75">AI20+1</f>
        <v>2016</v>
      </c>
      <c r="AJ21" s="98">
        <f t="shared" si="69"/>
        <v>0</v>
      </c>
      <c r="AK21" s="98">
        <f t="shared" si="69"/>
        <v>0</v>
      </c>
      <c r="AL21" s="98">
        <f t="shared" si="69"/>
        <v>0</v>
      </c>
      <c r="AM21" s="98">
        <f t="shared" si="69"/>
        <v>0</v>
      </c>
      <c r="AN21" s="98">
        <f t="shared" si="69"/>
        <v>10.241666666666671</v>
      </c>
      <c r="AO21" s="98">
        <f t="shared" si="69"/>
        <v>36.485416666666666</v>
      </c>
      <c r="AP21" s="98">
        <f t="shared" si="69"/>
        <v>69.933333333333337</v>
      </c>
      <c r="AQ21" s="98">
        <f t="shared" si="69"/>
        <v>64.395833333333357</v>
      </c>
      <c r="AR21" s="98">
        <f t="shared" si="69"/>
        <v>7.9291666666666671</v>
      </c>
      <c r="AS21" s="98">
        <f t="shared" si="69"/>
        <v>0</v>
      </c>
      <c r="AT21" s="98">
        <f t="shared" si="69"/>
        <v>0</v>
      </c>
      <c r="AU21" s="98">
        <f t="shared" si="69"/>
        <v>0</v>
      </c>
      <c r="AV21" s="100">
        <f t="shared" si="57"/>
        <v>188.98541666666671</v>
      </c>
      <c r="AX21">
        <f t="shared" ref="AX21:AX29" si="76">AX20+1</f>
        <v>2016</v>
      </c>
      <c r="AY21" s="98">
        <f t="shared" si="70"/>
        <v>0</v>
      </c>
      <c r="AZ21" s="98">
        <f t="shared" si="70"/>
        <v>0</v>
      </c>
      <c r="BA21" s="98">
        <f t="shared" si="70"/>
        <v>0</v>
      </c>
      <c r="BB21" s="98">
        <f t="shared" si="70"/>
        <v>0</v>
      </c>
      <c r="BC21" s="98">
        <f t="shared" si="70"/>
        <v>20.966666666666669</v>
      </c>
      <c r="BD21" s="98">
        <f t="shared" si="70"/>
        <v>66.60208333333334</v>
      </c>
      <c r="BE21" s="98">
        <f t="shared" si="70"/>
        <v>120.72083333333335</v>
      </c>
      <c r="BF21" s="98">
        <f t="shared" si="70"/>
        <v>117.68750000000001</v>
      </c>
      <c r="BG21" s="98">
        <f t="shared" si="70"/>
        <v>26.447916666666682</v>
      </c>
      <c r="BH21" s="98">
        <f t="shared" si="70"/>
        <v>2.404166666666665</v>
      </c>
      <c r="BI21" s="98">
        <f t="shared" si="70"/>
        <v>0</v>
      </c>
      <c r="BJ21" s="98">
        <f t="shared" si="70"/>
        <v>0</v>
      </c>
      <c r="BK21" s="100">
        <f t="shared" si="59"/>
        <v>354.82916666666671</v>
      </c>
      <c r="BM21">
        <f t="shared" ref="BM21:BM29" si="77">BM20+1</f>
        <v>2016</v>
      </c>
      <c r="BN21" s="98">
        <f t="shared" si="71"/>
        <v>0</v>
      </c>
      <c r="BO21" s="98">
        <f t="shared" si="71"/>
        <v>0</v>
      </c>
      <c r="BP21" s="98">
        <f t="shared" si="71"/>
        <v>0</v>
      </c>
      <c r="BQ21" s="98">
        <f t="shared" si="71"/>
        <v>0</v>
      </c>
      <c r="BR21" s="98">
        <f t="shared" si="71"/>
        <v>41.658333333333346</v>
      </c>
      <c r="BS21" s="98">
        <f t="shared" si="71"/>
        <v>104.01458333333335</v>
      </c>
      <c r="BT21" s="98">
        <f t="shared" si="71"/>
        <v>177.01249999999999</v>
      </c>
      <c r="BU21" s="98">
        <f t="shared" si="71"/>
        <v>177.91250000000002</v>
      </c>
      <c r="BV21" s="98">
        <f t="shared" si="71"/>
        <v>57.86041666666668</v>
      </c>
      <c r="BW21" s="98">
        <f t="shared" si="71"/>
        <v>8.9250000000000007</v>
      </c>
      <c r="BX21" s="98">
        <f t="shared" si="71"/>
        <v>0</v>
      </c>
      <c r="BY21" s="98">
        <f t="shared" si="71"/>
        <v>0</v>
      </c>
      <c r="BZ21" s="100">
        <f t="shared" si="61"/>
        <v>567.38333333333333</v>
      </c>
      <c r="CB21">
        <f t="shared" ref="CB21:CB29" si="78">CB20+1</f>
        <v>2016</v>
      </c>
      <c r="CC21" s="98">
        <f t="shared" si="72"/>
        <v>0</v>
      </c>
      <c r="CD21" s="98">
        <f t="shared" si="62"/>
        <v>0</v>
      </c>
      <c r="CE21" s="98">
        <f t="shared" si="62"/>
        <v>0</v>
      </c>
      <c r="CF21" s="98">
        <f t="shared" si="62"/>
        <v>0</v>
      </c>
      <c r="CG21" s="98">
        <f t="shared" si="62"/>
        <v>73.620833333333351</v>
      </c>
      <c r="CH21" s="98">
        <f t="shared" si="62"/>
        <v>153.93958333333333</v>
      </c>
      <c r="CI21" s="98">
        <f t="shared" si="62"/>
        <v>238.36666666666665</v>
      </c>
      <c r="CJ21" s="98">
        <f t="shared" si="62"/>
        <v>239.91250000000002</v>
      </c>
      <c r="CK21" s="98">
        <f t="shared" si="62"/>
        <v>101.53541666666669</v>
      </c>
      <c r="CL21" s="98">
        <f t="shared" si="62"/>
        <v>23.674999999999997</v>
      </c>
      <c r="CM21" s="98">
        <f t="shared" si="62"/>
        <v>0</v>
      </c>
      <c r="CN21" s="98">
        <f t="shared" si="62"/>
        <v>0</v>
      </c>
      <c r="CO21" s="100">
        <f t="shared" si="63"/>
        <v>831.05000000000007</v>
      </c>
      <c r="CQ21">
        <f t="shared" ref="CQ21:CQ29" si="79">CQ20+1</f>
        <v>2016</v>
      </c>
      <c r="CR21" s="98">
        <f t="shared" si="73"/>
        <v>0</v>
      </c>
      <c r="CS21" s="98">
        <f t="shared" si="64"/>
        <v>0</v>
      </c>
      <c r="CT21" s="98">
        <f t="shared" si="64"/>
        <v>0</v>
      </c>
      <c r="CU21" s="98">
        <f t="shared" si="64"/>
        <v>1.8083333333333353</v>
      </c>
      <c r="CV21" s="98">
        <f t="shared" si="64"/>
        <v>112.07708333333336</v>
      </c>
      <c r="CW21" s="98">
        <f t="shared" si="64"/>
        <v>210.45624999999993</v>
      </c>
      <c r="CX21" s="98">
        <f t="shared" si="64"/>
        <v>300.36666666666656</v>
      </c>
      <c r="CY21" s="98">
        <f t="shared" si="64"/>
        <v>301.91249999999997</v>
      </c>
      <c r="CZ21" s="98">
        <f t="shared" si="64"/>
        <v>153.59375</v>
      </c>
      <c r="DA21" s="98">
        <f t="shared" si="64"/>
        <v>44.279166666666661</v>
      </c>
      <c r="DB21" s="98">
        <f t="shared" si="64"/>
        <v>0</v>
      </c>
      <c r="DC21" s="98">
        <f t="shared" si="64"/>
        <v>0</v>
      </c>
      <c r="DD21" s="100">
        <f t="shared" si="65"/>
        <v>1124.4937499999999</v>
      </c>
      <c r="DF21">
        <f t="shared" ref="DF21:DF29" si="80">DF20+1</f>
        <v>2016</v>
      </c>
      <c r="DG21" s="98">
        <f t="shared" si="74"/>
        <v>0</v>
      </c>
      <c r="DH21" s="98">
        <f t="shared" si="66"/>
        <v>0</v>
      </c>
      <c r="DI21" s="98">
        <f t="shared" si="66"/>
        <v>0</v>
      </c>
      <c r="DJ21" s="98">
        <f t="shared" si="66"/>
        <v>6.4083333333333368</v>
      </c>
      <c r="DK21" s="98">
        <f t="shared" si="66"/>
        <v>158.92708333333331</v>
      </c>
      <c r="DL21" s="98">
        <f t="shared" si="66"/>
        <v>268.45624999999995</v>
      </c>
      <c r="DM21" s="98">
        <f t="shared" si="66"/>
        <v>362.36666666666679</v>
      </c>
      <c r="DN21" s="98">
        <f t="shared" si="66"/>
        <v>363.91249999999997</v>
      </c>
      <c r="DO21" s="98">
        <f t="shared" si="66"/>
        <v>212.58958333333337</v>
      </c>
      <c r="DP21" s="98">
        <f t="shared" si="66"/>
        <v>69.75</v>
      </c>
      <c r="DQ21" s="98">
        <f t="shared" si="66"/>
        <v>1.3083333333333353</v>
      </c>
      <c r="DR21" s="98">
        <f t="shared" si="66"/>
        <v>0</v>
      </c>
      <c r="DS21" s="100">
        <f t="shared" si="67"/>
        <v>1443.7187500000002</v>
      </c>
      <c r="DU21" s="17">
        <f>'Monthly Data'!D21</f>
        <v>25418920.777273819</v>
      </c>
      <c r="DV21" s="17">
        <f>'Monthly Data'!H21</f>
        <v>10732614.700677432</v>
      </c>
      <c r="DW21" s="17">
        <f>'Monthly Data'!L21</f>
        <v>27800129.374247089</v>
      </c>
    </row>
    <row r="22" spans="1:127" x14ac:dyDescent="0.2">
      <c r="A22">
        <v>2015</v>
      </c>
      <c r="B22">
        <v>9</v>
      </c>
      <c r="C22" s="98">
        <v>126.35833333333335</v>
      </c>
      <c r="D22" s="98">
        <v>7.3666666666666565</v>
      </c>
      <c r="E22" s="98">
        <v>86.031249999999986</v>
      </c>
      <c r="F22" s="98">
        <v>27.039583333333312</v>
      </c>
      <c r="G22" s="98">
        <v>53.285416666666649</v>
      </c>
      <c r="H22" s="98">
        <v>54.29374999999996</v>
      </c>
      <c r="I22" s="98">
        <v>27.347916666666659</v>
      </c>
      <c r="J22" s="98">
        <v>88.356249999999974</v>
      </c>
      <c r="K22" s="98">
        <v>10.968749999999995</v>
      </c>
      <c r="L22" s="98">
        <v>131.9770833333333</v>
      </c>
      <c r="M22" s="98">
        <v>5.0249999999999986</v>
      </c>
      <c r="N22" s="98">
        <v>186.03333333333336</v>
      </c>
      <c r="O22" s="98">
        <v>1.0249999999999986</v>
      </c>
      <c r="P22" s="98">
        <v>242.03333333333336</v>
      </c>
      <c r="Q22" s="253">
        <v>16.03361111111111</v>
      </c>
      <c r="T22">
        <f t="shared" si="28"/>
        <v>2017</v>
      </c>
      <c r="U22" s="98">
        <f t="shared" si="68"/>
        <v>0</v>
      </c>
      <c r="V22" s="98">
        <f t="shared" si="55"/>
        <v>0</v>
      </c>
      <c r="W22" s="98">
        <f t="shared" si="55"/>
        <v>0</v>
      </c>
      <c r="X22" s="98">
        <f t="shared" si="55"/>
        <v>0</v>
      </c>
      <c r="Y22" s="98">
        <f t="shared" si="55"/>
        <v>0</v>
      </c>
      <c r="Z22" s="98">
        <f t="shared" si="55"/>
        <v>2.962499999999995</v>
      </c>
      <c r="AA22" s="98">
        <f t="shared" si="55"/>
        <v>8.1124999999999901</v>
      </c>
      <c r="AB22" s="98">
        <f t="shared" si="55"/>
        <v>2.8916666666666657</v>
      </c>
      <c r="AC22" s="98">
        <f t="shared" si="55"/>
        <v>10.804166666666671</v>
      </c>
      <c r="AD22" s="98">
        <f t="shared" si="55"/>
        <v>0</v>
      </c>
      <c r="AE22" s="98">
        <f t="shared" si="55"/>
        <v>0</v>
      </c>
      <c r="AF22" s="98">
        <f t="shared" si="55"/>
        <v>0</v>
      </c>
      <c r="AG22" s="100">
        <f t="shared" si="15"/>
        <v>24.770833333333321</v>
      </c>
      <c r="AI22">
        <f t="shared" si="75"/>
        <v>2017</v>
      </c>
      <c r="AJ22" s="98">
        <f t="shared" si="69"/>
        <v>0</v>
      </c>
      <c r="AK22" s="98">
        <f t="shared" si="69"/>
        <v>0</v>
      </c>
      <c r="AL22" s="98">
        <f t="shared" si="69"/>
        <v>0</v>
      </c>
      <c r="AM22" s="98">
        <f t="shared" si="69"/>
        <v>0</v>
      </c>
      <c r="AN22" s="98">
        <f t="shared" si="69"/>
        <v>1.9583333333333321</v>
      </c>
      <c r="AO22" s="98">
        <f t="shared" si="69"/>
        <v>11.541666666666657</v>
      </c>
      <c r="AP22" s="98">
        <f t="shared" si="69"/>
        <v>31.645833333333339</v>
      </c>
      <c r="AQ22" s="98">
        <f t="shared" si="69"/>
        <v>10.208333333333339</v>
      </c>
      <c r="AR22" s="98">
        <f t="shared" si="69"/>
        <v>25.850000000000005</v>
      </c>
      <c r="AS22" s="98">
        <f t="shared" si="69"/>
        <v>0</v>
      </c>
      <c r="AT22" s="98">
        <f t="shared" si="69"/>
        <v>0</v>
      </c>
      <c r="AU22" s="98">
        <f t="shared" si="69"/>
        <v>0</v>
      </c>
      <c r="AV22" s="100">
        <f t="shared" si="57"/>
        <v>81.20416666666668</v>
      </c>
      <c r="AX22">
        <f t="shared" si="76"/>
        <v>2017</v>
      </c>
      <c r="AY22" s="98">
        <f t="shared" si="70"/>
        <v>0</v>
      </c>
      <c r="AZ22" s="98">
        <f t="shared" si="70"/>
        <v>0</v>
      </c>
      <c r="BA22" s="98">
        <f t="shared" si="70"/>
        <v>0</v>
      </c>
      <c r="BB22" s="98">
        <f t="shared" si="70"/>
        <v>0</v>
      </c>
      <c r="BC22" s="98">
        <f t="shared" si="70"/>
        <v>5.7874999999999943</v>
      </c>
      <c r="BD22" s="98">
        <f t="shared" si="70"/>
        <v>33.427083333333329</v>
      </c>
      <c r="BE22" s="98">
        <f t="shared" si="70"/>
        <v>73.987499999999997</v>
      </c>
      <c r="BF22" s="98">
        <f t="shared" si="70"/>
        <v>35.399999999999991</v>
      </c>
      <c r="BG22" s="98">
        <f t="shared" si="70"/>
        <v>48.739583333333343</v>
      </c>
      <c r="BH22" s="98">
        <f t="shared" si="70"/>
        <v>2.1416666666666693</v>
      </c>
      <c r="BI22" s="98">
        <f t="shared" si="70"/>
        <v>0</v>
      </c>
      <c r="BJ22" s="98">
        <f t="shared" si="70"/>
        <v>0</v>
      </c>
      <c r="BK22" s="100">
        <f t="shared" si="59"/>
        <v>199.48333333333335</v>
      </c>
      <c r="BM22">
        <f t="shared" si="77"/>
        <v>2017</v>
      </c>
      <c r="BN22" s="98">
        <f t="shared" si="71"/>
        <v>0</v>
      </c>
      <c r="BO22" s="98">
        <f t="shared" si="71"/>
        <v>0</v>
      </c>
      <c r="BP22" s="98">
        <f t="shared" si="71"/>
        <v>0</v>
      </c>
      <c r="BQ22" s="98">
        <f t="shared" si="71"/>
        <v>1.7139154899096454</v>
      </c>
      <c r="BR22" s="98">
        <f t="shared" si="71"/>
        <v>14.174999999999997</v>
      </c>
      <c r="BS22" s="98">
        <f t="shared" si="71"/>
        <v>72.381250000000023</v>
      </c>
      <c r="BT22" s="98">
        <f t="shared" si="71"/>
        <v>128.73750000000001</v>
      </c>
      <c r="BU22" s="98">
        <f t="shared" si="71"/>
        <v>79.579166666666666</v>
      </c>
      <c r="BV22" s="98">
        <f t="shared" si="71"/>
        <v>80.697916666666671</v>
      </c>
      <c r="BW22" s="98">
        <f t="shared" si="71"/>
        <v>11.566666666666668</v>
      </c>
      <c r="BX22" s="98">
        <f t="shared" si="71"/>
        <v>0</v>
      </c>
      <c r="BY22" s="98">
        <f t="shared" si="71"/>
        <v>0</v>
      </c>
      <c r="BZ22" s="100">
        <f t="shared" si="61"/>
        <v>388.8514154899097</v>
      </c>
      <c r="CB22">
        <f t="shared" si="78"/>
        <v>2017</v>
      </c>
      <c r="CC22" s="98">
        <f t="shared" si="72"/>
        <v>0</v>
      </c>
      <c r="CD22" s="98">
        <f t="shared" si="62"/>
        <v>0</v>
      </c>
      <c r="CE22" s="98">
        <f t="shared" si="62"/>
        <v>0</v>
      </c>
      <c r="CF22" s="98">
        <f t="shared" si="62"/>
        <v>3.7139154899096454</v>
      </c>
      <c r="CG22" s="98">
        <f t="shared" si="62"/>
        <v>31.024999999999999</v>
      </c>
      <c r="CH22" s="98">
        <f t="shared" si="62"/>
        <v>119.91875000000002</v>
      </c>
      <c r="CI22" s="98">
        <f t="shared" si="62"/>
        <v>188.82083333333335</v>
      </c>
      <c r="CJ22" s="98">
        <f t="shared" si="62"/>
        <v>133.41250000000002</v>
      </c>
      <c r="CK22" s="98">
        <f t="shared" si="62"/>
        <v>120.25000000000001</v>
      </c>
      <c r="CL22" s="98">
        <f t="shared" si="62"/>
        <v>28.258333333333333</v>
      </c>
      <c r="CM22" s="98">
        <f t="shared" si="62"/>
        <v>0</v>
      </c>
      <c r="CN22" s="98">
        <f t="shared" si="62"/>
        <v>0</v>
      </c>
      <c r="CO22" s="100">
        <f t="shared" si="63"/>
        <v>625.39933215657641</v>
      </c>
      <c r="CQ22">
        <f t="shared" si="79"/>
        <v>2017</v>
      </c>
      <c r="CR22" s="98">
        <f t="shared" si="73"/>
        <v>0</v>
      </c>
      <c r="CS22" s="98">
        <f t="shared" si="64"/>
        <v>0</v>
      </c>
      <c r="CT22" s="98">
        <f t="shared" si="64"/>
        <v>0</v>
      </c>
      <c r="CU22" s="98">
        <f t="shared" si="64"/>
        <v>6.0722488232429779</v>
      </c>
      <c r="CV22" s="98">
        <f t="shared" si="64"/>
        <v>59.483333333333334</v>
      </c>
      <c r="CW22" s="98">
        <f t="shared" si="64"/>
        <v>176.47291666666666</v>
      </c>
      <c r="CX22" s="98">
        <f t="shared" si="64"/>
        <v>250.8208333333333</v>
      </c>
      <c r="CY22" s="98">
        <f t="shared" si="64"/>
        <v>193.20833333333337</v>
      </c>
      <c r="CZ22" s="98">
        <f t="shared" si="64"/>
        <v>166.60416666666671</v>
      </c>
      <c r="DA22" s="98">
        <f t="shared" si="64"/>
        <v>56.154166666666654</v>
      </c>
      <c r="DB22" s="98">
        <f t="shared" si="64"/>
        <v>0</v>
      </c>
      <c r="DC22" s="98">
        <f t="shared" si="64"/>
        <v>0</v>
      </c>
      <c r="DD22" s="100">
        <f t="shared" si="65"/>
        <v>908.81599882324304</v>
      </c>
      <c r="DF22">
        <f t="shared" si="80"/>
        <v>2017</v>
      </c>
      <c r="DG22" s="98">
        <f t="shared" si="74"/>
        <v>0</v>
      </c>
      <c r="DH22" s="98">
        <f t="shared" si="66"/>
        <v>0</v>
      </c>
      <c r="DI22" s="98">
        <f t="shared" si="66"/>
        <v>0</v>
      </c>
      <c r="DJ22" s="98">
        <f t="shared" si="66"/>
        <v>10.072248823242978</v>
      </c>
      <c r="DK22" s="98">
        <f t="shared" si="66"/>
        <v>96.104166666666657</v>
      </c>
      <c r="DL22" s="98">
        <f t="shared" si="66"/>
        <v>235.87291666666664</v>
      </c>
      <c r="DM22" s="98">
        <f t="shared" si="66"/>
        <v>312.82083333333327</v>
      </c>
      <c r="DN22" s="98">
        <f t="shared" si="66"/>
        <v>255.18333333333337</v>
      </c>
      <c r="DO22" s="98">
        <f t="shared" si="66"/>
        <v>218.70416666666671</v>
      </c>
      <c r="DP22" s="98">
        <f t="shared" si="66"/>
        <v>96.145833333333343</v>
      </c>
      <c r="DQ22" s="98">
        <f t="shared" si="66"/>
        <v>0</v>
      </c>
      <c r="DR22" s="98">
        <f t="shared" si="66"/>
        <v>0</v>
      </c>
      <c r="DS22" s="100">
        <f t="shared" si="67"/>
        <v>1224.9034988232429</v>
      </c>
      <c r="DU22" s="17">
        <f>'Monthly Data'!D22</f>
        <v>24809548.609589469</v>
      </c>
      <c r="DV22" s="17">
        <f>'Monthly Data'!H22</f>
        <v>10122299.862264432</v>
      </c>
      <c r="DW22" s="17">
        <f>'Monthly Data'!L22</f>
        <v>27586014.300152719</v>
      </c>
    </row>
    <row r="23" spans="1:127" x14ac:dyDescent="0.2">
      <c r="A23">
        <v>2015</v>
      </c>
      <c r="B23">
        <v>10</v>
      </c>
      <c r="C23" s="98">
        <v>453.93749999999994</v>
      </c>
      <c r="D23" s="98">
        <v>0</v>
      </c>
      <c r="E23" s="98">
        <v>391.9375</v>
      </c>
      <c r="F23" s="98">
        <v>0</v>
      </c>
      <c r="G23" s="98">
        <v>329.9375</v>
      </c>
      <c r="H23" s="98">
        <v>0</v>
      </c>
      <c r="I23" s="98">
        <v>268.27499999999998</v>
      </c>
      <c r="J23" s="98">
        <v>0.3374999999999968</v>
      </c>
      <c r="K23" s="98">
        <v>209.20416666666668</v>
      </c>
      <c r="L23" s="98">
        <v>3.2666666666666622</v>
      </c>
      <c r="M23" s="98">
        <v>151.64166666666668</v>
      </c>
      <c r="N23" s="98">
        <v>7.7041666666666604</v>
      </c>
      <c r="O23" s="98">
        <v>95.88333333333334</v>
      </c>
      <c r="P23" s="98">
        <v>13.945833333333329</v>
      </c>
      <c r="Q23" s="253">
        <v>5.3568548387096762</v>
      </c>
      <c r="T23">
        <f t="shared" si="28"/>
        <v>2018</v>
      </c>
      <c r="U23" s="98">
        <f t="shared" si="68"/>
        <v>0</v>
      </c>
      <c r="V23" s="98">
        <f t="shared" si="55"/>
        <v>0</v>
      </c>
      <c r="W23" s="98">
        <f t="shared" si="55"/>
        <v>0</v>
      </c>
      <c r="X23" s="98">
        <f t="shared" si="55"/>
        <v>0</v>
      </c>
      <c r="Y23" s="98">
        <f t="shared" si="55"/>
        <v>4.0583333333333265</v>
      </c>
      <c r="Z23" s="98">
        <f t="shared" si="55"/>
        <v>7.9708333333333208</v>
      </c>
      <c r="AA23" s="98">
        <f t="shared" si="55"/>
        <v>47.427791078288152</v>
      </c>
      <c r="AB23" s="98">
        <f t="shared" si="55"/>
        <v>16.529166666666676</v>
      </c>
      <c r="AC23" s="98">
        <f t="shared" si="55"/>
        <v>6.2208333333333385</v>
      </c>
      <c r="AD23" s="98">
        <f t="shared" si="55"/>
        <v>0</v>
      </c>
      <c r="AE23" s="98">
        <f t="shared" si="55"/>
        <v>0</v>
      </c>
      <c r="AF23" s="98">
        <f t="shared" si="55"/>
        <v>0</v>
      </c>
      <c r="AG23" s="100">
        <f t="shared" si="15"/>
        <v>82.206957744954821</v>
      </c>
      <c r="AI23">
        <f t="shared" si="75"/>
        <v>2018</v>
      </c>
      <c r="AJ23" s="98">
        <f t="shared" si="69"/>
        <v>0</v>
      </c>
      <c r="AK23" s="98">
        <f t="shared" si="69"/>
        <v>0</v>
      </c>
      <c r="AL23" s="98">
        <f t="shared" si="69"/>
        <v>0</v>
      </c>
      <c r="AM23" s="98">
        <f t="shared" si="69"/>
        <v>0</v>
      </c>
      <c r="AN23" s="98">
        <f t="shared" si="69"/>
        <v>14.637499999999996</v>
      </c>
      <c r="AO23" s="98">
        <f t="shared" si="69"/>
        <v>24.545833333333317</v>
      </c>
      <c r="AP23" s="98">
        <f t="shared" si="69"/>
        <v>91.926415489909644</v>
      </c>
      <c r="AQ23" s="98">
        <f t="shared" si="69"/>
        <v>56.750000000000014</v>
      </c>
      <c r="AR23" s="98">
        <f t="shared" si="69"/>
        <v>20.450000000000006</v>
      </c>
      <c r="AS23" s="98">
        <f t="shared" si="69"/>
        <v>0</v>
      </c>
      <c r="AT23" s="98">
        <f t="shared" si="69"/>
        <v>0</v>
      </c>
      <c r="AU23" s="98">
        <f t="shared" si="69"/>
        <v>0</v>
      </c>
      <c r="AV23" s="100">
        <f t="shared" si="57"/>
        <v>208.30974882324298</v>
      </c>
      <c r="AX23">
        <f t="shared" si="76"/>
        <v>2018</v>
      </c>
      <c r="AY23" s="98">
        <f t="shared" si="70"/>
        <v>0</v>
      </c>
      <c r="AZ23" s="98">
        <f t="shared" si="70"/>
        <v>0</v>
      </c>
      <c r="BA23" s="98">
        <f t="shared" si="70"/>
        <v>0</v>
      </c>
      <c r="BB23" s="98">
        <f t="shared" si="70"/>
        <v>0</v>
      </c>
      <c r="BC23" s="98">
        <f t="shared" si="70"/>
        <v>30.479166666666664</v>
      </c>
      <c r="BD23" s="98">
        <f t="shared" si="70"/>
        <v>53.03749999999998</v>
      </c>
      <c r="BE23" s="98">
        <f t="shared" si="70"/>
        <v>147.60489436238706</v>
      </c>
      <c r="BF23" s="98">
        <f t="shared" si="70"/>
        <v>109.56666666666669</v>
      </c>
      <c r="BG23" s="98">
        <f t="shared" si="70"/>
        <v>40.237500000000011</v>
      </c>
      <c r="BH23" s="98">
        <f t="shared" si="70"/>
        <v>0</v>
      </c>
      <c r="BI23" s="98">
        <f t="shared" si="70"/>
        <v>0</v>
      </c>
      <c r="BJ23" s="98">
        <f t="shared" si="70"/>
        <v>0</v>
      </c>
      <c r="BK23" s="100">
        <f t="shared" si="59"/>
        <v>380.92572769572041</v>
      </c>
      <c r="BM23">
        <f t="shared" si="77"/>
        <v>2018</v>
      </c>
      <c r="BN23" s="98">
        <f t="shared" si="71"/>
        <v>0</v>
      </c>
      <c r="BO23" s="98">
        <f t="shared" si="71"/>
        <v>0</v>
      </c>
      <c r="BP23" s="98">
        <f t="shared" si="71"/>
        <v>0</v>
      </c>
      <c r="BQ23" s="98">
        <f t="shared" si="71"/>
        <v>0</v>
      </c>
      <c r="BR23" s="98">
        <f t="shared" si="71"/>
        <v>55.662499999999994</v>
      </c>
      <c r="BS23" s="98">
        <f t="shared" si="71"/>
        <v>94.67083333333332</v>
      </c>
      <c r="BT23" s="98">
        <f t="shared" si="71"/>
        <v>209.58822769572041</v>
      </c>
      <c r="BU23" s="98">
        <f t="shared" si="71"/>
        <v>166.99583333333334</v>
      </c>
      <c r="BV23" s="98">
        <f t="shared" si="71"/>
        <v>66.741666666666646</v>
      </c>
      <c r="BW23" s="98">
        <f t="shared" si="71"/>
        <v>1.19166666666667</v>
      </c>
      <c r="BX23" s="98">
        <f t="shared" si="71"/>
        <v>0</v>
      </c>
      <c r="BY23" s="98">
        <f t="shared" si="71"/>
        <v>0</v>
      </c>
      <c r="BZ23" s="100">
        <f t="shared" si="61"/>
        <v>594.85072769572048</v>
      </c>
      <c r="CB23">
        <f t="shared" si="78"/>
        <v>2018</v>
      </c>
      <c r="CC23" s="98">
        <f t="shared" si="72"/>
        <v>0</v>
      </c>
      <c r="CD23" s="98">
        <f t="shared" si="62"/>
        <v>0</v>
      </c>
      <c r="CE23" s="98">
        <f t="shared" si="62"/>
        <v>0</v>
      </c>
      <c r="CF23" s="98">
        <f t="shared" si="62"/>
        <v>0</v>
      </c>
      <c r="CG23" s="98">
        <f t="shared" si="62"/>
        <v>85.241666666666674</v>
      </c>
      <c r="CH23" s="98">
        <f t="shared" si="62"/>
        <v>144.14583333333331</v>
      </c>
      <c r="CI23" s="98">
        <f t="shared" si="62"/>
        <v>271.58822769572043</v>
      </c>
      <c r="CJ23" s="98">
        <f t="shared" si="62"/>
        <v>227.10833333333332</v>
      </c>
      <c r="CK23" s="98">
        <f t="shared" si="62"/>
        <v>98.658333333333303</v>
      </c>
      <c r="CL23" s="98">
        <f t="shared" si="62"/>
        <v>3.19166666666667</v>
      </c>
      <c r="CM23" s="98">
        <f t="shared" si="62"/>
        <v>0</v>
      </c>
      <c r="CN23" s="98">
        <f t="shared" si="62"/>
        <v>0</v>
      </c>
      <c r="CO23" s="100">
        <f t="shared" si="63"/>
        <v>829.93406102905374</v>
      </c>
      <c r="CQ23">
        <f t="shared" si="79"/>
        <v>2018</v>
      </c>
      <c r="CR23" s="98">
        <f t="shared" si="73"/>
        <v>0</v>
      </c>
      <c r="CS23" s="98">
        <f t="shared" si="64"/>
        <v>0</v>
      </c>
      <c r="CT23" s="98">
        <f t="shared" si="64"/>
        <v>0</v>
      </c>
      <c r="CU23" s="98">
        <f t="shared" si="64"/>
        <v>0</v>
      </c>
      <c r="CV23" s="98">
        <f t="shared" si="64"/>
        <v>126.27083333333333</v>
      </c>
      <c r="CW23" s="98">
        <f t="shared" si="64"/>
        <v>200.28749999999999</v>
      </c>
      <c r="CX23" s="98">
        <f t="shared" si="64"/>
        <v>333.58822769572038</v>
      </c>
      <c r="CY23" s="98">
        <f t="shared" si="64"/>
        <v>289.10833333333341</v>
      </c>
      <c r="CZ23" s="98">
        <f t="shared" si="64"/>
        <v>138.82916666666668</v>
      </c>
      <c r="DA23" s="98">
        <f t="shared" si="64"/>
        <v>5.19166666666667</v>
      </c>
      <c r="DB23" s="98">
        <f t="shared" si="64"/>
        <v>0</v>
      </c>
      <c r="DC23" s="98">
        <f t="shared" si="64"/>
        <v>0</v>
      </c>
      <c r="DD23" s="100">
        <f t="shared" si="65"/>
        <v>1093.2757276957204</v>
      </c>
      <c r="DF23">
        <f t="shared" si="80"/>
        <v>2018</v>
      </c>
      <c r="DG23" s="98">
        <f t="shared" si="74"/>
        <v>0</v>
      </c>
      <c r="DH23" s="98">
        <f t="shared" si="66"/>
        <v>0</v>
      </c>
      <c r="DI23" s="98">
        <f t="shared" si="66"/>
        <v>0</v>
      </c>
      <c r="DJ23" s="98">
        <f t="shared" si="66"/>
        <v>2.6624999999999996</v>
      </c>
      <c r="DK23" s="98">
        <f t="shared" si="66"/>
        <v>175.74583333333331</v>
      </c>
      <c r="DL23" s="98">
        <f t="shared" si="66"/>
        <v>259.22499999999997</v>
      </c>
      <c r="DM23" s="98">
        <f t="shared" si="66"/>
        <v>395.58822769572038</v>
      </c>
      <c r="DN23" s="98">
        <f t="shared" si="66"/>
        <v>351.10833333333335</v>
      </c>
      <c r="DO23" s="98">
        <f t="shared" si="66"/>
        <v>189.65000000000003</v>
      </c>
      <c r="DP23" s="98">
        <f t="shared" si="66"/>
        <v>11.808333333333337</v>
      </c>
      <c r="DQ23" s="98">
        <f t="shared" si="66"/>
        <v>0</v>
      </c>
      <c r="DR23" s="98">
        <f t="shared" si="66"/>
        <v>0</v>
      </c>
      <c r="DS23" s="100">
        <f t="shared" si="67"/>
        <v>1385.7882276957205</v>
      </c>
      <c r="DU23" s="17">
        <f>'Monthly Data'!D23</f>
        <v>27598891.626087241</v>
      </c>
      <c r="DV23" s="17">
        <f>'Monthly Data'!H23</f>
        <v>10607777.225119881</v>
      </c>
      <c r="DW23" s="17">
        <f>'Monthly Data'!L23</f>
        <v>28180179.325923011</v>
      </c>
    </row>
    <row r="24" spans="1:127" x14ac:dyDescent="0.2">
      <c r="A24">
        <v>2015</v>
      </c>
      <c r="B24">
        <v>11</v>
      </c>
      <c r="C24" s="98">
        <v>544.27500000000009</v>
      </c>
      <c r="D24" s="98">
        <v>0</v>
      </c>
      <c r="E24" s="98">
        <v>484.27499999999998</v>
      </c>
      <c r="F24" s="98">
        <v>0</v>
      </c>
      <c r="G24" s="98">
        <v>424.27499999999998</v>
      </c>
      <c r="H24" s="98">
        <v>0</v>
      </c>
      <c r="I24" s="98">
        <v>364.27499999999998</v>
      </c>
      <c r="J24" s="98">
        <v>0</v>
      </c>
      <c r="K24" s="98">
        <v>304.27499999999998</v>
      </c>
      <c r="L24" s="98">
        <v>0</v>
      </c>
      <c r="M24" s="98">
        <v>246.22083333333336</v>
      </c>
      <c r="N24" s="98">
        <v>1.9458333333333311</v>
      </c>
      <c r="O24" s="98">
        <v>192.30208333333331</v>
      </c>
      <c r="P24" s="98">
        <v>8.02708333333333</v>
      </c>
      <c r="Q24" s="253">
        <v>1.8574999999999993</v>
      </c>
      <c r="T24">
        <f t="shared" si="28"/>
        <v>2019</v>
      </c>
      <c r="U24" s="98">
        <f t="shared" si="68"/>
        <v>0</v>
      </c>
      <c r="V24" s="98">
        <f t="shared" si="55"/>
        <v>0</v>
      </c>
      <c r="W24" s="98">
        <f t="shared" si="55"/>
        <v>0</v>
      </c>
      <c r="X24" s="98">
        <f t="shared" si="55"/>
        <v>0</v>
      </c>
      <c r="Y24" s="98">
        <f t="shared" si="55"/>
        <v>0</v>
      </c>
      <c r="Z24" s="98">
        <f t="shared" si="55"/>
        <v>2.37083333333333</v>
      </c>
      <c r="AA24" s="98">
        <f t="shared" si="55"/>
        <v>29.431250000000006</v>
      </c>
      <c r="AB24" s="98">
        <f t="shared" si="55"/>
        <v>3.6124999999999972</v>
      </c>
      <c r="AC24" s="98">
        <f t="shared" si="55"/>
        <v>0</v>
      </c>
      <c r="AD24" s="98">
        <f t="shared" si="55"/>
        <v>0</v>
      </c>
      <c r="AE24" s="98">
        <f t="shared" si="55"/>
        <v>0</v>
      </c>
      <c r="AF24" s="98">
        <f t="shared" si="55"/>
        <v>0</v>
      </c>
      <c r="AG24" s="100">
        <f t="shared" si="15"/>
        <v>35.414583333333333</v>
      </c>
      <c r="AI24">
        <f t="shared" si="75"/>
        <v>2019</v>
      </c>
      <c r="AJ24" s="98">
        <f t="shared" si="69"/>
        <v>0</v>
      </c>
      <c r="AK24" s="98">
        <f t="shared" si="69"/>
        <v>0</v>
      </c>
      <c r="AL24" s="98">
        <f t="shared" si="69"/>
        <v>0</v>
      </c>
      <c r="AM24" s="98">
        <f t="shared" si="69"/>
        <v>0</v>
      </c>
      <c r="AN24" s="98">
        <f t="shared" si="69"/>
        <v>0</v>
      </c>
      <c r="AO24" s="98">
        <f t="shared" si="69"/>
        <v>13.45</v>
      </c>
      <c r="AP24" s="98">
        <f t="shared" si="69"/>
        <v>75.160416666666691</v>
      </c>
      <c r="AQ24" s="98">
        <f t="shared" si="69"/>
        <v>22.158333333333331</v>
      </c>
      <c r="AR24" s="98">
        <f t="shared" si="69"/>
        <v>2.3249999999999993</v>
      </c>
      <c r="AS24" s="98">
        <f t="shared" si="69"/>
        <v>0</v>
      </c>
      <c r="AT24" s="98">
        <f t="shared" si="69"/>
        <v>0</v>
      </c>
      <c r="AU24" s="98">
        <f t="shared" si="69"/>
        <v>0</v>
      </c>
      <c r="AV24" s="100">
        <f t="shared" si="57"/>
        <v>113.09375000000003</v>
      </c>
      <c r="AX24">
        <f t="shared" si="76"/>
        <v>2019</v>
      </c>
      <c r="AY24" s="98">
        <f t="shared" si="70"/>
        <v>0</v>
      </c>
      <c r="AZ24" s="98">
        <f t="shared" si="70"/>
        <v>0</v>
      </c>
      <c r="BA24" s="98">
        <f t="shared" si="70"/>
        <v>0</v>
      </c>
      <c r="BB24" s="98">
        <f t="shared" si="70"/>
        <v>0</v>
      </c>
      <c r="BC24" s="98">
        <f t="shared" si="70"/>
        <v>0</v>
      </c>
      <c r="BD24" s="98">
        <f t="shared" si="70"/>
        <v>38.87083333333333</v>
      </c>
      <c r="BE24" s="98">
        <f t="shared" si="70"/>
        <v>133.94791666666666</v>
      </c>
      <c r="BF24" s="98">
        <f t="shared" si="70"/>
        <v>60.520833333333321</v>
      </c>
      <c r="BG24" s="98">
        <f t="shared" si="70"/>
        <v>9.7875000000000014</v>
      </c>
      <c r="BH24" s="98">
        <f t="shared" si="70"/>
        <v>0</v>
      </c>
      <c r="BI24" s="98">
        <f t="shared" si="70"/>
        <v>0</v>
      </c>
      <c r="BJ24" s="98">
        <f t="shared" si="70"/>
        <v>0</v>
      </c>
      <c r="BK24" s="100">
        <f t="shared" si="59"/>
        <v>243.1270833333333</v>
      </c>
      <c r="BM24">
        <f t="shared" si="77"/>
        <v>2019</v>
      </c>
      <c r="BN24" s="98">
        <f t="shared" si="71"/>
        <v>0</v>
      </c>
      <c r="BO24" s="98">
        <f t="shared" si="71"/>
        <v>0</v>
      </c>
      <c r="BP24" s="98">
        <f t="shared" si="71"/>
        <v>0</v>
      </c>
      <c r="BQ24" s="98">
        <f t="shared" si="71"/>
        <v>0</v>
      </c>
      <c r="BR24" s="98">
        <f t="shared" si="71"/>
        <v>1.0541666666666618</v>
      </c>
      <c r="BS24" s="98">
        <f t="shared" si="71"/>
        <v>74.931250000000006</v>
      </c>
      <c r="BT24" s="98">
        <f t="shared" si="71"/>
        <v>195.94791666666663</v>
      </c>
      <c r="BU24" s="98">
        <f t="shared" si="71"/>
        <v>112.70833333333331</v>
      </c>
      <c r="BV24" s="98">
        <f t="shared" si="71"/>
        <v>22.400000000000009</v>
      </c>
      <c r="BW24" s="98">
        <f t="shared" si="71"/>
        <v>1.4416666666666682</v>
      </c>
      <c r="BX24" s="98">
        <f t="shared" si="71"/>
        <v>0</v>
      </c>
      <c r="BY24" s="98">
        <f t="shared" si="71"/>
        <v>0</v>
      </c>
      <c r="BZ24" s="100">
        <f t="shared" si="61"/>
        <v>408.48333333333329</v>
      </c>
      <c r="CB24">
        <f t="shared" si="78"/>
        <v>2019</v>
      </c>
      <c r="CC24" s="98">
        <f t="shared" si="72"/>
        <v>0</v>
      </c>
      <c r="CD24" s="98">
        <f t="shared" si="62"/>
        <v>0</v>
      </c>
      <c r="CE24" s="98">
        <f t="shared" si="62"/>
        <v>0</v>
      </c>
      <c r="CF24" s="98">
        <f t="shared" si="62"/>
        <v>0</v>
      </c>
      <c r="CG24" s="98">
        <f t="shared" si="62"/>
        <v>8.8249999999999922</v>
      </c>
      <c r="CH24" s="98">
        <f t="shared" si="62"/>
        <v>120.85208333333333</v>
      </c>
      <c r="CI24" s="98">
        <f t="shared" si="62"/>
        <v>257.94791666666663</v>
      </c>
      <c r="CJ24" s="98">
        <f t="shared" si="62"/>
        <v>171.36250000000001</v>
      </c>
      <c r="CK24" s="98">
        <f t="shared" si="62"/>
        <v>50.402083333333358</v>
      </c>
      <c r="CL24" s="98">
        <f t="shared" si="62"/>
        <v>4.6708333333333343</v>
      </c>
      <c r="CM24" s="98">
        <f t="shared" si="62"/>
        <v>0</v>
      </c>
      <c r="CN24" s="98">
        <f t="shared" si="62"/>
        <v>0</v>
      </c>
      <c r="CO24" s="100">
        <f t="shared" si="63"/>
        <v>614.0604166666667</v>
      </c>
      <c r="CQ24">
        <f t="shared" si="79"/>
        <v>2019</v>
      </c>
      <c r="CR24" s="98">
        <f t="shared" si="73"/>
        <v>0</v>
      </c>
      <c r="CS24" s="98">
        <f t="shared" si="64"/>
        <v>0</v>
      </c>
      <c r="CT24" s="98">
        <f t="shared" si="64"/>
        <v>0</v>
      </c>
      <c r="CU24" s="98">
        <f t="shared" si="64"/>
        <v>0</v>
      </c>
      <c r="CV24" s="98">
        <f t="shared" si="64"/>
        <v>27.86249999999999</v>
      </c>
      <c r="CW24" s="98">
        <f t="shared" si="64"/>
        <v>173.87570774495484</v>
      </c>
      <c r="CX24" s="98">
        <f t="shared" si="64"/>
        <v>319.94791666666669</v>
      </c>
      <c r="CY24" s="98">
        <f t="shared" si="64"/>
        <v>233.36250000000001</v>
      </c>
      <c r="CZ24" s="98">
        <f t="shared" si="64"/>
        <v>97.810416666666683</v>
      </c>
      <c r="DA24" s="98">
        <f t="shared" si="64"/>
        <v>11.345833333333335</v>
      </c>
      <c r="DB24" s="98">
        <f t="shared" si="64"/>
        <v>0</v>
      </c>
      <c r="DC24" s="98">
        <f t="shared" si="64"/>
        <v>0</v>
      </c>
      <c r="DD24" s="100">
        <f t="shared" si="65"/>
        <v>864.2048744116214</v>
      </c>
      <c r="DF24">
        <f t="shared" si="80"/>
        <v>2019</v>
      </c>
      <c r="DG24" s="98">
        <f t="shared" si="74"/>
        <v>0</v>
      </c>
      <c r="DH24" s="98">
        <f t="shared" si="66"/>
        <v>0</v>
      </c>
      <c r="DI24" s="98">
        <f t="shared" si="66"/>
        <v>0</v>
      </c>
      <c r="DJ24" s="98">
        <f t="shared" si="66"/>
        <v>4.5833333333332504E-2</v>
      </c>
      <c r="DK24" s="98">
        <f t="shared" si="66"/>
        <v>58.254166666666656</v>
      </c>
      <c r="DL24" s="98">
        <f t="shared" si="66"/>
        <v>231.35070774495486</v>
      </c>
      <c r="DM24" s="98">
        <f t="shared" si="66"/>
        <v>381.94791666666669</v>
      </c>
      <c r="DN24" s="98">
        <f t="shared" si="66"/>
        <v>295.36250000000001</v>
      </c>
      <c r="DO24" s="98">
        <f t="shared" si="66"/>
        <v>155.00208333333336</v>
      </c>
      <c r="DP24" s="98">
        <f t="shared" si="66"/>
        <v>25.408333333333331</v>
      </c>
      <c r="DQ24" s="98">
        <f t="shared" si="66"/>
        <v>0</v>
      </c>
      <c r="DR24" s="98">
        <f t="shared" si="66"/>
        <v>0</v>
      </c>
      <c r="DS24" s="100">
        <f t="shared" si="67"/>
        <v>1147.3715410782881</v>
      </c>
      <c r="DU24" s="17">
        <f>'Monthly Data'!D24</f>
        <v>30873804.899003249</v>
      </c>
      <c r="DV24" s="17">
        <f>'Monthly Data'!H24</f>
        <v>10915111.018168477</v>
      </c>
      <c r="DW24" s="17">
        <f>'Monthly Data'!L24</f>
        <v>29535179.096457187</v>
      </c>
    </row>
    <row r="25" spans="1:127" x14ac:dyDescent="0.2">
      <c r="A25">
        <v>2015</v>
      </c>
      <c r="B25">
        <v>12</v>
      </c>
      <c r="C25" s="98">
        <v>662.51250000000016</v>
      </c>
      <c r="D25" s="98">
        <v>0</v>
      </c>
      <c r="E25" s="98">
        <v>600.51250000000016</v>
      </c>
      <c r="F25" s="98">
        <v>0</v>
      </c>
      <c r="G25" s="98">
        <v>538.51250000000005</v>
      </c>
      <c r="H25" s="98">
        <v>0</v>
      </c>
      <c r="I25" s="98">
        <v>476.51250000000005</v>
      </c>
      <c r="J25" s="98">
        <v>0</v>
      </c>
      <c r="K25" s="98">
        <v>414.51249999999999</v>
      </c>
      <c r="L25" s="98">
        <v>0</v>
      </c>
      <c r="M25" s="98">
        <v>352.51249999999993</v>
      </c>
      <c r="N25" s="98">
        <v>0</v>
      </c>
      <c r="O25" s="98">
        <v>290.51249999999999</v>
      </c>
      <c r="P25" s="98">
        <v>0</v>
      </c>
      <c r="Q25" s="253">
        <v>-1.3713709677419357</v>
      </c>
      <c r="T25">
        <f t="shared" si="28"/>
        <v>2020</v>
      </c>
      <c r="U25" s="98">
        <f t="shared" si="68"/>
        <v>0</v>
      </c>
      <c r="V25" s="98">
        <f t="shared" si="55"/>
        <v>0</v>
      </c>
      <c r="W25" s="98">
        <f t="shared" si="55"/>
        <v>0</v>
      </c>
      <c r="X25" s="98">
        <f t="shared" si="55"/>
        <v>0</v>
      </c>
      <c r="Y25" s="98">
        <f t="shared" si="55"/>
        <v>8.3749999999999964</v>
      </c>
      <c r="Z25" s="98">
        <f t="shared" si="55"/>
        <v>20.064583333333339</v>
      </c>
      <c r="AA25" s="98">
        <f t="shared" si="55"/>
        <v>47.920833333333348</v>
      </c>
      <c r="AB25" s="98">
        <f t="shared" si="55"/>
        <v>14.204166666666683</v>
      </c>
      <c r="AC25" s="98">
        <f t="shared" si="55"/>
        <v>0</v>
      </c>
      <c r="AD25" s="98">
        <f t="shared" si="55"/>
        <v>0</v>
      </c>
      <c r="AE25" s="98">
        <f t="shared" si="55"/>
        <v>0</v>
      </c>
      <c r="AF25" s="98">
        <f t="shared" si="55"/>
        <v>0</v>
      </c>
      <c r="AG25" s="100">
        <f t="shared" si="15"/>
        <v>90.56458333333336</v>
      </c>
      <c r="AI25">
        <f t="shared" si="75"/>
        <v>2020</v>
      </c>
      <c r="AJ25" s="98">
        <f t="shared" si="69"/>
        <v>0</v>
      </c>
      <c r="AK25" s="98">
        <f t="shared" si="69"/>
        <v>0</v>
      </c>
      <c r="AL25" s="98">
        <f t="shared" si="69"/>
        <v>0</v>
      </c>
      <c r="AM25" s="98">
        <f t="shared" si="69"/>
        <v>0</v>
      </c>
      <c r="AN25" s="98">
        <f t="shared" si="69"/>
        <v>18.945833333333326</v>
      </c>
      <c r="AO25" s="98">
        <f t="shared" si="69"/>
        <v>43.943750000000009</v>
      </c>
      <c r="AP25" s="98">
        <f t="shared" si="69"/>
        <v>94.325000000000017</v>
      </c>
      <c r="AQ25" s="98">
        <f t="shared" si="69"/>
        <v>37.895833333333343</v>
      </c>
      <c r="AR25" s="98">
        <f t="shared" si="69"/>
        <v>0</v>
      </c>
      <c r="AS25" s="98">
        <f t="shared" si="69"/>
        <v>0</v>
      </c>
      <c r="AT25" s="98">
        <f t="shared" si="69"/>
        <v>0</v>
      </c>
      <c r="AU25" s="98">
        <f t="shared" si="69"/>
        <v>0</v>
      </c>
      <c r="AV25" s="100">
        <f t="shared" si="57"/>
        <v>195.11041666666668</v>
      </c>
      <c r="AX25">
        <f t="shared" si="76"/>
        <v>2020</v>
      </c>
      <c r="AY25" s="98">
        <f t="shared" si="70"/>
        <v>0</v>
      </c>
      <c r="AZ25" s="98">
        <f t="shared" si="70"/>
        <v>0</v>
      </c>
      <c r="BA25" s="98">
        <f t="shared" si="70"/>
        <v>0</v>
      </c>
      <c r="BB25" s="98">
        <f t="shared" si="70"/>
        <v>0</v>
      </c>
      <c r="BC25" s="98">
        <f t="shared" si="70"/>
        <v>33.141666666666659</v>
      </c>
      <c r="BD25" s="98">
        <f t="shared" si="70"/>
        <v>77.17916666666666</v>
      </c>
      <c r="BE25" s="98">
        <f t="shared" si="70"/>
        <v>151.97708333333338</v>
      </c>
      <c r="BF25" s="98">
        <f t="shared" si="70"/>
        <v>69.418750000000003</v>
      </c>
      <c r="BG25" s="98">
        <f t="shared" si="70"/>
        <v>3.4374999999999964</v>
      </c>
      <c r="BH25" s="98">
        <f t="shared" si="70"/>
        <v>0</v>
      </c>
      <c r="BI25" s="98">
        <f t="shared" si="70"/>
        <v>0</v>
      </c>
      <c r="BJ25" s="98">
        <f t="shared" si="70"/>
        <v>0</v>
      </c>
      <c r="BK25" s="100">
        <f t="shared" si="59"/>
        <v>335.1541666666667</v>
      </c>
      <c r="BM25">
        <f t="shared" si="77"/>
        <v>2020</v>
      </c>
      <c r="BN25" s="98">
        <f t="shared" si="71"/>
        <v>0</v>
      </c>
      <c r="BO25" s="98">
        <f t="shared" si="71"/>
        <v>0</v>
      </c>
      <c r="BP25" s="98">
        <f t="shared" si="71"/>
        <v>0</v>
      </c>
      <c r="BQ25" s="98">
        <f t="shared" si="71"/>
        <v>0</v>
      </c>
      <c r="BR25" s="98">
        <f t="shared" si="71"/>
        <v>51.110416666666673</v>
      </c>
      <c r="BS25" s="98">
        <f t="shared" si="71"/>
        <v>117.6375</v>
      </c>
      <c r="BT25" s="98">
        <f t="shared" si="71"/>
        <v>213.97708333333338</v>
      </c>
      <c r="BU25" s="98">
        <f t="shared" si="71"/>
        <v>111.26250000000002</v>
      </c>
      <c r="BV25" s="98">
        <f t="shared" si="71"/>
        <v>14.570833333333328</v>
      </c>
      <c r="BW25" s="98">
        <f t="shared" si="71"/>
        <v>0</v>
      </c>
      <c r="BX25" s="98">
        <f t="shared" si="71"/>
        <v>1.4124999999999996</v>
      </c>
      <c r="BY25" s="98">
        <f t="shared" si="71"/>
        <v>0</v>
      </c>
      <c r="BZ25" s="100">
        <f t="shared" si="61"/>
        <v>509.97083333333342</v>
      </c>
      <c r="CB25">
        <f t="shared" si="78"/>
        <v>2020</v>
      </c>
      <c r="CC25" s="98">
        <f t="shared" si="72"/>
        <v>0</v>
      </c>
      <c r="CD25" s="98">
        <f t="shared" si="62"/>
        <v>0</v>
      </c>
      <c r="CE25" s="98">
        <f t="shared" si="62"/>
        <v>0</v>
      </c>
      <c r="CF25" s="98">
        <f t="shared" si="62"/>
        <v>0</v>
      </c>
      <c r="CG25" s="98">
        <f t="shared" si="62"/>
        <v>72.662499999999994</v>
      </c>
      <c r="CH25" s="98">
        <f t="shared" si="62"/>
        <v>167.91666666666669</v>
      </c>
      <c r="CI25" s="98">
        <f t="shared" si="62"/>
        <v>275.97708333333338</v>
      </c>
      <c r="CJ25" s="98">
        <f t="shared" si="62"/>
        <v>169.62500000000006</v>
      </c>
      <c r="CK25" s="98">
        <f t="shared" si="62"/>
        <v>36.716666666666654</v>
      </c>
      <c r="CL25" s="98">
        <f t="shared" si="62"/>
        <v>0</v>
      </c>
      <c r="CM25" s="98">
        <f t="shared" si="62"/>
        <v>5.4124999999999996</v>
      </c>
      <c r="CN25" s="98">
        <f t="shared" si="62"/>
        <v>0</v>
      </c>
      <c r="CO25" s="100">
        <f t="shared" si="63"/>
        <v>728.31041666666681</v>
      </c>
      <c r="CQ25">
        <f t="shared" si="79"/>
        <v>2020</v>
      </c>
      <c r="CR25" s="98">
        <f t="shared" si="73"/>
        <v>0</v>
      </c>
      <c r="CS25" s="98">
        <f t="shared" si="64"/>
        <v>0</v>
      </c>
      <c r="CT25" s="98">
        <f t="shared" si="64"/>
        <v>0</v>
      </c>
      <c r="CU25" s="98">
        <f t="shared" si="64"/>
        <v>0</v>
      </c>
      <c r="CV25" s="98">
        <f t="shared" si="64"/>
        <v>98.662499999999994</v>
      </c>
      <c r="CW25" s="98">
        <f t="shared" si="64"/>
        <v>223.85208333333333</v>
      </c>
      <c r="CX25" s="98">
        <f t="shared" si="64"/>
        <v>337.97708333333338</v>
      </c>
      <c r="CY25" s="98">
        <f t="shared" si="64"/>
        <v>231.05833333333342</v>
      </c>
      <c r="CZ25" s="98">
        <f t="shared" si="64"/>
        <v>70.740291078288152</v>
      </c>
      <c r="DA25" s="98">
        <f t="shared" si="64"/>
        <v>1.3499999999999979</v>
      </c>
      <c r="DB25" s="98">
        <f t="shared" si="64"/>
        <v>9.93333333333333</v>
      </c>
      <c r="DC25" s="98">
        <f t="shared" si="64"/>
        <v>0</v>
      </c>
      <c r="DD25" s="100">
        <f t="shared" si="65"/>
        <v>973.57362441162161</v>
      </c>
      <c r="DF25">
        <f t="shared" si="80"/>
        <v>2020</v>
      </c>
      <c r="DG25" s="98">
        <f t="shared" si="74"/>
        <v>0</v>
      </c>
      <c r="DH25" s="98">
        <f t="shared" si="66"/>
        <v>0</v>
      </c>
      <c r="DI25" s="98">
        <f t="shared" si="66"/>
        <v>0</v>
      </c>
      <c r="DJ25" s="98">
        <f t="shared" si="66"/>
        <v>0</v>
      </c>
      <c r="DK25" s="98">
        <f t="shared" si="66"/>
        <v>128.41666666666666</v>
      </c>
      <c r="DL25" s="98">
        <f t="shared" si="66"/>
        <v>282.06041666666664</v>
      </c>
      <c r="DM25" s="98">
        <f t="shared" si="66"/>
        <v>399.9770833333335</v>
      </c>
      <c r="DN25" s="98">
        <f t="shared" si="66"/>
        <v>293.05833333333339</v>
      </c>
      <c r="DO25" s="98">
        <f t="shared" si="66"/>
        <v>116.64445774495482</v>
      </c>
      <c r="DP25" s="98">
        <f t="shared" si="66"/>
        <v>6.9270833333333321</v>
      </c>
      <c r="DQ25" s="98">
        <f t="shared" si="66"/>
        <v>17.820833333333329</v>
      </c>
      <c r="DR25" s="98">
        <f t="shared" si="66"/>
        <v>0</v>
      </c>
      <c r="DS25" s="100">
        <f t="shared" si="67"/>
        <v>1244.9048744116217</v>
      </c>
      <c r="DU25" s="17">
        <f>'Monthly Data'!D25</f>
        <v>36217478.92820438</v>
      </c>
      <c r="DV25" s="17">
        <f>'Monthly Data'!H25</f>
        <v>12189773.504297856</v>
      </c>
      <c r="DW25" s="17">
        <f>'Monthly Data'!L25</f>
        <v>31672344.136065371</v>
      </c>
    </row>
    <row r="26" spans="1:127" x14ac:dyDescent="0.2">
      <c r="A26">
        <v>2016</v>
      </c>
      <c r="B26">
        <v>1</v>
      </c>
      <c r="C26" s="98">
        <v>925.80416666666679</v>
      </c>
      <c r="D26" s="98">
        <v>0</v>
      </c>
      <c r="E26" s="98">
        <v>863.80416666666667</v>
      </c>
      <c r="F26" s="98">
        <v>0</v>
      </c>
      <c r="G26" s="98">
        <v>801.80416666666679</v>
      </c>
      <c r="H26" s="98">
        <v>0</v>
      </c>
      <c r="I26" s="98">
        <v>739.80416666666667</v>
      </c>
      <c r="J26" s="98">
        <v>0</v>
      </c>
      <c r="K26" s="98">
        <v>677.80416666666667</v>
      </c>
      <c r="L26" s="98">
        <v>0</v>
      </c>
      <c r="M26" s="98">
        <v>615.80416666666679</v>
      </c>
      <c r="N26" s="98">
        <v>0</v>
      </c>
      <c r="O26" s="98">
        <v>553.80416666666667</v>
      </c>
      <c r="P26" s="98">
        <v>0</v>
      </c>
      <c r="Q26" s="253">
        <v>-9.8646505376344074</v>
      </c>
      <c r="T26">
        <f t="shared" si="28"/>
        <v>2021</v>
      </c>
      <c r="U26" s="98">
        <f t="shared" si="68"/>
        <v>0</v>
      </c>
      <c r="V26" s="98">
        <f t="shared" si="55"/>
        <v>0</v>
      </c>
      <c r="W26" s="98">
        <f t="shared" si="55"/>
        <v>0</v>
      </c>
      <c r="X26" s="98">
        <f t="shared" si="55"/>
        <v>0</v>
      </c>
      <c r="Y26" s="98">
        <f t="shared" si="55"/>
        <v>4.5791666666666728</v>
      </c>
      <c r="Z26" s="98">
        <f t="shared" si="55"/>
        <v>8.4916666666666707</v>
      </c>
      <c r="AA26" s="98">
        <f t="shared" si="55"/>
        <v>11.729166666666686</v>
      </c>
      <c r="AB26" s="98">
        <f t="shared" si="55"/>
        <v>31.433333333333341</v>
      </c>
      <c r="AC26" s="98">
        <f t="shared" si="55"/>
        <v>0</v>
      </c>
      <c r="AD26" s="98">
        <f t="shared" si="55"/>
        <v>0</v>
      </c>
      <c r="AE26" s="98">
        <f t="shared" si="55"/>
        <v>0</v>
      </c>
      <c r="AF26" s="98">
        <f t="shared" si="55"/>
        <v>0</v>
      </c>
      <c r="AG26" s="100">
        <f t="shared" si="15"/>
        <v>56.23333333333337</v>
      </c>
      <c r="AI26">
        <f t="shared" si="75"/>
        <v>2021</v>
      </c>
      <c r="AJ26" s="98">
        <f t="shared" si="69"/>
        <v>0</v>
      </c>
      <c r="AK26" s="98">
        <f t="shared" si="69"/>
        <v>0</v>
      </c>
      <c r="AL26" s="98">
        <f t="shared" si="69"/>
        <v>0</v>
      </c>
      <c r="AM26" s="98">
        <f t="shared" si="69"/>
        <v>0</v>
      </c>
      <c r="AN26" s="98">
        <f t="shared" si="69"/>
        <v>12.579166666666673</v>
      </c>
      <c r="AO26" s="98">
        <f t="shared" si="69"/>
        <v>25.816666666666659</v>
      </c>
      <c r="AP26" s="98">
        <f t="shared" si="69"/>
        <v>41.341666666666697</v>
      </c>
      <c r="AQ26" s="98">
        <f t="shared" si="69"/>
        <v>69.433333333333337</v>
      </c>
      <c r="AR26" s="98">
        <f t="shared" si="69"/>
        <v>0.25416666666666288</v>
      </c>
      <c r="AS26" s="98">
        <f t="shared" si="69"/>
        <v>0</v>
      </c>
      <c r="AT26" s="98">
        <f t="shared" si="69"/>
        <v>0</v>
      </c>
      <c r="AU26" s="98">
        <f t="shared" si="69"/>
        <v>0</v>
      </c>
      <c r="AV26" s="100">
        <f t="shared" si="57"/>
        <v>149.42500000000001</v>
      </c>
      <c r="AW26" s="13"/>
      <c r="AX26">
        <f t="shared" si="76"/>
        <v>2021</v>
      </c>
      <c r="AY26" s="98">
        <f t="shared" si="70"/>
        <v>0</v>
      </c>
      <c r="AZ26" s="98">
        <f t="shared" si="70"/>
        <v>0</v>
      </c>
      <c r="BA26" s="98">
        <f t="shared" si="70"/>
        <v>0</v>
      </c>
      <c r="BB26" s="98">
        <f t="shared" si="70"/>
        <v>0</v>
      </c>
      <c r="BC26" s="98">
        <f t="shared" si="70"/>
        <v>24.75416666666667</v>
      </c>
      <c r="BD26" s="98">
        <f t="shared" si="70"/>
        <v>60.395833333333343</v>
      </c>
      <c r="BE26" s="98">
        <f t="shared" si="70"/>
        <v>85.470833333333374</v>
      </c>
      <c r="BF26" s="98">
        <f t="shared" si="70"/>
        <v>116.98750000000003</v>
      </c>
      <c r="BG26" s="98">
        <f t="shared" si="70"/>
        <v>4.8499999999999979</v>
      </c>
      <c r="BH26" s="98">
        <f t="shared" si="70"/>
        <v>3.74166666666666</v>
      </c>
      <c r="BI26" s="98">
        <f t="shared" si="70"/>
        <v>0</v>
      </c>
      <c r="BJ26" s="98">
        <f t="shared" si="70"/>
        <v>0</v>
      </c>
      <c r="BK26" s="100">
        <f t="shared" si="59"/>
        <v>296.2000000000001</v>
      </c>
      <c r="BL26" s="13"/>
      <c r="BM26">
        <f t="shared" si="77"/>
        <v>2021</v>
      </c>
      <c r="BN26" s="98">
        <f t="shared" si="71"/>
        <v>0</v>
      </c>
      <c r="BO26" s="98">
        <f t="shared" si="71"/>
        <v>0</v>
      </c>
      <c r="BP26" s="98">
        <f t="shared" si="71"/>
        <v>0</v>
      </c>
      <c r="BQ26" s="98">
        <f t="shared" si="71"/>
        <v>1.9250000000000025</v>
      </c>
      <c r="BR26" s="98">
        <f t="shared" si="71"/>
        <v>40.87083333333333</v>
      </c>
      <c r="BS26" s="98">
        <f t="shared" si="71"/>
        <v>107.92708333333334</v>
      </c>
      <c r="BT26" s="98">
        <f t="shared" si="71"/>
        <v>137.65000000000006</v>
      </c>
      <c r="BU26" s="98">
        <f t="shared" si="71"/>
        <v>175.69583333333333</v>
      </c>
      <c r="BV26" s="98">
        <f t="shared" si="71"/>
        <v>19.010416666666664</v>
      </c>
      <c r="BW26" s="98">
        <f t="shared" si="71"/>
        <v>16.552083333333321</v>
      </c>
      <c r="BX26" s="98">
        <f t="shared" si="71"/>
        <v>0</v>
      </c>
      <c r="BY26" s="98">
        <f t="shared" si="71"/>
        <v>0</v>
      </c>
      <c r="BZ26" s="100">
        <f t="shared" si="61"/>
        <v>499.63125000000002</v>
      </c>
      <c r="CA26" s="13"/>
      <c r="CB26">
        <f t="shared" si="78"/>
        <v>2021</v>
      </c>
      <c r="CC26" s="98">
        <f t="shared" si="72"/>
        <v>0</v>
      </c>
      <c r="CD26" s="98">
        <f t="shared" si="62"/>
        <v>0</v>
      </c>
      <c r="CE26" s="98">
        <f t="shared" si="62"/>
        <v>0</v>
      </c>
      <c r="CF26" s="98">
        <f t="shared" si="62"/>
        <v>9.0666666666666682</v>
      </c>
      <c r="CG26" s="98">
        <f t="shared" si="62"/>
        <v>67.074999999999989</v>
      </c>
      <c r="CH26" s="98">
        <f t="shared" si="62"/>
        <v>164.31874999999997</v>
      </c>
      <c r="CI26" s="98">
        <f t="shared" si="62"/>
        <v>198.2083333333334</v>
      </c>
      <c r="CJ26" s="98">
        <f t="shared" si="62"/>
        <v>237.3</v>
      </c>
      <c r="CK26" s="98">
        <f t="shared" si="62"/>
        <v>53.46041666666666</v>
      </c>
      <c r="CL26" s="98">
        <f t="shared" si="62"/>
        <v>42.52708333333333</v>
      </c>
      <c r="CM26" s="98">
        <f t="shared" si="62"/>
        <v>0</v>
      </c>
      <c r="CN26" s="98">
        <f t="shared" si="62"/>
        <v>0</v>
      </c>
      <c r="CO26" s="100">
        <f t="shared" si="63"/>
        <v>771.95624999999995</v>
      </c>
      <c r="CP26" s="13"/>
      <c r="CQ26">
        <f t="shared" si="79"/>
        <v>2021</v>
      </c>
      <c r="CR26" s="98">
        <f t="shared" si="73"/>
        <v>0</v>
      </c>
      <c r="CS26" s="98">
        <f t="shared" si="64"/>
        <v>0</v>
      </c>
      <c r="CT26" s="98">
        <f t="shared" si="64"/>
        <v>0</v>
      </c>
      <c r="CU26" s="98">
        <f t="shared" si="64"/>
        <v>20.766666666666673</v>
      </c>
      <c r="CV26" s="98">
        <f t="shared" si="64"/>
        <v>98.533333333333331</v>
      </c>
      <c r="CW26" s="98">
        <f t="shared" si="64"/>
        <v>222.31874999999997</v>
      </c>
      <c r="CX26" s="98">
        <f t="shared" si="64"/>
        <v>260.20833333333343</v>
      </c>
      <c r="CY26" s="98">
        <f t="shared" si="64"/>
        <v>299.3</v>
      </c>
      <c r="CZ26" s="98">
        <f t="shared" si="64"/>
        <v>98.270833333333314</v>
      </c>
      <c r="DA26" s="98">
        <f t="shared" si="64"/>
        <v>73.614583333333329</v>
      </c>
      <c r="DB26" s="98">
        <f t="shared" si="64"/>
        <v>0</v>
      </c>
      <c r="DC26" s="98">
        <f t="shared" si="64"/>
        <v>0</v>
      </c>
      <c r="DD26" s="100">
        <f t="shared" si="65"/>
        <v>1073.0124999999998</v>
      </c>
      <c r="DE26" s="13"/>
      <c r="DF26">
        <f t="shared" si="80"/>
        <v>2021</v>
      </c>
      <c r="DG26" s="98">
        <f t="shared" si="74"/>
        <v>0</v>
      </c>
      <c r="DH26" s="98">
        <f t="shared" si="66"/>
        <v>0</v>
      </c>
      <c r="DI26" s="98">
        <f t="shared" si="66"/>
        <v>0.22499999999999964</v>
      </c>
      <c r="DJ26" s="98">
        <f t="shared" si="66"/>
        <v>36.800000000000004</v>
      </c>
      <c r="DK26" s="98">
        <f t="shared" si="66"/>
        <v>134.53333333333333</v>
      </c>
      <c r="DL26" s="98">
        <f t="shared" si="66"/>
        <v>280.94791666666663</v>
      </c>
      <c r="DM26" s="98">
        <f t="shared" si="66"/>
        <v>322.20833333333337</v>
      </c>
      <c r="DN26" s="98">
        <f t="shared" si="66"/>
        <v>361.3</v>
      </c>
      <c r="DO26" s="98">
        <f t="shared" si="66"/>
        <v>153.03750000000002</v>
      </c>
      <c r="DP26" s="98">
        <f t="shared" si="66"/>
        <v>107.85416666666666</v>
      </c>
      <c r="DQ26" s="98">
        <f t="shared" si="66"/>
        <v>1.1833333333333371</v>
      </c>
      <c r="DR26" s="98">
        <f t="shared" si="66"/>
        <v>0</v>
      </c>
      <c r="DS26" s="100">
        <f t="shared" si="67"/>
        <v>1398.0895833333336</v>
      </c>
      <c r="DT26" s="13"/>
      <c r="DU26" s="17">
        <f>'Monthly Data'!D26</f>
        <v>40778117.276427858</v>
      </c>
      <c r="DV26" s="17">
        <f>'Monthly Data'!H26</f>
        <v>13300720.562335251</v>
      </c>
      <c r="DW26" s="17">
        <f>'Monthly Data'!L26</f>
        <v>34463637.435847543</v>
      </c>
    </row>
    <row r="27" spans="1:127" x14ac:dyDescent="0.2">
      <c r="A27">
        <v>2016</v>
      </c>
      <c r="B27">
        <v>2</v>
      </c>
      <c r="C27" s="98">
        <v>897.26875000000018</v>
      </c>
      <c r="D27" s="98">
        <v>0</v>
      </c>
      <c r="E27" s="98">
        <v>839.26875000000018</v>
      </c>
      <c r="F27" s="98">
        <v>0</v>
      </c>
      <c r="G27" s="98">
        <v>781.26874999999995</v>
      </c>
      <c r="H27" s="98">
        <v>0</v>
      </c>
      <c r="I27" s="98">
        <v>723.26874999999995</v>
      </c>
      <c r="J27" s="98">
        <v>0</v>
      </c>
      <c r="K27" s="98">
        <v>665.26874999999995</v>
      </c>
      <c r="L27" s="98">
        <v>0</v>
      </c>
      <c r="M27" s="98">
        <v>607.26874999999995</v>
      </c>
      <c r="N27" s="98">
        <v>0</v>
      </c>
      <c r="O27" s="98">
        <v>549.26874999999995</v>
      </c>
      <c r="P27" s="98">
        <v>0</v>
      </c>
      <c r="Q27" s="253">
        <v>-10.940301724137932</v>
      </c>
      <c r="T27">
        <f t="shared" si="28"/>
        <v>2022</v>
      </c>
      <c r="U27" s="98">
        <f t="shared" si="68"/>
        <v>0</v>
      </c>
      <c r="V27" s="98">
        <f t="shared" si="55"/>
        <v>0</v>
      </c>
      <c r="W27" s="98">
        <f t="shared" si="55"/>
        <v>0</v>
      </c>
      <c r="X27" s="98">
        <f t="shared" si="55"/>
        <v>0</v>
      </c>
      <c r="Y27" s="98">
        <f t="shared" si="55"/>
        <v>5.7416666666666671</v>
      </c>
      <c r="Z27" s="98">
        <f t="shared" si="55"/>
        <v>7.6208333333333336</v>
      </c>
      <c r="AA27" s="98">
        <f t="shared" si="55"/>
        <v>14.802083333333321</v>
      </c>
      <c r="AB27" s="98">
        <f t="shared" si="55"/>
        <v>7.743749999999995</v>
      </c>
      <c r="AC27" s="98">
        <f t="shared" si="55"/>
        <v>0.60833333333333073</v>
      </c>
      <c r="AD27" s="98">
        <f t="shared" si="55"/>
        <v>0</v>
      </c>
      <c r="AE27" s="98">
        <f t="shared" si="55"/>
        <v>0</v>
      </c>
      <c r="AF27" s="98">
        <f t="shared" si="55"/>
        <v>0</v>
      </c>
      <c r="AG27" s="100">
        <f t="shared" si="15"/>
        <v>36.516666666666652</v>
      </c>
      <c r="AI27">
        <f t="shared" si="75"/>
        <v>2022</v>
      </c>
      <c r="AJ27" s="98">
        <f t="shared" si="69"/>
        <v>0</v>
      </c>
      <c r="AK27" s="98">
        <f t="shared" si="69"/>
        <v>0</v>
      </c>
      <c r="AL27" s="98">
        <f t="shared" si="69"/>
        <v>0</v>
      </c>
      <c r="AM27" s="98">
        <f t="shared" si="69"/>
        <v>0</v>
      </c>
      <c r="AN27" s="98">
        <f t="shared" si="69"/>
        <v>18.550000000000004</v>
      </c>
      <c r="AO27" s="98">
        <f t="shared" si="69"/>
        <v>24.42499999999999</v>
      </c>
      <c r="AP27" s="98">
        <f t="shared" si="69"/>
        <v>40.464583333333323</v>
      </c>
      <c r="AQ27" s="98">
        <f t="shared" si="69"/>
        <v>36.270833333333314</v>
      </c>
      <c r="AR27" s="98">
        <f t="shared" si="69"/>
        <v>8.2083333333333393</v>
      </c>
      <c r="AS27" s="98">
        <f t="shared" si="69"/>
        <v>0</v>
      </c>
      <c r="AT27" s="98">
        <f t="shared" si="69"/>
        <v>0</v>
      </c>
      <c r="AU27" s="98">
        <f t="shared" si="69"/>
        <v>0</v>
      </c>
      <c r="AV27" s="100">
        <f t="shared" si="57"/>
        <v>127.91874999999997</v>
      </c>
      <c r="AX27">
        <f t="shared" si="76"/>
        <v>2022</v>
      </c>
      <c r="AY27" s="98">
        <f t="shared" si="70"/>
        <v>0</v>
      </c>
      <c r="AZ27" s="98">
        <f t="shared" si="70"/>
        <v>0</v>
      </c>
      <c r="BA27" s="98">
        <f t="shared" si="70"/>
        <v>0</v>
      </c>
      <c r="BB27" s="98">
        <f t="shared" si="70"/>
        <v>0</v>
      </c>
      <c r="BC27" s="98">
        <f t="shared" si="70"/>
        <v>34.079166666666666</v>
      </c>
      <c r="BD27" s="98">
        <f t="shared" si="70"/>
        <v>44.42916666666666</v>
      </c>
      <c r="BE27" s="98">
        <f t="shared" si="70"/>
        <v>85.239583333333329</v>
      </c>
      <c r="BF27" s="98">
        <f t="shared" si="70"/>
        <v>80.824999999999974</v>
      </c>
      <c r="BG27" s="98">
        <f t="shared" si="70"/>
        <v>27.20000000000001</v>
      </c>
      <c r="BH27" s="98">
        <f t="shared" si="70"/>
        <v>0</v>
      </c>
      <c r="BI27" s="98">
        <f t="shared" si="70"/>
        <v>0</v>
      </c>
      <c r="BJ27" s="98">
        <f t="shared" si="70"/>
        <v>0</v>
      </c>
      <c r="BK27" s="100">
        <f t="shared" si="59"/>
        <v>271.77291666666662</v>
      </c>
      <c r="BM27">
        <f t="shared" si="77"/>
        <v>2022</v>
      </c>
      <c r="BN27" s="98">
        <f t="shared" si="71"/>
        <v>0</v>
      </c>
      <c r="BO27" s="98">
        <f t="shared" si="71"/>
        <v>0</v>
      </c>
      <c r="BP27" s="98">
        <f t="shared" si="71"/>
        <v>0</v>
      </c>
      <c r="BQ27" s="98">
        <f t="shared" si="71"/>
        <v>0</v>
      </c>
      <c r="BR27" s="98">
        <f t="shared" si="71"/>
        <v>56.33750000000002</v>
      </c>
      <c r="BS27" s="98">
        <f t="shared" si="71"/>
        <v>75.137499999999989</v>
      </c>
      <c r="BT27" s="98">
        <f t="shared" si="71"/>
        <v>145.96458333333331</v>
      </c>
      <c r="BU27" s="98">
        <f t="shared" si="71"/>
        <v>136.5958333333333</v>
      </c>
      <c r="BV27" s="98">
        <f t="shared" si="71"/>
        <v>56.53958333333334</v>
      </c>
      <c r="BW27" s="98">
        <f t="shared" si="71"/>
        <v>0.88333333333333108</v>
      </c>
      <c r="BX27" s="98">
        <f t="shared" si="71"/>
        <v>0</v>
      </c>
      <c r="BY27" s="98">
        <f t="shared" si="71"/>
        <v>0</v>
      </c>
      <c r="BZ27" s="100">
        <f t="shared" si="61"/>
        <v>471.45833333333326</v>
      </c>
      <c r="CB27">
        <f t="shared" si="78"/>
        <v>2022</v>
      </c>
      <c r="CC27" s="98">
        <f t="shared" si="72"/>
        <v>0</v>
      </c>
      <c r="CD27" s="98">
        <f t="shared" si="62"/>
        <v>0</v>
      </c>
      <c r="CE27" s="98">
        <f t="shared" si="62"/>
        <v>0</v>
      </c>
      <c r="CF27" s="98">
        <f t="shared" si="62"/>
        <v>0</v>
      </c>
      <c r="CG27" s="98">
        <f t="shared" si="62"/>
        <v>87.972916666666691</v>
      </c>
      <c r="CH27" s="98">
        <f t="shared" si="62"/>
        <v>127.3458333333333</v>
      </c>
      <c r="CI27" s="98">
        <f t="shared" si="62"/>
        <v>207.96458333333331</v>
      </c>
      <c r="CJ27" s="98">
        <f t="shared" si="62"/>
        <v>197.80279107828815</v>
      </c>
      <c r="CK27" s="98">
        <f t="shared" si="62"/>
        <v>89.835416666666646</v>
      </c>
      <c r="CL27" s="98">
        <f t="shared" si="62"/>
        <v>8.8833333333333311</v>
      </c>
      <c r="CM27" s="98">
        <f t="shared" si="62"/>
        <v>3.1166666666666618</v>
      </c>
      <c r="CN27" s="98">
        <f t="shared" si="62"/>
        <v>0</v>
      </c>
      <c r="CO27" s="100">
        <f t="shared" si="63"/>
        <v>722.9215410782881</v>
      </c>
      <c r="CQ27">
        <f t="shared" si="79"/>
        <v>2022</v>
      </c>
      <c r="CR27" s="98">
        <f t="shared" si="73"/>
        <v>0</v>
      </c>
      <c r="CS27" s="98">
        <f t="shared" si="64"/>
        <v>0</v>
      </c>
      <c r="CT27" s="98">
        <f t="shared" si="64"/>
        <v>0</v>
      </c>
      <c r="CU27" s="98">
        <f t="shared" si="64"/>
        <v>0.95833333333333393</v>
      </c>
      <c r="CV27" s="98">
        <f t="shared" si="64"/>
        <v>126.32291666666669</v>
      </c>
      <c r="CW27" s="98">
        <f t="shared" si="64"/>
        <v>186.39583333333334</v>
      </c>
      <c r="CX27" s="98">
        <f t="shared" si="64"/>
        <v>269.96458333333334</v>
      </c>
      <c r="CY27" s="98">
        <f t="shared" si="64"/>
        <v>259.80279107828812</v>
      </c>
      <c r="CZ27" s="98">
        <f t="shared" si="64"/>
        <v>130.91874999999999</v>
      </c>
      <c r="DA27" s="98">
        <f t="shared" si="64"/>
        <v>22.210416666666667</v>
      </c>
      <c r="DB27" s="98">
        <f t="shared" si="64"/>
        <v>9.5124999999999975</v>
      </c>
      <c r="DC27" s="98">
        <f t="shared" si="64"/>
        <v>0</v>
      </c>
      <c r="DD27" s="100">
        <f t="shared" si="65"/>
        <v>1006.0861244116214</v>
      </c>
      <c r="DF27">
        <f t="shared" si="80"/>
        <v>2022</v>
      </c>
      <c r="DG27" s="98">
        <f t="shared" si="74"/>
        <v>0</v>
      </c>
      <c r="DH27" s="98">
        <f t="shared" si="66"/>
        <v>0</v>
      </c>
      <c r="DI27" s="98">
        <f t="shared" si="66"/>
        <v>0</v>
      </c>
      <c r="DJ27" s="98">
        <f t="shared" si="66"/>
        <v>5.2750000000000004</v>
      </c>
      <c r="DK27" s="98">
        <f t="shared" si="66"/>
        <v>175.09237441162151</v>
      </c>
      <c r="DL27" s="98">
        <f t="shared" si="66"/>
        <v>246.39583333333334</v>
      </c>
      <c r="DM27" s="98">
        <f t="shared" si="66"/>
        <v>331.96458333333328</v>
      </c>
      <c r="DN27" s="98">
        <f t="shared" si="66"/>
        <v>321.80279107828807</v>
      </c>
      <c r="DO27" s="98">
        <f t="shared" si="66"/>
        <v>181.21250000000003</v>
      </c>
      <c r="DP27" s="98">
        <f t="shared" si="66"/>
        <v>38.909041078288162</v>
      </c>
      <c r="DQ27" s="98">
        <f t="shared" si="66"/>
        <v>20.029166666666661</v>
      </c>
      <c r="DR27" s="98">
        <f t="shared" si="66"/>
        <v>0</v>
      </c>
      <c r="DS27" s="100">
        <f t="shared" si="67"/>
        <v>1320.681289901531</v>
      </c>
      <c r="DU27" s="17">
        <f>'Monthly Data'!D27</f>
        <v>37652898.882360131</v>
      </c>
      <c r="DV27" s="17">
        <f>'Monthly Data'!H27</f>
        <v>12517469.442093974</v>
      </c>
      <c r="DW27" s="17">
        <f>'Monthly Data'!L27</f>
        <v>31642636.084239524</v>
      </c>
    </row>
    <row r="28" spans="1:127" x14ac:dyDescent="0.2">
      <c r="A28">
        <v>2016</v>
      </c>
      <c r="B28">
        <v>3</v>
      </c>
      <c r="C28" s="98">
        <v>711.50208333333353</v>
      </c>
      <c r="D28" s="98">
        <v>0</v>
      </c>
      <c r="E28" s="98">
        <v>649.50208333333353</v>
      </c>
      <c r="F28" s="98">
        <v>0</v>
      </c>
      <c r="G28" s="98">
        <v>587.50208333333342</v>
      </c>
      <c r="H28" s="98">
        <v>0</v>
      </c>
      <c r="I28" s="98">
        <v>525.5020833333333</v>
      </c>
      <c r="J28" s="98">
        <v>0</v>
      </c>
      <c r="K28" s="98">
        <v>463.5020833333333</v>
      </c>
      <c r="L28" s="98">
        <v>0</v>
      </c>
      <c r="M28" s="98">
        <v>401.50208333333336</v>
      </c>
      <c r="N28" s="98">
        <v>0</v>
      </c>
      <c r="O28" s="98">
        <v>339.50208333333336</v>
      </c>
      <c r="P28" s="98">
        <v>0</v>
      </c>
      <c r="Q28" s="253">
        <v>-2.9516801075268821</v>
      </c>
      <c r="T28">
        <f t="shared" si="28"/>
        <v>2023</v>
      </c>
      <c r="U28" s="98">
        <f t="shared" si="68"/>
        <v>0</v>
      </c>
      <c r="V28" s="98">
        <f t="shared" si="55"/>
        <v>0</v>
      </c>
      <c r="W28" s="98">
        <f t="shared" si="55"/>
        <v>0</v>
      </c>
      <c r="X28" s="98">
        <f t="shared" si="55"/>
        <v>0</v>
      </c>
      <c r="Y28" s="98">
        <f t="shared" si="55"/>
        <v>5.9479166666666714</v>
      </c>
      <c r="Z28" s="98">
        <f t="shared" si="55"/>
        <v>20.570833333333329</v>
      </c>
      <c r="AA28" s="98">
        <f t="shared" si="55"/>
        <v>18.545833333333324</v>
      </c>
      <c r="AB28" s="98">
        <f t="shared" si="55"/>
        <v>0</v>
      </c>
      <c r="AC28" s="98">
        <f t="shared" si="55"/>
        <v>8.4333333333333407</v>
      </c>
      <c r="AD28" s="98">
        <f t="shared" si="55"/>
        <v>0</v>
      </c>
      <c r="AE28" s="98">
        <f t="shared" si="55"/>
        <v>0</v>
      </c>
      <c r="AF28" s="98">
        <f t="shared" si="55"/>
        <v>0</v>
      </c>
      <c r="AG28" s="100">
        <f t="shared" si="15"/>
        <v>53.497916666666669</v>
      </c>
      <c r="AI28">
        <f t="shared" si="75"/>
        <v>2023</v>
      </c>
      <c r="AJ28" s="98">
        <f t="shared" si="69"/>
        <v>0</v>
      </c>
      <c r="AK28" s="98">
        <f t="shared" si="69"/>
        <v>0</v>
      </c>
      <c r="AL28" s="98">
        <f t="shared" si="69"/>
        <v>0</v>
      </c>
      <c r="AM28" s="98">
        <f t="shared" si="69"/>
        <v>0</v>
      </c>
      <c r="AN28" s="98">
        <f t="shared" si="69"/>
        <v>13.347916666666674</v>
      </c>
      <c r="AO28" s="98">
        <f t="shared" si="69"/>
        <v>45.019457744954835</v>
      </c>
      <c r="AP28" s="98">
        <f t="shared" si="69"/>
        <v>50.0625</v>
      </c>
      <c r="AQ28" s="98">
        <f t="shared" si="69"/>
        <v>6.2541666666666629</v>
      </c>
      <c r="AR28" s="98">
        <f t="shared" si="69"/>
        <v>17.991666666666671</v>
      </c>
      <c r="AS28" s="98">
        <f t="shared" si="69"/>
        <v>4.4687499999999964</v>
      </c>
      <c r="AT28" s="98">
        <f t="shared" si="69"/>
        <v>0</v>
      </c>
      <c r="AU28" s="98">
        <f t="shared" si="69"/>
        <v>0</v>
      </c>
      <c r="AV28" s="100">
        <f t="shared" si="57"/>
        <v>137.14445774495485</v>
      </c>
      <c r="AX28">
        <f t="shared" si="76"/>
        <v>2023</v>
      </c>
      <c r="AY28" s="98">
        <f t="shared" si="70"/>
        <v>0</v>
      </c>
      <c r="AZ28" s="98">
        <f t="shared" si="70"/>
        <v>0</v>
      </c>
      <c r="BA28" s="98">
        <f t="shared" si="70"/>
        <v>0</v>
      </c>
      <c r="BB28" s="98">
        <f t="shared" si="70"/>
        <v>0.11666666666666714</v>
      </c>
      <c r="BC28" s="98">
        <f t="shared" si="70"/>
        <v>23.114583333333339</v>
      </c>
      <c r="BD28" s="98">
        <f t="shared" si="70"/>
        <v>79.998624411621506</v>
      </c>
      <c r="BE28" s="98">
        <f t="shared" si="70"/>
        <v>100.44583333333335</v>
      </c>
      <c r="BF28" s="98">
        <f t="shared" si="70"/>
        <v>35.514583333333306</v>
      </c>
      <c r="BG28" s="98">
        <f t="shared" si="70"/>
        <v>29.993750000000002</v>
      </c>
      <c r="BH28" s="98">
        <f t="shared" si="70"/>
        <v>12.368749999999995</v>
      </c>
      <c r="BI28" s="98">
        <f t="shared" si="70"/>
        <v>0</v>
      </c>
      <c r="BJ28" s="98">
        <f t="shared" si="70"/>
        <v>0</v>
      </c>
      <c r="BK28" s="100">
        <f t="shared" si="59"/>
        <v>281.55279107828812</v>
      </c>
      <c r="BM28">
        <f t="shared" si="77"/>
        <v>2023</v>
      </c>
      <c r="BN28" s="98">
        <f t="shared" si="71"/>
        <v>0</v>
      </c>
      <c r="BO28" s="98">
        <f t="shared" si="71"/>
        <v>0</v>
      </c>
      <c r="BP28" s="98">
        <f t="shared" si="71"/>
        <v>0</v>
      </c>
      <c r="BQ28" s="98">
        <f t="shared" si="71"/>
        <v>3.0291666666666668</v>
      </c>
      <c r="BR28" s="98">
        <f t="shared" si="71"/>
        <v>41.152083333333337</v>
      </c>
      <c r="BS28" s="98">
        <f t="shared" si="71"/>
        <v>124.35279107828819</v>
      </c>
      <c r="BT28" s="98">
        <f t="shared" si="71"/>
        <v>160.46250000000001</v>
      </c>
      <c r="BU28" s="98">
        <f t="shared" si="71"/>
        <v>84.649999999999977</v>
      </c>
      <c r="BV28" s="98">
        <f t="shared" si="71"/>
        <v>55.3</v>
      </c>
      <c r="BW28" s="98">
        <f t="shared" si="71"/>
        <v>23.314583333333331</v>
      </c>
      <c r="BX28" s="98">
        <f t="shared" si="71"/>
        <v>0</v>
      </c>
      <c r="BY28" s="98">
        <f t="shared" si="71"/>
        <v>0</v>
      </c>
      <c r="BZ28" s="100">
        <f t="shared" si="61"/>
        <v>492.26112441162149</v>
      </c>
      <c r="CB28">
        <f t="shared" si="78"/>
        <v>2023</v>
      </c>
      <c r="CC28" s="98">
        <f t="shared" si="72"/>
        <v>0</v>
      </c>
      <c r="CD28" s="98">
        <f t="shared" si="62"/>
        <v>0</v>
      </c>
      <c r="CE28" s="98">
        <f t="shared" si="62"/>
        <v>0</v>
      </c>
      <c r="CF28" s="98">
        <f t="shared" si="62"/>
        <v>7.2375000000000007</v>
      </c>
      <c r="CG28" s="98">
        <f t="shared" si="62"/>
        <v>63.152083333333337</v>
      </c>
      <c r="CH28" s="98">
        <f t="shared" si="62"/>
        <v>179.47779107828816</v>
      </c>
      <c r="CI28" s="98">
        <f t="shared" si="62"/>
        <v>222.46250000000001</v>
      </c>
      <c r="CJ28" s="98">
        <f t="shared" si="62"/>
        <v>143.9458333333333</v>
      </c>
      <c r="CK28" s="98">
        <f t="shared" si="62"/>
        <v>97.312499999999972</v>
      </c>
      <c r="CL28" s="98">
        <f t="shared" si="62"/>
        <v>36.777083333333323</v>
      </c>
      <c r="CM28" s="98">
        <f t="shared" si="62"/>
        <v>0</v>
      </c>
      <c r="CN28" s="98">
        <f t="shared" si="62"/>
        <v>0</v>
      </c>
      <c r="CO28" s="100">
        <f t="shared" si="63"/>
        <v>750.36529107828812</v>
      </c>
      <c r="CQ28">
        <f t="shared" si="79"/>
        <v>2023</v>
      </c>
      <c r="CR28" s="98">
        <f t="shared" si="73"/>
        <v>0</v>
      </c>
      <c r="CS28" s="98">
        <f t="shared" si="64"/>
        <v>0</v>
      </c>
      <c r="CT28" s="98">
        <f t="shared" si="64"/>
        <v>0</v>
      </c>
      <c r="CU28" s="98">
        <f t="shared" si="64"/>
        <v>15.4375</v>
      </c>
      <c r="CV28" s="98">
        <f t="shared" si="64"/>
        <v>91.918750000000017</v>
      </c>
      <c r="CW28" s="98">
        <f t="shared" si="64"/>
        <v>237.47779107828816</v>
      </c>
      <c r="CX28" s="98">
        <f t="shared" si="64"/>
        <v>284.46250000000009</v>
      </c>
      <c r="CY28" s="98">
        <f t="shared" si="64"/>
        <v>205.37499999999997</v>
      </c>
      <c r="CZ28" s="98">
        <f t="shared" si="64"/>
        <v>151.61250000000004</v>
      </c>
      <c r="DA28" s="98">
        <f t="shared" si="64"/>
        <v>53.022916666666653</v>
      </c>
      <c r="DB28" s="98">
        <f t="shared" si="64"/>
        <v>0</v>
      </c>
      <c r="DC28" s="98">
        <f t="shared" si="64"/>
        <v>0</v>
      </c>
      <c r="DD28" s="100">
        <f t="shared" si="65"/>
        <v>1039.3069577449551</v>
      </c>
      <c r="DF28">
        <f t="shared" si="80"/>
        <v>2023</v>
      </c>
      <c r="DG28" s="98">
        <f t="shared" si="74"/>
        <v>0</v>
      </c>
      <c r="DH28" s="98">
        <f t="shared" si="66"/>
        <v>0</v>
      </c>
      <c r="DI28" s="98">
        <f t="shared" si="66"/>
        <v>0</v>
      </c>
      <c r="DJ28" s="98">
        <f t="shared" si="66"/>
        <v>28.4</v>
      </c>
      <c r="DK28" s="98">
        <f t="shared" si="66"/>
        <v>134.20625000000001</v>
      </c>
      <c r="DL28" s="98">
        <f t="shared" si="66"/>
        <v>295.49029107828818</v>
      </c>
      <c r="DM28" s="98">
        <f t="shared" si="66"/>
        <v>346.46249999999998</v>
      </c>
      <c r="DN28" s="98">
        <f t="shared" si="66"/>
        <v>267.375</v>
      </c>
      <c r="DO28" s="98">
        <f t="shared" si="66"/>
        <v>209.49583333333342</v>
      </c>
      <c r="DP28" s="98">
        <f t="shared" si="66"/>
        <v>75.44583333333334</v>
      </c>
      <c r="DQ28" s="98">
        <f t="shared" si="66"/>
        <v>0</v>
      </c>
      <c r="DR28" s="98">
        <f t="shared" si="66"/>
        <v>0</v>
      </c>
      <c r="DS28" s="100">
        <f t="shared" si="67"/>
        <v>1356.875707744955</v>
      </c>
      <c r="DU28" s="17">
        <f>'Monthly Data'!D28</f>
        <v>35688324.077527039</v>
      </c>
      <c r="DV28" s="17">
        <f>'Monthly Data'!H28</f>
        <v>12554949.054209501</v>
      </c>
      <c r="DW28" s="17">
        <f>'Monthly Data'!L28</f>
        <v>31545143.069663849</v>
      </c>
    </row>
    <row r="29" spans="1:127" x14ac:dyDescent="0.2">
      <c r="A29">
        <v>2016</v>
      </c>
      <c r="B29">
        <v>4</v>
      </c>
      <c r="C29" s="98">
        <v>591.29166666666652</v>
      </c>
      <c r="D29" s="98">
        <v>0</v>
      </c>
      <c r="E29" s="98">
        <v>531.29166666666652</v>
      </c>
      <c r="F29" s="98">
        <v>0</v>
      </c>
      <c r="G29" s="98">
        <v>471.29166666666652</v>
      </c>
      <c r="H29" s="98">
        <v>0</v>
      </c>
      <c r="I29" s="98">
        <v>411.29166666666652</v>
      </c>
      <c r="J29" s="98">
        <v>0</v>
      </c>
      <c r="K29" s="98">
        <v>351.29166666666657</v>
      </c>
      <c r="L29" s="98">
        <v>0</v>
      </c>
      <c r="M29" s="98">
        <v>293.09999999999997</v>
      </c>
      <c r="N29" s="98">
        <v>1.8083333333333353</v>
      </c>
      <c r="O29" s="98">
        <v>237.70000000000002</v>
      </c>
      <c r="P29" s="98">
        <v>6.4083333333333368</v>
      </c>
      <c r="Q29" s="253">
        <v>0.29027777777777736</v>
      </c>
      <c r="T29">
        <f t="shared" si="28"/>
        <v>2024</v>
      </c>
      <c r="U29" s="98">
        <f t="shared" si="68"/>
        <v>0</v>
      </c>
      <c r="V29" s="98">
        <f t="shared" si="55"/>
        <v>0</v>
      </c>
      <c r="W29" s="98">
        <f t="shared" si="55"/>
        <v>0</v>
      </c>
      <c r="X29" s="98">
        <f t="shared" si="55"/>
        <v>0</v>
      </c>
      <c r="Y29" s="98">
        <f t="shared" si="55"/>
        <v>0</v>
      </c>
      <c r="Z29" s="98">
        <f t="shared" si="55"/>
        <v>17.7</v>
      </c>
      <c r="AA29" s="98">
        <f t="shared" si="55"/>
        <v>27.299999999999997</v>
      </c>
      <c r="AB29" s="98">
        <f t="shared" si="55"/>
        <v>22.900000000000006</v>
      </c>
      <c r="AC29" s="98">
        <f t="shared" si="55"/>
        <v>3.100000000000005</v>
      </c>
      <c r="AD29" s="98">
        <f t="shared" si="55"/>
        <v>0</v>
      </c>
      <c r="AE29" s="98">
        <f t="shared" si="55"/>
        <v>0</v>
      </c>
      <c r="AF29" s="98">
        <f t="shared" si="55"/>
        <v>0</v>
      </c>
      <c r="AG29" s="100">
        <f t="shared" ref="AG29" si="81">SUM(U29:AF29)</f>
        <v>71.000000000000014</v>
      </c>
      <c r="AI29">
        <f t="shared" si="75"/>
        <v>2024</v>
      </c>
      <c r="AJ29" s="98">
        <f t="shared" si="69"/>
        <v>0</v>
      </c>
      <c r="AK29" s="98">
        <f t="shared" si="69"/>
        <v>0</v>
      </c>
      <c r="AL29" s="98">
        <f t="shared" si="69"/>
        <v>0</v>
      </c>
      <c r="AM29" s="98">
        <f t="shared" si="69"/>
        <v>0</v>
      </c>
      <c r="AN29" s="98">
        <f t="shared" si="69"/>
        <v>4.3416666666666721</v>
      </c>
      <c r="AO29" s="98">
        <f t="shared" si="69"/>
        <v>33.293750000000003</v>
      </c>
      <c r="AP29" s="98">
        <f t="shared" si="69"/>
        <v>62.587499999999991</v>
      </c>
      <c r="AQ29" s="98">
        <f t="shared" si="69"/>
        <v>53.500000000000007</v>
      </c>
      <c r="AR29" s="98">
        <f t="shared" si="69"/>
        <v>20.20000000000001</v>
      </c>
      <c r="AS29" s="98">
        <f t="shared" si="69"/>
        <v>0</v>
      </c>
      <c r="AT29" s="98">
        <f t="shared" si="69"/>
        <v>0</v>
      </c>
      <c r="AU29" s="98">
        <f t="shared" si="69"/>
        <v>0</v>
      </c>
      <c r="AV29" s="100">
        <f t="shared" ref="AV29" si="82">SUM(AJ29:AU29)</f>
        <v>173.92291666666668</v>
      </c>
      <c r="AX29">
        <f t="shared" si="76"/>
        <v>2024</v>
      </c>
      <c r="AY29" s="98">
        <f t="shared" si="70"/>
        <v>0</v>
      </c>
      <c r="AZ29" s="98">
        <f t="shared" si="70"/>
        <v>0</v>
      </c>
      <c r="BA29" s="98">
        <f t="shared" si="70"/>
        <v>0</v>
      </c>
      <c r="BB29" s="98">
        <f t="shared" si="70"/>
        <v>0</v>
      </c>
      <c r="BC29" s="98">
        <f t="shared" si="70"/>
        <v>13.872916666666676</v>
      </c>
      <c r="BD29" s="98">
        <f t="shared" si="70"/>
        <v>58.193750000000009</v>
      </c>
      <c r="BE29" s="98">
        <f t="shared" si="70"/>
        <v>115.8354166666667</v>
      </c>
      <c r="BF29" s="98">
        <f t="shared" si="70"/>
        <v>95.018749999999983</v>
      </c>
      <c r="BG29" s="98">
        <f t="shared" si="70"/>
        <v>44.406250000000014</v>
      </c>
      <c r="BH29" s="98">
        <f t="shared" si="70"/>
        <v>0.19999999999999929</v>
      </c>
      <c r="BI29" s="98">
        <f t="shared" si="70"/>
        <v>0</v>
      </c>
      <c r="BJ29" s="98">
        <f t="shared" si="70"/>
        <v>0</v>
      </c>
      <c r="BK29" s="100">
        <f t="shared" ref="BK29" si="83">SUM(AY29:BJ29)</f>
        <v>327.52708333333334</v>
      </c>
      <c r="BM29">
        <f t="shared" si="77"/>
        <v>2024</v>
      </c>
      <c r="BN29" s="98">
        <f t="shared" si="71"/>
        <v>0</v>
      </c>
      <c r="BO29" s="98">
        <f t="shared" si="71"/>
        <v>0</v>
      </c>
      <c r="BP29" s="98">
        <f t="shared" si="71"/>
        <v>0</v>
      </c>
      <c r="BQ29" s="98">
        <f t="shared" si="71"/>
        <v>0</v>
      </c>
      <c r="BR29" s="98">
        <f t="shared" si="71"/>
        <v>33.814583333333346</v>
      </c>
      <c r="BS29" s="98">
        <f t="shared" si="71"/>
        <v>95.772916666666688</v>
      </c>
      <c r="BT29" s="98">
        <f t="shared" si="71"/>
        <v>175.9354166666667</v>
      </c>
      <c r="BU29" s="98">
        <f t="shared" si="71"/>
        <v>146.11875000000001</v>
      </c>
      <c r="BV29" s="98">
        <f t="shared" si="71"/>
        <v>84.914583333333354</v>
      </c>
      <c r="BW29" s="98">
        <f t="shared" si="71"/>
        <v>6.7291666666666661</v>
      </c>
      <c r="BX29" s="98">
        <f t="shared" si="71"/>
        <v>9.9999999999999645E-2</v>
      </c>
      <c r="BY29" s="98">
        <f t="shared" si="71"/>
        <v>0</v>
      </c>
      <c r="BZ29" s="100">
        <f t="shared" ref="BZ29" si="84">SUM(BN29:BY29)</f>
        <v>543.38541666666674</v>
      </c>
      <c r="CB29">
        <f t="shared" si="78"/>
        <v>2024</v>
      </c>
      <c r="CC29" s="98">
        <f t="shared" si="72"/>
        <v>0</v>
      </c>
      <c r="CD29" s="98">
        <f t="shared" si="62"/>
        <v>0</v>
      </c>
      <c r="CE29" s="98">
        <f t="shared" si="62"/>
        <v>0</v>
      </c>
      <c r="CF29" s="98">
        <f t="shared" si="62"/>
        <v>0</v>
      </c>
      <c r="CG29" s="98">
        <f t="shared" si="62"/>
        <v>66.068750000000023</v>
      </c>
      <c r="CH29" s="98">
        <f t="shared" si="62"/>
        <v>145.97291666666669</v>
      </c>
      <c r="CI29" s="98">
        <f t="shared" si="62"/>
        <v>237.9354166666667</v>
      </c>
      <c r="CJ29" s="98">
        <f t="shared" si="62"/>
        <v>205.81874999999999</v>
      </c>
      <c r="CK29" s="98">
        <f t="shared" si="62"/>
        <v>133.3145833333333</v>
      </c>
      <c r="CL29" s="98">
        <f t="shared" si="62"/>
        <v>19.129166666666666</v>
      </c>
      <c r="CM29" s="98">
        <f t="shared" si="62"/>
        <v>2.0999999999999996</v>
      </c>
      <c r="CN29" s="98">
        <f t="shared" si="62"/>
        <v>0</v>
      </c>
      <c r="CO29" s="100">
        <f t="shared" ref="CO29" si="85">SUM(CC29:CN29)</f>
        <v>810.33958333333351</v>
      </c>
      <c r="CQ29">
        <f t="shared" si="79"/>
        <v>2024</v>
      </c>
      <c r="CR29" s="98">
        <f t="shared" si="73"/>
        <v>0</v>
      </c>
      <c r="CS29" s="98">
        <f t="shared" si="64"/>
        <v>0</v>
      </c>
      <c r="CT29" s="98">
        <f t="shared" si="64"/>
        <v>0</v>
      </c>
      <c r="CU29" s="98">
        <f t="shared" si="64"/>
        <v>1.141666666666671</v>
      </c>
      <c r="CV29" s="98">
        <f t="shared" si="64"/>
        <v>109.8666666666667</v>
      </c>
      <c r="CW29" s="98">
        <f t="shared" si="64"/>
        <v>204.57291666666666</v>
      </c>
      <c r="CX29" s="98">
        <f t="shared" si="64"/>
        <v>299.93541666666664</v>
      </c>
      <c r="CY29" s="98">
        <f t="shared" si="64"/>
        <v>267.81874999999997</v>
      </c>
      <c r="CZ29" s="98">
        <f t="shared" si="64"/>
        <v>189.71458333333334</v>
      </c>
      <c r="DA29" s="98">
        <f t="shared" si="64"/>
        <v>34.629166666666663</v>
      </c>
      <c r="DB29" s="98">
        <f t="shared" si="64"/>
        <v>4.0999999999999996</v>
      </c>
      <c r="DC29" s="98">
        <f t="shared" si="64"/>
        <v>0</v>
      </c>
      <c r="DD29" s="100">
        <f t="shared" ref="DD29" si="86">SUM(CR29:DC29)</f>
        <v>1111.7791666666665</v>
      </c>
      <c r="DF29">
        <f t="shared" si="80"/>
        <v>2024</v>
      </c>
      <c r="DG29" s="98">
        <f t="shared" si="74"/>
        <v>0</v>
      </c>
      <c r="DH29" s="98">
        <f t="shared" si="66"/>
        <v>0</v>
      </c>
      <c r="DI29" s="98">
        <f t="shared" si="66"/>
        <v>0</v>
      </c>
      <c r="DJ29" s="98">
        <f t="shared" si="66"/>
        <v>5.5812500000000043</v>
      </c>
      <c r="DK29" s="98">
        <f t="shared" si="66"/>
        <v>169.1875</v>
      </c>
      <c r="DL29" s="98">
        <f t="shared" si="66"/>
        <v>264.57291666666663</v>
      </c>
      <c r="DM29" s="98">
        <f t="shared" si="66"/>
        <v>361.9354166666667</v>
      </c>
      <c r="DN29" s="98">
        <f t="shared" si="66"/>
        <v>329.81875000000002</v>
      </c>
      <c r="DO29" s="98">
        <f t="shared" si="66"/>
        <v>247.71458333333334</v>
      </c>
      <c r="DP29" s="98">
        <f t="shared" si="66"/>
        <v>58.229166666666671</v>
      </c>
      <c r="DQ29" s="98">
        <f t="shared" si="66"/>
        <v>6.1</v>
      </c>
      <c r="DR29" s="98">
        <f t="shared" si="66"/>
        <v>0</v>
      </c>
      <c r="DS29" s="100">
        <f t="shared" ref="DS29" si="87">SUM(DG29:DR29)</f>
        <v>1443.1395833333333</v>
      </c>
      <c r="DU29" s="17">
        <f>'Monthly Data'!D29</f>
        <v>29828586.608667668</v>
      </c>
      <c r="DV29" s="17">
        <f>'Monthly Data'!H29</f>
        <v>11114912.315917607</v>
      </c>
      <c r="DW29" s="17">
        <f>'Monthly Data'!L29</f>
        <v>28057902.761508156</v>
      </c>
    </row>
    <row r="30" spans="1:127" x14ac:dyDescent="0.2">
      <c r="A30">
        <v>2016</v>
      </c>
      <c r="B30">
        <v>5</v>
      </c>
      <c r="C30" s="98">
        <v>235.00208333333333</v>
      </c>
      <c r="D30" s="98">
        <v>2.8916666666666693</v>
      </c>
      <c r="E30" s="98">
        <v>180.35208333333333</v>
      </c>
      <c r="F30" s="98">
        <v>10.241666666666671</v>
      </c>
      <c r="G30" s="98">
        <v>129.07708333333335</v>
      </c>
      <c r="H30" s="98">
        <v>20.966666666666669</v>
      </c>
      <c r="I30" s="98">
        <v>87.768750000000026</v>
      </c>
      <c r="J30" s="98">
        <v>41.658333333333346</v>
      </c>
      <c r="K30" s="98">
        <v>57.731249999999996</v>
      </c>
      <c r="L30" s="98">
        <v>73.620833333333351</v>
      </c>
      <c r="M30" s="98">
        <v>34.1875</v>
      </c>
      <c r="N30" s="98">
        <v>112.07708333333336</v>
      </c>
      <c r="O30" s="98">
        <v>19.037500000000001</v>
      </c>
      <c r="P30" s="98">
        <v>158.92708333333331</v>
      </c>
      <c r="Q30" s="253">
        <v>12.512567204301073</v>
      </c>
      <c r="T30" t="s">
        <v>107</v>
      </c>
      <c r="U30" s="99">
        <f t="shared" ref="U30:AF30" si="88">AVERAGE(U19:U28)</f>
        <v>0</v>
      </c>
      <c r="V30" s="99">
        <f t="shared" si="88"/>
        <v>0</v>
      </c>
      <c r="W30" s="99">
        <f t="shared" si="88"/>
        <v>0</v>
      </c>
      <c r="X30" s="99">
        <f t="shared" si="88"/>
        <v>0</v>
      </c>
      <c r="Y30" s="99">
        <f t="shared" si="88"/>
        <v>3.2039583333333339</v>
      </c>
      <c r="Z30" s="99">
        <f t="shared" si="88"/>
        <v>9.286249999999999</v>
      </c>
      <c r="AA30" s="99">
        <f t="shared" si="88"/>
        <v>23.269862441162147</v>
      </c>
      <c r="AB30" s="99">
        <f t="shared" si="88"/>
        <v>11.798958333333335</v>
      </c>
      <c r="AC30" s="99">
        <f t="shared" si="88"/>
        <v>3.6933333333333338</v>
      </c>
      <c r="AD30" s="99">
        <f t="shared" si="88"/>
        <v>0</v>
      </c>
      <c r="AE30" s="99">
        <f t="shared" si="88"/>
        <v>0</v>
      </c>
      <c r="AF30" s="99">
        <f t="shared" si="88"/>
        <v>0</v>
      </c>
      <c r="AG30" s="100">
        <f t="shared" si="15"/>
        <v>51.252362441162155</v>
      </c>
      <c r="AI30" t="s">
        <v>107</v>
      </c>
      <c r="AJ30" s="99">
        <f t="shared" ref="AJ30:AU30" si="89">AVERAGE(AJ19:AJ28)</f>
        <v>0</v>
      </c>
      <c r="AK30" s="99">
        <f t="shared" si="89"/>
        <v>0</v>
      </c>
      <c r="AL30" s="99">
        <f t="shared" si="89"/>
        <v>0</v>
      </c>
      <c r="AM30" s="99">
        <f t="shared" si="89"/>
        <v>0</v>
      </c>
      <c r="AN30" s="99">
        <f t="shared" si="89"/>
        <v>9.6293749999999996</v>
      </c>
      <c r="AO30" s="99">
        <f t="shared" si="89"/>
        <v>25.077154107828811</v>
      </c>
      <c r="AP30" s="99">
        <f t="shared" si="89"/>
        <v>56.475141548990976</v>
      </c>
      <c r="AQ30" s="99">
        <f t="shared" si="89"/>
        <v>35.296250000000008</v>
      </c>
      <c r="AR30" s="99">
        <f t="shared" si="89"/>
        <v>11.128958333333333</v>
      </c>
      <c r="AS30" s="99">
        <f t="shared" si="89"/>
        <v>0.44687499999999963</v>
      </c>
      <c r="AT30" s="99">
        <f t="shared" si="89"/>
        <v>0</v>
      </c>
      <c r="AU30" s="99">
        <f t="shared" si="89"/>
        <v>0</v>
      </c>
      <c r="AV30" s="100">
        <f t="shared" ref="AV30" si="90">SUM(AJ30:AU30)</f>
        <v>138.05375399015315</v>
      </c>
      <c r="AX30" t="s">
        <v>107</v>
      </c>
      <c r="AY30" s="99">
        <f t="shared" ref="AY30:BJ30" si="91">AVERAGE(AY19:AY28)</f>
        <v>0</v>
      </c>
      <c r="AZ30" s="99">
        <f t="shared" si="91"/>
        <v>0</v>
      </c>
      <c r="BA30" s="99">
        <f t="shared" si="91"/>
        <v>0</v>
      </c>
      <c r="BB30" s="99">
        <f t="shared" si="91"/>
        <v>1.1666666666666714E-2</v>
      </c>
      <c r="BC30" s="99">
        <f t="shared" si="91"/>
        <v>19.778958333333328</v>
      </c>
      <c r="BD30" s="99">
        <f t="shared" si="91"/>
        <v>53.293685210734182</v>
      </c>
      <c r="BE30" s="99">
        <f t="shared" si="91"/>
        <v>104.42694776957208</v>
      </c>
      <c r="BF30" s="99">
        <f t="shared" si="91"/>
        <v>74.696666666666673</v>
      </c>
      <c r="BG30" s="99">
        <f t="shared" si="91"/>
        <v>25.91041666666667</v>
      </c>
      <c r="BH30" s="99">
        <f t="shared" si="91"/>
        <v>2.0656249999999989</v>
      </c>
      <c r="BI30" s="99">
        <f t="shared" si="91"/>
        <v>0</v>
      </c>
      <c r="BJ30" s="99">
        <f t="shared" si="91"/>
        <v>0</v>
      </c>
      <c r="BK30" s="100">
        <f t="shared" ref="BK30" si="92">SUM(AY30:BJ30)</f>
        <v>280.18396631363959</v>
      </c>
      <c r="BM30" t="s">
        <v>107</v>
      </c>
      <c r="BN30" s="99">
        <f t="shared" ref="BN30:BY30" si="93">AVERAGE(BN19:BN28)</f>
        <v>0</v>
      </c>
      <c r="BO30" s="99">
        <f t="shared" si="93"/>
        <v>0</v>
      </c>
      <c r="BP30" s="99">
        <f t="shared" si="93"/>
        <v>0</v>
      </c>
      <c r="BQ30" s="99">
        <f t="shared" si="93"/>
        <v>0.66680821565763149</v>
      </c>
      <c r="BR30" s="99">
        <f t="shared" si="93"/>
        <v>36.262916666666669</v>
      </c>
      <c r="BS30" s="99">
        <f t="shared" si="93"/>
        <v>94.065351877400872</v>
      </c>
      <c r="BT30" s="99">
        <f t="shared" si="93"/>
        <v>161.34944776957207</v>
      </c>
      <c r="BU30" s="99">
        <f t="shared" si="93"/>
        <v>126.39375</v>
      </c>
      <c r="BV30" s="99">
        <f t="shared" si="93"/>
        <v>49.825624999999995</v>
      </c>
      <c r="BW30" s="99">
        <f t="shared" si="93"/>
        <v>6.5254166666666666</v>
      </c>
      <c r="BX30" s="99">
        <f t="shared" si="93"/>
        <v>0.14124999999999996</v>
      </c>
      <c r="BY30" s="99">
        <f t="shared" si="93"/>
        <v>0</v>
      </c>
      <c r="BZ30" s="100">
        <f t="shared" ref="BZ30" si="94">SUM(BN30:BY30)</f>
        <v>475.23056619596395</v>
      </c>
      <c r="CB30" t="s">
        <v>107</v>
      </c>
      <c r="CC30" s="99">
        <f t="shared" ref="CC30:CN30" si="95">AVERAGE(CC19:CC28)</f>
        <v>0</v>
      </c>
      <c r="CD30" s="99">
        <f t="shared" si="95"/>
        <v>0</v>
      </c>
      <c r="CE30" s="99">
        <f t="shared" si="95"/>
        <v>0</v>
      </c>
      <c r="CF30" s="99">
        <f t="shared" si="95"/>
        <v>2.0018082156576313</v>
      </c>
      <c r="CG30" s="99">
        <f t="shared" si="95"/>
        <v>60.119374999999991</v>
      </c>
      <c r="CH30" s="99">
        <f t="shared" si="95"/>
        <v>145.52722687740084</v>
      </c>
      <c r="CI30" s="99">
        <f t="shared" si="95"/>
        <v>222.26528110290536</v>
      </c>
      <c r="CJ30" s="99">
        <f t="shared" si="95"/>
        <v>185.18423744116217</v>
      </c>
      <c r="CK30" s="99">
        <f t="shared" si="95"/>
        <v>84.655208333333334</v>
      </c>
      <c r="CL30" s="99">
        <f t="shared" si="95"/>
        <v>15.801041666666663</v>
      </c>
      <c r="CM30" s="99">
        <f t="shared" si="95"/>
        <v>0.8529166666666661</v>
      </c>
      <c r="CN30" s="99">
        <f t="shared" si="95"/>
        <v>0</v>
      </c>
      <c r="CO30" s="100">
        <f t="shared" ref="CO30" si="96">SUM(CC30:CN30)</f>
        <v>716.40709530379263</v>
      </c>
      <c r="CQ30" t="s">
        <v>107</v>
      </c>
      <c r="CR30" s="99">
        <f t="shared" ref="CR30:DC30" si="97">AVERAGE(CR19:CR28)</f>
        <v>0</v>
      </c>
      <c r="CS30" s="99">
        <f t="shared" si="97"/>
        <v>0</v>
      </c>
      <c r="CT30" s="99">
        <f t="shared" si="97"/>
        <v>0</v>
      </c>
      <c r="CU30" s="99">
        <f t="shared" si="97"/>
        <v>4.7078498823242985</v>
      </c>
      <c r="CV30" s="99">
        <f t="shared" si="97"/>
        <v>92.437708333333333</v>
      </c>
      <c r="CW30" s="99">
        <f t="shared" si="97"/>
        <v>202.58250598522966</v>
      </c>
      <c r="CX30" s="99">
        <f t="shared" si="97"/>
        <v>284.26528110290536</v>
      </c>
      <c r="CY30" s="99">
        <f t="shared" si="97"/>
        <v>246.56798744116219</v>
      </c>
      <c r="CZ30" s="99">
        <f t="shared" si="97"/>
        <v>129.60215410782882</v>
      </c>
      <c r="DA30" s="99">
        <f t="shared" si="97"/>
        <v>28.806249999999999</v>
      </c>
      <c r="DB30" s="99">
        <f t="shared" si="97"/>
        <v>2.1391666666666658</v>
      </c>
      <c r="DC30" s="99">
        <f t="shared" si="97"/>
        <v>0</v>
      </c>
      <c r="DD30" s="100">
        <f t="shared" ref="DD30" si="98">SUM(CR30:DC30)</f>
        <v>991.10890351945034</v>
      </c>
      <c r="DF30" t="s">
        <v>107</v>
      </c>
      <c r="DG30" s="99">
        <f t="shared" ref="DG30:DR30" si="99">AVERAGE(DG19:DG28)</f>
        <v>0</v>
      </c>
      <c r="DH30" s="99">
        <f t="shared" si="99"/>
        <v>0</v>
      </c>
      <c r="DI30" s="99">
        <f t="shared" si="99"/>
        <v>2.2499999999999964E-2</v>
      </c>
      <c r="DJ30" s="99">
        <f t="shared" si="99"/>
        <v>9.9582665489909665</v>
      </c>
      <c r="DK30" s="99">
        <f t="shared" si="99"/>
        <v>132.90507077449544</v>
      </c>
      <c r="DL30" s="99">
        <f t="shared" si="99"/>
        <v>261.4487559852297</v>
      </c>
      <c r="DM30" s="99">
        <f t="shared" si="99"/>
        <v>346.26528110290548</v>
      </c>
      <c r="DN30" s="99">
        <f t="shared" si="99"/>
        <v>308.45215410782879</v>
      </c>
      <c r="DO30" s="99">
        <f t="shared" si="99"/>
        <v>181.88736244116217</v>
      </c>
      <c r="DP30" s="99">
        <f t="shared" si="99"/>
        <v>47.398820774495483</v>
      </c>
      <c r="DQ30" s="99">
        <f t="shared" si="99"/>
        <v>4.8368749999999991</v>
      </c>
      <c r="DR30" s="99">
        <f t="shared" si="99"/>
        <v>0</v>
      </c>
      <c r="DS30" s="100">
        <f t="shared" ref="DS30" si="100">SUM(DG30:DR30)</f>
        <v>1293.1750867351082</v>
      </c>
      <c r="DU30" s="17">
        <f>'Monthly Data'!D30</f>
        <v>25352577.294581693</v>
      </c>
      <c r="DV30" s="17">
        <f>'Monthly Data'!H30</f>
        <v>10493927.499558283</v>
      </c>
      <c r="DW30" s="17">
        <f>'Monthly Data'!L30</f>
        <v>26463366.651918966</v>
      </c>
    </row>
    <row r="31" spans="1:127" x14ac:dyDescent="0.2">
      <c r="A31">
        <v>2016</v>
      </c>
      <c r="B31">
        <v>6</v>
      </c>
      <c r="C31" s="98">
        <v>107.67083333333335</v>
      </c>
      <c r="D31" s="98">
        <v>15.889583333333327</v>
      </c>
      <c r="E31" s="98">
        <v>68.266666666666652</v>
      </c>
      <c r="F31" s="98">
        <v>36.485416666666666</v>
      </c>
      <c r="G31" s="98">
        <v>38.383333333333319</v>
      </c>
      <c r="H31" s="98">
        <v>66.60208333333334</v>
      </c>
      <c r="I31" s="98">
        <v>15.795833333333331</v>
      </c>
      <c r="J31" s="98">
        <v>104.01458333333335</v>
      </c>
      <c r="K31" s="98">
        <v>5.7208333333333341</v>
      </c>
      <c r="L31" s="98">
        <v>153.93958333333333</v>
      </c>
      <c r="M31" s="98">
        <v>2.2375000000000016</v>
      </c>
      <c r="N31" s="98">
        <v>210.45624999999993</v>
      </c>
      <c r="O31" s="98">
        <v>0.2375000000000016</v>
      </c>
      <c r="P31" s="98">
        <v>268.45624999999995</v>
      </c>
      <c r="Q31" s="253">
        <v>16.940625000000001</v>
      </c>
      <c r="U31" s="98"/>
      <c r="V31" s="98"/>
      <c r="W31" s="98"/>
      <c r="X31" s="98"/>
      <c r="Y31" s="98"/>
      <c r="Z31" s="98"/>
      <c r="AA31" s="98"/>
      <c r="AB31" s="98"/>
      <c r="AC31" s="98"/>
      <c r="AD31" s="98"/>
      <c r="AE31" s="98"/>
      <c r="AF31" s="98"/>
      <c r="AJ31" s="98"/>
      <c r="AK31" s="98"/>
      <c r="AL31" s="98"/>
      <c r="AM31" s="98"/>
      <c r="AN31" s="98"/>
      <c r="AO31" s="98"/>
      <c r="AP31" s="98"/>
      <c r="AQ31" s="98"/>
      <c r="AR31" s="98"/>
      <c r="AS31" s="98"/>
      <c r="AT31" s="98"/>
      <c r="AU31" s="98"/>
      <c r="AY31" s="98"/>
      <c r="AZ31" s="98"/>
      <c r="BA31" s="98"/>
      <c r="BB31" s="98"/>
      <c r="BC31" s="98"/>
      <c r="BD31" s="98"/>
      <c r="BE31" s="98"/>
      <c r="BF31" s="98"/>
      <c r="BG31" s="98"/>
      <c r="BH31" s="98"/>
      <c r="BI31" s="98"/>
      <c r="BJ31" s="98"/>
      <c r="BN31" s="98"/>
      <c r="BO31" s="98"/>
      <c r="BP31" s="98"/>
      <c r="BQ31" s="98"/>
      <c r="BR31" s="98"/>
      <c r="BS31" s="98"/>
      <c r="BT31" s="98"/>
      <c r="BU31" s="98"/>
      <c r="BV31" s="98"/>
      <c r="BW31" s="98"/>
      <c r="BX31" s="98"/>
      <c r="BY31" s="98"/>
      <c r="CC31" s="98"/>
      <c r="CD31" s="98"/>
      <c r="CE31" s="98"/>
      <c r="CF31" s="98"/>
      <c r="CG31" s="98"/>
      <c r="CH31" s="98"/>
      <c r="CI31" s="98"/>
      <c r="CJ31" s="98"/>
      <c r="CK31" s="98"/>
      <c r="CL31" s="98"/>
      <c r="CM31" s="98"/>
      <c r="CN31" s="98"/>
      <c r="CR31" s="98"/>
      <c r="CS31" s="98"/>
      <c r="CT31" s="98"/>
      <c r="CU31" s="98"/>
      <c r="CV31" s="98"/>
      <c r="CW31" s="98"/>
      <c r="CX31" s="98"/>
      <c r="CY31" s="98"/>
      <c r="CZ31" s="98"/>
      <c r="DA31" s="98"/>
      <c r="DB31" s="98"/>
      <c r="DC31" s="98"/>
      <c r="DG31" s="98"/>
      <c r="DH31" s="98"/>
      <c r="DI31" s="98"/>
      <c r="DJ31" s="98"/>
      <c r="DK31" s="98"/>
      <c r="DL31" s="98"/>
      <c r="DM31" s="98"/>
      <c r="DN31" s="98"/>
      <c r="DO31" s="98"/>
      <c r="DP31" s="98"/>
      <c r="DQ31" s="98"/>
      <c r="DR31" s="98"/>
      <c r="DU31" s="17">
        <f>'Monthly Data'!D31</f>
        <v>24398256.259960722</v>
      </c>
      <c r="DV31" s="17">
        <f>'Monthly Data'!H31</f>
        <v>10262584.004443824</v>
      </c>
      <c r="DW31" s="17">
        <f>'Monthly Data'!L31</f>
        <v>26486150.076166298</v>
      </c>
    </row>
    <row r="32" spans="1:127" x14ac:dyDescent="0.2">
      <c r="A32">
        <v>2016</v>
      </c>
      <c r="B32">
        <v>7</v>
      </c>
      <c r="C32" s="98">
        <v>37.758333333333326</v>
      </c>
      <c r="D32" s="98">
        <v>28.125000000000011</v>
      </c>
      <c r="E32" s="98">
        <v>17.566666666666663</v>
      </c>
      <c r="F32" s="98">
        <v>69.933333333333337</v>
      </c>
      <c r="G32" s="98">
        <v>6.3541666666666643</v>
      </c>
      <c r="H32" s="98">
        <v>120.72083333333335</v>
      </c>
      <c r="I32" s="98">
        <v>0.6458333333333357</v>
      </c>
      <c r="J32" s="98">
        <v>177.01249999999999</v>
      </c>
      <c r="K32" s="98">
        <v>0</v>
      </c>
      <c r="L32" s="98">
        <v>238.36666666666665</v>
      </c>
      <c r="M32" s="98">
        <v>0</v>
      </c>
      <c r="N32" s="98">
        <v>300.36666666666656</v>
      </c>
      <c r="O32" s="98">
        <v>0</v>
      </c>
      <c r="P32" s="98">
        <v>362.36666666666679</v>
      </c>
      <c r="Q32" s="253">
        <v>19.689247311827959</v>
      </c>
      <c r="AG32" s="21"/>
      <c r="AV32" s="21"/>
      <c r="AW32" s="21"/>
      <c r="BK32" s="21"/>
      <c r="BL32" s="21"/>
      <c r="BZ32" s="21"/>
      <c r="CA32" s="21"/>
      <c r="CO32" s="21"/>
      <c r="CP32" s="21"/>
      <c r="DD32" s="21"/>
      <c r="DE32" s="21"/>
      <c r="DS32" s="21"/>
      <c r="DT32" s="21"/>
      <c r="DU32" s="17">
        <f>'Monthly Data'!D32</f>
        <v>26721353.036009789</v>
      </c>
      <c r="DV32" s="17">
        <f>'Monthly Data'!H32</f>
        <v>10921149.736661363</v>
      </c>
      <c r="DW32" s="17">
        <f>'Monthly Data'!L32</f>
        <v>28337127.955361649</v>
      </c>
    </row>
    <row r="33" spans="1:127" x14ac:dyDescent="0.2">
      <c r="A33">
        <v>2016</v>
      </c>
      <c r="B33">
        <v>8</v>
      </c>
      <c r="C33" s="98">
        <v>37.162499999999994</v>
      </c>
      <c r="D33" s="98">
        <v>29.074999999999996</v>
      </c>
      <c r="E33" s="98">
        <v>10.483333333333327</v>
      </c>
      <c r="F33" s="98">
        <v>64.395833333333357</v>
      </c>
      <c r="G33" s="98">
        <v>1.7749999999999986</v>
      </c>
      <c r="H33" s="98">
        <v>117.68750000000001</v>
      </c>
      <c r="I33" s="98">
        <v>0</v>
      </c>
      <c r="J33" s="98">
        <v>177.91250000000002</v>
      </c>
      <c r="K33" s="98">
        <v>0</v>
      </c>
      <c r="L33" s="98">
        <v>239.91250000000002</v>
      </c>
      <c r="M33" s="98">
        <v>0</v>
      </c>
      <c r="N33" s="98">
        <v>301.91249999999997</v>
      </c>
      <c r="O33" s="98">
        <v>0</v>
      </c>
      <c r="P33" s="98">
        <v>363.91249999999997</v>
      </c>
      <c r="Q33" s="253">
        <v>19.739112903225809</v>
      </c>
      <c r="AG33" s="21"/>
      <c r="AV33" s="21"/>
      <c r="AW33" s="21"/>
      <c r="BK33" s="21"/>
      <c r="BL33" s="21"/>
      <c r="BZ33" s="21"/>
      <c r="CA33" s="21"/>
      <c r="CO33" s="21"/>
      <c r="CP33" s="21"/>
      <c r="DD33" s="21"/>
      <c r="DE33" s="21"/>
      <c r="DS33" s="21"/>
      <c r="DT33" s="21"/>
      <c r="DU33" s="17">
        <f>'Monthly Data'!D33</f>
        <v>26103940.427887958</v>
      </c>
      <c r="DV33" s="17">
        <f>'Monthly Data'!H33</f>
        <v>10789464.926259849</v>
      </c>
      <c r="DW33" s="17">
        <f>'Monthly Data'!L33</f>
        <v>28853298.381097414</v>
      </c>
    </row>
    <row r="34" spans="1:127" ht="15" x14ac:dyDescent="0.25">
      <c r="A34">
        <v>2016</v>
      </c>
      <c r="B34">
        <v>9</v>
      </c>
      <c r="C34" s="98">
        <v>150.91041666666669</v>
      </c>
      <c r="D34" s="98">
        <v>3.5000000000000036</v>
      </c>
      <c r="E34" s="98">
        <v>95.339583333333309</v>
      </c>
      <c r="F34" s="98">
        <v>7.9291666666666671</v>
      </c>
      <c r="G34" s="98">
        <v>53.858333333333334</v>
      </c>
      <c r="H34" s="98">
        <v>26.447916666666682</v>
      </c>
      <c r="I34" s="98">
        <v>25.270833333333336</v>
      </c>
      <c r="J34" s="98">
        <v>57.86041666666668</v>
      </c>
      <c r="K34" s="98">
        <v>8.9458333333333382</v>
      </c>
      <c r="L34" s="98">
        <v>101.53541666666669</v>
      </c>
      <c r="M34" s="98">
        <v>1.0041666666666682</v>
      </c>
      <c r="N34" s="98">
        <v>153.59375</v>
      </c>
      <c r="O34" s="98">
        <v>0</v>
      </c>
      <c r="P34" s="98">
        <v>212.58958333333337</v>
      </c>
      <c r="Q34" s="253">
        <v>15.086319444444447</v>
      </c>
      <c r="U34" s="15" t="s">
        <v>108</v>
      </c>
      <c r="Z34" s="15"/>
      <c r="AG34" s="21"/>
      <c r="AJ34" s="15" t="s">
        <v>108</v>
      </c>
      <c r="AO34" s="15"/>
      <c r="AV34" s="21"/>
      <c r="AW34" s="21"/>
      <c r="AY34" s="15" t="s">
        <v>108</v>
      </c>
      <c r="BD34" s="15"/>
      <c r="BK34" s="21"/>
      <c r="BL34" s="21"/>
      <c r="BN34" s="15" t="s">
        <v>108</v>
      </c>
      <c r="BS34" s="15"/>
      <c r="BZ34" s="21"/>
      <c r="CA34" s="21"/>
      <c r="CC34" s="15" t="s">
        <v>108</v>
      </c>
      <c r="CH34" s="15"/>
      <c r="CO34" s="21"/>
      <c r="CP34" s="21"/>
      <c r="CR34" s="15" t="s">
        <v>108</v>
      </c>
      <c r="CW34" s="15"/>
      <c r="DD34" s="21"/>
      <c r="DE34" s="21"/>
      <c r="DG34" s="15" t="s">
        <v>108</v>
      </c>
      <c r="DL34" s="15"/>
      <c r="DS34" s="21"/>
      <c r="DT34" s="21"/>
      <c r="DU34" s="17">
        <f>'Monthly Data'!D34</f>
        <v>23999753.941075258</v>
      </c>
      <c r="DV34" s="17">
        <f>'Monthly Data'!H34</f>
        <v>9937199.841262674</v>
      </c>
      <c r="DW34" s="17">
        <f>'Monthly Data'!L34</f>
        <v>26583230.017995082</v>
      </c>
    </row>
    <row r="35" spans="1:127" x14ac:dyDescent="0.2">
      <c r="A35">
        <v>2016</v>
      </c>
      <c r="B35">
        <v>10</v>
      </c>
      <c r="C35" s="98">
        <v>387.71666666666664</v>
      </c>
      <c r="D35" s="98">
        <v>0</v>
      </c>
      <c r="E35" s="98">
        <v>325.71666666666675</v>
      </c>
      <c r="F35" s="98">
        <v>0</v>
      </c>
      <c r="G35" s="98">
        <v>266.12083333333339</v>
      </c>
      <c r="H35" s="98">
        <v>2.404166666666665</v>
      </c>
      <c r="I35" s="98">
        <v>210.64166666666668</v>
      </c>
      <c r="J35" s="98">
        <v>8.9250000000000007</v>
      </c>
      <c r="K35" s="98">
        <v>163.39166666666668</v>
      </c>
      <c r="L35" s="98">
        <v>23.674999999999997</v>
      </c>
      <c r="M35" s="98">
        <v>121.99583333333332</v>
      </c>
      <c r="N35" s="98">
        <v>44.279166666666661</v>
      </c>
      <c r="O35" s="98">
        <v>85.466666666666654</v>
      </c>
      <c r="P35" s="98">
        <v>69.75</v>
      </c>
      <c r="Q35" s="253">
        <v>7.4930107526881713</v>
      </c>
      <c r="W35" s="16" t="str">
        <f ca="1">T4</f>
        <v>HDD20</v>
      </c>
      <c r="X35" s="16" t="str">
        <f ca="1">T18</f>
        <v>CDD20</v>
      </c>
      <c r="AG35" s="21"/>
      <c r="AL35" s="16" t="str">
        <f>AI4</f>
        <v>HDD18</v>
      </c>
      <c r="AM35" s="16" t="str">
        <f>AI18</f>
        <v>CDD18</v>
      </c>
      <c r="AV35" s="21"/>
      <c r="AW35" s="21"/>
      <c r="BA35" s="16" t="str">
        <f>AX4</f>
        <v>HDD16</v>
      </c>
      <c r="BB35" s="16" t="str">
        <f>AX18</f>
        <v>CDD16</v>
      </c>
      <c r="BK35" s="21"/>
      <c r="BL35" s="21"/>
      <c r="BP35" s="16" t="str">
        <f>BM4</f>
        <v>HDD14</v>
      </c>
      <c r="BQ35" s="16" t="str">
        <f>BM18</f>
        <v>CDD14</v>
      </c>
      <c r="BZ35" s="21"/>
      <c r="CA35" s="21"/>
      <c r="CE35" s="16" t="str">
        <f>CB4</f>
        <v>HDD12</v>
      </c>
      <c r="CF35" s="16" t="str">
        <f>CB18</f>
        <v>CDD12</v>
      </c>
      <c r="CO35" s="21"/>
      <c r="CP35" s="21"/>
      <c r="CT35" s="16" t="str">
        <f>CQ4</f>
        <v>HDD10</v>
      </c>
      <c r="CU35" s="16" t="str">
        <f>CQ18</f>
        <v>CDD10</v>
      </c>
      <c r="DD35" s="21"/>
      <c r="DE35" s="21"/>
      <c r="DI35" s="16" t="str">
        <f>DF4</f>
        <v>HDD8</v>
      </c>
      <c r="DJ35" s="16" t="str">
        <f>DF18</f>
        <v>CDD8</v>
      </c>
      <c r="DS35" s="21"/>
      <c r="DT35" s="21"/>
      <c r="DU35" s="17">
        <f>'Monthly Data'!D35</f>
        <v>25456939.670759201</v>
      </c>
      <c r="DV35" s="17">
        <f>'Monthly Data'!H35</f>
        <v>10175926.390142158</v>
      </c>
      <c r="DW35" s="17">
        <f>'Monthly Data'!L35</f>
        <v>27189487.124417316</v>
      </c>
    </row>
    <row r="36" spans="1:127" x14ac:dyDescent="0.2">
      <c r="A36">
        <v>2016</v>
      </c>
      <c r="B36">
        <v>11</v>
      </c>
      <c r="C36" s="98">
        <v>523.76249999999993</v>
      </c>
      <c r="D36" s="98">
        <v>0</v>
      </c>
      <c r="E36" s="98">
        <v>463.76249999999999</v>
      </c>
      <c r="F36" s="98">
        <v>0</v>
      </c>
      <c r="G36" s="98">
        <v>403.76249999999999</v>
      </c>
      <c r="H36" s="98">
        <v>0</v>
      </c>
      <c r="I36" s="98">
        <v>343.76249999999999</v>
      </c>
      <c r="J36" s="98">
        <v>0</v>
      </c>
      <c r="K36" s="98">
        <v>283.76250000000005</v>
      </c>
      <c r="L36" s="98">
        <v>0</v>
      </c>
      <c r="M36" s="98">
        <v>223.76250000000002</v>
      </c>
      <c r="N36" s="98">
        <v>0</v>
      </c>
      <c r="O36" s="98">
        <v>165.07083333333335</v>
      </c>
      <c r="P36" s="98">
        <v>1.3083333333333353</v>
      </c>
      <c r="Q36" s="253">
        <v>2.5412500000000002</v>
      </c>
      <c r="U36" t="s">
        <v>109</v>
      </c>
      <c r="V36" t="s">
        <v>110</v>
      </c>
      <c r="W36" s="253">
        <f ca="1">OFFSET(U$16,0,(ROW()-ROW(W$36)))</f>
        <v>976.68367523535164</v>
      </c>
      <c r="X36" s="253">
        <f ca="1">OFFSET(U$30,0,(ROW()-ROW(X$36)))</f>
        <v>0</v>
      </c>
      <c r="AG36" s="21"/>
      <c r="AJ36" t="s">
        <v>109</v>
      </c>
      <c r="AK36" t="s">
        <v>110</v>
      </c>
      <c r="AL36" s="253">
        <f ca="1">OFFSET(AJ$16,0,(ROW()-ROW(AL$36)))</f>
        <v>914.68367523535164</v>
      </c>
      <c r="AM36" s="253">
        <f ca="1">OFFSET(AJ$30,0,(ROW()-ROW(AM$36)))</f>
        <v>0</v>
      </c>
      <c r="AV36" s="21"/>
      <c r="AW36" s="21"/>
      <c r="AY36" t="s">
        <v>109</v>
      </c>
      <c r="AZ36" t="s">
        <v>110</v>
      </c>
      <c r="BA36" s="253">
        <f ca="1">OFFSET(AY$16,0,(ROW()-ROW(BA$36)))</f>
        <v>852.68367523535142</v>
      </c>
      <c r="BB36" s="253">
        <f ca="1">OFFSET(AY$30,0,(ROW()-ROW(BB$36)))</f>
        <v>0</v>
      </c>
      <c r="BK36" s="21"/>
      <c r="BL36" s="21"/>
      <c r="BN36" t="s">
        <v>109</v>
      </c>
      <c r="BO36" t="s">
        <v>110</v>
      </c>
      <c r="BP36" s="253">
        <f ca="1">OFFSET(BN$16,0,(ROW()-ROW(BP$36)))</f>
        <v>790.6836752353513</v>
      </c>
      <c r="BQ36" s="253">
        <f ca="1">OFFSET(BN$30,0,(ROW()-ROW(BQ$36)))</f>
        <v>0</v>
      </c>
      <c r="BZ36" s="21"/>
      <c r="CA36" s="21"/>
      <c r="CC36" t="s">
        <v>109</v>
      </c>
      <c r="CD36" t="s">
        <v>110</v>
      </c>
      <c r="CE36" s="253">
        <f ca="1">OFFSET(CC$16,0,(ROW()-ROW(CE$36)))</f>
        <v>728.68367523535153</v>
      </c>
      <c r="CF36" s="253">
        <f ca="1">OFFSET(CC$30,0,(ROW()-ROW(CF$36)))</f>
        <v>0</v>
      </c>
      <c r="CO36" s="21"/>
      <c r="CP36" s="21"/>
      <c r="CR36" t="s">
        <v>109</v>
      </c>
      <c r="CS36" t="s">
        <v>110</v>
      </c>
      <c r="CT36" s="253">
        <f ca="1">OFFSET(CR$16,0,(ROW()-ROW(CT$36)))</f>
        <v>666.68367523535153</v>
      </c>
      <c r="CU36" s="253">
        <f ca="1">OFFSET(CR$30,0,(ROW()-ROW(CU$36)))</f>
        <v>0</v>
      </c>
      <c r="DD36" s="21"/>
      <c r="DE36" s="21"/>
      <c r="DG36" t="s">
        <v>109</v>
      </c>
      <c r="DH36" t="s">
        <v>110</v>
      </c>
      <c r="DI36" s="253">
        <f ca="1">OFFSET(DG$16,0,(ROW()-ROW(DI$36)))</f>
        <v>604.68367523535153</v>
      </c>
      <c r="DJ36" s="253">
        <f ca="1">OFFSET(DG$30,0,(ROW()-ROW(DJ$36)))</f>
        <v>0</v>
      </c>
      <c r="DS36" s="21"/>
      <c r="DT36" s="21"/>
      <c r="DU36" s="17">
        <f>'Monthly Data'!D36</f>
        <v>29282879.755700186</v>
      </c>
      <c r="DV36" s="17">
        <f>'Monthly Data'!H36</f>
        <v>10795757.04634227</v>
      </c>
      <c r="DW36" s="17">
        <f>'Monthly Data'!L36</f>
        <v>28512555.759896304</v>
      </c>
    </row>
    <row r="37" spans="1:127" x14ac:dyDescent="0.2">
      <c r="A37">
        <v>2016</v>
      </c>
      <c r="B37">
        <v>12</v>
      </c>
      <c r="C37" s="98">
        <v>844.79583333333323</v>
      </c>
      <c r="D37" s="98">
        <v>0</v>
      </c>
      <c r="E37" s="98">
        <v>782.79583333333323</v>
      </c>
      <c r="F37" s="98">
        <v>0</v>
      </c>
      <c r="G37" s="98">
        <v>720.79583333333323</v>
      </c>
      <c r="H37" s="98">
        <v>0</v>
      </c>
      <c r="I37" s="98">
        <v>658.79583333333323</v>
      </c>
      <c r="J37" s="98">
        <v>0</v>
      </c>
      <c r="K37" s="98">
        <v>596.79583333333335</v>
      </c>
      <c r="L37" s="98">
        <v>0</v>
      </c>
      <c r="M37" s="98">
        <v>534.79583333333335</v>
      </c>
      <c r="N37" s="98">
        <v>0</v>
      </c>
      <c r="O37" s="98">
        <v>472.79583333333329</v>
      </c>
      <c r="P37" s="98">
        <v>0</v>
      </c>
      <c r="Q37" s="253">
        <v>-7.2514784946236581</v>
      </c>
      <c r="U37" t="s">
        <v>109</v>
      </c>
      <c r="V37" t="s">
        <v>111</v>
      </c>
      <c r="W37" s="253">
        <f t="shared" ref="W37:W47" ca="1" si="101">OFFSET(U$16,0,(ROW()-ROW(W$36)))</f>
        <v>881.3508333333333</v>
      </c>
      <c r="X37" s="253">
        <f t="shared" ref="X37:X47" ca="1" si="102">OFFSET(U$30,0,(ROW()-ROW(X$36)))</f>
        <v>0</v>
      </c>
      <c r="AG37" s="21"/>
      <c r="AJ37" t="s">
        <v>109</v>
      </c>
      <c r="AK37" t="s">
        <v>111</v>
      </c>
      <c r="AL37" s="253">
        <f t="shared" ref="AL37:AL47" ca="1" si="103">OFFSET(AJ$16,0,(ROW()-ROW(AL$36)))</f>
        <v>824.95083333333332</v>
      </c>
      <c r="AM37" s="253">
        <f t="shared" ref="AM37:AM47" ca="1" si="104">OFFSET(AJ$30,0,(ROW()-ROW(AM$36)))</f>
        <v>0</v>
      </c>
      <c r="AV37" s="21"/>
      <c r="AW37" s="21"/>
      <c r="AY37" t="s">
        <v>109</v>
      </c>
      <c r="AZ37" t="s">
        <v>111</v>
      </c>
      <c r="BA37" s="253">
        <f t="shared" ref="BA37:BA47" ca="1" si="105">OFFSET(AY$16,0,(ROW()-ROW(BA$36)))</f>
        <v>768.55083333333323</v>
      </c>
      <c r="BB37" s="253">
        <f t="shared" ref="BB37:BB47" ca="1" si="106">OFFSET(AY$30,0,(ROW()-ROW(BB$36)))</f>
        <v>0</v>
      </c>
      <c r="BK37" s="21"/>
      <c r="BL37" s="21"/>
      <c r="BN37" t="s">
        <v>109</v>
      </c>
      <c r="BO37" t="s">
        <v>111</v>
      </c>
      <c r="BP37" s="253">
        <f t="shared" ref="BP37:BP47" ca="1" si="107">OFFSET(BN$16,0,(ROW()-ROW(BP$36)))</f>
        <v>712.15083333333325</v>
      </c>
      <c r="BQ37" s="253">
        <f t="shared" ref="BQ37:BQ47" ca="1" si="108">OFFSET(BN$30,0,(ROW()-ROW(BQ$36)))</f>
        <v>0</v>
      </c>
      <c r="BZ37" s="21"/>
      <c r="CA37" s="21"/>
      <c r="CC37" t="s">
        <v>109</v>
      </c>
      <c r="CD37" t="s">
        <v>111</v>
      </c>
      <c r="CE37" s="253">
        <f t="shared" ref="CE37:CE47" ca="1" si="109">OFFSET(CC$16,0,(ROW()-ROW(CE$36)))</f>
        <v>655.75083333333328</v>
      </c>
      <c r="CF37" s="253">
        <f t="shared" ref="CF37:CF47" ca="1" si="110">OFFSET(CC$30,0,(ROW()-ROW(CF$36)))</f>
        <v>0</v>
      </c>
      <c r="CO37" s="21"/>
      <c r="CP37" s="21"/>
      <c r="CR37" t="s">
        <v>109</v>
      </c>
      <c r="CS37" t="s">
        <v>111</v>
      </c>
      <c r="CT37" s="253">
        <f t="shared" ref="CT37:CT47" ca="1" si="111">OFFSET(CR$16,0,(ROW()-ROW(CT$36)))</f>
        <v>599.3508333333333</v>
      </c>
      <c r="CU37" s="253">
        <f t="shared" ref="CU37:CU47" ca="1" si="112">OFFSET(CR$30,0,(ROW()-ROW(CU$36)))</f>
        <v>0</v>
      </c>
      <c r="DD37" s="21"/>
      <c r="DE37" s="21"/>
      <c r="DG37" t="s">
        <v>109</v>
      </c>
      <c r="DH37" t="s">
        <v>111</v>
      </c>
      <c r="DI37" s="253">
        <f t="shared" ref="DI37:DI47" ca="1" si="113">OFFSET(DG$16,0,(ROW()-ROW(DI$36)))</f>
        <v>542.95083333333332</v>
      </c>
      <c r="DJ37" s="253">
        <f t="shared" ref="DJ37:DJ47" ca="1" si="114">OFFSET(DG$30,0,(ROW()-ROW(DJ$36)))</f>
        <v>0</v>
      </c>
      <c r="DS37" s="21"/>
      <c r="DT37" s="21"/>
      <c r="DU37" s="17">
        <f>'Monthly Data'!D37</f>
        <v>38455175.443020679</v>
      </c>
      <c r="DV37" s="17">
        <f>'Monthly Data'!H37</f>
        <v>12608735.925325107</v>
      </c>
      <c r="DW37" s="17">
        <f>'Monthly Data'!L37</f>
        <v>32089981.034069311</v>
      </c>
    </row>
    <row r="38" spans="1:127" x14ac:dyDescent="0.2">
      <c r="A38">
        <v>2017</v>
      </c>
      <c r="B38">
        <v>1</v>
      </c>
      <c r="C38" s="98">
        <v>850.22916666666663</v>
      </c>
      <c r="D38" s="98">
        <v>0</v>
      </c>
      <c r="E38" s="98">
        <v>788.22916666666674</v>
      </c>
      <c r="F38" s="98">
        <v>0</v>
      </c>
      <c r="G38" s="98">
        <v>726.22916666666686</v>
      </c>
      <c r="H38" s="98">
        <v>0</v>
      </c>
      <c r="I38" s="98">
        <v>664.22916666666686</v>
      </c>
      <c r="J38" s="98">
        <v>0</v>
      </c>
      <c r="K38" s="98">
        <v>602.22916666666686</v>
      </c>
      <c r="L38" s="98">
        <v>0</v>
      </c>
      <c r="M38" s="98">
        <v>540.22916666666674</v>
      </c>
      <c r="N38" s="98">
        <v>0</v>
      </c>
      <c r="O38" s="98">
        <v>478.2291666666668</v>
      </c>
      <c r="P38" s="98">
        <v>0</v>
      </c>
      <c r="Q38" s="253">
        <v>-7.4267473118279561</v>
      </c>
      <c r="U38" t="s">
        <v>109</v>
      </c>
      <c r="V38" t="s">
        <v>112</v>
      </c>
      <c r="W38" s="253">
        <f t="shared" ca="1" si="101"/>
        <v>779.11853767651348</v>
      </c>
      <c r="X38" s="253">
        <f t="shared" ca="1" si="102"/>
        <v>0</v>
      </c>
      <c r="AG38" s="21"/>
      <c r="AJ38" t="s">
        <v>109</v>
      </c>
      <c r="AK38" t="s">
        <v>112</v>
      </c>
      <c r="AL38" s="253">
        <f t="shared" ca="1" si="103"/>
        <v>717.11853767651348</v>
      </c>
      <c r="AM38" s="253">
        <f t="shared" ca="1" si="104"/>
        <v>0</v>
      </c>
      <c r="AV38" s="21"/>
      <c r="AW38" s="21"/>
      <c r="AY38" t="s">
        <v>109</v>
      </c>
      <c r="AZ38" t="s">
        <v>112</v>
      </c>
      <c r="BA38" s="253">
        <f t="shared" ca="1" si="105"/>
        <v>655.11853767651348</v>
      </c>
      <c r="BB38" s="253">
        <f t="shared" ca="1" si="106"/>
        <v>0</v>
      </c>
      <c r="BK38" s="21"/>
      <c r="BL38" s="21"/>
      <c r="BN38" t="s">
        <v>109</v>
      </c>
      <c r="BO38" t="s">
        <v>112</v>
      </c>
      <c r="BP38" s="253">
        <f t="shared" ca="1" si="107"/>
        <v>593.1185376765136</v>
      </c>
      <c r="BQ38" s="253">
        <f t="shared" ca="1" si="108"/>
        <v>0</v>
      </c>
      <c r="BZ38" s="21"/>
      <c r="CA38" s="21"/>
      <c r="CC38" t="s">
        <v>109</v>
      </c>
      <c r="CD38" t="s">
        <v>112</v>
      </c>
      <c r="CE38" s="253">
        <f t="shared" ca="1" si="109"/>
        <v>531.1185376765136</v>
      </c>
      <c r="CF38" s="253">
        <f t="shared" ca="1" si="110"/>
        <v>0</v>
      </c>
      <c r="CO38" s="21"/>
      <c r="CP38" s="21"/>
      <c r="CR38" t="s">
        <v>109</v>
      </c>
      <c r="CS38" t="s">
        <v>112</v>
      </c>
      <c r="CT38" s="253">
        <f t="shared" ca="1" si="111"/>
        <v>469.11853767651354</v>
      </c>
      <c r="CU38" s="253">
        <f t="shared" ca="1" si="112"/>
        <v>0</v>
      </c>
      <c r="DD38" s="21"/>
      <c r="DE38" s="21"/>
      <c r="DG38" t="s">
        <v>109</v>
      </c>
      <c r="DH38" t="s">
        <v>112</v>
      </c>
      <c r="DI38" s="253">
        <f t="shared" ca="1" si="113"/>
        <v>407.14103767651352</v>
      </c>
      <c r="DJ38" s="253">
        <f t="shared" ca="1" si="114"/>
        <v>2.2499999999999964E-2</v>
      </c>
      <c r="DS38" s="21"/>
      <c r="DT38" s="21"/>
      <c r="DU38" s="17">
        <f>'Monthly Data'!D38</f>
        <v>39117690.458507761</v>
      </c>
      <c r="DV38" s="17">
        <f>'Monthly Data'!H38</f>
        <v>12969421.034978746</v>
      </c>
      <c r="DW38" s="17">
        <f>'Monthly Data'!L38</f>
        <v>32605346.748568937</v>
      </c>
    </row>
    <row r="39" spans="1:127" x14ac:dyDescent="0.2">
      <c r="A39">
        <v>2017</v>
      </c>
      <c r="B39">
        <v>2</v>
      </c>
      <c r="C39" s="98">
        <v>755.37916666666638</v>
      </c>
      <c r="D39" s="98">
        <v>0</v>
      </c>
      <c r="E39" s="98">
        <v>699.37916666666649</v>
      </c>
      <c r="F39" s="98">
        <v>0</v>
      </c>
      <c r="G39" s="98">
        <v>643.37916666666649</v>
      </c>
      <c r="H39" s="98">
        <v>0</v>
      </c>
      <c r="I39" s="98">
        <v>587.37916666666672</v>
      </c>
      <c r="J39" s="98">
        <v>0</v>
      </c>
      <c r="K39" s="98">
        <v>531.37916666666683</v>
      </c>
      <c r="L39" s="98">
        <v>0</v>
      </c>
      <c r="M39" s="98">
        <v>475.37916666666683</v>
      </c>
      <c r="N39" s="98">
        <v>0</v>
      </c>
      <c r="O39" s="98">
        <v>419.37916666666678</v>
      </c>
      <c r="P39" s="98">
        <v>0</v>
      </c>
      <c r="Q39" s="253">
        <v>-6.9778273809523794</v>
      </c>
      <c r="U39" t="s">
        <v>109</v>
      </c>
      <c r="V39" t="s">
        <v>113</v>
      </c>
      <c r="W39" s="253">
        <f t="shared" ca="1" si="101"/>
        <v>529.21610845100895</v>
      </c>
      <c r="X39" s="253">
        <f t="shared" ca="1" si="102"/>
        <v>0</v>
      </c>
      <c r="AG39" s="21"/>
      <c r="AJ39" t="s">
        <v>109</v>
      </c>
      <c r="AK39" t="s">
        <v>113</v>
      </c>
      <c r="AL39" s="253">
        <f t="shared" ca="1" si="103"/>
        <v>469.21610845100895</v>
      </c>
      <c r="AM39" s="253">
        <f t="shared" ca="1" si="104"/>
        <v>0</v>
      </c>
      <c r="AV39" s="21"/>
      <c r="AW39" s="21"/>
      <c r="AY39" t="s">
        <v>109</v>
      </c>
      <c r="AZ39" t="s">
        <v>113</v>
      </c>
      <c r="BA39" s="253">
        <f t="shared" ca="1" si="105"/>
        <v>409.22777511767572</v>
      </c>
      <c r="BB39" s="253">
        <f t="shared" ca="1" si="106"/>
        <v>1.1666666666666714E-2</v>
      </c>
      <c r="BK39" s="21"/>
      <c r="BL39" s="21"/>
      <c r="BN39" t="s">
        <v>109</v>
      </c>
      <c r="BO39" t="s">
        <v>113</v>
      </c>
      <c r="BP39" s="253">
        <f t="shared" ca="1" si="107"/>
        <v>349.88291666666669</v>
      </c>
      <c r="BQ39" s="253">
        <f t="shared" ca="1" si="108"/>
        <v>0.66680821565763149</v>
      </c>
      <c r="BZ39" s="21"/>
      <c r="CA39" s="21"/>
      <c r="CC39" t="s">
        <v>109</v>
      </c>
      <c r="CD39" t="s">
        <v>113</v>
      </c>
      <c r="CE39" s="253">
        <f t="shared" ca="1" si="109"/>
        <v>291.21791666666667</v>
      </c>
      <c r="CF39" s="253">
        <f t="shared" ca="1" si="110"/>
        <v>2.0018082156576313</v>
      </c>
      <c r="CO39" s="21"/>
      <c r="CP39" s="21"/>
      <c r="CR39" t="s">
        <v>109</v>
      </c>
      <c r="CS39" t="s">
        <v>113</v>
      </c>
      <c r="CT39" s="253">
        <f t="shared" ca="1" si="111"/>
        <v>233.92395833333336</v>
      </c>
      <c r="CU39" s="253">
        <f t="shared" ca="1" si="112"/>
        <v>4.7078498823242985</v>
      </c>
      <c r="DD39" s="21"/>
      <c r="DE39" s="21"/>
      <c r="DG39" t="s">
        <v>109</v>
      </c>
      <c r="DH39" t="s">
        <v>113</v>
      </c>
      <c r="DI39" s="253">
        <f t="shared" ca="1" si="113"/>
        <v>179.174375</v>
      </c>
      <c r="DJ39" s="253">
        <f t="shared" ca="1" si="114"/>
        <v>9.9582665489909665</v>
      </c>
      <c r="DS39" s="21"/>
      <c r="DT39" s="21"/>
      <c r="DU39" s="17">
        <f>'Monthly Data'!D39</f>
        <v>34287533.653769821</v>
      </c>
      <c r="DV39" s="17">
        <f>'Monthly Data'!H39</f>
        <v>11694580.118981019</v>
      </c>
      <c r="DW39" s="17">
        <f>'Monthly Data'!L39</f>
        <v>29628301.685792487</v>
      </c>
    </row>
    <row r="40" spans="1:127" x14ac:dyDescent="0.2">
      <c r="A40">
        <v>2017</v>
      </c>
      <c r="B40">
        <v>3</v>
      </c>
      <c r="C40" s="98">
        <v>827.80416666666679</v>
      </c>
      <c r="D40" s="98">
        <v>0</v>
      </c>
      <c r="E40" s="98">
        <v>765.80416666666667</v>
      </c>
      <c r="F40" s="98">
        <v>0</v>
      </c>
      <c r="G40" s="98">
        <v>703.80416666666656</v>
      </c>
      <c r="H40" s="98">
        <v>0</v>
      </c>
      <c r="I40" s="98">
        <v>641.80416666666667</v>
      </c>
      <c r="J40" s="98">
        <v>0</v>
      </c>
      <c r="K40" s="98">
        <v>579.80416666666656</v>
      </c>
      <c r="L40" s="98">
        <v>0</v>
      </c>
      <c r="M40" s="98">
        <v>517.80416666666656</v>
      </c>
      <c r="N40" s="98">
        <v>0</v>
      </c>
      <c r="O40" s="98">
        <v>455.80416666666662</v>
      </c>
      <c r="P40" s="98">
        <v>0</v>
      </c>
      <c r="Q40" s="253">
        <v>-6.7033602150537615</v>
      </c>
      <c r="T40" s="12"/>
      <c r="U40" t="s">
        <v>109</v>
      </c>
      <c r="V40" t="s">
        <v>52</v>
      </c>
      <c r="W40" s="253">
        <f t="shared" ca="1" si="101"/>
        <v>267.0911792255045</v>
      </c>
      <c r="X40" s="253">
        <f t="shared" ca="1" si="102"/>
        <v>3.2039583333333339</v>
      </c>
      <c r="AA40" s="14"/>
      <c r="AB40" s="14"/>
      <c r="AC40" s="14"/>
      <c r="AD40" s="14"/>
      <c r="AE40" s="14"/>
      <c r="AF40" s="14"/>
      <c r="AG40" s="21"/>
      <c r="AI40" s="12"/>
      <c r="AJ40" t="s">
        <v>109</v>
      </c>
      <c r="AK40" t="s">
        <v>52</v>
      </c>
      <c r="AL40" s="253">
        <f t="shared" ca="1" si="103"/>
        <v>211.51659589217115</v>
      </c>
      <c r="AM40" s="253">
        <f t="shared" ca="1" si="104"/>
        <v>9.6293749999999996</v>
      </c>
      <c r="AP40" s="14"/>
      <c r="AQ40" s="14"/>
      <c r="AR40" s="14"/>
      <c r="AS40" s="14"/>
      <c r="AT40" s="14"/>
      <c r="AU40" s="14"/>
      <c r="AV40" s="21"/>
      <c r="AW40" s="21"/>
      <c r="AX40" s="12"/>
      <c r="AY40" t="s">
        <v>109</v>
      </c>
      <c r="AZ40" t="s">
        <v>52</v>
      </c>
      <c r="BA40" s="253">
        <f t="shared" ca="1" si="105"/>
        <v>159.66617922550455</v>
      </c>
      <c r="BB40" s="253">
        <f t="shared" ca="1" si="106"/>
        <v>19.778958333333328</v>
      </c>
      <c r="BE40" s="14"/>
      <c r="BF40" s="14"/>
      <c r="BG40" s="14"/>
      <c r="BH40" s="14"/>
      <c r="BI40" s="14"/>
      <c r="BJ40" s="14"/>
      <c r="BK40" s="21"/>
      <c r="BL40" s="21"/>
      <c r="BM40" s="12"/>
      <c r="BN40" t="s">
        <v>109</v>
      </c>
      <c r="BO40" t="s">
        <v>52</v>
      </c>
      <c r="BP40" s="253">
        <f t="shared" ca="1" si="107"/>
        <v>114.15013755883786</v>
      </c>
      <c r="BQ40" s="253">
        <f t="shared" ca="1" si="108"/>
        <v>36.262916666666669</v>
      </c>
      <c r="BT40" s="14"/>
      <c r="BU40" s="14"/>
      <c r="BV40" s="14"/>
      <c r="BW40" s="14"/>
      <c r="BX40" s="14"/>
      <c r="BY40" s="14"/>
      <c r="BZ40" s="21"/>
      <c r="CA40" s="21"/>
      <c r="CB40" s="12"/>
      <c r="CC40" t="s">
        <v>109</v>
      </c>
      <c r="CD40" t="s">
        <v>52</v>
      </c>
      <c r="CE40" s="253">
        <f t="shared" ca="1" si="109"/>
        <v>76.006595892171191</v>
      </c>
      <c r="CF40" s="253">
        <f t="shared" ca="1" si="110"/>
        <v>60.119374999999991</v>
      </c>
      <c r="CI40" s="14"/>
      <c r="CJ40" s="14"/>
      <c r="CK40" s="14"/>
      <c r="CL40" s="14"/>
      <c r="CM40" s="14"/>
      <c r="CN40" s="14"/>
      <c r="CO40" s="21"/>
      <c r="CP40" s="21"/>
      <c r="CQ40" s="12"/>
      <c r="CR40" t="s">
        <v>109</v>
      </c>
      <c r="CS40" t="s">
        <v>52</v>
      </c>
      <c r="CT40" s="253">
        <f t="shared" ca="1" si="111"/>
        <v>46.324929225504526</v>
      </c>
      <c r="CU40" s="253">
        <f t="shared" ca="1" si="112"/>
        <v>92.437708333333333</v>
      </c>
      <c r="CX40" s="14"/>
      <c r="CY40" s="14"/>
      <c r="CZ40" s="14"/>
      <c r="DA40" s="14"/>
      <c r="DB40" s="14"/>
      <c r="DC40" s="14"/>
      <c r="DD40" s="21"/>
      <c r="DE40" s="21"/>
      <c r="DF40" s="12"/>
      <c r="DG40" t="s">
        <v>109</v>
      </c>
      <c r="DH40" t="s">
        <v>52</v>
      </c>
      <c r="DI40" s="253">
        <f t="shared" ca="1" si="113"/>
        <v>24.792291666666667</v>
      </c>
      <c r="DJ40" s="253">
        <f t="shared" ca="1" si="114"/>
        <v>132.90507077449544</v>
      </c>
      <c r="DM40" s="14"/>
      <c r="DN40" s="14"/>
      <c r="DO40" s="14"/>
      <c r="DP40" s="14"/>
      <c r="DQ40" s="14"/>
      <c r="DR40" s="14"/>
      <c r="DS40" s="21"/>
      <c r="DT40" s="21"/>
      <c r="DU40" s="17">
        <f>'Monthly Data'!D40</f>
        <v>35434684.916161954</v>
      </c>
      <c r="DV40" s="17">
        <f>'Monthly Data'!H40</f>
        <v>12348544.639125146</v>
      </c>
      <c r="DW40" s="17">
        <f>'Monthly Data'!L40</f>
        <v>32296856.777361013</v>
      </c>
    </row>
    <row r="41" spans="1:127" x14ac:dyDescent="0.2">
      <c r="A41">
        <v>2017</v>
      </c>
      <c r="B41">
        <v>4</v>
      </c>
      <c r="C41" s="98">
        <v>472.65275117675691</v>
      </c>
      <c r="D41" s="98">
        <v>0</v>
      </c>
      <c r="E41" s="98">
        <v>412.65275117675696</v>
      </c>
      <c r="F41" s="98">
        <v>0</v>
      </c>
      <c r="G41" s="98">
        <v>352.65275117675702</v>
      </c>
      <c r="H41" s="98">
        <v>0</v>
      </c>
      <c r="I41" s="98">
        <v>294.36666666666673</v>
      </c>
      <c r="J41" s="98">
        <v>1.7139154899096454</v>
      </c>
      <c r="K41" s="98">
        <v>236.36666666666676</v>
      </c>
      <c r="L41" s="98">
        <v>3.7139154899096454</v>
      </c>
      <c r="M41" s="98">
        <v>178.72500000000002</v>
      </c>
      <c r="N41" s="98">
        <v>6.0722488232429779</v>
      </c>
      <c r="O41" s="98">
        <v>122.72500000000002</v>
      </c>
      <c r="P41" s="98">
        <v>10.072248823242978</v>
      </c>
      <c r="Q41" s="253">
        <v>4.2449082941080993</v>
      </c>
      <c r="U41" t="s">
        <v>109</v>
      </c>
      <c r="V41" t="s">
        <v>114</v>
      </c>
      <c r="W41" s="253">
        <f t="shared" ca="1" si="101"/>
        <v>107.96249401477034</v>
      </c>
      <c r="X41" s="253">
        <f t="shared" ca="1" si="102"/>
        <v>9.286249999999999</v>
      </c>
      <c r="AG41" s="21"/>
      <c r="AJ41" t="s">
        <v>109</v>
      </c>
      <c r="AK41" t="s">
        <v>114</v>
      </c>
      <c r="AL41" s="253">
        <f t="shared" ca="1" si="103"/>
        <v>63.753398122599151</v>
      </c>
      <c r="AM41" s="253">
        <f t="shared" ca="1" si="104"/>
        <v>25.077154107828811</v>
      </c>
      <c r="AV41" s="21"/>
      <c r="AW41" s="21"/>
      <c r="AY41" t="s">
        <v>109</v>
      </c>
      <c r="AZ41" t="s">
        <v>114</v>
      </c>
      <c r="BA41" s="253">
        <f t="shared" ca="1" si="105"/>
        <v>31.969929225504519</v>
      </c>
      <c r="BB41" s="253">
        <f t="shared" ca="1" si="106"/>
        <v>53.293685210734182</v>
      </c>
      <c r="BK41" s="21"/>
      <c r="BL41" s="21"/>
      <c r="BN41" t="s">
        <v>109</v>
      </c>
      <c r="BO41" t="s">
        <v>114</v>
      </c>
      <c r="BP41" s="253">
        <f t="shared" ca="1" si="107"/>
        <v>12.741595892171185</v>
      </c>
      <c r="BQ41" s="253">
        <f t="shared" ca="1" si="108"/>
        <v>94.065351877400872</v>
      </c>
      <c r="BZ41" s="21"/>
      <c r="CA41" s="21"/>
      <c r="CC41" t="s">
        <v>109</v>
      </c>
      <c r="CD41" t="s">
        <v>114</v>
      </c>
      <c r="CE41" s="253">
        <f t="shared" ca="1" si="109"/>
        <v>4.2034708921711843</v>
      </c>
      <c r="CF41" s="253">
        <f t="shared" ca="1" si="110"/>
        <v>145.52722687740084</v>
      </c>
      <c r="CO41" s="21"/>
      <c r="CP41" s="21"/>
      <c r="CR41" t="s">
        <v>109</v>
      </c>
      <c r="CS41" t="s">
        <v>114</v>
      </c>
      <c r="CT41" s="253">
        <f t="shared" ca="1" si="111"/>
        <v>1.25875</v>
      </c>
      <c r="CU41" s="253">
        <f t="shared" ca="1" si="112"/>
        <v>202.58250598522966</v>
      </c>
      <c r="DD41" s="21"/>
      <c r="DE41" s="21"/>
      <c r="DG41" t="s">
        <v>109</v>
      </c>
      <c r="DH41" t="s">
        <v>114</v>
      </c>
      <c r="DI41" s="253">
        <f t="shared" ca="1" si="113"/>
        <v>0.12500000000000017</v>
      </c>
      <c r="DJ41" s="253">
        <f t="shared" ca="1" si="114"/>
        <v>261.4487559852297</v>
      </c>
      <c r="DS41" s="21"/>
      <c r="DT41" s="21"/>
      <c r="DU41" s="17">
        <f>'Monthly Data'!D41</f>
        <v>28044671.776101463</v>
      </c>
      <c r="DV41" s="17">
        <f>'Monthly Data'!H41</f>
        <v>10386755.94001675</v>
      </c>
      <c r="DW41" s="17">
        <f>'Monthly Data'!L41</f>
        <v>26954451.815236881</v>
      </c>
    </row>
    <row r="42" spans="1:127" x14ac:dyDescent="0.2">
      <c r="A42">
        <v>2017</v>
      </c>
      <c r="B42">
        <v>5</v>
      </c>
      <c r="C42" s="98">
        <v>307.0916666666667</v>
      </c>
      <c r="D42" s="98">
        <v>0</v>
      </c>
      <c r="E42" s="98">
        <v>247.05000000000007</v>
      </c>
      <c r="F42" s="98">
        <v>1.9583333333333321</v>
      </c>
      <c r="G42" s="98">
        <v>188.87916666666672</v>
      </c>
      <c r="H42" s="98">
        <v>5.7874999999999943</v>
      </c>
      <c r="I42" s="98">
        <v>135.26666666666671</v>
      </c>
      <c r="J42" s="98">
        <v>14.174999999999997</v>
      </c>
      <c r="K42" s="98">
        <v>90.116666666666674</v>
      </c>
      <c r="L42" s="98">
        <v>31.024999999999999</v>
      </c>
      <c r="M42" s="98">
        <v>56.574999999999996</v>
      </c>
      <c r="N42" s="98">
        <v>59.483333333333334</v>
      </c>
      <c r="O42" s="98">
        <v>31.19583333333334</v>
      </c>
      <c r="P42" s="98">
        <v>96.104166666666657</v>
      </c>
      <c r="Q42" s="253">
        <v>10.093817204301072</v>
      </c>
      <c r="U42" t="s">
        <v>109</v>
      </c>
      <c r="V42" t="s">
        <v>115</v>
      </c>
      <c r="W42" s="253">
        <f t="shared" ca="1" si="101"/>
        <v>49.00458133825677</v>
      </c>
      <c r="X42" s="253">
        <f t="shared" ca="1" si="102"/>
        <v>23.269862441162147</v>
      </c>
      <c r="AG42" s="21"/>
      <c r="AJ42" t="s">
        <v>109</v>
      </c>
      <c r="AK42" t="s">
        <v>115</v>
      </c>
      <c r="AL42" s="253">
        <f t="shared" ca="1" si="103"/>
        <v>20.209860446085592</v>
      </c>
      <c r="AM42" s="253">
        <f t="shared" ca="1" si="104"/>
        <v>56.475141548990976</v>
      </c>
      <c r="AV42" s="21"/>
      <c r="AW42" s="21"/>
      <c r="AY42" t="s">
        <v>109</v>
      </c>
      <c r="AZ42" t="s">
        <v>115</v>
      </c>
      <c r="BA42" s="253">
        <f t="shared" ca="1" si="105"/>
        <v>6.1616666666666671</v>
      </c>
      <c r="BB42" s="253">
        <f t="shared" ca="1" si="106"/>
        <v>104.42694776957208</v>
      </c>
      <c r="BK42" s="21"/>
      <c r="BL42" s="21"/>
      <c r="BN42" t="s">
        <v>109</v>
      </c>
      <c r="BO42" t="s">
        <v>115</v>
      </c>
      <c r="BP42" s="253">
        <f t="shared" ca="1" si="107"/>
        <v>1.0841666666666672</v>
      </c>
      <c r="BQ42" s="253">
        <f t="shared" ca="1" si="108"/>
        <v>161.34944776957207</v>
      </c>
      <c r="BZ42" s="21"/>
      <c r="CA42" s="21"/>
      <c r="CC42" t="s">
        <v>109</v>
      </c>
      <c r="CD42" t="s">
        <v>115</v>
      </c>
      <c r="CE42" s="253">
        <f t="shared" ca="1" si="109"/>
        <v>0</v>
      </c>
      <c r="CF42" s="253">
        <f t="shared" ca="1" si="110"/>
        <v>222.26528110290536</v>
      </c>
      <c r="CO42" s="21"/>
      <c r="CP42" s="21"/>
      <c r="CR42" t="s">
        <v>109</v>
      </c>
      <c r="CS42" t="s">
        <v>115</v>
      </c>
      <c r="CT42" s="253">
        <f t="shared" ca="1" si="111"/>
        <v>0</v>
      </c>
      <c r="CU42" s="253">
        <f t="shared" ca="1" si="112"/>
        <v>284.26528110290536</v>
      </c>
      <c r="DD42" s="21"/>
      <c r="DE42" s="21"/>
      <c r="DG42" t="s">
        <v>109</v>
      </c>
      <c r="DH42" t="s">
        <v>115</v>
      </c>
      <c r="DI42" s="253">
        <f t="shared" ca="1" si="113"/>
        <v>0</v>
      </c>
      <c r="DJ42" s="253">
        <f t="shared" ca="1" si="114"/>
        <v>346.26528110290548</v>
      </c>
      <c r="DS42" s="21"/>
      <c r="DT42" s="21"/>
      <c r="DU42" s="17">
        <f>'Monthly Data'!D42</f>
        <v>24140842.502162836</v>
      </c>
      <c r="DV42" s="17">
        <f>'Monthly Data'!H42</f>
        <v>9860713.3741772659</v>
      </c>
      <c r="DW42" s="17">
        <f>'Monthly Data'!L42</f>
        <v>26098101.681442216</v>
      </c>
    </row>
    <row r="43" spans="1:127" x14ac:dyDescent="0.2">
      <c r="A43">
        <v>2017</v>
      </c>
      <c r="B43">
        <v>6</v>
      </c>
      <c r="C43" s="98">
        <v>127.08958333333334</v>
      </c>
      <c r="D43" s="98">
        <v>2.962499999999995</v>
      </c>
      <c r="E43" s="98">
        <v>75.668750000000003</v>
      </c>
      <c r="F43" s="98">
        <v>11.541666666666657</v>
      </c>
      <c r="G43" s="98">
        <v>37.554166666666667</v>
      </c>
      <c r="H43" s="98">
        <v>33.427083333333329</v>
      </c>
      <c r="I43" s="98">
        <v>16.50833333333334</v>
      </c>
      <c r="J43" s="98">
        <v>72.381250000000023</v>
      </c>
      <c r="K43" s="98">
        <v>4.0458333333333361</v>
      </c>
      <c r="L43" s="98">
        <v>119.91875000000002</v>
      </c>
      <c r="M43" s="98">
        <v>0.59999999999999964</v>
      </c>
      <c r="N43" s="98">
        <v>176.47291666666666</v>
      </c>
      <c r="O43" s="98">
        <v>0</v>
      </c>
      <c r="P43" s="98">
        <v>235.87291666666664</v>
      </c>
      <c r="Q43" s="253">
        <v>15.862430555555552</v>
      </c>
      <c r="U43" t="s">
        <v>109</v>
      </c>
      <c r="V43" t="s">
        <v>116</v>
      </c>
      <c r="W43" s="253">
        <f t="shared" ca="1" si="101"/>
        <v>75.346804225504528</v>
      </c>
      <c r="X43" s="253">
        <f t="shared" ca="1" si="102"/>
        <v>11.798958333333335</v>
      </c>
      <c r="AG43" s="21"/>
      <c r="AJ43" t="s">
        <v>109</v>
      </c>
      <c r="AK43" t="s">
        <v>116</v>
      </c>
      <c r="AL43" s="253">
        <f t="shared" ca="1" si="103"/>
        <v>36.844095892171183</v>
      </c>
      <c r="AM43" s="253">
        <f t="shared" ca="1" si="104"/>
        <v>35.296250000000008</v>
      </c>
      <c r="AV43" s="21"/>
      <c r="AW43" s="21"/>
      <c r="AY43" t="s">
        <v>109</v>
      </c>
      <c r="AZ43" t="s">
        <v>116</v>
      </c>
      <c r="BA43" s="253">
        <f t="shared" ca="1" si="105"/>
        <v>14.244512558837851</v>
      </c>
      <c r="BB43" s="253">
        <f t="shared" ca="1" si="106"/>
        <v>74.696666666666673</v>
      </c>
      <c r="BK43" s="21"/>
      <c r="BL43" s="21"/>
      <c r="BN43" t="s">
        <v>109</v>
      </c>
      <c r="BO43" t="s">
        <v>116</v>
      </c>
      <c r="BP43" s="253">
        <f t="shared" ca="1" si="107"/>
        <v>3.941595892171184</v>
      </c>
      <c r="BQ43" s="253">
        <f t="shared" ca="1" si="108"/>
        <v>126.39375</v>
      </c>
      <c r="BZ43" s="21"/>
      <c r="CA43" s="21"/>
      <c r="CC43" t="s">
        <v>109</v>
      </c>
      <c r="CD43" t="s">
        <v>116</v>
      </c>
      <c r="CE43" s="253">
        <f t="shared" ca="1" si="109"/>
        <v>0.73208333333333309</v>
      </c>
      <c r="CF43" s="253">
        <f t="shared" ca="1" si="110"/>
        <v>185.18423744116217</v>
      </c>
      <c r="CO43" s="21"/>
      <c r="CP43" s="21"/>
      <c r="CR43" t="s">
        <v>109</v>
      </c>
      <c r="CS43" t="s">
        <v>116</v>
      </c>
      <c r="CT43" s="253">
        <f t="shared" ca="1" si="111"/>
        <v>0.1158333333333335</v>
      </c>
      <c r="CU43" s="253">
        <f t="shared" ca="1" si="112"/>
        <v>246.56798744116219</v>
      </c>
      <c r="DD43" s="21"/>
      <c r="DE43" s="21"/>
      <c r="DG43" t="s">
        <v>109</v>
      </c>
      <c r="DH43" t="s">
        <v>116</v>
      </c>
      <c r="DI43" s="253">
        <f t="shared" ca="1" si="113"/>
        <v>0</v>
      </c>
      <c r="DJ43" s="253">
        <f t="shared" ca="1" si="114"/>
        <v>308.45215410782879</v>
      </c>
      <c r="DS43" s="21"/>
      <c r="DT43" s="21"/>
      <c r="DU43" s="17">
        <f>'Monthly Data'!D43</f>
        <v>22388593.985149544</v>
      </c>
      <c r="DV43" s="17">
        <f>'Monthly Data'!H43</f>
        <v>9561012.5151322857</v>
      </c>
      <c r="DW43" s="17">
        <f>'Monthly Data'!L43</f>
        <v>25695923.560246497</v>
      </c>
    </row>
    <row r="44" spans="1:127" x14ac:dyDescent="0.2">
      <c r="A44">
        <v>2017</v>
      </c>
      <c r="B44">
        <v>7</v>
      </c>
      <c r="C44" s="98">
        <v>67.291666666666629</v>
      </c>
      <c r="D44" s="98">
        <v>8.1124999999999901</v>
      </c>
      <c r="E44" s="98">
        <v>28.824999999999989</v>
      </c>
      <c r="F44" s="98">
        <v>31.645833333333339</v>
      </c>
      <c r="G44" s="98">
        <v>9.1666666666666607</v>
      </c>
      <c r="H44" s="98">
        <v>73.987499999999997</v>
      </c>
      <c r="I44" s="98">
        <v>1.9166666666666643</v>
      </c>
      <c r="J44" s="98">
        <v>128.73750000000001</v>
      </c>
      <c r="K44" s="98">
        <v>0</v>
      </c>
      <c r="L44" s="98">
        <v>188.82083333333335</v>
      </c>
      <c r="M44" s="98">
        <v>0</v>
      </c>
      <c r="N44" s="98">
        <v>250.8208333333333</v>
      </c>
      <c r="O44" s="98">
        <v>0</v>
      </c>
      <c r="P44" s="98">
        <v>312.82083333333327</v>
      </c>
      <c r="Q44" s="253">
        <v>18.090994623655909</v>
      </c>
      <c r="U44" t="s">
        <v>109</v>
      </c>
      <c r="V44" t="s">
        <v>117</v>
      </c>
      <c r="W44" s="253">
        <f t="shared" ca="1" si="101"/>
        <v>185.68902511767573</v>
      </c>
      <c r="X44" s="253">
        <f t="shared" ca="1" si="102"/>
        <v>3.6933333333333338</v>
      </c>
      <c r="AG44" s="21"/>
      <c r="AJ44" t="s">
        <v>109</v>
      </c>
      <c r="AK44" t="s">
        <v>117</v>
      </c>
      <c r="AL44" s="253">
        <f t="shared" ca="1" si="103"/>
        <v>133.12465011767569</v>
      </c>
      <c r="AM44" s="253">
        <f t="shared" ca="1" si="104"/>
        <v>11.128958333333333</v>
      </c>
      <c r="AV44" s="21"/>
      <c r="AW44" s="21"/>
      <c r="AY44" t="s">
        <v>109</v>
      </c>
      <c r="AZ44" t="s">
        <v>117</v>
      </c>
      <c r="BA44" s="253">
        <f t="shared" ca="1" si="105"/>
        <v>87.906108451009032</v>
      </c>
      <c r="BB44" s="253">
        <f t="shared" ca="1" si="106"/>
        <v>25.91041666666667</v>
      </c>
      <c r="BK44" s="21"/>
      <c r="BL44" s="21"/>
      <c r="BN44" t="s">
        <v>109</v>
      </c>
      <c r="BO44" t="s">
        <v>117</v>
      </c>
      <c r="BP44" s="253">
        <f t="shared" ca="1" si="107"/>
        <v>51.821316784342365</v>
      </c>
      <c r="BQ44" s="253">
        <f t="shared" ca="1" si="108"/>
        <v>49.825624999999995</v>
      </c>
      <c r="BZ44" s="21"/>
      <c r="CA44" s="21"/>
      <c r="CC44" t="s">
        <v>109</v>
      </c>
      <c r="CD44" t="s">
        <v>117</v>
      </c>
      <c r="CE44" s="253">
        <f t="shared" ca="1" si="109"/>
        <v>26.6509001176757</v>
      </c>
      <c r="CF44" s="253">
        <f t="shared" ca="1" si="110"/>
        <v>84.655208333333334</v>
      </c>
      <c r="CO44" s="21"/>
      <c r="CP44" s="21"/>
      <c r="CR44" t="s">
        <v>109</v>
      </c>
      <c r="CS44" t="s">
        <v>117</v>
      </c>
      <c r="CT44" s="253">
        <f t="shared" ca="1" si="111"/>
        <v>11.597845892171184</v>
      </c>
      <c r="CU44" s="253">
        <f t="shared" ca="1" si="112"/>
        <v>129.60215410782882</v>
      </c>
      <c r="DD44" s="21"/>
      <c r="DE44" s="21"/>
      <c r="DG44" t="s">
        <v>109</v>
      </c>
      <c r="DH44" t="s">
        <v>117</v>
      </c>
      <c r="DI44" s="253">
        <f t="shared" ca="1" si="113"/>
        <v>3.8830542255045173</v>
      </c>
      <c r="DJ44" s="253">
        <f t="shared" ca="1" si="114"/>
        <v>181.88736244116217</v>
      </c>
      <c r="DS44" s="21"/>
      <c r="DT44" s="21"/>
      <c r="DU44" s="17">
        <f>'Monthly Data'!D44</f>
        <v>24383196.475797318</v>
      </c>
      <c r="DV44" s="17">
        <f>'Monthly Data'!H44</f>
        <v>10410530.141947942</v>
      </c>
      <c r="DW44" s="17">
        <f>'Monthly Data'!L44</f>
        <v>28705770.325291783</v>
      </c>
    </row>
    <row r="45" spans="1:127" x14ac:dyDescent="0.2">
      <c r="A45">
        <v>2017</v>
      </c>
      <c r="B45">
        <v>8</v>
      </c>
      <c r="C45" s="98">
        <v>119.70833333333333</v>
      </c>
      <c r="D45" s="98">
        <v>2.8916666666666657</v>
      </c>
      <c r="E45" s="98">
        <v>65.024999999999991</v>
      </c>
      <c r="F45" s="98">
        <v>10.208333333333339</v>
      </c>
      <c r="G45" s="98">
        <v>28.216666666666654</v>
      </c>
      <c r="H45" s="98">
        <v>35.399999999999991</v>
      </c>
      <c r="I45" s="98">
        <v>10.395833333333329</v>
      </c>
      <c r="J45" s="98">
        <v>79.579166666666666</v>
      </c>
      <c r="K45" s="98">
        <v>2.2291666666666643</v>
      </c>
      <c r="L45" s="98">
        <v>133.41250000000002</v>
      </c>
      <c r="M45" s="98">
        <v>2.5000000000000355E-2</v>
      </c>
      <c r="N45" s="98">
        <v>193.20833333333337</v>
      </c>
      <c r="O45" s="98">
        <v>0</v>
      </c>
      <c r="P45" s="98">
        <v>255.18333333333337</v>
      </c>
      <c r="Q45" s="253">
        <v>16.231720430107526</v>
      </c>
      <c r="U45" t="s">
        <v>109</v>
      </c>
      <c r="V45" t="s">
        <v>118</v>
      </c>
      <c r="W45" s="253">
        <f t="shared" ca="1" si="101"/>
        <v>409.71263157360818</v>
      </c>
      <c r="X45" s="253">
        <f t="shared" ca="1" si="102"/>
        <v>0</v>
      </c>
      <c r="AG45" s="21"/>
      <c r="AJ45" t="s">
        <v>109</v>
      </c>
      <c r="AK45" t="s">
        <v>118</v>
      </c>
      <c r="AL45" s="253">
        <f t="shared" ca="1" si="103"/>
        <v>348.15950657360816</v>
      </c>
      <c r="AM45" s="253">
        <f t="shared" ca="1" si="104"/>
        <v>0.44687499999999963</v>
      </c>
      <c r="AV45" s="21"/>
      <c r="AW45" s="21"/>
      <c r="AY45" t="s">
        <v>109</v>
      </c>
      <c r="AZ45" t="s">
        <v>118</v>
      </c>
      <c r="BA45" s="253">
        <f t="shared" ca="1" si="105"/>
        <v>287.77825657360813</v>
      </c>
      <c r="BB45" s="253">
        <f t="shared" ca="1" si="106"/>
        <v>2.0656249999999989</v>
      </c>
      <c r="BK45" s="21"/>
      <c r="BL45" s="21"/>
      <c r="BN45" t="s">
        <v>109</v>
      </c>
      <c r="BO45" t="s">
        <v>118</v>
      </c>
      <c r="BP45" s="253">
        <f t="shared" ca="1" si="107"/>
        <v>230.23804824027485</v>
      </c>
      <c r="BQ45" s="253">
        <f t="shared" ca="1" si="108"/>
        <v>6.5254166666666666</v>
      </c>
      <c r="BZ45" s="21"/>
      <c r="CA45" s="21"/>
      <c r="CC45" t="s">
        <v>109</v>
      </c>
      <c r="CD45" t="s">
        <v>118</v>
      </c>
      <c r="CE45" s="253">
        <f t="shared" ca="1" si="109"/>
        <v>177.51367324027484</v>
      </c>
      <c r="CF45" s="253">
        <f t="shared" ca="1" si="110"/>
        <v>15.801041666666663</v>
      </c>
      <c r="CO45" s="21"/>
      <c r="CP45" s="21"/>
      <c r="CR45" t="s">
        <v>109</v>
      </c>
      <c r="CS45" t="s">
        <v>118</v>
      </c>
      <c r="CT45" s="253">
        <f t="shared" ca="1" si="111"/>
        <v>128.51888157360821</v>
      </c>
      <c r="CU45" s="253">
        <f t="shared" ca="1" si="112"/>
        <v>28.806249999999999</v>
      </c>
      <c r="DD45" s="21"/>
      <c r="DE45" s="21"/>
      <c r="DG45" t="s">
        <v>109</v>
      </c>
      <c r="DH45" t="s">
        <v>118</v>
      </c>
      <c r="DI45" s="253">
        <f t="shared" ca="1" si="113"/>
        <v>85.111452348103654</v>
      </c>
      <c r="DJ45" s="253">
        <f t="shared" ca="1" si="114"/>
        <v>47.398820774495483</v>
      </c>
      <c r="DS45" s="21"/>
      <c r="DT45" s="21"/>
      <c r="DU45" s="17">
        <f>'Monthly Data'!D45</f>
        <v>23477321.5141256</v>
      </c>
      <c r="DV45" s="17">
        <f>'Monthly Data'!H45</f>
        <v>10104022.185566768</v>
      </c>
      <c r="DW45" s="17">
        <f>'Monthly Data'!L45</f>
        <v>28455777.023806155</v>
      </c>
    </row>
    <row r="46" spans="1:127" x14ac:dyDescent="0.2">
      <c r="A46">
        <v>2017</v>
      </c>
      <c r="B46">
        <v>9</v>
      </c>
      <c r="C46" s="98">
        <v>154.60833333333335</v>
      </c>
      <c r="D46" s="98">
        <v>10.804166666666671</v>
      </c>
      <c r="E46" s="98">
        <v>109.65416666666665</v>
      </c>
      <c r="F46" s="98">
        <v>25.850000000000005</v>
      </c>
      <c r="G46" s="98">
        <v>72.543749999999989</v>
      </c>
      <c r="H46" s="98">
        <v>48.739583333333343</v>
      </c>
      <c r="I46" s="98">
        <v>44.502083333333324</v>
      </c>
      <c r="J46" s="98">
        <v>80.697916666666671</v>
      </c>
      <c r="K46" s="98">
        <v>24.054166666666667</v>
      </c>
      <c r="L46" s="98">
        <v>120.25000000000001</v>
      </c>
      <c r="M46" s="98">
        <v>10.408333333333333</v>
      </c>
      <c r="N46" s="98">
        <v>166.60416666666671</v>
      </c>
      <c r="O46" s="98">
        <v>2.5083333333333329</v>
      </c>
      <c r="P46" s="98">
        <v>218.70416666666671</v>
      </c>
      <c r="Q46" s="253">
        <v>15.206527777777779</v>
      </c>
      <c r="U46" t="s">
        <v>109</v>
      </c>
      <c r="V46" t="s">
        <v>119</v>
      </c>
      <c r="W46" s="253">
        <f t="shared" ca="1" si="101"/>
        <v>629.9658293431803</v>
      </c>
      <c r="X46" s="253">
        <f t="shared" ca="1" si="102"/>
        <v>0</v>
      </c>
      <c r="AG46" s="21"/>
      <c r="AJ46" t="s">
        <v>109</v>
      </c>
      <c r="AK46" t="s">
        <v>119</v>
      </c>
      <c r="AL46" s="253">
        <f t="shared" ca="1" si="103"/>
        <v>569.96582934318008</v>
      </c>
      <c r="AM46" s="253">
        <f t="shared" ca="1" si="104"/>
        <v>0</v>
      </c>
      <c r="AV46" s="21"/>
      <c r="AW46" s="21"/>
      <c r="AY46" t="s">
        <v>109</v>
      </c>
      <c r="AZ46" t="s">
        <v>119</v>
      </c>
      <c r="BA46" s="253">
        <f t="shared" ca="1" si="105"/>
        <v>509.96582934318013</v>
      </c>
      <c r="BB46" s="253">
        <f t="shared" ca="1" si="106"/>
        <v>0</v>
      </c>
      <c r="BK46" s="21"/>
      <c r="BL46" s="21"/>
      <c r="BN46" t="s">
        <v>109</v>
      </c>
      <c r="BO46" t="s">
        <v>119</v>
      </c>
      <c r="BP46" s="253">
        <f t="shared" ca="1" si="107"/>
        <v>450.10707934318015</v>
      </c>
      <c r="BQ46" s="253">
        <f t="shared" ca="1" si="108"/>
        <v>0.14124999999999996</v>
      </c>
      <c r="BZ46" s="21"/>
      <c r="CA46" s="21"/>
      <c r="CC46" t="s">
        <v>109</v>
      </c>
      <c r="CD46" t="s">
        <v>119</v>
      </c>
      <c r="CE46" s="253">
        <f t="shared" ca="1" si="109"/>
        <v>390.8187460098469</v>
      </c>
      <c r="CF46" s="253">
        <f t="shared" ca="1" si="110"/>
        <v>0.8529166666666661</v>
      </c>
      <c r="CO46" s="21"/>
      <c r="CP46" s="21"/>
      <c r="CR46" t="s">
        <v>109</v>
      </c>
      <c r="CS46" t="s">
        <v>119</v>
      </c>
      <c r="CT46" s="253">
        <f t="shared" ca="1" si="111"/>
        <v>332.1049960098469</v>
      </c>
      <c r="CU46" s="253">
        <f t="shared" ca="1" si="112"/>
        <v>2.1391666666666658</v>
      </c>
      <c r="DD46" s="21"/>
      <c r="DE46" s="21"/>
      <c r="DG46" t="s">
        <v>109</v>
      </c>
      <c r="DH46" t="s">
        <v>119</v>
      </c>
      <c r="DI46" s="253">
        <f t="shared" ca="1" si="113"/>
        <v>274.80270434318021</v>
      </c>
      <c r="DJ46" s="253">
        <f t="shared" ca="1" si="114"/>
        <v>4.8368749999999991</v>
      </c>
      <c r="DS46" s="21"/>
      <c r="DT46" s="21"/>
      <c r="DU46" s="17">
        <f>'Monthly Data'!D46</f>
        <v>22873843.004820667</v>
      </c>
      <c r="DV46" s="17">
        <f>'Monthly Data'!H46</f>
        <v>9804803.2431693282</v>
      </c>
      <c r="DW46" s="17">
        <f>'Monthly Data'!L46</f>
        <v>27847918.014235981</v>
      </c>
    </row>
    <row r="47" spans="1:127" x14ac:dyDescent="0.2">
      <c r="A47">
        <v>2017</v>
      </c>
      <c r="B47">
        <v>10</v>
      </c>
      <c r="C47" s="98">
        <v>322.61875000000003</v>
      </c>
      <c r="D47" s="98">
        <v>0</v>
      </c>
      <c r="E47" s="98">
        <v>260.61874999999998</v>
      </c>
      <c r="F47" s="98">
        <v>0</v>
      </c>
      <c r="G47" s="98">
        <v>200.76041666666666</v>
      </c>
      <c r="H47" s="98">
        <v>2.1416666666666693</v>
      </c>
      <c r="I47" s="98">
        <v>148.1854166666667</v>
      </c>
      <c r="J47" s="98">
        <v>11.566666666666668</v>
      </c>
      <c r="K47" s="98">
        <v>102.87708333333335</v>
      </c>
      <c r="L47" s="98">
        <v>28.258333333333333</v>
      </c>
      <c r="M47" s="98">
        <v>68.772916666666674</v>
      </c>
      <c r="N47" s="98">
        <v>56.154166666666654</v>
      </c>
      <c r="O47" s="98">
        <v>46.764583333333334</v>
      </c>
      <c r="P47" s="98">
        <v>96.145833333333343</v>
      </c>
      <c r="Q47" s="253">
        <v>9.5929435483870957</v>
      </c>
      <c r="U47" t="s">
        <v>109</v>
      </c>
      <c r="V47" t="s">
        <v>120</v>
      </c>
      <c r="W47" s="253">
        <f t="shared" ca="1" si="101"/>
        <v>818.62936502461719</v>
      </c>
      <c r="X47" s="253">
        <f t="shared" ca="1" si="102"/>
        <v>0</v>
      </c>
      <c r="AG47" s="21"/>
      <c r="AJ47" t="s">
        <v>109</v>
      </c>
      <c r="AK47" t="s">
        <v>120</v>
      </c>
      <c r="AL47" s="253">
        <f t="shared" ca="1" si="103"/>
        <v>756.62936502461719</v>
      </c>
      <c r="AM47" s="253">
        <f t="shared" ca="1" si="104"/>
        <v>0</v>
      </c>
      <c r="AV47" s="21"/>
      <c r="AW47" s="21"/>
      <c r="AY47" t="s">
        <v>109</v>
      </c>
      <c r="AZ47" t="s">
        <v>120</v>
      </c>
      <c r="BA47" s="253">
        <f t="shared" ca="1" si="105"/>
        <v>694.62936502461719</v>
      </c>
      <c r="BB47" s="253">
        <f t="shared" ca="1" si="106"/>
        <v>0</v>
      </c>
      <c r="BK47" s="21"/>
      <c r="BL47" s="21"/>
      <c r="BN47" t="s">
        <v>109</v>
      </c>
      <c r="BO47" t="s">
        <v>120</v>
      </c>
      <c r="BP47" s="253">
        <f t="shared" ca="1" si="107"/>
        <v>632.62936502461719</v>
      </c>
      <c r="BQ47" s="253">
        <f t="shared" ca="1" si="108"/>
        <v>0</v>
      </c>
      <c r="BZ47" s="21"/>
      <c r="CA47" s="21"/>
      <c r="CC47" t="s">
        <v>109</v>
      </c>
      <c r="CD47" t="s">
        <v>120</v>
      </c>
      <c r="CE47" s="253">
        <f t="shared" ca="1" si="109"/>
        <v>570.62936502461719</v>
      </c>
      <c r="CF47" s="253">
        <f t="shared" ca="1" si="110"/>
        <v>0</v>
      </c>
      <c r="CO47" s="21"/>
      <c r="CP47" s="21"/>
      <c r="CR47" t="s">
        <v>109</v>
      </c>
      <c r="CS47" t="s">
        <v>120</v>
      </c>
      <c r="CT47" s="253">
        <f t="shared" ca="1" si="111"/>
        <v>508.62936502461724</v>
      </c>
      <c r="CU47" s="253">
        <f t="shared" ca="1" si="112"/>
        <v>0</v>
      </c>
      <c r="DD47" s="21"/>
      <c r="DE47" s="21"/>
      <c r="DG47" t="s">
        <v>109</v>
      </c>
      <c r="DH47" t="s">
        <v>120</v>
      </c>
      <c r="DI47" s="253">
        <f t="shared" ca="1" si="113"/>
        <v>446.62936502461719</v>
      </c>
      <c r="DJ47" s="253">
        <f t="shared" ca="1" si="114"/>
        <v>0</v>
      </c>
      <c r="DS47" s="21"/>
      <c r="DT47" s="21"/>
      <c r="DU47" s="17">
        <f>'Monthly Data'!D47</f>
        <v>25361040.630483497</v>
      </c>
      <c r="DV47" s="17">
        <f>'Monthly Data'!H47</f>
        <v>10221427.234083645</v>
      </c>
      <c r="DW47" s="17">
        <f>'Monthly Data'!L47</f>
        <v>28379622.601520408</v>
      </c>
    </row>
    <row r="48" spans="1:127" x14ac:dyDescent="0.2">
      <c r="A48">
        <v>2017</v>
      </c>
      <c r="B48">
        <v>11</v>
      </c>
      <c r="C48" s="98">
        <v>668.26249999999993</v>
      </c>
      <c r="D48" s="98">
        <v>0</v>
      </c>
      <c r="E48" s="98">
        <v>608.26250000000005</v>
      </c>
      <c r="F48" s="98">
        <v>0</v>
      </c>
      <c r="G48" s="98">
        <v>548.26250000000005</v>
      </c>
      <c r="H48" s="98">
        <v>0</v>
      </c>
      <c r="I48" s="98">
        <v>488.26249999999999</v>
      </c>
      <c r="J48" s="98">
        <v>0</v>
      </c>
      <c r="K48" s="98">
        <v>428.26250000000005</v>
      </c>
      <c r="L48" s="98">
        <v>0</v>
      </c>
      <c r="M48" s="98">
        <v>368.26250000000005</v>
      </c>
      <c r="N48" s="98">
        <v>0</v>
      </c>
      <c r="O48" s="98">
        <v>308.26249999999999</v>
      </c>
      <c r="P48" s="98">
        <v>0</v>
      </c>
      <c r="Q48" s="253">
        <v>-2.2754166666666666</v>
      </c>
      <c r="AA48" s="10"/>
      <c r="AB48" s="10"/>
      <c r="AG48" s="21"/>
      <c r="AP48" s="10"/>
      <c r="AQ48" s="10"/>
      <c r="AV48" s="21"/>
      <c r="AW48" s="21"/>
      <c r="BE48" s="10"/>
      <c r="BF48" s="10"/>
      <c r="BK48" s="21"/>
      <c r="BL48" s="21"/>
      <c r="BT48" s="10"/>
      <c r="BU48" s="10"/>
      <c r="BZ48" s="21"/>
      <c r="CA48" s="21"/>
      <c r="CI48" s="10"/>
      <c r="CJ48" s="10"/>
      <c r="CO48" s="21"/>
      <c r="CP48" s="21"/>
      <c r="CX48" s="10"/>
      <c r="CY48" s="10"/>
      <c r="DD48" s="21"/>
      <c r="DE48" s="21"/>
      <c r="DM48" s="10"/>
      <c r="DN48" s="10"/>
      <c r="DS48" s="21"/>
      <c r="DT48" s="21"/>
      <c r="DU48" s="17">
        <f>'Monthly Data'!D48</f>
        <v>32002528.745849546</v>
      </c>
      <c r="DV48" s="17">
        <f>'Monthly Data'!H48</f>
        <v>11444473.119509853</v>
      </c>
      <c r="DW48" s="17">
        <f>'Monthly Data'!L48</f>
        <v>30967881.518586181</v>
      </c>
    </row>
    <row r="49" spans="1:127" x14ac:dyDescent="0.2">
      <c r="A49">
        <v>2017</v>
      </c>
      <c r="B49">
        <v>12</v>
      </c>
      <c r="C49" s="98">
        <v>1019.3625</v>
      </c>
      <c r="D49" s="98">
        <v>0</v>
      </c>
      <c r="E49" s="98">
        <v>957.36249999999995</v>
      </c>
      <c r="F49" s="98">
        <v>0</v>
      </c>
      <c r="G49" s="98">
        <v>895.36249999999995</v>
      </c>
      <c r="H49" s="98">
        <v>0</v>
      </c>
      <c r="I49" s="98">
        <v>833.36250000000018</v>
      </c>
      <c r="J49" s="98">
        <v>0</v>
      </c>
      <c r="K49" s="98">
        <v>771.36249999999995</v>
      </c>
      <c r="L49" s="98">
        <v>0</v>
      </c>
      <c r="M49" s="98">
        <v>709.36250000000007</v>
      </c>
      <c r="N49" s="98">
        <v>0</v>
      </c>
      <c r="O49" s="98">
        <v>647.36249999999995</v>
      </c>
      <c r="P49" s="98">
        <v>0</v>
      </c>
      <c r="Q49" s="253">
        <v>-12.882661290322583</v>
      </c>
      <c r="W49" s="10"/>
      <c r="X49" s="10"/>
      <c r="AA49" s="10"/>
      <c r="AB49" s="10"/>
      <c r="AG49" s="21"/>
      <c r="AL49" s="10"/>
      <c r="AM49" s="10"/>
      <c r="AP49" s="10"/>
      <c r="AQ49" s="10"/>
      <c r="AV49" s="21"/>
      <c r="AW49" s="21"/>
      <c r="BA49" s="10"/>
      <c r="BB49" s="10"/>
      <c r="BE49" s="10"/>
      <c r="BF49" s="10"/>
      <c r="BK49" s="21"/>
      <c r="BL49" s="21"/>
      <c r="BP49" s="10"/>
      <c r="BQ49" s="10"/>
      <c r="BT49" s="10"/>
      <c r="BU49" s="10"/>
      <c r="BZ49" s="21"/>
      <c r="CA49" s="21"/>
      <c r="CE49" s="10"/>
      <c r="CF49" s="10"/>
      <c r="CI49" s="10"/>
      <c r="CJ49" s="10"/>
      <c r="CO49" s="21"/>
      <c r="CP49" s="21"/>
      <c r="CT49" s="10"/>
      <c r="CU49" s="10"/>
      <c r="CX49" s="10"/>
      <c r="CY49" s="10"/>
      <c r="DD49" s="21"/>
      <c r="DE49" s="21"/>
      <c r="DI49" s="10"/>
      <c r="DJ49" s="10"/>
      <c r="DM49" s="10"/>
      <c r="DN49" s="10"/>
      <c r="DS49" s="21"/>
      <c r="DT49" s="21"/>
      <c r="DU49" s="17">
        <f>'Monthly Data'!D49</f>
        <v>42913193.252782822</v>
      </c>
      <c r="DV49" s="17">
        <f>'Monthly Data'!H49</f>
        <v>13621029.88340994</v>
      </c>
      <c r="DW49" s="17">
        <f>'Monthly Data'!L49</f>
        <v>34731435.156052463</v>
      </c>
    </row>
    <row r="50" spans="1:127" x14ac:dyDescent="0.2">
      <c r="A50">
        <v>2018</v>
      </c>
      <c r="B50">
        <v>1</v>
      </c>
      <c r="C50" s="98">
        <v>977.3104166666667</v>
      </c>
      <c r="D50" s="98">
        <v>0</v>
      </c>
      <c r="E50" s="98">
        <v>915.3104166666667</v>
      </c>
      <c r="F50" s="98">
        <v>0</v>
      </c>
      <c r="G50" s="98">
        <v>853.3104166666667</v>
      </c>
      <c r="H50" s="98">
        <v>0</v>
      </c>
      <c r="I50" s="98">
        <v>791.3104166666667</v>
      </c>
      <c r="J50" s="98">
        <v>0</v>
      </c>
      <c r="K50" s="98">
        <v>729.3104166666667</v>
      </c>
      <c r="L50" s="98">
        <v>0</v>
      </c>
      <c r="M50" s="98">
        <v>667.31041666666681</v>
      </c>
      <c r="N50" s="98">
        <v>0</v>
      </c>
      <c r="O50" s="98">
        <v>605.31041666666681</v>
      </c>
      <c r="P50" s="98">
        <v>0</v>
      </c>
      <c r="Q50" s="253">
        <v>-11.526142473118281</v>
      </c>
      <c r="AA50" s="10"/>
      <c r="AB50" s="10"/>
      <c r="AG50" s="21"/>
      <c r="AP50" s="10"/>
      <c r="AQ50" s="10"/>
      <c r="AV50" s="21"/>
      <c r="AW50" s="21"/>
      <c r="BE50" s="10"/>
      <c r="BF50" s="10"/>
      <c r="BK50" s="21"/>
      <c r="BL50" s="21"/>
      <c r="BT50" s="10"/>
      <c r="BU50" s="10"/>
      <c r="BZ50" s="21"/>
      <c r="CA50" s="21"/>
      <c r="CI50" s="10"/>
      <c r="CJ50" s="10"/>
      <c r="CO50" s="21"/>
      <c r="CP50" s="21"/>
      <c r="CX50" s="10"/>
      <c r="CY50" s="10"/>
      <c r="DD50" s="21"/>
      <c r="DE50" s="21"/>
      <c r="DM50" s="10"/>
      <c r="DN50" s="10"/>
      <c r="DS50" s="21"/>
      <c r="DT50" s="21"/>
      <c r="DU50" s="17">
        <f>'Monthly Data'!D50</f>
        <v>44075191.910210773</v>
      </c>
      <c r="DV50" s="17">
        <f>'Monthly Data'!H50</f>
        <v>14200262.817658624</v>
      </c>
      <c r="DW50" s="17">
        <f>'Monthly Data'!L50</f>
        <v>35412999.449903227</v>
      </c>
    </row>
    <row r="51" spans="1:127" x14ac:dyDescent="0.2">
      <c r="A51">
        <v>2018</v>
      </c>
      <c r="B51">
        <v>2</v>
      </c>
      <c r="C51" s="98">
        <v>817.08958333333317</v>
      </c>
      <c r="D51" s="98">
        <v>0</v>
      </c>
      <c r="E51" s="98">
        <v>761.08958333333317</v>
      </c>
      <c r="F51" s="98">
        <v>0</v>
      </c>
      <c r="G51" s="98">
        <v>705.08958333333317</v>
      </c>
      <c r="H51" s="98">
        <v>0</v>
      </c>
      <c r="I51" s="98">
        <v>649.08958333333328</v>
      </c>
      <c r="J51" s="98">
        <v>0</v>
      </c>
      <c r="K51" s="98">
        <v>593.08958333333339</v>
      </c>
      <c r="L51" s="98">
        <v>0</v>
      </c>
      <c r="M51" s="98">
        <v>537.08958333333339</v>
      </c>
      <c r="N51" s="98">
        <v>0</v>
      </c>
      <c r="O51" s="98">
        <v>481.08958333333334</v>
      </c>
      <c r="P51" s="98">
        <v>0</v>
      </c>
      <c r="Q51" s="253">
        <v>-9.181770833333335</v>
      </c>
      <c r="AA51" s="10"/>
      <c r="AB51" s="10"/>
      <c r="AG51" s="21"/>
      <c r="AP51" s="10"/>
      <c r="AQ51" s="10"/>
      <c r="AV51" s="21"/>
      <c r="AW51" s="21"/>
      <c r="BE51" s="10"/>
      <c r="BF51" s="10"/>
      <c r="BK51" s="21"/>
      <c r="BL51" s="21"/>
      <c r="BT51" s="10"/>
      <c r="BU51" s="10"/>
      <c r="BZ51" s="21"/>
      <c r="CA51" s="21"/>
      <c r="CI51" s="10"/>
      <c r="CJ51" s="10"/>
      <c r="CO51" s="21"/>
      <c r="CP51" s="21"/>
      <c r="CX51" s="10"/>
      <c r="CY51" s="10"/>
      <c r="DD51" s="21"/>
      <c r="DE51" s="21"/>
      <c r="DM51" s="10"/>
      <c r="DN51" s="10"/>
      <c r="DS51" s="21"/>
      <c r="DT51" s="21"/>
      <c r="DU51" s="17">
        <f>'Monthly Data'!D51</f>
        <v>36005143.998726979</v>
      </c>
      <c r="DV51" s="17">
        <f>'Monthly Data'!H51</f>
        <v>12203136.175450346</v>
      </c>
      <c r="DW51" s="17">
        <f>'Monthly Data'!L51</f>
        <v>30967285.122607682</v>
      </c>
    </row>
    <row r="52" spans="1:127" x14ac:dyDescent="0.2">
      <c r="A52">
        <v>2018</v>
      </c>
      <c r="B52">
        <v>3</v>
      </c>
      <c r="C52" s="98">
        <v>778.80624999999986</v>
      </c>
      <c r="D52" s="98">
        <v>0</v>
      </c>
      <c r="E52" s="98">
        <v>716.80624999999975</v>
      </c>
      <c r="F52" s="98">
        <v>0</v>
      </c>
      <c r="G52" s="98">
        <v>654.80624999999986</v>
      </c>
      <c r="H52" s="98">
        <v>0</v>
      </c>
      <c r="I52" s="98">
        <v>592.80624999999975</v>
      </c>
      <c r="J52" s="98">
        <v>0</v>
      </c>
      <c r="K52" s="98">
        <v>530.80624999999986</v>
      </c>
      <c r="L52" s="98">
        <v>0</v>
      </c>
      <c r="M52" s="98">
        <v>468.80624999999998</v>
      </c>
      <c r="N52" s="98">
        <v>0</v>
      </c>
      <c r="O52" s="98">
        <v>406.80624999999998</v>
      </c>
      <c r="P52" s="98">
        <v>0</v>
      </c>
      <c r="Q52" s="253">
        <v>-5.1227822580645173</v>
      </c>
      <c r="AA52" s="10"/>
      <c r="AB52" s="10"/>
      <c r="AG52" s="21"/>
      <c r="AP52" s="10"/>
      <c r="AQ52" s="10"/>
      <c r="AV52" s="21"/>
      <c r="AW52" s="21"/>
      <c r="BE52" s="10"/>
      <c r="BF52" s="10"/>
      <c r="BK52" s="21"/>
      <c r="BL52" s="21"/>
      <c r="BT52" s="10"/>
      <c r="BU52" s="10"/>
      <c r="BZ52" s="21"/>
      <c r="CA52" s="21"/>
      <c r="CI52" s="10"/>
      <c r="CJ52" s="10"/>
      <c r="CO52" s="21"/>
      <c r="CP52" s="21"/>
      <c r="CX52" s="10"/>
      <c r="CY52" s="10"/>
      <c r="DD52" s="21"/>
      <c r="DE52" s="21"/>
      <c r="DM52" s="10"/>
      <c r="DN52" s="10"/>
      <c r="DS52" s="21"/>
      <c r="DT52" s="21"/>
      <c r="DU52" s="17">
        <f>'Monthly Data'!D52</f>
        <v>35111666.164224617</v>
      </c>
      <c r="DV52" s="17">
        <f>'Monthly Data'!H52</f>
        <v>12429934.250792505</v>
      </c>
      <c r="DW52" s="17">
        <f>'Monthly Data'!L52</f>
        <v>32026897.594194725</v>
      </c>
    </row>
    <row r="53" spans="1:127" x14ac:dyDescent="0.2">
      <c r="A53">
        <v>2018</v>
      </c>
      <c r="B53">
        <v>4</v>
      </c>
      <c r="C53" s="98">
        <v>636.60625000000005</v>
      </c>
      <c r="D53" s="98">
        <v>0</v>
      </c>
      <c r="E53" s="98">
        <v>576.60624999999993</v>
      </c>
      <c r="F53" s="98">
        <v>0</v>
      </c>
      <c r="G53" s="98">
        <v>516.60624999999993</v>
      </c>
      <c r="H53" s="98">
        <v>0</v>
      </c>
      <c r="I53" s="98">
        <v>456.60625000000005</v>
      </c>
      <c r="J53" s="98">
        <v>0</v>
      </c>
      <c r="K53" s="98">
        <v>396.60624999999999</v>
      </c>
      <c r="L53" s="98">
        <v>0</v>
      </c>
      <c r="M53" s="98">
        <v>336.60624999999999</v>
      </c>
      <c r="N53" s="98">
        <v>0</v>
      </c>
      <c r="O53" s="98">
        <v>279.26875000000007</v>
      </c>
      <c r="P53" s="98">
        <v>2.6624999999999996</v>
      </c>
      <c r="Q53" s="253">
        <v>-1.2202083333333336</v>
      </c>
      <c r="AA53" s="10"/>
      <c r="AB53" s="10"/>
      <c r="AG53" s="13"/>
      <c r="AP53" s="10"/>
      <c r="AQ53" s="10"/>
      <c r="AV53" s="13"/>
      <c r="AW53" s="13"/>
      <c r="BE53" s="10"/>
      <c r="BF53" s="10"/>
      <c r="BK53" s="13"/>
      <c r="BL53" s="13"/>
      <c r="BT53" s="10"/>
      <c r="BU53" s="10"/>
      <c r="BZ53" s="13"/>
      <c r="CA53" s="13"/>
      <c r="CI53" s="10"/>
      <c r="CJ53" s="10"/>
      <c r="CO53" s="13"/>
      <c r="CP53" s="13"/>
      <c r="CX53" s="10"/>
      <c r="CY53" s="10"/>
      <c r="DD53" s="13"/>
      <c r="DE53" s="13"/>
      <c r="DM53" s="10"/>
      <c r="DN53" s="10"/>
      <c r="DS53" s="13"/>
      <c r="DT53" s="13"/>
      <c r="DU53" s="17">
        <f>'Monthly Data'!D53</f>
        <v>30256123.129029866</v>
      </c>
      <c r="DV53" s="17">
        <f>'Monthly Data'!H53</f>
        <v>11176765.752282178</v>
      </c>
      <c r="DW53" s="17">
        <f>'Monthly Data'!L53</f>
        <v>28915892.91626839</v>
      </c>
    </row>
    <row r="54" spans="1:127" x14ac:dyDescent="0.2">
      <c r="A54">
        <v>2018</v>
      </c>
      <c r="B54">
        <v>5</v>
      </c>
      <c r="C54" s="98">
        <v>207.95416666666665</v>
      </c>
      <c r="D54" s="98">
        <v>4.0583333333333265</v>
      </c>
      <c r="E54" s="98">
        <v>156.5333333333333</v>
      </c>
      <c r="F54" s="98">
        <v>14.637499999999996</v>
      </c>
      <c r="G54" s="98">
        <v>110.37500000000001</v>
      </c>
      <c r="H54" s="98">
        <v>30.479166666666664</v>
      </c>
      <c r="I54" s="98">
        <v>73.558333333333323</v>
      </c>
      <c r="J54" s="98">
        <v>55.662499999999994</v>
      </c>
      <c r="K54" s="98">
        <v>41.137500000000003</v>
      </c>
      <c r="L54" s="98">
        <v>85.241666666666674</v>
      </c>
      <c r="M54" s="98">
        <v>20.166666666666668</v>
      </c>
      <c r="N54" s="98">
        <v>126.27083333333333</v>
      </c>
      <c r="O54" s="98">
        <v>7.6416666666666666</v>
      </c>
      <c r="P54" s="98">
        <v>175.74583333333331</v>
      </c>
      <c r="Q54" s="253">
        <v>13.422715053763442</v>
      </c>
      <c r="AA54" s="10"/>
      <c r="AB54" s="10"/>
      <c r="AP54" s="10"/>
      <c r="AQ54" s="10"/>
      <c r="BE54" s="10"/>
      <c r="BF54" s="10"/>
      <c r="BT54" s="10"/>
      <c r="BU54" s="10"/>
      <c r="CI54" s="10"/>
      <c r="CJ54" s="10"/>
      <c r="CX54" s="10"/>
      <c r="CY54" s="10"/>
      <c r="DM54" s="10"/>
      <c r="DN54" s="10"/>
      <c r="DU54" s="17">
        <f>'Monthly Data'!D54</f>
        <v>24509975.943597607</v>
      </c>
      <c r="DV54" s="17">
        <f>'Monthly Data'!H54</f>
        <v>10375596.952195626</v>
      </c>
      <c r="DW54" s="17">
        <f>'Monthly Data'!L54</f>
        <v>27583041.481710307</v>
      </c>
    </row>
    <row r="55" spans="1:127" x14ac:dyDescent="0.2">
      <c r="A55">
        <v>2018</v>
      </c>
      <c r="B55">
        <v>6</v>
      </c>
      <c r="C55" s="98">
        <v>108.74583333333337</v>
      </c>
      <c r="D55" s="98">
        <v>7.9708333333333208</v>
      </c>
      <c r="E55" s="98">
        <v>65.32083333333334</v>
      </c>
      <c r="F55" s="98">
        <v>24.545833333333317</v>
      </c>
      <c r="G55" s="98">
        <v>33.812499999999993</v>
      </c>
      <c r="H55" s="98">
        <v>53.03749999999998</v>
      </c>
      <c r="I55" s="98">
        <v>15.445833333333335</v>
      </c>
      <c r="J55" s="98">
        <v>94.67083333333332</v>
      </c>
      <c r="K55" s="98">
        <v>4.9208333333333307</v>
      </c>
      <c r="L55" s="98">
        <v>144.14583333333331</v>
      </c>
      <c r="M55" s="98">
        <v>1.0624999999999982</v>
      </c>
      <c r="N55" s="98">
        <v>200.28749999999999</v>
      </c>
      <c r="O55" s="98">
        <v>0</v>
      </c>
      <c r="P55" s="98">
        <v>259.22499999999997</v>
      </c>
      <c r="Q55" s="253">
        <v>16.640833333333333</v>
      </c>
      <c r="AA55" s="10"/>
      <c r="AB55" s="10"/>
      <c r="AP55" s="10"/>
      <c r="AQ55" s="10"/>
      <c r="BE55" s="10"/>
      <c r="BF55" s="10"/>
      <c r="BT55" s="10"/>
      <c r="BU55" s="10"/>
      <c r="CI55" s="10"/>
      <c r="CJ55" s="10"/>
      <c r="CX55" s="10"/>
      <c r="CY55" s="10"/>
      <c r="DM55" s="10"/>
      <c r="DN55" s="10"/>
      <c r="DU55" s="17">
        <f>'Monthly Data'!D55</f>
        <v>24651522.048257262</v>
      </c>
      <c r="DV55" s="17">
        <f>'Monthly Data'!H55</f>
        <v>10371086.105908385</v>
      </c>
      <c r="DW55" s="17">
        <f>'Monthly Data'!L55</f>
        <v>27322389.893385421</v>
      </c>
    </row>
    <row r="56" spans="1:127" x14ac:dyDescent="0.2">
      <c r="A56">
        <v>2018</v>
      </c>
      <c r="B56">
        <v>7</v>
      </c>
      <c r="C56" s="98">
        <v>23.839563382567764</v>
      </c>
      <c r="D56" s="98">
        <v>47.427791078288152</v>
      </c>
      <c r="E56" s="98">
        <v>6.3381877941892562</v>
      </c>
      <c r="F56" s="98">
        <v>91.926415489909644</v>
      </c>
      <c r="G56" s="98">
        <v>1.6666666666665719E-2</v>
      </c>
      <c r="H56" s="98">
        <v>147.60489436238706</v>
      </c>
      <c r="I56" s="98">
        <v>0</v>
      </c>
      <c r="J56" s="98">
        <v>209.58822769572041</v>
      </c>
      <c r="K56" s="98">
        <v>0</v>
      </c>
      <c r="L56" s="98">
        <v>271.58822769572043</v>
      </c>
      <c r="M56" s="98">
        <v>0</v>
      </c>
      <c r="N56" s="98">
        <v>333.58822769572038</v>
      </c>
      <c r="O56" s="98">
        <v>0</v>
      </c>
      <c r="P56" s="98">
        <v>395.58822769572038</v>
      </c>
      <c r="Q56" s="253">
        <v>20.760910570829694</v>
      </c>
      <c r="AA56" s="10"/>
      <c r="AB56" s="10"/>
      <c r="AP56" s="10"/>
      <c r="AQ56" s="10"/>
      <c r="BE56" s="10"/>
      <c r="BF56" s="10"/>
      <c r="BT56" s="10"/>
      <c r="BU56" s="10"/>
      <c r="CI56" s="10"/>
      <c r="CJ56" s="10"/>
      <c r="CX56" s="10"/>
      <c r="CY56" s="10"/>
      <c r="DM56" s="10"/>
      <c r="DN56" s="10"/>
      <c r="DU56" s="17">
        <f>'Monthly Data'!D56</f>
        <v>28368231.729427487</v>
      </c>
      <c r="DV56" s="17">
        <f>'Monthly Data'!H56</f>
        <v>11289922.850805573</v>
      </c>
      <c r="DW56" s="17">
        <f>'Monthly Data'!L56</f>
        <v>29907288.116602711</v>
      </c>
    </row>
    <row r="57" spans="1:127" x14ac:dyDescent="0.2">
      <c r="A57">
        <v>2018</v>
      </c>
      <c r="B57">
        <v>8</v>
      </c>
      <c r="C57" s="98">
        <v>37.42083333333332</v>
      </c>
      <c r="D57" s="98">
        <v>16.529166666666676</v>
      </c>
      <c r="E57" s="98">
        <v>15.641666666666659</v>
      </c>
      <c r="F57" s="98">
        <v>56.750000000000014</v>
      </c>
      <c r="G57" s="98">
        <v>6.458333333333325</v>
      </c>
      <c r="H57" s="98">
        <v>109.56666666666669</v>
      </c>
      <c r="I57" s="98">
        <v>1.8875000000000011</v>
      </c>
      <c r="J57" s="98">
        <v>166.99583333333334</v>
      </c>
      <c r="K57" s="98">
        <v>0</v>
      </c>
      <c r="L57" s="98">
        <v>227.10833333333332</v>
      </c>
      <c r="M57" s="98">
        <v>0</v>
      </c>
      <c r="N57" s="98">
        <v>289.10833333333341</v>
      </c>
      <c r="O57" s="98">
        <v>0</v>
      </c>
      <c r="P57" s="98">
        <v>351.10833333333335</v>
      </c>
      <c r="Q57" s="253">
        <v>19.326075268817203</v>
      </c>
      <c r="AA57" s="10"/>
      <c r="AB57" s="10"/>
      <c r="AP57" s="10"/>
      <c r="AQ57" s="10"/>
      <c r="BE57" s="10"/>
      <c r="BF57" s="10"/>
      <c r="BT57" s="10"/>
      <c r="BU57" s="10"/>
      <c r="CI57" s="10"/>
      <c r="CJ57" s="10"/>
      <c r="CX57" s="10"/>
      <c r="CY57" s="10"/>
      <c r="DM57" s="10"/>
      <c r="DN57" s="10"/>
      <c r="DU57" s="17">
        <f>'Monthly Data'!D57</f>
        <v>27163035.407404374</v>
      </c>
      <c r="DV57" s="17">
        <f>'Monthly Data'!H57</f>
        <v>10911155.375646848</v>
      </c>
      <c r="DW57" s="17">
        <f>'Monthly Data'!L57</f>
        <v>29368453.399217535</v>
      </c>
    </row>
    <row r="58" spans="1:127" x14ac:dyDescent="0.2">
      <c r="A58">
        <v>2018</v>
      </c>
      <c r="B58">
        <v>9</v>
      </c>
      <c r="C58" s="98">
        <v>187.00416666666669</v>
      </c>
      <c r="D58" s="98">
        <v>6.2208333333333385</v>
      </c>
      <c r="E58" s="98">
        <v>141.23333333333332</v>
      </c>
      <c r="F58" s="98">
        <v>20.450000000000006</v>
      </c>
      <c r="G58" s="98">
        <v>101.02083333333333</v>
      </c>
      <c r="H58" s="98">
        <v>40.237500000000011</v>
      </c>
      <c r="I58" s="98">
        <v>67.524999999999991</v>
      </c>
      <c r="J58" s="98">
        <v>66.741666666666646</v>
      </c>
      <c r="K58" s="98">
        <v>39.441666666666656</v>
      </c>
      <c r="L58" s="98">
        <v>98.658333333333303</v>
      </c>
      <c r="M58" s="98">
        <v>19.612499999999997</v>
      </c>
      <c r="N58" s="98">
        <v>138.82916666666668</v>
      </c>
      <c r="O58" s="98">
        <v>10.433333333333334</v>
      </c>
      <c r="P58" s="98">
        <v>189.65000000000003</v>
      </c>
      <c r="Q58" s="253">
        <v>13.97388888888889</v>
      </c>
      <c r="AA58" s="10"/>
      <c r="AB58" s="10"/>
      <c r="AP58" s="10"/>
      <c r="AQ58" s="10"/>
      <c r="BE58" s="10"/>
      <c r="BF58" s="10"/>
      <c r="BT58" s="10"/>
      <c r="BU58" s="10"/>
      <c r="CI58" s="10"/>
      <c r="CJ58" s="10"/>
      <c r="CX58" s="10"/>
      <c r="CY58" s="10"/>
      <c r="DM58" s="10"/>
      <c r="DN58" s="10"/>
      <c r="DU58" s="17">
        <f>'Monthly Data'!D58</f>
        <v>24017120.038987961</v>
      </c>
      <c r="DV58" s="17">
        <f>'Monthly Data'!H58</f>
        <v>9848379.7358528804</v>
      </c>
      <c r="DW58" s="17">
        <f>'Monthly Data'!L58</f>
        <v>27031779.650758974</v>
      </c>
    </row>
    <row r="59" spans="1:127" x14ac:dyDescent="0.2">
      <c r="A59">
        <v>2018</v>
      </c>
      <c r="B59">
        <v>10</v>
      </c>
      <c r="C59" s="98">
        <v>505.03750000000002</v>
      </c>
      <c r="D59" s="98">
        <v>0</v>
      </c>
      <c r="E59" s="98">
        <v>443.03749999999991</v>
      </c>
      <c r="F59" s="98">
        <v>0</v>
      </c>
      <c r="G59" s="98">
        <v>381.03750000000008</v>
      </c>
      <c r="H59" s="98">
        <v>0</v>
      </c>
      <c r="I59" s="98">
        <v>320.22916666666674</v>
      </c>
      <c r="J59" s="98">
        <v>1.19166666666667</v>
      </c>
      <c r="K59" s="98">
        <v>260.22916666666669</v>
      </c>
      <c r="L59" s="98">
        <v>3.19166666666667</v>
      </c>
      <c r="M59" s="98">
        <v>200.22916666666666</v>
      </c>
      <c r="N59" s="98">
        <v>5.19166666666667</v>
      </c>
      <c r="O59" s="98">
        <v>144.84583333333333</v>
      </c>
      <c r="P59" s="98">
        <v>11.808333333333337</v>
      </c>
      <c r="Q59" s="253">
        <v>3.7084677419354848</v>
      </c>
      <c r="AA59" s="10"/>
      <c r="AB59" s="10"/>
      <c r="AP59" s="10"/>
      <c r="AQ59" s="10"/>
      <c r="BE59" s="10"/>
      <c r="BF59" s="10"/>
      <c r="BT59" s="10"/>
      <c r="BU59" s="10"/>
      <c r="CI59" s="10"/>
      <c r="CJ59" s="10"/>
      <c r="CX59" s="10"/>
      <c r="CY59" s="10"/>
      <c r="DM59" s="10"/>
      <c r="DN59" s="10"/>
      <c r="DU59" s="17">
        <f>'Monthly Data'!D59</f>
        <v>28236185.529971309</v>
      </c>
      <c r="DV59" s="17">
        <f>'Monthly Data'!H59</f>
        <v>10577306.061697775</v>
      </c>
      <c r="DW59" s="17">
        <f>'Monthly Data'!L59</f>
        <v>28708830.983670939</v>
      </c>
    </row>
    <row r="60" spans="1:127" x14ac:dyDescent="0.2">
      <c r="A60">
        <v>2018</v>
      </c>
      <c r="B60">
        <v>11</v>
      </c>
      <c r="C60" s="98">
        <v>736.37708333333353</v>
      </c>
      <c r="D60" s="98">
        <v>0</v>
      </c>
      <c r="E60" s="98">
        <v>676.37708333333342</v>
      </c>
      <c r="F60" s="98">
        <v>0</v>
      </c>
      <c r="G60" s="98">
        <v>616.37708333333342</v>
      </c>
      <c r="H60" s="98">
        <v>0</v>
      </c>
      <c r="I60" s="98">
        <v>556.3770833333333</v>
      </c>
      <c r="J60" s="98">
        <v>0</v>
      </c>
      <c r="K60" s="98">
        <v>496.37708333333336</v>
      </c>
      <c r="L60" s="98">
        <v>0</v>
      </c>
      <c r="M60" s="98">
        <v>436.37708333333336</v>
      </c>
      <c r="N60" s="98">
        <v>0</v>
      </c>
      <c r="O60" s="98">
        <v>376.37708333333336</v>
      </c>
      <c r="P60" s="98">
        <v>0</v>
      </c>
      <c r="Q60" s="253">
        <v>-4.5459027777777781</v>
      </c>
      <c r="DU60" s="17">
        <f>'Monthly Data'!D60</f>
        <v>33882452.992128767</v>
      </c>
      <c r="DV60" s="17">
        <f>'Monthly Data'!H60</f>
        <v>11832387.840291785</v>
      </c>
      <c r="DW60" s="17">
        <f>'Monthly Data'!L60</f>
        <v>30776403.025795076</v>
      </c>
    </row>
    <row r="61" spans="1:127" x14ac:dyDescent="0.2">
      <c r="A61">
        <v>2018</v>
      </c>
      <c r="B61">
        <v>12</v>
      </c>
      <c r="C61" s="98">
        <v>846.44791666666663</v>
      </c>
      <c r="D61" s="98">
        <v>0</v>
      </c>
      <c r="E61" s="98">
        <v>784.44791666666663</v>
      </c>
      <c r="F61" s="98">
        <v>0</v>
      </c>
      <c r="G61" s="98">
        <v>722.44791666666663</v>
      </c>
      <c r="H61" s="98">
        <v>0</v>
      </c>
      <c r="I61" s="98">
        <v>660.44791666666663</v>
      </c>
      <c r="J61" s="98">
        <v>0</v>
      </c>
      <c r="K61" s="98">
        <v>598.44791666666663</v>
      </c>
      <c r="L61" s="98">
        <v>0</v>
      </c>
      <c r="M61" s="98">
        <v>536.44791666666663</v>
      </c>
      <c r="N61" s="98">
        <v>0</v>
      </c>
      <c r="O61" s="98">
        <v>474.44791666666669</v>
      </c>
      <c r="P61" s="98">
        <v>0</v>
      </c>
      <c r="Q61" s="253">
        <v>-7.304771505376344</v>
      </c>
      <c r="AA61" s="10"/>
      <c r="AB61" s="10"/>
      <c r="AP61" s="10"/>
      <c r="AQ61" s="10"/>
      <c r="BE61" s="10"/>
      <c r="BF61" s="10"/>
      <c r="BP61" s="10"/>
      <c r="BQ61" s="10"/>
      <c r="BU61" s="10"/>
      <c r="BV61" s="10"/>
      <c r="CF61" s="10"/>
      <c r="CG61" s="10"/>
      <c r="CK61" s="10"/>
      <c r="CL61" s="10"/>
      <c r="DU61" s="17">
        <f>'Monthly Data'!D61</f>
        <v>39584700.53548865</v>
      </c>
      <c r="DV61" s="17">
        <f>'Monthly Data'!H61</f>
        <v>12890088.073693393</v>
      </c>
      <c r="DW61" s="17">
        <f>'Monthly Data'!L61</f>
        <v>32533317.938790657</v>
      </c>
    </row>
    <row r="62" spans="1:127" x14ac:dyDescent="0.2">
      <c r="A62">
        <v>2019</v>
      </c>
      <c r="B62">
        <v>1</v>
      </c>
      <c r="C62" s="98">
        <v>1109.2395833333335</v>
      </c>
      <c r="D62" s="98">
        <v>0</v>
      </c>
      <c r="E62" s="98">
        <v>1047.2395833333335</v>
      </c>
      <c r="F62" s="98">
        <v>0</v>
      </c>
      <c r="G62" s="98">
        <v>985.23958333333337</v>
      </c>
      <c r="H62" s="98">
        <v>0</v>
      </c>
      <c r="I62" s="98">
        <v>923.23958333333337</v>
      </c>
      <c r="J62" s="98">
        <v>0</v>
      </c>
      <c r="K62" s="98">
        <v>861.23958333333326</v>
      </c>
      <c r="L62" s="98">
        <v>0</v>
      </c>
      <c r="M62" s="98">
        <v>799.23958333333326</v>
      </c>
      <c r="N62" s="98">
        <v>0</v>
      </c>
      <c r="O62" s="98">
        <v>737.23958333333337</v>
      </c>
      <c r="P62" s="98">
        <v>0</v>
      </c>
      <c r="Q62" s="253">
        <v>-15.781922043010757</v>
      </c>
      <c r="BP62" s="10"/>
      <c r="BQ62" s="10"/>
      <c r="BU62" s="10"/>
      <c r="BV62" s="10"/>
      <c r="CF62" s="10"/>
      <c r="CG62" s="10"/>
      <c r="CK62" s="10"/>
      <c r="CL62" s="10"/>
      <c r="DU62" s="17">
        <f>'Monthly Data'!D62</f>
        <v>44747347.009999998</v>
      </c>
      <c r="DV62" s="17">
        <f>'Monthly Data'!H62</f>
        <v>14111889.539999999</v>
      </c>
      <c r="DW62" s="17">
        <f>'Monthly Data'!L62</f>
        <v>34632517.210000001</v>
      </c>
    </row>
    <row r="63" spans="1:127" x14ac:dyDescent="0.2">
      <c r="A63">
        <v>2019</v>
      </c>
      <c r="B63">
        <v>2</v>
      </c>
      <c r="C63" s="98">
        <v>894.45833333333337</v>
      </c>
      <c r="D63" s="98">
        <v>0</v>
      </c>
      <c r="E63" s="98">
        <v>838.45833333333326</v>
      </c>
      <c r="F63" s="98">
        <v>0</v>
      </c>
      <c r="G63" s="98">
        <v>782.45833333333337</v>
      </c>
      <c r="H63" s="98">
        <v>0</v>
      </c>
      <c r="I63" s="98">
        <v>726.45833333333337</v>
      </c>
      <c r="J63" s="98">
        <v>0</v>
      </c>
      <c r="K63" s="98">
        <v>670.45833333333337</v>
      </c>
      <c r="L63" s="98">
        <v>0</v>
      </c>
      <c r="M63" s="98">
        <v>614.45833333333326</v>
      </c>
      <c r="N63" s="98">
        <v>0</v>
      </c>
      <c r="O63" s="98">
        <v>558.45833333333337</v>
      </c>
      <c r="P63" s="98">
        <v>0</v>
      </c>
      <c r="Q63" s="253">
        <v>-11.944940476190476</v>
      </c>
      <c r="BP63" s="10"/>
      <c r="BQ63" s="10"/>
      <c r="BU63" s="10"/>
      <c r="BV63" s="10"/>
      <c r="CF63" s="10"/>
      <c r="CG63" s="10"/>
      <c r="CK63" s="10"/>
      <c r="CL63" s="10"/>
      <c r="DU63" s="17">
        <f>'Monthly Data'!D63</f>
        <v>38656470.649999999</v>
      </c>
      <c r="DV63" s="17">
        <f>'Monthly Data'!H63</f>
        <v>12666666.800000001</v>
      </c>
      <c r="DW63" s="17">
        <f>'Monthly Data'!L63</f>
        <v>30813799.239999998</v>
      </c>
    </row>
    <row r="64" spans="1:127" x14ac:dyDescent="0.2">
      <c r="A64">
        <v>2019</v>
      </c>
      <c r="B64">
        <v>3</v>
      </c>
      <c r="C64" s="98">
        <v>803.16666666666663</v>
      </c>
      <c r="D64" s="98">
        <v>0</v>
      </c>
      <c r="E64" s="98">
        <v>741.16666666666674</v>
      </c>
      <c r="F64" s="98">
        <v>0</v>
      </c>
      <c r="G64" s="98">
        <v>679.16666666666674</v>
      </c>
      <c r="H64" s="98">
        <v>0</v>
      </c>
      <c r="I64" s="98">
        <v>617.16666666666674</v>
      </c>
      <c r="J64" s="98">
        <v>0</v>
      </c>
      <c r="K64" s="98">
        <v>555.16666666666674</v>
      </c>
      <c r="L64" s="98">
        <v>0</v>
      </c>
      <c r="M64" s="98">
        <v>493.16666666666669</v>
      </c>
      <c r="N64" s="98">
        <v>0</v>
      </c>
      <c r="O64" s="98">
        <v>431.16666666666669</v>
      </c>
      <c r="P64" s="98">
        <v>0</v>
      </c>
      <c r="Q64" s="253">
        <v>-5.9086021505376349</v>
      </c>
      <c r="BP64" s="10"/>
      <c r="BQ64" s="10"/>
      <c r="BU64" s="10"/>
      <c r="BV64" s="10"/>
      <c r="CF64" s="10"/>
      <c r="CG64" s="10"/>
      <c r="CK64" s="10"/>
      <c r="CL64" s="10"/>
      <c r="DU64" s="17">
        <f>'Monthly Data'!D64</f>
        <v>36433117.420000002</v>
      </c>
      <c r="DV64" s="17">
        <f>'Monthly Data'!H64</f>
        <v>12740567.68</v>
      </c>
      <c r="DW64" s="17">
        <f>'Monthly Data'!L64</f>
        <v>31664136.43</v>
      </c>
    </row>
    <row r="65" spans="1:127" x14ac:dyDescent="0.2">
      <c r="A65">
        <v>2019</v>
      </c>
      <c r="B65">
        <v>4</v>
      </c>
      <c r="C65" s="98">
        <v>547.67708333333337</v>
      </c>
      <c r="D65" s="98">
        <v>0</v>
      </c>
      <c r="E65" s="98">
        <v>487.67708333333331</v>
      </c>
      <c r="F65" s="98">
        <v>0</v>
      </c>
      <c r="G65" s="98">
        <v>427.67708333333331</v>
      </c>
      <c r="H65" s="98">
        <v>0</v>
      </c>
      <c r="I65" s="98">
        <v>367.67708333333331</v>
      </c>
      <c r="J65" s="98">
        <v>0</v>
      </c>
      <c r="K65" s="98">
        <v>307.67708333333331</v>
      </c>
      <c r="L65" s="98">
        <v>0</v>
      </c>
      <c r="M65" s="98">
        <v>247.67708333333331</v>
      </c>
      <c r="N65" s="98">
        <v>0</v>
      </c>
      <c r="O65" s="98">
        <v>187.72291666666666</v>
      </c>
      <c r="P65" s="98">
        <v>4.5833333333332504E-2</v>
      </c>
      <c r="Q65" s="253">
        <v>1.7440972222222226</v>
      </c>
      <c r="BP65" s="10"/>
      <c r="BQ65" s="10"/>
      <c r="BU65" s="10"/>
      <c r="BV65" s="10"/>
      <c r="CF65" s="10"/>
      <c r="CG65" s="10"/>
      <c r="CK65" s="10"/>
      <c r="CL65" s="10"/>
      <c r="DU65" s="17">
        <f>'Monthly Data'!D65</f>
        <v>30202595.469999999</v>
      </c>
      <c r="DV65" s="17">
        <f>'Monthly Data'!H65</f>
        <v>10904695.630000001</v>
      </c>
      <c r="DW65" s="17">
        <f>'Monthly Data'!L65</f>
        <v>27467771.170000002</v>
      </c>
    </row>
    <row r="66" spans="1:127" x14ac:dyDescent="0.2">
      <c r="A66">
        <v>2019</v>
      </c>
      <c r="B66">
        <v>5</v>
      </c>
      <c r="C66" s="98">
        <v>347.69791666666663</v>
      </c>
      <c r="D66" s="98">
        <v>0</v>
      </c>
      <c r="E66" s="98">
        <v>285.69791666666669</v>
      </c>
      <c r="F66" s="98">
        <v>0</v>
      </c>
      <c r="G66" s="98">
        <v>223.69791666666666</v>
      </c>
      <c r="H66" s="98">
        <v>0</v>
      </c>
      <c r="I66" s="98">
        <v>162.75208333333333</v>
      </c>
      <c r="J66" s="98">
        <v>1.0541666666666618</v>
      </c>
      <c r="K66" s="98">
        <v>108.52291666666665</v>
      </c>
      <c r="L66" s="98">
        <v>8.8249999999999922</v>
      </c>
      <c r="M66" s="98">
        <v>65.560416666666669</v>
      </c>
      <c r="N66" s="98">
        <v>27.86249999999999</v>
      </c>
      <c r="O66" s="98">
        <v>33.952083333333341</v>
      </c>
      <c r="P66" s="98">
        <v>58.254166666666656</v>
      </c>
      <c r="Q66" s="253">
        <v>8.7839381720430101</v>
      </c>
      <c r="BP66" s="10"/>
      <c r="BQ66" s="10"/>
      <c r="BU66" s="10"/>
      <c r="BV66" s="10"/>
      <c r="CF66" s="10"/>
      <c r="CG66" s="10"/>
      <c r="CK66" s="10"/>
      <c r="CL66" s="10"/>
      <c r="DU66" s="17">
        <f>'Monthly Data'!D66</f>
        <v>24943162.420000002</v>
      </c>
      <c r="DV66" s="17">
        <f>'Monthly Data'!H66</f>
        <v>10077217.550000001</v>
      </c>
      <c r="DW66" s="17">
        <f>'Monthly Data'!L66</f>
        <v>26250432.809999999</v>
      </c>
    </row>
    <row r="67" spans="1:127" x14ac:dyDescent="0.2">
      <c r="A67">
        <v>2019</v>
      </c>
      <c r="B67">
        <v>6</v>
      </c>
      <c r="C67" s="98">
        <v>132.03262558837852</v>
      </c>
      <c r="D67" s="98">
        <v>2.37083333333333</v>
      </c>
      <c r="E67" s="98">
        <v>83.111792255045174</v>
      </c>
      <c r="F67" s="98">
        <v>13.45</v>
      </c>
      <c r="G67" s="98">
        <v>48.532625588378508</v>
      </c>
      <c r="H67" s="98">
        <v>38.87083333333333</v>
      </c>
      <c r="I67" s="98">
        <v>24.593042255045169</v>
      </c>
      <c r="J67" s="98">
        <v>74.931250000000006</v>
      </c>
      <c r="K67" s="98">
        <v>10.513875588378506</v>
      </c>
      <c r="L67" s="98">
        <v>120.85208333333333</v>
      </c>
      <c r="M67" s="98">
        <v>3.5374999999999988</v>
      </c>
      <c r="N67" s="98">
        <v>173.87570774495484</v>
      </c>
      <c r="O67" s="98">
        <v>1.0125000000000002</v>
      </c>
      <c r="P67" s="98">
        <v>231.35070774495486</v>
      </c>
      <c r="Q67" s="253">
        <v>15.67794025816516</v>
      </c>
      <c r="BP67" s="10"/>
      <c r="BQ67" s="10"/>
      <c r="BU67" s="10"/>
      <c r="BV67" s="10"/>
      <c r="CF67" s="10"/>
      <c r="CG67" s="10"/>
      <c r="CK67" s="10"/>
      <c r="CL67" s="10"/>
      <c r="DU67" s="17">
        <f>'Monthly Data'!D67</f>
        <v>23898986.699999999</v>
      </c>
      <c r="DV67" s="17">
        <f>'Monthly Data'!H67</f>
        <v>9957686.0600000005</v>
      </c>
      <c r="DW67" s="17">
        <f>'Monthly Data'!L67</f>
        <v>25754265.93</v>
      </c>
    </row>
    <row r="68" spans="1:127" x14ac:dyDescent="0.2">
      <c r="A68">
        <v>2019</v>
      </c>
      <c r="B68">
        <v>7</v>
      </c>
      <c r="C68" s="98">
        <v>19.483333333333356</v>
      </c>
      <c r="D68" s="98">
        <v>29.431250000000006</v>
      </c>
      <c r="E68" s="98">
        <v>3.2125000000000092</v>
      </c>
      <c r="F68" s="98">
        <v>75.160416666666691</v>
      </c>
      <c r="G68" s="98">
        <v>0</v>
      </c>
      <c r="H68" s="98">
        <v>133.94791666666666</v>
      </c>
      <c r="I68" s="98">
        <v>0</v>
      </c>
      <c r="J68" s="98">
        <v>195.94791666666663</v>
      </c>
      <c r="K68" s="98">
        <v>0</v>
      </c>
      <c r="L68" s="98">
        <v>257.94791666666663</v>
      </c>
      <c r="M68" s="98">
        <v>0</v>
      </c>
      <c r="N68" s="98">
        <v>319.94791666666669</v>
      </c>
      <c r="O68" s="98">
        <v>0</v>
      </c>
      <c r="P68" s="98">
        <v>381.94791666666669</v>
      </c>
      <c r="Q68" s="253">
        <v>20.320900537634408</v>
      </c>
      <c r="BP68" s="10"/>
      <c r="BQ68" s="10"/>
      <c r="BU68" s="10"/>
      <c r="BV68" s="10"/>
      <c r="CF68" s="10"/>
      <c r="CG68" s="10"/>
      <c r="CK68" s="10"/>
      <c r="CL68" s="10"/>
      <c r="DU68" s="17">
        <f>'Monthly Data'!D68</f>
        <v>28029405.460000001</v>
      </c>
      <c r="DV68" s="17">
        <f>'Monthly Data'!H68</f>
        <v>11033364.15</v>
      </c>
      <c r="DW68" s="17">
        <f>'Monthly Data'!L68</f>
        <v>28557899.260000002</v>
      </c>
    </row>
    <row r="69" spans="1:127" x14ac:dyDescent="0.2">
      <c r="A69">
        <v>2019</v>
      </c>
      <c r="B69">
        <v>8</v>
      </c>
      <c r="C69" s="98">
        <v>80.250000000000014</v>
      </c>
      <c r="D69" s="98">
        <v>3.6124999999999972</v>
      </c>
      <c r="E69" s="98">
        <v>36.795833333333341</v>
      </c>
      <c r="F69" s="98">
        <v>22.158333333333331</v>
      </c>
      <c r="G69" s="98">
        <v>13.158333333333335</v>
      </c>
      <c r="H69" s="98">
        <v>60.520833333333321</v>
      </c>
      <c r="I69" s="98">
        <v>3.345833333333335</v>
      </c>
      <c r="J69" s="98">
        <v>112.70833333333331</v>
      </c>
      <c r="K69" s="98">
        <v>0</v>
      </c>
      <c r="L69" s="98">
        <v>171.36250000000001</v>
      </c>
      <c r="M69" s="98">
        <v>0</v>
      </c>
      <c r="N69" s="98">
        <v>233.36250000000001</v>
      </c>
      <c r="O69" s="98">
        <v>0</v>
      </c>
      <c r="P69" s="98">
        <v>295.36250000000001</v>
      </c>
      <c r="Q69" s="253">
        <v>17.527822580645164</v>
      </c>
      <c r="BP69" s="10"/>
      <c r="BQ69" s="10"/>
      <c r="BU69" s="10"/>
      <c r="BV69" s="10"/>
      <c r="CF69" s="10"/>
      <c r="CG69" s="10"/>
      <c r="CK69" s="10"/>
      <c r="CL69" s="10"/>
      <c r="DU69" s="17">
        <f>'Monthly Data'!D69</f>
        <v>25462979.010000002</v>
      </c>
      <c r="DV69" s="17">
        <f>'Monthly Data'!H69</f>
        <v>10361262.16</v>
      </c>
      <c r="DW69" s="17">
        <f>'Monthly Data'!L69</f>
        <v>27452914.399999999</v>
      </c>
    </row>
    <row r="70" spans="1:127" x14ac:dyDescent="0.2">
      <c r="A70">
        <v>2019</v>
      </c>
      <c r="B70">
        <v>9</v>
      </c>
      <c r="C70" s="98">
        <v>204.99791666666664</v>
      </c>
      <c r="D70" s="98">
        <v>0</v>
      </c>
      <c r="E70" s="98">
        <v>147.32291666666666</v>
      </c>
      <c r="F70" s="98">
        <v>2.3249999999999993</v>
      </c>
      <c r="G70" s="98">
        <v>94.785416666666663</v>
      </c>
      <c r="H70" s="98">
        <v>9.7875000000000014</v>
      </c>
      <c r="I70" s="98">
        <v>47.39791666666666</v>
      </c>
      <c r="J70" s="98">
        <v>22.400000000000009</v>
      </c>
      <c r="K70" s="98">
        <v>15.400000000000002</v>
      </c>
      <c r="L70" s="98">
        <v>50.402083333333358</v>
      </c>
      <c r="M70" s="98">
        <v>2.8083333333333336</v>
      </c>
      <c r="N70" s="98">
        <v>97.810416666666683</v>
      </c>
      <c r="O70" s="98">
        <v>0</v>
      </c>
      <c r="P70" s="98">
        <v>155.00208333333336</v>
      </c>
      <c r="Q70" s="253">
        <v>13.16673611111111</v>
      </c>
      <c r="BP70" s="10"/>
      <c r="BQ70" s="10"/>
      <c r="BU70" s="10"/>
      <c r="BV70" s="10"/>
      <c r="CF70" s="10"/>
      <c r="CG70" s="10"/>
      <c r="CK70" s="10"/>
      <c r="CL70" s="10"/>
      <c r="DU70" s="17">
        <f>'Monthly Data'!D70</f>
        <v>22569548.68</v>
      </c>
      <c r="DV70" s="17">
        <f>'Monthly Data'!H70</f>
        <v>9401526.0999999996</v>
      </c>
      <c r="DW70" s="17">
        <f>'Monthly Data'!L70</f>
        <v>25453984.359999999</v>
      </c>
    </row>
    <row r="71" spans="1:127" x14ac:dyDescent="0.2">
      <c r="A71">
        <v>2019</v>
      </c>
      <c r="B71">
        <v>10</v>
      </c>
      <c r="C71" s="98">
        <v>423.1117922550452</v>
      </c>
      <c r="D71" s="98">
        <v>0</v>
      </c>
      <c r="E71" s="98">
        <v>361.11179225504515</v>
      </c>
      <c r="F71" s="98">
        <v>0</v>
      </c>
      <c r="G71" s="98">
        <v>299.11179225504515</v>
      </c>
      <c r="H71" s="98">
        <v>0</v>
      </c>
      <c r="I71" s="98">
        <v>238.55345892171184</v>
      </c>
      <c r="J71" s="98">
        <v>1.4416666666666682</v>
      </c>
      <c r="K71" s="98">
        <v>179.78262558837852</v>
      </c>
      <c r="L71" s="98">
        <v>4.6708333333333343</v>
      </c>
      <c r="M71" s="98">
        <v>124.45762558837849</v>
      </c>
      <c r="N71" s="98">
        <v>11.345833333333335</v>
      </c>
      <c r="O71" s="98">
        <v>76.520125588378491</v>
      </c>
      <c r="P71" s="98">
        <v>25.408333333333331</v>
      </c>
      <c r="Q71" s="253">
        <v>6.3512325079017691</v>
      </c>
      <c r="BP71" s="10"/>
      <c r="BQ71" s="10"/>
      <c r="BU71" s="10"/>
      <c r="BV71" s="10"/>
      <c r="CF71" s="10"/>
      <c r="CG71" s="10"/>
      <c r="CK71" s="10"/>
      <c r="CL71" s="10"/>
      <c r="DU71" s="17">
        <f>'Monthly Data'!D71</f>
        <v>25983390.649999999</v>
      </c>
      <c r="DV71" s="17">
        <f>'Monthly Data'!H71</f>
        <v>10075741.560000001</v>
      </c>
      <c r="DW71" s="17">
        <f>'Monthly Data'!L71</f>
        <v>27292393.370000001</v>
      </c>
    </row>
    <row r="72" spans="1:127" x14ac:dyDescent="0.2">
      <c r="A72">
        <v>2019</v>
      </c>
      <c r="B72">
        <v>11</v>
      </c>
      <c r="C72" s="98">
        <v>731.92083333333346</v>
      </c>
      <c r="D72" s="98">
        <v>0</v>
      </c>
      <c r="E72" s="98">
        <v>671.92083333333335</v>
      </c>
      <c r="F72" s="98">
        <v>0</v>
      </c>
      <c r="G72" s="98">
        <v>611.92083333333323</v>
      </c>
      <c r="H72" s="98">
        <v>0</v>
      </c>
      <c r="I72" s="98">
        <v>551.92083333333323</v>
      </c>
      <c r="J72" s="98">
        <v>0</v>
      </c>
      <c r="K72" s="98">
        <v>491.92083333333318</v>
      </c>
      <c r="L72" s="98">
        <v>0</v>
      </c>
      <c r="M72" s="98">
        <v>431.92083333333318</v>
      </c>
      <c r="N72" s="98">
        <v>0</v>
      </c>
      <c r="O72" s="98">
        <v>371.92083333333318</v>
      </c>
      <c r="P72" s="98">
        <v>0</v>
      </c>
      <c r="Q72" s="253">
        <v>-4.3973611111111106</v>
      </c>
      <c r="BP72" s="10"/>
      <c r="BQ72" s="10"/>
      <c r="BU72" s="10"/>
      <c r="BV72" s="10"/>
      <c r="CF72" s="10"/>
      <c r="CG72" s="10"/>
      <c r="CK72" s="10"/>
      <c r="CL72" s="10"/>
      <c r="DU72" s="17">
        <f>'Monthly Data'!D72</f>
        <v>34907954.280000001</v>
      </c>
      <c r="DV72" s="17">
        <f>'Monthly Data'!H72</f>
        <v>11927608.880000001</v>
      </c>
      <c r="DW72" s="17">
        <f>'Monthly Data'!L72</f>
        <v>30036509.489999998</v>
      </c>
    </row>
    <row r="73" spans="1:127" x14ac:dyDescent="0.2">
      <c r="A73">
        <v>2019</v>
      </c>
      <c r="B73">
        <v>12</v>
      </c>
      <c r="C73" s="98">
        <v>852.69583333333355</v>
      </c>
      <c r="D73" s="98">
        <v>0</v>
      </c>
      <c r="E73" s="98">
        <v>790.69583333333355</v>
      </c>
      <c r="F73" s="98">
        <v>0</v>
      </c>
      <c r="G73" s="98">
        <v>728.69583333333355</v>
      </c>
      <c r="H73" s="98">
        <v>0</v>
      </c>
      <c r="I73" s="98">
        <v>666.69583333333344</v>
      </c>
      <c r="J73" s="98">
        <v>0</v>
      </c>
      <c r="K73" s="98">
        <v>604.69583333333333</v>
      </c>
      <c r="L73" s="98">
        <v>0</v>
      </c>
      <c r="M73" s="98">
        <v>542.69583333333344</v>
      </c>
      <c r="N73" s="98">
        <v>0</v>
      </c>
      <c r="O73" s="98">
        <v>480.69583333333338</v>
      </c>
      <c r="P73" s="98">
        <v>0</v>
      </c>
      <c r="Q73" s="253">
        <v>-7.506317204301074</v>
      </c>
      <c r="DU73" s="17">
        <f>'Monthly Data'!D73</f>
        <v>39300927.240000002</v>
      </c>
      <c r="DV73" s="17">
        <f>'Monthly Data'!H73</f>
        <v>12690063.119999999</v>
      </c>
      <c r="DW73" s="17">
        <f>'Monthly Data'!L73</f>
        <v>32154352.530000001</v>
      </c>
    </row>
    <row r="74" spans="1:127" x14ac:dyDescent="0.2">
      <c r="A74">
        <v>2020</v>
      </c>
      <c r="B74">
        <v>1</v>
      </c>
      <c r="C74" s="98">
        <v>870.02637558837841</v>
      </c>
      <c r="D74" s="98">
        <v>0</v>
      </c>
      <c r="E74" s="98">
        <v>808.02637558837841</v>
      </c>
      <c r="F74" s="98">
        <v>0</v>
      </c>
      <c r="G74" s="98">
        <v>746.02637558837841</v>
      </c>
      <c r="H74" s="98">
        <v>0</v>
      </c>
      <c r="I74" s="98">
        <v>684.0263755883783</v>
      </c>
      <c r="J74" s="98">
        <v>0</v>
      </c>
      <c r="K74" s="98">
        <v>622.02637558837841</v>
      </c>
      <c r="L74" s="98">
        <v>0</v>
      </c>
      <c r="M74" s="98">
        <v>560.02637558837853</v>
      </c>
      <c r="N74" s="98">
        <v>0</v>
      </c>
      <c r="O74" s="98">
        <v>498.02637558837858</v>
      </c>
      <c r="P74" s="98">
        <v>0</v>
      </c>
      <c r="Q74" s="253">
        <v>-8.0653669544638209</v>
      </c>
      <c r="DU74" s="17">
        <f>'Monthly Data'!D74</f>
        <v>39499664.759999998</v>
      </c>
      <c r="DV74" s="17">
        <f>'Monthly Data'!H74</f>
        <v>13118237.65</v>
      </c>
      <c r="DW74" s="17">
        <f>'Monthly Data'!L74</f>
        <v>32117814.739</v>
      </c>
    </row>
    <row r="75" spans="1:127" x14ac:dyDescent="0.2">
      <c r="A75">
        <v>2020</v>
      </c>
      <c r="B75">
        <v>2</v>
      </c>
      <c r="C75" s="98">
        <v>851.21666666666647</v>
      </c>
      <c r="D75" s="98">
        <v>0</v>
      </c>
      <c r="E75" s="98">
        <v>793.21666666666647</v>
      </c>
      <c r="F75" s="98">
        <v>0</v>
      </c>
      <c r="G75" s="98">
        <v>735.21666666666658</v>
      </c>
      <c r="H75" s="98">
        <v>0</v>
      </c>
      <c r="I75" s="98">
        <v>677.21666666666658</v>
      </c>
      <c r="J75" s="98">
        <v>0</v>
      </c>
      <c r="K75" s="98">
        <v>619.21666666666658</v>
      </c>
      <c r="L75" s="98">
        <v>0</v>
      </c>
      <c r="M75" s="98">
        <v>561.2166666666667</v>
      </c>
      <c r="N75" s="98">
        <v>0</v>
      </c>
      <c r="O75" s="98">
        <v>503.21666666666675</v>
      </c>
      <c r="P75" s="98">
        <v>0</v>
      </c>
      <c r="Q75" s="253">
        <v>-9.3522988505747122</v>
      </c>
      <c r="DU75" s="17">
        <f>'Monthly Data'!D75</f>
        <v>36204649.509999998</v>
      </c>
      <c r="DV75" s="17">
        <f>'Monthly Data'!H75</f>
        <v>12196685.34</v>
      </c>
      <c r="DW75" s="17">
        <f>'Monthly Data'!L75</f>
        <v>30307310.443999998</v>
      </c>
    </row>
    <row r="76" spans="1:127" x14ac:dyDescent="0.2">
      <c r="A76">
        <v>2020</v>
      </c>
      <c r="B76">
        <v>3</v>
      </c>
      <c r="C76" s="98">
        <v>699.14720892171169</v>
      </c>
      <c r="D76" s="98">
        <v>0</v>
      </c>
      <c r="E76" s="98">
        <v>637.14720892171169</v>
      </c>
      <c r="F76" s="98">
        <v>0</v>
      </c>
      <c r="G76" s="98">
        <v>575.14720892171181</v>
      </c>
      <c r="H76" s="98">
        <v>0</v>
      </c>
      <c r="I76" s="98">
        <v>513.14720892171192</v>
      </c>
      <c r="J76" s="98">
        <v>0</v>
      </c>
      <c r="K76" s="98">
        <v>451.14720892171192</v>
      </c>
      <c r="L76" s="98">
        <v>0</v>
      </c>
      <c r="M76" s="98">
        <v>389.14720892171187</v>
      </c>
      <c r="N76" s="98">
        <v>0</v>
      </c>
      <c r="O76" s="98">
        <v>327.14720892171192</v>
      </c>
      <c r="P76" s="98">
        <v>0</v>
      </c>
      <c r="Q76" s="253">
        <v>-2.5531357716681242</v>
      </c>
      <c r="DU76" s="17">
        <f>'Monthly Data'!D76</f>
        <v>35229796.780000001</v>
      </c>
      <c r="DV76" s="17">
        <f>'Monthly Data'!H76</f>
        <v>11511006.09</v>
      </c>
      <c r="DW76" s="17">
        <f>'Monthly Data'!L76</f>
        <v>29222623.34</v>
      </c>
    </row>
    <row r="77" spans="1:127" x14ac:dyDescent="0.2">
      <c r="A77">
        <v>2020</v>
      </c>
      <c r="B77">
        <v>4</v>
      </c>
      <c r="C77" s="98">
        <v>539.53541666666661</v>
      </c>
      <c r="D77" s="98">
        <v>0</v>
      </c>
      <c r="E77" s="98">
        <v>479.53541666666666</v>
      </c>
      <c r="F77" s="98">
        <v>0</v>
      </c>
      <c r="G77" s="98">
        <v>419.53541666666666</v>
      </c>
      <c r="H77" s="98">
        <v>0</v>
      </c>
      <c r="I77" s="98">
        <v>359.53541666666661</v>
      </c>
      <c r="J77" s="98">
        <v>0</v>
      </c>
      <c r="K77" s="98">
        <v>299.53541666666661</v>
      </c>
      <c r="L77" s="98">
        <v>0</v>
      </c>
      <c r="M77" s="98">
        <v>239.53541666666663</v>
      </c>
      <c r="N77" s="98">
        <v>0</v>
      </c>
      <c r="O77" s="98">
        <v>179.53541666666666</v>
      </c>
      <c r="P77" s="98">
        <v>0</v>
      </c>
      <c r="Q77" s="253">
        <v>2.0154861111111111</v>
      </c>
      <c r="DU77" s="17">
        <f>'Monthly Data'!D77</f>
        <v>30715476.789999999</v>
      </c>
      <c r="DV77" s="17">
        <f>'Monthly Data'!H77</f>
        <v>9175205.4700000007</v>
      </c>
      <c r="DW77" s="17">
        <f>'Monthly Data'!L77</f>
        <v>23759045.487999998</v>
      </c>
    </row>
    <row r="78" spans="1:127" x14ac:dyDescent="0.2">
      <c r="A78">
        <v>2020</v>
      </c>
      <c r="B78">
        <v>5</v>
      </c>
      <c r="C78" s="98">
        <v>324.04791666666671</v>
      </c>
      <c r="D78" s="98">
        <v>8.3749999999999964</v>
      </c>
      <c r="E78" s="98">
        <v>272.61875000000003</v>
      </c>
      <c r="F78" s="98">
        <v>18.945833333333326</v>
      </c>
      <c r="G78" s="98">
        <v>224.81458333333342</v>
      </c>
      <c r="H78" s="98">
        <v>33.141666666666659</v>
      </c>
      <c r="I78" s="98">
        <v>180.78333333333342</v>
      </c>
      <c r="J78" s="98">
        <v>51.110416666666673</v>
      </c>
      <c r="K78" s="98">
        <v>140.3354166666667</v>
      </c>
      <c r="L78" s="98">
        <v>72.662499999999994</v>
      </c>
      <c r="M78" s="98">
        <v>104.33541666666667</v>
      </c>
      <c r="N78" s="98">
        <v>98.662499999999994</v>
      </c>
      <c r="O78" s="98">
        <v>72.089583333333337</v>
      </c>
      <c r="P78" s="98">
        <v>128.41666666666666</v>
      </c>
      <c r="Q78" s="253">
        <v>9.817002688172046</v>
      </c>
      <c r="DU78" s="17">
        <f>'Monthly Data'!D78</f>
        <v>28122246.469999999</v>
      </c>
      <c r="DV78" s="17">
        <f>'Monthly Data'!H78</f>
        <v>9150846.4100000001</v>
      </c>
      <c r="DW78" s="17">
        <f>'Monthly Data'!L78</f>
        <v>23314198.035</v>
      </c>
    </row>
    <row r="79" spans="1:127" x14ac:dyDescent="0.2">
      <c r="A79">
        <v>2020</v>
      </c>
      <c r="B79">
        <v>6</v>
      </c>
      <c r="C79" s="98">
        <v>98.004166666666663</v>
      </c>
      <c r="D79" s="98">
        <v>20.064583333333339</v>
      </c>
      <c r="E79" s="98">
        <v>61.88333333333334</v>
      </c>
      <c r="F79" s="98">
        <v>43.943750000000009</v>
      </c>
      <c r="G79" s="98">
        <v>35.118750000000006</v>
      </c>
      <c r="H79" s="98">
        <v>77.17916666666666</v>
      </c>
      <c r="I79" s="98">
        <v>15.577083333333341</v>
      </c>
      <c r="J79" s="98">
        <v>117.6375</v>
      </c>
      <c r="K79" s="98">
        <v>5.8562500000000046</v>
      </c>
      <c r="L79" s="98">
        <v>167.91666666666669</v>
      </c>
      <c r="M79" s="98">
        <v>1.7916666666666679</v>
      </c>
      <c r="N79" s="98">
        <v>223.85208333333333</v>
      </c>
      <c r="O79" s="98">
        <v>0</v>
      </c>
      <c r="P79" s="98">
        <v>282.06041666666664</v>
      </c>
      <c r="Q79" s="253">
        <v>17.402013888888884</v>
      </c>
      <c r="DU79" s="17">
        <f>'Monthly Data'!D79</f>
        <v>27953695.18</v>
      </c>
      <c r="DV79" s="17">
        <f>'Monthly Data'!H79</f>
        <v>9679496.4299999997</v>
      </c>
      <c r="DW79" s="17">
        <f>'Monthly Data'!L79</f>
        <v>23331403.017000001</v>
      </c>
    </row>
    <row r="80" spans="1:127" x14ac:dyDescent="0.2">
      <c r="A80">
        <v>2020</v>
      </c>
      <c r="B80">
        <v>7</v>
      </c>
      <c r="C80" s="98">
        <v>19.943749999999984</v>
      </c>
      <c r="D80" s="98">
        <v>47.920833333333348</v>
      </c>
      <c r="E80" s="98">
        <v>4.3479166666666558</v>
      </c>
      <c r="F80" s="98">
        <v>94.325000000000017</v>
      </c>
      <c r="G80" s="98">
        <v>0</v>
      </c>
      <c r="H80" s="98">
        <v>151.97708333333338</v>
      </c>
      <c r="I80" s="98">
        <v>0</v>
      </c>
      <c r="J80" s="98">
        <v>213.97708333333338</v>
      </c>
      <c r="K80" s="98">
        <v>0</v>
      </c>
      <c r="L80" s="98">
        <v>275.97708333333338</v>
      </c>
      <c r="M80" s="98">
        <v>0</v>
      </c>
      <c r="N80" s="98">
        <v>337.97708333333338</v>
      </c>
      <c r="O80" s="98">
        <v>0</v>
      </c>
      <c r="P80" s="98">
        <v>399.9770833333335</v>
      </c>
      <c r="Q80" s="253">
        <v>20.902486559139781</v>
      </c>
      <c r="DU80" s="17">
        <f>'Monthly Data'!D80</f>
        <v>31771169.710000001</v>
      </c>
      <c r="DV80" s="17">
        <f>'Monthly Data'!H80</f>
        <v>10794611.18</v>
      </c>
      <c r="DW80" s="17">
        <f>'Monthly Data'!L80</f>
        <v>26914064.700999998</v>
      </c>
    </row>
    <row r="81" spans="1:127" x14ac:dyDescent="0.2">
      <c r="A81">
        <v>2020</v>
      </c>
      <c r="B81">
        <v>8</v>
      </c>
      <c r="C81" s="98">
        <v>93.145833333333343</v>
      </c>
      <c r="D81" s="98">
        <v>14.204166666666683</v>
      </c>
      <c r="E81" s="98">
        <v>54.837499999999999</v>
      </c>
      <c r="F81" s="98">
        <v>37.895833333333343</v>
      </c>
      <c r="G81" s="98">
        <v>24.360416666666666</v>
      </c>
      <c r="H81" s="98">
        <v>69.418750000000003</v>
      </c>
      <c r="I81" s="98">
        <v>4.2041666666666604</v>
      </c>
      <c r="J81" s="98">
        <v>111.26250000000002</v>
      </c>
      <c r="K81" s="98">
        <v>0.56666666666666465</v>
      </c>
      <c r="L81" s="98">
        <v>169.62500000000006</v>
      </c>
      <c r="M81" s="98">
        <v>0</v>
      </c>
      <c r="N81" s="98">
        <v>231.05833333333342</v>
      </c>
      <c r="O81" s="98">
        <v>0</v>
      </c>
      <c r="P81" s="98">
        <v>293.05833333333339</v>
      </c>
      <c r="Q81" s="253">
        <v>17.453494623655914</v>
      </c>
      <c r="DU81" s="17">
        <f>'Monthly Data'!D81</f>
        <v>28093845.960000001</v>
      </c>
      <c r="DV81" s="17">
        <f>'Monthly Data'!H81</f>
        <v>10229926.720000001</v>
      </c>
      <c r="DW81" s="17">
        <f>'Monthly Data'!L81</f>
        <v>25285476.090999998</v>
      </c>
    </row>
    <row r="82" spans="1:127" x14ac:dyDescent="0.2">
      <c r="A82">
        <v>2020</v>
      </c>
      <c r="B82">
        <v>9</v>
      </c>
      <c r="C82" s="98">
        <v>249.07637558837854</v>
      </c>
      <c r="D82" s="98">
        <v>0</v>
      </c>
      <c r="E82" s="98">
        <v>189.07637558837848</v>
      </c>
      <c r="F82" s="98">
        <v>0</v>
      </c>
      <c r="G82" s="98">
        <v>132.51387558837851</v>
      </c>
      <c r="H82" s="98">
        <v>3.4374999999999964</v>
      </c>
      <c r="I82" s="98">
        <v>83.647208921711837</v>
      </c>
      <c r="J82" s="98">
        <v>14.570833333333328</v>
      </c>
      <c r="K82" s="98">
        <v>45.793042255045179</v>
      </c>
      <c r="L82" s="98">
        <v>36.716666666666654</v>
      </c>
      <c r="M82" s="98">
        <v>19.81666666666667</v>
      </c>
      <c r="N82" s="98">
        <v>70.740291078288152</v>
      </c>
      <c r="O82" s="98">
        <v>5.720833333333335</v>
      </c>
      <c r="P82" s="98">
        <v>116.64445774495482</v>
      </c>
      <c r="Q82" s="253">
        <v>11.697454147054049</v>
      </c>
      <c r="DU82" s="17">
        <f>'Monthly Data'!D82</f>
        <v>24347210.300000001</v>
      </c>
      <c r="DV82" s="17">
        <f>'Monthly Data'!H82</f>
        <v>9259958.0999999996</v>
      </c>
      <c r="DW82" s="17">
        <f>'Monthly Data'!L82</f>
        <v>23344370.892000001</v>
      </c>
    </row>
    <row r="83" spans="1:127" x14ac:dyDescent="0.2">
      <c r="A83">
        <v>2020</v>
      </c>
      <c r="B83">
        <v>10</v>
      </c>
      <c r="C83" s="98">
        <v>505.96041666666662</v>
      </c>
      <c r="D83" s="98">
        <v>0</v>
      </c>
      <c r="E83" s="98">
        <v>443.96041666666656</v>
      </c>
      <c r="F83" s="98">
        <v>0</v>
      </c>
      <c r="G83" s="98">
        <v>381.96041666666656</v>
      </c>
      <c r="H83" s="98">
        <v>0</v>
      </c>
      <c r="I83" s="98">
        <v>319.96041666666662</v>
      </c>
      <c r="J83" s="98">
        <v>0</v>
      </c>
      <c r="K83" s="98">
        <v>257.96041666666662</v>
      </c>
      <c r="L83" s="98">
        <v>0</v>
      </c>
      <c r="M83" s="98">
        <v>197.31041666666664</v>
      </c>
      <c r="N83" s="98">
        <v>1.3499999999999979</v>
      </c>
      <c r="O83" s="98">
        <v>140.88749999999999</v>
      </c>
      <c r="P83" s="98">
        <v>6.9270833333333321</v>
      </c>
      <c r="Q83" s="253">
        <v>3.6786962365591394</v>
      </c>
      <c r="DU83" s="17">
        <f>'Monthly Data'!D83</f>
        <v>28584859.530000001</v>
      </c>
      <c r="DV83" s="17">
        <f>'Monthly Data'!H83</f>
        <v>10197705.43</v>
      </c>
      <c r="DW83" s="17">
        <f>'Monthly Data'!L83</f>
        <v>25702050.085000001</v>
      </c>
    </row>
    <row r="84" spans="1:127" x14ac:dyDescent="0.2">
      <c r="A84">
        <v>2020</v>
      </c>
      <c r="B84">
        <v>11</v>
      </c>
      <c r="C84" s="98">
        <v>551.84583333333342</v>
      </c>
      <c r="D84" s="98">
        <v>0</v>
      </c>
      <c r="E84" s="98">
        <v>491.84583333333336</v>
      </c>
      <c r="F84" s="98">
        <v>0</v>
      </c>
      <c r="G84" s="98">
        <v>431.84583333333342</v>
      </c>
      <c r="H84" s="98">
        <v>0</v>
      </c>
      <c r="I84" s="98">
        <v>373.25833333333338</v>
      </c>
      <c r="J84" s="98">
        <v>1.4124999999999996</v>
      </c>
      <c r="K84" s="98">
        <v>317.25833333333338</v>
      </c>
      <c r="L84" s="98">
        <v>5.4124999999999996</v>
      </c>
      <c r="M84" s="98">
        <v>261.77916666666664</v>
      </c>
      <c r="N84" s="98">
        <v>9.93333333333333</v>
      </c>
      <c r="O84" s="98">
        <v>209.66666666666669</v>
      </c>
      <c r="P84" s="98">
        <v>17.820833333333329</v>
      </c>
      <c r="Q84" s="253">
        <v>1.6051388888888887</v>
      </c>
      <c r="DU84" s="17">
        <f>'Monthly Data'!D84</f>
        <v>32218200.129999999</v>
      </c>
      <c r="DV84" s="17">
        <f>'Monthly Data'!H84</f>
        <v>11086912.869999999</v>
      </c>
      <c r="DW84" s="17">
        <f>'Monthly Data'!L84</f>
        <v>26930932.898000002</v>
      </c>
    </row>
    <row r="85" spans="1:127" x14ac:dyDescent="0.2">
      <c r="A85">
        <v>2020</v>
      </c>
      <c r="B85">
        <v>12</v>
      </c>
      <c r="C85" s="98">
        <v>814.51387558837837</v>
      </c>
      <c r="D85" s="98">
        <v>0</v>
      </c>
      <c r="E85" s="98">
        <v>752.51387558837837</v>
      </c>
      <c r="F85" s="98">
        <v>0</v>
      </c>
      <c r="G85" s="98">
        <v>690.51387558837837</v>
      </c>
      <c r="H85" s="98">
        <v>0</v>
      </c>
      <c r="I85" s="98">
        <v>628.51387558837837</v>
      </c>
      <c r="J85" s="98">
        <v>0</v>
      </c>
      <c r="K85" s="98">
        <v>566.51387558837848</v>
      </c>
      <c r="L85" s="98">
        <v>0</v>
      </c>
      <c r="M85" s="98">
        <v>504.51387558837848</v>
      </c>
      <c r="N85" s="98">
        <v>0</v>
      </c>
      <c r="O85" s="98">
        <v>442.51387558837848</v>
      </c>
      <c r="P85" s="98">
        <v>0</v>
      </c>
      <c r="Q85" s="253">
        <v>-6.2746411480122113</v>
      </c>
      <c r="DU85" s="17">
        <f>'Monthly Data'!D85</f>
        <v>39247109.909999996</v>
      </c>
      <c r="DV85" s="17">
        <f>'Monthly Data'!H85</f>
        <v>12284324.720000001</v>
      </c>
      <c r="DW85" s="17">
        <f>'Monthly Data'!L85</f>
        <v>29722692.079</v>
      </c>
    </row>
    <row r="86" spans="1:127" x14ac:dyDescent="0.2">
      <c r="A86">
        <v>2021</v>
      </c>
      <c r="B86">
        <v>1</v>
      </c>
      <c r="C86" s="98">
        <v>885.92429225504532</v>
      </c>
      <c r="D86" s="98">
        <v>0</v>
      </c>
      <c r="E86" s="98">
        <v>823.92429225504532</v>
      </c>
      <c r="F86" s="98">
        <v>0</v>
      </c>
      <c r="G86" s="98">
        <v>761.92429225504532</v>
      </c>
      <c r="H86" s="98">
        <v>0</v>
      </c>
      <c r="I86" s="98">
        <v>699.9242922550452</v>
      </c>
      <c r="J86" s="98">
        <v>0</v>
      </c>
      <c r="K86" s="98">
        <v>637.9242922550452</v>
      </c>
      <c r="L86" s="98">
        <v>0</v>
      </c>
      <c r="M86" s="98">
        <v>575.9242922550452</v>
      </c>
      <c r="N86" s="98">
        <v>0</v>
      </c>
      <c r="O86" s="98">
        <v>513.9242922550452</v>
      </c>
      <c r="P86" s="98">
        <v>0</v>
      </c>
      <c r="Q86" s="253">
        <v>-8.5782029759691962</v>
      </c>
      <c r="DU86" s="17">
        <f>'Monthly Data'!D86</f>
        <v>40926076.990000002</v>
      </c>
      <c r="DV86" s="17">
        <f>'Monthly Data'!H86</f>
        <v>12453404.960000001</v>
      </c>
      <c r="DW86" s="17">
        <f>'Monthly Data'!L86</f>
        <v>29560788.611000001</v>
      </c>
    </row>
    <row r="87" spans="1:127" x14ac:dyDescent="0.2">
      <c r="A87">
        <v>2021</v>
      </c>
      <c r="B87">
        <v>2</v>
      </c>
      <c r="C87" s="98">
        <v>863.86250000000007</v>
      </c>
      <c r="D87" s="98">
        <v>0</v>
      </c>
      <c r="E87" s="98">
        <v>807.86250000000007</v>
      </c>
      <c r="F87" s="98">
        <v>0</v>
      </c>
      <c r="G87" s="98">
        <v>751.86250000000018</v>
      </c>
      <c r="H87" s="98">
        <v>0</v>
      </c>
      <c r="I87" s="98">
        <v>695.86250000000018</v>
      </c>
      <c r="J87" s="98">
        <v>0</v>
      </c>
      <c r="K87" s="98">
        <v>639.86250000000018</v>
      </c>
      <c r="L87" s="98">
        <v>0</v>
      </c>
      <c r="M87" s="98">
        <v>583.86250000000018</v>
      </c>
      <c r="N87" s="98">
        <v>0</v>
      </c>
      <c r="O87" s="98">
        <v>527.86250000000007</v>
      </c>
      <c r="P87" s="98">
        <v>0</v>
      </c>
      <c r="Q87" s="253">
        <v>-10.852232142857144</v>
      </c>
      <c r="DU87" s="17">
        <f>'Monthly Data'!D87</f>
        <v>38627481.899999999</v>
      </c>
      <c r="DV87" s="17">
        <f>'Monthly Data'!H87</f>
        <v>11871197.550000001</v>
      </c>
      <c r="DW87" s="17">
        <f>'Monthly Data'!L87</f>
        <v>27748488.384000003</v>
      </c>
    </row>
    <row r="88" spans="1:127" x14ac:dyDescent="0.2">
      <c r="A88">
        <v>2021</v>
      </c>
      <c r="B88">
        <v>3</v>
      </c>
      <c r="C88" s="98">
        <v>690.87637558837832</v>
      </c>
      <c r="D88" s="98">
        <v>0</v>
      </c>
      <c r="E88" s="98">
        <v>628.87637558837844</v>
      </c>
      <c r="F88" s="98">
        <v>0</v>
      </c>
      <c r="G88" s="98">
        <v>566.87637558837844</v>
      </c>
      <c r="H88" s="98">
        <v>0</v>
      </c>
      <c r="I88" s="98">
        <v>504.87637558837855</v>
      </c>
      <c r="J88" s="98">
        <v>0</v>
      </c>
      <c r="K88" s="98">
        <v>442.87637558837849</v>
      </c>
      <c r="L88" s="98">
        <v>0</v>
      </c>
      <c r="M88" s="98">
        <v>380.87637558837855</v>
      </c>
      <c r="N88" s="98">
        <v>0</v>
      </c>
      <c r="O88" s="98">
        <v>319.10137558837852</v>
      </c>
      <c r="P88" s="98">
        <v>0.22499999999999964</v>
      </c>
      <c r="Q88" s="253">
        <v>-2.2863346963993072</v>
      </c>
      <c r="DU88" s="17">
        <f>'Monthly Data'!D88</f>
        <v>35126326.270000003</v>
      </c>
      <c r="DV88" s="17">
        <f>'Monthly Data'!H88</f>
        <v>11634102.34</v>
      </c>
      <c r="DW88" s="17">
        <f>'Monthly Data'!L88</f>
        <v>27883137.327000003</v>
      </c>
    </row>
    <row r="89" spans="1:127" x14ac:dyDescent="0.2">
      <c r="A89">
        <v>2021</v>
      </c>
      <c r="B89">
        <v>4</v>
      </c>
      <c r="C89" s="98">
        <v>431.53958333333327</v>
      </c>
      <c r="D89" s="98">
        <v>0</v>
      </c>
      <c r="E89" s="98">
        <v>371.53958333333327</v>
      </c>
      <c r="F89" s="98">
        <v>0</v>
      </c>
      <c r="G89" s="98">
        <v>311.53958333333333</v>
      </c>
      <c r="H89" s="98">
        <v>0</v>
      </c>
      <c r="I89" s="98">
        <v>253.46458333333328</v>
      </c>
      <c r="J89" s="98">
        <v>1.9250000000000025</v>
      </c>
      <c r="K89" s="98">
        <v>200.60624999999999</v>
      </c>
      <c r="L89" s="98">
        <v>9.0666666666666682</v>
      </c>
      <c r="M89" s="98">
        <v>152.30624999999998</v>
      </c>
      <c r="N89" s="98">
        <v>20.766666666666673</v>
      </c>
      <c r="O89" s="98">
        <v>108.33958333333334</v>
      </c>
      <c r="P89" s="98">
        <v>36.800000000000004</v>
      </c>
      <c r="Q89" s="253">
        <v>5.6153472222222227</v>
      </c>
      <c r="DU89" s="17">
        <f>'Monthly Data'!D89</f>
        <v>28382573.879999999</v>
      </c>
      <c r="DV89" s="17">
        <f>'Monthly Data'!H89</f>
        <v>9720180.1099999994</v>
      </c>
      <c r="DW89" s="17">
        <f>'Monthly Data'!L89</f>
        <v>23784844.181000002</v>
      </c>
    </row>
    <row r="90" spans="1:127" x14ac:dyDescent="0.2">
      <c r="A90">
        <v>2021</v>
      </c>
      <c r="B90">
        <v>5</v>
      </c>
      <c r="C90" s="98">
        <v>277.77291666666662</v>
      </c>
      <c r="D90" s="98">
        <v>4.5791666666666728</v>
      </c>
      <c r="E90" s="98">
        <v>223.77291666666665</v>
      </c>
      <c r="F90" s="98">
        <v>12.579166666666673</v>
      </c>
      <c r="G90" s="98">
        <v>173.94791666666671</v>
      </c>
      <c r="H90" s="98">
        <v>24.75416666666667</v>
      </c>
      <c r="I90" s="98">
        <v>128.06458333333336</v>
      </c>
      <c r="J90" s="98">
        <v>40.87083333333333</v>
      </c>
      <c r="K90" s="98">
        <v>92.268749999999997</v>
      </c>
      <c r="L90" s="98">
        <v>67.074999999999989</v>
      </c>
      <c r="M90" s="98">
        <v>61.727083333333333</v>
      </c>
      <c r="N90" s="98">
        <v>98.533333333333331</v>
      </c>
      <c r="O90" s="98">
        <v>35.72708333333334</v>
      </c>
      <c r="P90" s="98">
        <v>134.53333333333333</v>
      </c>
      <c r="Q90" s="253">
        <v>11.187298387096773</v>
      </c>
      <c r="DU90" s="17">
        <f>'Monthly Data'!D90</f>
        <v>26543869.199999999</v>
      </c>
      <c r="DV90" s="17">
        <f>'Monthly Data'!H90</f>
        <v>9393976.0700000003</v>
      </c>
      <c r="DW90" s="17">
        <f>'Monthly Data'!L90</f>
        <v>24003157.701000001</v>
      </c>
    </row>
    <row r="91" spans="1:127" x14ac:dyDescent="0.2">
      <c r="A91">
        <v>2021</v>
      </c>
      <c r="B91">
        <v>6</v>
      </c>
      <c r="C91" s="98">
        <v>87.543750000000003</v>
      </c>
      <c r="D91" s="98">
        <v>8.4916666666666707</v>
      </c>
      <c r="E91" s="98">
        <v>44.868750000000006</v>
      </c>
      <c r="F91" s="98">
        <v>25.816666666666659</v>
      </c>
      <c r="G91" s="98">
        <v>19.447916666666671</v>
      </c>
      <c r="H91" s="98">
        <v>60.395833333333343</v>
      </c>
      <c r="I91" s="98">
        <v>6.9791666666666696</v>
      </c>
      <c r="J91" s="98">
        <v>107.92708333333334</v>
      </c>
      <c r="K91" s="98">
        <v>3.3708333333333318</v>
      </c>
      <c r="L91" s="98">
        <v>164.31874999999997</v>
      </c>
      <c r="M91" s="98">
        <v>1.3708333333333318</v>
      </c>
      <c r="N91" s="98">
        <v>222.31874999999997</v>
      </c>
      <c r="O91" s="98">
        <v>0</v>
      </c>
      <c r="P91" s="98">
        <v>280.94791666666663</v>
      </c>
      <c r="Q91" s="253">
        <v>17.364930555555556</v>
      </c>
      <c r="DU91" s="17">
        <f>'Monthly Data'!D91</f>
        <v>26200755.329999998</v>
      </c>
      <c r="DV91" s="17">
        <f>'Monthly Data'!H91</f>
        <v>9392908.1300000008</v>
      </c>
      <c r="DW91" s="17">
        <f>'Monthly Data'!L91</f>
        <v>24028061.399999999</v>
      </c>
    </row>
    <row r="92" spans="1:127" x14ac:dyDescent="0.2">
      <c r="A92">
        <v>2021</v>
      </c>
      <c r="B92">
        <v>7</v>
      </c>
      <c r="C92" s="98">
        <v>61.520833333333329</v>
      </c>
      <c r="D92" s="98">
        <v>11.729166666666686</v>
      </c>
      <c r="E92" s="98">
        <v>29.13333333333334</v>
      </c>
      <c r="F92" s="98">
        <v>41.341666666666697</v>
      </c>
      <c r="G92" s="98">
        <v>11.262500000000006</v>
      </c>
      <c r="H92" s="98">
        <v>85.470833333333374</v>
      </c>
      <c r="I92" s="98">
        <v>1.4416666666666718</v>
      </c>
      <c r="J92" s="98">
        <v>137.65000000000006</v>
      </c>
      <c r="K92" s="98">
        <v>0</v>
      </c>
      <c r="L92" s="98">
        <v>198.2083333333334</v>
      </c>
      <c r="M92" s="98">
        <v>0</v>
      </c>
      <c r="N92" s="98">
        <v>260.20833333333343</v>
      </c>
      <c r="O92" s="98">
        <v>0</v>
      </c>
      <c r="P92" s="98">
        <v>322.20833333333337</v>
      </c>
      <c r="Q92" s="253">
        <v>18.393817204301076</v>
      </c>
      <c r="DU92" s="17">
        <f>'Monthly Data'!D92</f>
        <v>28359937.969999999</v>
      </c>
      <c r="DV92" s="17">
        <f>'Monthly Data'!H92</f>
        <v>10293974.1</v>
      </c>
      <c r="DW92" s="17">
        <f>'Monthly Data'!L92</f>
        <v>25740721.141999997</v>
      </c>
    </row>
    <row r="93" spans="1:127" x14ac:dyDescent="0.2">
      <c r="A93">
        <v>2021</v>
      </c>
      <c r="B93">
        <v>8</v>
      </c>
      <c r="C93" s="98">
        <v>42.133333333333312</v>
      </c>
      <c r="D93" s="98">
        <v>31.433333333333341</v>
      </c>
      <c r="E93" s="98">
        <v>18.133333333333326</v>
      </c>
      <c r="F93" s="98">
        <v>69.433333333333337</v>
      </c>
      <c r="G93" s="98">
        <v>3.6874999999999982</v>
      </c>
      <c r="H93" s="98">
        <v>116.98750000000003</v>
      </c>
      <c r="I93" s="98">
        <v>0.39583333333333393</v>
      </c>
      <c r="J93" s="98">
        <v>175.69583333333333</v>
      </c>
      <c r="K93" s="98">
        <v>0</v>
      </c>
      <c r="L93" s="98">
        <v>237.3</v>
      </c>
      <c r="M93" s="98">
        <v>0</v>
      </c>
      <c r="N93" s="98">
        <v>299.3</v>
      </c>
      <c r="O93" s="98">
        <v>0</v>
      </c>
      <c r="P93" s="98">
        <v>361.3</v>
      </c>
      <c r="Q93" s="253">
        <v>19.654838709677421</v>
      </c>
      <c r="DU93" s="17">
        <f>'Monthly Data'!D93</f>
        <v>29210808.18</v>
      </c>
      <c r="DV93" s="17">
        <f>'Monthly Data'!H93</f>
        <v>10694491.789999999</v>
      </c>
      <c r="DW93" s="17">
        <f>'Monthly Data'!L93</f>
        <v>26824622.931000002</v>
      </c>
    </row>
    <row r="94" spans="1:127" x14ac:dyDescent="0.2">
      <c r="A94">
        <v>2021</v>
      </c>
      <c r="B94">
        <v>9</v>
      </c>
      <c r="C94" s="98">
        <v>206.98749999999998</v>
      </c>
      <c r="D94" s="98">
        <v>0</v>
      </c>
      <c r="E94" s="98">
        <v>147.24166666666667</v>
      </c>
      <c r="F94" s="98">
        <v>0.25416666666666288</v>
      </c>
      <c r="G94" s="98">
        <v>91.837500000000006</v>
      </c>
      <c r="H94" s="98">
        <v>4.8499999999999979</v>
      </c>
      <c r="I94" s="98">
        <v>45.997916666666669</v>
      </c>
      <c r="J94" s="98">
        <v>19.010416666666664</v>
      </c>
      <c r="K94" s="98">
        <v>20.447916666666664</v>
      </c>
      <c r="L94" s="98">
        <v>53.46041666666666</v>
      </c>
      <c r="M94" s="98">
        <v>5.2583333333333302</v>
      </c>
      <c r="N94" s="98">
        <v>98.270833333333314</v>
      </c>
      <c r="O94" s="98">
        <v>2.5000000000001243E-2</v>
      </c>
      <c r="P94" s="98">
        <v>153.03750000000002</v>
      </c>
      <c r="Q94" s="253">
        <v>13.100416666666668</v>
      </c>
      <c r="DU94" s="17">
        <f>'Monthly Data'!D94</f>
        <v>24321041.890000001</v>
      </c>
      <c r="DV94" s="17">
        <f>'Monthly Data'!H94</f>
        <v>9498032.5500000007</v>
      </c>
      <c r="DW94" s="17">
        <f>'Monthly Data'!L94</f>
        <v>24278471.148000002</v>
      </c>
    </row>
    <row r="95" spans="1:127" x14ac:dyDescent="0.2">
      <c r="A95">
        <v>2021</v>
      </c>
      <c r="B95">
        <v>10</v>
      </c>
      <c r="C95" s="98">
        <v>297.17916666666673</v>
      </c>
      <c r="D95" s="98">
        <v>0</v>
      </c>
      <c r="E95" s="98">
        <v>235.17916666666665</v>
      </c>
      <c r="F95" s="98">
        <v>0</v>
      </c>
      <c r="G95" s="98">
        <v>176.92083333333332</v>
      </c>
      <c r="H95" s="98">
        <v>3.74166666666666</v>
      </c>
      <c r="I95" s="98">
        <v>127.73124999999999</v>
      </c>
      <c r="J95" s="98">
        <v>16.552083333333321</v>
      </c>
      <c r="K95" s="98">
        <v>91.706250000000011</v>
      </c>
      <c r="L95" s="98">
        <v>42.52708333333333</v>
      </c>
      <c r="M95" s="98">
        <v>60.793750000000003</v>
      </c>
      <c r="N95" s="98">
        <v>73.614583333333329</v>
      </c>
      <c r="O95" s="98">
        <v>33.033333333333339</v>
      </c>
      <c r="P95" s="98">
        <v>107.85416666666666</v>
      </c>
      <c r="Q95" s="253">
        <v>10.413575268817207</v>
      </c>
      <c r="DU95" s="17">
        <f>'Monthly Data'!D95</f>
        <v>25748657.5</v>
      </c>
      <c r="DV95" s="17">
        <f>'Monthly Data'!H95</f>
        <v>9811806.4000000004</v>
      </c>
      <c r="DW95" s="17">
        <f>'Monthly Data'!L95</f>
        <v>25499727.263</v>
      </c>
    </row>
    <row r="96" spans="1:127" x14ac:dyDescent="0.2">
      <c r="A96">
        <v>2021</v>
      </c>
      <c r="B96">
        <v>11</v>
      </c>
      <c r="C96" s="98">
        <v>616.31041666666681</v>
      </c>
      <c r="D96" s="98">
        <v>0</v>
      </c>
      <c r="E96" s="98">
        <v>556.3104166666667</v>
      </c>
      <c r="F96" s="98">
        <v>0</v>
      </c>
      <c r="G96" s="98">
        <v>496.3104166666667</v>
      </c>
      <c r="H96" s="98">
        <v>0</v>
      </c>
      <c r="I96" s="98">
        <v>436.3104166666667</v>
      </c>
      <c r="J96" s="98">
        <v>0</v>
      </c>
      <c r="K96" s="98">
        <v>376.3104166666667</v>
      </c>
      <c r="L96" s="98">
        <v>0</v>
      </c>
      <c r="M96" s="98">
        <v>316.31041666666664</v>
      </c>
      <c r="N96" s="98">
        <v>0</v>
      </c>
      <c r="O96" s="98">
        <v>257.49374999999998</v>
      </c>
      <c r="P96" s="98">
        <v>1.1833333333333371</v>
      </c>
      <c r="Q96" s="253">
        <v>-0.54368055555555572</v>
      </c>
      <c r="DU96" s="17">
        <f>'Monthly Data'!D96</f>
        <v>31347883.41</v>
      </c>
      <c r="DV96" s="17">
        <f>'Monthly Data'!H96</f>
        <v>10828835.609999999</v>
      </c>
      <c r="DW96" s="17">
        <f>'Monthly Data'!L96</f>
        <v>27361750.120999999</v>
      </c>
    </row>
    <row r="97" spans="1:127" x14ac:dyDescent="0.2">
      <c r="A97">
        <v>2021</v>
      </c>
      <c r="B97">
        <v>12</v>
      </c>
      <c r="C97" s="98">
        <v>819.20416666666677</v>
      </c>
      <c r="D97" s="98">
        <v>0</v>
      </c>
      <c r="E97" s="98">
        <v>757.20416666666677</v>
      </c>
      <c r="F97" s="98">
        <v>0</v>
      </c>
      <c r="G97" s="98">
        <v>695.20416666666654</v>
      </c>
      <c r="H97" s="98">
        <v>0</v>
      </c>
      <c r="I97" s="98">
        <v>633.20416666666654</v>
      </c>
      <c r="J97" s="98">
        <v>0</v>
      </c>
      <c r="K97" s="98">
        <v>571.20416666666665</v>
      </c>
      <c r="L97" s="98">
        <v>0</v>
      </c>
      <c r="M97" s="98">
        <v>509.20416666666665</v>
      </c>
      <c r="N97" s="98">
        <v>0</v>
      </c>
      <c r="O97" s="98">
        <v>447.20416666666665</v>
      </c>
      <c r="P97" s="98">
        <v>0</v>
      </c>
      <c r="Q97" s="253">
        <v>-6.4259408602150536</v>
      </c>
      <c r="T97" s="12"/>
      <c r="U97" s="13"/>
      <c r="V97" s="13"/>
      <c r="W97" s="13"/>
      <c r="X97" s="13"/>
      <c r="Y97" s="13"/>
      <c r="Z97" s="13"/>
      <c r="AA97" s="13"/>
      <c r="AB97" s="13"/>
      <c r="AC97" s="13"/>
      <c r="AD97" s="13"/>
      <c r="AE97" s="13"/>
      <c r="AF97" s="13"/>
      <c r="AG97" s="13"/>
      <c r="AI97" s="12"/>
      <c r="AJ97" s="13"/>
      <c r="AK97" s="13"/>
      <c r="AL97" s="13"/>
      <c r="AM97" s="13"/>
      <c r="AN97" s="13"/>
      <c r="AO97" s="13"/>
      <c r="AP97" s="13"/>
      <c r="AQ97" s="13"/>
      <c r="AR97" s="13"/>
      <c r="AS97" s="13"/>
      <c r="AT97" s="13"/>
      <c r="AU97" s="13"/>
      <c r="AV97" s="13"/>
      <c r="DU97" s="17">
        <f>'Monthly Data'!D97</f>
        <v>39792860.049999997</v>
      </c>
      <c r="DV97" s="17">
        <f>'Monthly Data'!H97</f>
        <v>12535512.83</v>
      </c>
      <c r="DW97" s="17">
        <f>'Monthly Data'!L97</f>
        <v>30332110.503000002</v>
      </c>
    </row>
    <row r="98" spans="1:127" x14ac:dyDescent="0.2">
      <c r="A98">
        <v>2022</v>
      </c>
      <c r="B98">
        <v>1</v>
      </c>
      <c r="C98" s="98">
        <v>1127.0833333333333</v>
      </c>
      <c r="D98" s="98">
        <v>0</v>
      </c>
      <c r="E98" s="98">
        <v>1065.0833333333333</v>
      </c>
      <c r="F98" s="98">
        <v>0</v>
      </c>
      <c r="G98" s="98">
        <v>1003.0833333333333</v>
      </c>
      <c r="H98" s="98">
        <v>0</v>
      </c>
      <c r="I98" s="98">
        <v>941.08333333333326</v>
      </c>
      <c r="J98" s="98">
        <v>0</v>
      </c>
      <c r="K98" s="98">
        <v>879.08333333333314</v>
      </c>
      <c r="L98" s="98">
        <v>0</v>
      </c>
      <c r="M98" s="98">
        <v>817.08333333333314</v>
      </c>
      <c r="N98" s="98">
        <v>0</v>
      </c>
      <c r="O98" s="98">
        <v>755.08333333333314</v>
      </c>
      <c r="P98" s="98">
        <v>0</v>
      </c>
      <c r="Q98" s="253">
        <v>-16.357526881720432</v>
      </c>
      <c r="T98" s="12"/>
      <c r="U98" s="13"/>
      <c r="V98" s="13"/>
      <c r="W98" s="13"/>
      <c r="X98" s="13"/>
      <c r="Y98" s="13"/>
      <c r="Z98" s="13"/>
      <c r="AA98" s="13"/>
      <c r="AB98" s="13"/>
      <c r="AC98" s="13"/>
      <c r="AD98" s="13"/>
      <c r="AE98" s="13"/>
      <c r="AF98" s="13"/>
      <c r="AG98" s="13"/>
      <c r="AI98" s="12"/>
      <c r="AJ98" s="13"/>
      <c r="AK98" s="13"/>
      <c r="AL98" s="13"/>
      <c r="AM98" s="13"/>
      <c r="AN98" s="13"/>
      <c r="AO98" s="13"/>
      <c r="AP98" s="13"/>
      <c r="AQ98" s="13"/>
      <c r="AR98" s="13"/>
      <c r="AS98" s="13"/>
      <c r="AT98" s="13"/>
      <c r="AU98" s="13"/>
      <c r="AV98" s="13"/>
      <c r="DU98" s="17">
        <f>'Monthly Data'!D98</f>
        <v>46997840.329999998</v>
      </c>
      <c r="DV98" s="17">
        <f>'Monthly Data'!H98</f>
        <v>14030693.01</v>
      </c>
      <c r="DW98" s="17">
        <f>'Monthly Data'!L98</f>
        <v>33205235.84</v>
      </c>
    </row>
    <row r="99" spans="1:127" x14ac:dyDescent="0.2">
      <c r="A99">
        <v>2022</v>
      </c>
      <c r="B99">
        <v>2</v>
      </c>
      <c r="C99" s="98">
        <v>907.50000000000023</v>
      </c>
      <c r="D99" s="98">
        <v>0</v>
      </c>
      <c r="E99" s="98">
        <v>851.50000000000023</v>
      </c>
      <c r="F99" s="98">
        <v>0</v>
      </c>
      <c r="G99" s="98">
        <v>795.50000000000023</v>
      </c>
      <c r="H99" s="98">
        <v>0</v>
      </c>
      <c r="I99" s="98">
        <v>739.5</v>
      </c>
      <c r="J99" s="98">
        <v>0</v>
      </c>
      <c r="K99" s="98">
        <v>683.50000000000023</v>
      </c>
      <c r="L99" s="98">
        <v>0</v>
      </c>
      <c r="M99" s="98">
        <v>627.50000000000011</v>
      </c>
      <c r="N99" s="98">
        <v>0</v>
      </c>
      <c r="O99" s="98">
        <v>571.50000000000011</v>
      </c>
      <c r="P99" s="98">
        <v>0</v>
      </c>
      <c r="Q99" s="253">
        <v>-12.410714285714286</v>
      </c>
      <c r="DU99" s="17">
        <f>'Monthly Data'!D99</f>
        <v>39736199.079999998</v>
      </c>
      <c r="DV99" s="17">
        <f>'Monthly Data'!H99</f>
        <v>12467341</v>
      </c>
      <c r="DW99" s="17">
        <f>'Monthly Data'!L99</f>
        <v>29264018.063000001</v>
      </c>
    </row>
    <row r="100" spans="1:127" x14ac:dyDescent="0.2">
      <c r="A100">
        <v>2022</v>
      </c>
      <c r="B100">
        <v>3</v>
      </c>
      <c r="C100" s="98">
        <v>769.76804225504509</v>
      </c>
      <c r="D100" s="98">
        <v>0</v>
      </c>
      <c r="E100" s="98">
        <v>707.7680422550452</v>
      </c>
      <c r="F100" s="98">
        <v>0</v>
      </c>
      <c r="G100" s="98">
        <v>645.7680422550452</v>
      </c>
      <c r="H100" s="98">
        <v>0</v>
      </c>
      <c r="I100" s="98">
        <v>583.7680422550452</v>
      </c>
      <c r="J100" s="98">
        <v>0</v>
      </c>
      <c r="K100" s="98">
        <v>521.7680422550452</v>
      </c>
      <c r="L100" s="98">
        <v>0</v>
      </c>
      <c r="M100" s="98">
        <v>459.76804225504515</v>
      </c>
      <c r="N100" s="98">
        <v>0</v>
      </c>
      <c r="O100" s="98">
        <v>397.76804225504515</v>
      </c>
      <c r="P100" s="98">
        <v>0</v>
      </c>
      <c r="Q100" s="253">
        <v>-4.8312271695175859</v>
      </c>
      <c r="DU100" s="17">
        <f>'Monthly Data'!D100</f>
        <v>37472058.43</v>
      </c>
      <c r="DV100" s="17">
        <f>'Monthly Data'!H100</f>
        <v>12541043.890000001</v>
      </c>
      <c r="DW100" s="17">
        <f>'Monthly Data'!L100</f>
        <v>30356073.782000002</v>
      </c>
    </row>
    <row r="101" spans="1:127" x14ac:dyDescent="0.2">
      <c r="A101">
        <v>2022</v>
      </c>
      <c r="B101">
        <v>4</v>
      </c>
      <c r="C101" s="98">
        <v>520.62291666666658</v>
      </c>
      <c r="D101" s="98">
        <v>0</v>
      </c>
      <c r="E101" s="98">
        <v>460.62291666666664</v>
      </c>
      <c r="F101" s="98">
        <v>0</v>
      </c>
      <c r="G101" s="98">
        <v>400.62291666666658</v>
      </c>
      <c r="H101" s="98">
        <v>0</v>
      </c>
      <c r="I101" s="98">
        <v>340.62291666666658</v>
      </c>
      <c r="J101" s="98">
        <v>0</v>
      </c>
      <c r="K101" s="98">
        <v>280.62291666666664</v>
      </c>
      <c r="L101" s="98">
        <v>0</v>
      </c>
      <c r="M101" s="98">
        <v>221.58125000000004</v>
      </c>
      <c r="N101" s="98">
        <v>0.95833333333333393</v>
      </c>
      <c r="O101" s="98">
        <v>165.8979166666667</v>
      </c>
      <c r="P101" s="98">
        <v>5.2750000000000004</v>
      </c>
      <c r="Q101" s="253">
        <v>2.6459027777777777</v>
      </c>
      <c r="DU101" s="17">
        <f>'Monthly Data'!D101</f>
        <v>30207146.300000001</v>
      </c>
      <c r="DV101" s="17">
        <f>'Monthly Data'!H101</f>
        <v>10703165.789999999</v>
      </c>
      <c r="DW101" s="17">
        <f>'Monthly Data'!L101</f>
        <v>26440764.897999998</v>
      </c>
    </row>
    <row r="102" spans="1:127" x14ac:dyDescent="0.2">
      <c r="A102">
        <v>2022</v>
      </c>
      <c r="B102">
        <v>5</v>
      </c>
      <c r="C102" s="98">
        <v>203.87429225504519</v>
      </c>
      <c r="D102" s="98">
        <v>5.7416666666666671</v>
      </c>
      <c r="E102" s="98">
        <v>154.68262558837847</v>
      </c>
      <c r="F102" s="98">
        <v>18.550000000000004</v>
      </c>
      <c r="G102" s="98">
        <v>108.21179225504518</v>
      </c>
      <c r="H102" s="98">
        <v>34.079166666666666</v>
      </c>
      <c r="I102" s="98">
        <v>68.470125588378522</v>
      </c>
      <c r="J102" s="98">
        <v>56.33750000000002</v>
      </c>
      <c r="K102" s="98">
        <v>38.105542255045179</v>
      </c>
      <c r="L102" s="98">
        <v>87.972916666666691</v>
      </c>
      <c r="M102" s="98">
        <v>14.455542255045183</v>
      </c>
      <c r="N102" s="98">
        <v>126.32291666666669</v>
      </c>
      <c r="O102" s="98">
        <v>1.2250000000000014</v>
      </c>
      <c r="P102" s="98">
        <v>175.09237441162151</v>
      </c>
      <c r="Q102" s="253">
        <v>13.60862498102005</v>
      </c>
      <c r="DU102" s="17">
        <f>'Monthly Data'!D102</f>
        <v>25720908.100000001</v>
      </c>
      <c r="DV102" s="17">
        <f>'Monthly Data'!H102</f>
        <v>9998782.1300000008</v>
      </c>
      <c r="DW102" s="17">
        <f>'Monthly Data'!L102</f>
        <v>26555438.565000001</v>
      </c>
    </row>
    <row r="103" spans="1:127" x14ac:dyDescent="0.2">
      <c r="A103">
        <v>2022</v>
      </c>
      <c r="B103">
        <v>6</v>
      </c>
      <c r="C103" s="98">
        <v>121.22500000000002</v>
      </c>
      <c r="D103" s="98">
        <v>7.6208333333333336</v>
      </c>
      <c r="E103" s="98">
        <v>78.029166666666669</v>
      </c>
      <c r="F103" s="98">
        <v>24.42499999999999</v>
      </c>
      <c r="G103" s="98">
        <v>38.033333333333331</v>
      </c>
      <c r="H103" s="98">
        <v>44.42916666666666</v>
      </c>
      <c r="I103" s="98">
        <v>8.7416666666666689</v>
      </c>
      <c r="J103" s="98">
        <v>75.137499999999989</v>
      </c>
      <c r="K103" s="98">
        <v>0.94999999999999929</v>
      </c>
      <c r="L103" s="98">
        <v>127.3458333333333</v>
      </c>
      <c r="M103" s="98">
        <v>0</v>
      </c>
      <c r="N103" s="98">
        <v>186.39583333333334</v>
      </c>
      <c r="O103" s="98">
        <v>0</v>
      </c>
      <c r="P103" s="98">
        <v>246.39583333333334</v>
      </c>
      <c r="Q103" s="253">
        <v>16.213194444444444</v>
      </c>
      <c r="DU103" s="17">
        <f>'Monthly Data'!D103</f>
        <v>25055726.030000001</v>
      </c>
      <c r="DV103" s="17">
        <f>'Monthly Data'!H103</f>
        <v>9707584.7599999998</v>
      </c>
      <c r="DW103" s="17">
        <f>'Monthly Data'!L103</f>
        <v>24741230.73</v>
      </c>
    </row>
    <row r="104" spans="1:127" x14ac:dyDescent="0.2">
      <c r="A104">
        <v>2022</v>
      </c>
      <c r="B104">
        <v>7</v>
      </c>
      <c r="C104" s="98">
        <v>54.837500000000006</v>
      </c>
      <c r="D104" s="98">
        <v>14.802083333333321</v>
      </c>
      <c r="E104" s="98">
        <v>18.5</v>
      </c>
      <c r="F104" s="98">
        <v>40.464583333333323</v>
      </c>
      <c r="G104" s="98">
        <v>1.2750000000000021</v>
      </c>
      <c r="H104" s="98">
        <v>85.239583333333329</v>
      </c>
      <c r="I104" s="98">
        <v>0</v>
      </c>
      <c r="J104" s="98">
        <v>145.96458333333331</v>
      </c>
      <c r="K104" s="98">
        <v>0</v>
      </c>
      <c r="L104" s="98">
        <v>207.96458333333331</v>
      </c>
      <c r="M104" s="98">
        <v>0</v>
      </c>
      <c r="N104" s="98">
        <v>269.96458333333334</v>
      </c>
      <c r="O104" s="98">
        <v>0</v>
      </c>
      <c r="P104" s="98">
        <v>331.96458333333328</v>
      </c>
      <c r="Q104" s="253">
        <v>18.708534946236565</v>
      </c>
      <c r="DU104" s="17">
        <f>'Monthly Data'!D104</f>
        <v>27864227.27</v>
      </c>
      <c r="DV104" s="17">
        <f>'Monthly Data'!H104</f>
        <v>10430963.25</v>
      </c>
      <c r="DW104" s="17">
        <f>'Monthly Data'!L104</f>
        <v>26168080.018000003</v>
      </c>
    </row>
    <row r="105" spans="1:127" x14ac:dyDescent="0.2">
      <c r="A105">
        <v>2022</v>
      </c>
      <c r="B105">
        <v>8</v>
      </c>
      <c r="C105" s="98">
        <v>57.940958921711875</v>
      </c>
      <c r="D105" s="98">
        <v>7.743749999999995</v>
      </c>
      <c r="E105" s="98">
        <v>24.468042255045177</v>
      </c>
      <c r="F105" s="98">
        <v>36.270833333333314</v>
      </c>
      <c r="G105" s="98">
        <v>7.0222089217118455</v>
      </c>
      <c r="H105" s="98">
        <v>80.824999999999974</v>
      </c>
      <c r="I105" s="98">
        <v>0.79304225504517589</v>
      </c>
      <c r="J105" s="98">
        <v>136.5958333333333</v>
      </c>
      <c r="K105" s="98">
        <v>0</v>
      </c>
      <c r="L105" s="98">
        <v>197.80279107828815</v>
      </c>
      <c r="M105" s="98">
        <v>0</v>
      </c>
      <c r="N105" s="98">
        <v>259.80279107828812</v>
      </c>
      <c r="O105" s="98">
        <v>0</v>
      </c>
      <c r="P105" s="98">
        <v>321.80279107828807</v>
      </c>
      <c r="Q105" s="253">
        <v>18.380735196073815</v>
      </c>
      <c r="DU105" s="17">
        <f>'Monthly Data'!D105</f>
        <v>27579285.030000001</v>
      </c>
      <c r="DV105" s="17">
        <f>'Monthly Data'!H105</f>
        <v>10351871.310000001</v>
      </c>
      <c r="DW105" s="17">
        <f>'Monthly Data'!L105</f>
        <v>26363987.006999999</v>
      </c>
    </row>
    <row r="106" spans="1:127" x14ac:dyDescent="0.2">
      <c r="A106">
        <v>2022</v>
      </c>
      <c r="B106">
        <v>9</v>
      </c>
      <c r="C106" s="98">
        <v>184.38887558837854</v>
      </c>
      <c r="D106" s="98">
        <v>0.60833333333333073</v>
      </c>
      <c r="E106" s="98">
        <v>131.98887558837851</v>
      </c>
      <c r="F106" s="98">
        <v>8.2083333333333393</v>
      </c>
      <c r="G106" s="98">
        <v>90.980542255045179</v>
      </c>
      <c r="H106" s="98">
        <v>27.20000000000001</v>
      </c>
      <c r="I106" s="98">
        <v>60.320125588378495</v>
      </c>
      <c r="J106" s="98">
        <v>56.53958333333334</v>
      </c>
      <c r="K106" s="98">
        <v>33.615958921711837</v>
      </c>
      <c r="L106" s="98">
        <v>89.835416666666646</v>
      </c>
      <c r="M106" s="98">
        <v>14.699292255045174</v>
      </c>
      <c r="N106" s="98">
        <v>130.91874999999999</v>
      </c>
      <c r="O106" s="98">
        <v>4.993042255045177</v>
      </c>
      <c r="P106" s="98">
        <v>181.21250000000003</v>
      </c>
      <c r="Q106" s="253">
        <v>13.873981924831833</v>
      </c>
      <c r="DU106" s="17">
        <f>'Monthly Data'!D106</f>
        <v>24715324.91</v>
      </c>
      <c r="DV106" s="17">
        <f>'Monthly Data'!H106</f>
        <v>9509482.7599999998</v>
      </c>
      <c r="DW106" s="17">
        <f>'Monthly Data'!L106</f>
        <v>25240627.620000001</v>
      </c>
    </row>
    <row r="107" spans="1:127" x14ac:dyDescent="0.2">
      <c r="A107">
        <v>2022</v>
      </c>
      <c r="B107">
        <v>10</v>
      </c>
      <c r="C107" s="98">
        <v>401.57566784342367</v>
      </c>
      <c r="D107" s="98">
        <v>0</v>
      </c>
      <c r="E107" s="98">
        <v>339.57566784342362</v>
      </c>
      <c r="F107" s="98">
        <v>0</v>
      </c>
      <c r="G107" s="98">
        <v>277.57566784342367</v>
      </c>
      <c r="H107" s="98">
        <v>0</v>
      </c>
      <c r="I107" s="98">
        <v>216.45900117675706</v>
      </c>
      <c r="J107" s="98">
        <v>0.88333333333333108</v>
      </c>
      <c r="K107" s="98">
        <v>162.45900117675706</v>
      </c>
      <c r="L107" s="98">
        <v>8.8833333333333311</v>
      </c>
      <c r="M107" s="98">
        <v>113.78608451009033</v>
      </c>
      <c r="N107" s="98">
        <v>22.210416666666667</v>
      </c>
      <c r="O107" s="98">
        <v>68.484708921711828</v>
      </c>
      <c r="P107" s="98">
        <v>38.909041078288162</v>
      </c>
      <c r="Q107" s="253">
        <v>7.0459461985992347</v>
      </c>
      <c r="DU107" s="17">
        <f>'Monthly Data'!D107</f>
        <v>26112434.460000001</v>
      </c>
      <c r="DV107" s="17">
        <f>'Monthly Data'!H107</f>
        <v>9716096.2899999991</v>
      </c>
      <c r="DW107" s="17">
        <f>'Monthly Data'!L107</f>
        <v>25614504.675000001</v>
      </c>
    </row>
    <row r="108" spans="1:127" x14ac:dyDescent="0.2">
      <c r="A108">
        <v>2022</v>
      </c>
      <c r="B108">
        <v>11</v>
      </c>
      <c r="C108" s="98">
        <v>574.06804225504516</v>
      </c>
      <c r="D108" s="98">
        <v>0</v>
      </c>
      <c r="E108" s="98">
        <v>514.06804225504504</v>
      </c>
      <c r="F108" s="98">
        <v>0</v>
      </c>
      <c r="G108" s="98">
        <v>454.06804225504504</v>
      </c>
      <c r="H108" s="98">
        <v>0</v>
      </c>
      <c r="I108" s="98">
        <v>394.06804225504504</v>
      </c>
      <c r="J108" s="98">
        <v>0</v>
      </c>
      <c r="K108" s="98">
        <v>337.18470892171183</v>
      </c>
      <c r="L108" s="98">
        <v>3.1166666666666618</v>
      </c>
      <c r="M108" s="98">
        <v>283.5805422550452</v>
      </c>
      <c r="N108" s="98">
        <v>9.5124999999999975</v>
      </c>
      <c r="O108" s="98">
        <v>234.09720892171185</v>
      </c>
      <c r="P108" s="98">
        <v>20.029166666666661</v>
      </c>
      <c r="Q108" s="253">
        <v>0.86439859149849374</v>
      </c>
      <c r="DU108" s="17">
        <f>'Monthly Data'!D108</f>
        <v>31093528.149999999</v>
      </c>
      <c r="DV108" s="17">
        <f>'Monthly Data'!H108</f>
        <v>10901739.15</v>
      </c>
      <c r="DW108" s="17">
        <f>'Monthly Data'!L108</f>
        <v>27385777.006999999</v>
      </c>
    </row>
    <row r="109" spans="1:127" x14ac:dyDescent="0.2">
      <c r="A109">
        <v>2022</v>
      </c>
      <c r="B109">
        <v>12</v>
      </c>
      <c r="C109" s="98">
        <v>790.52218897094622</v>
      </c>
      <c r="D109" s="98">
        <v>0</v>
      </c>
      <c r="E109" s="98">
        <v>728.5221889709461</v>
      </c>
      <c r="F109" s="98">
        <v>0</v>
      </c>
      <c r="G109" s="98">
        <v>666.5221889709461</v>
      </c>
      <c r="H109" s="98">
        <v>0</v>
      </c>
      <c r="I109" s="98">
        <v>604.52218897094622</v>
      </c>
      <c r="J109" s="98">
        <v>0</v>
      </c>
      <c r="K109" s="98">
        <v>542.52218897094622</v>
      </c>
      <c r="L109" s="98">
        <v>0</v>
      </c>
      <c r="M109" s="98">
        <v>480.52218897094639</v>
      </c>
      <c r="N109" s="98">
        <v>0</v>
      </c>
      <c r="O109" s="98">
        <v>418.52218897094639</v>
      </c>
      <c r="P109" s="98">
        <v>0</v>
      </c>
      <c r="Q109" s="253">
        <v>-5.5007157732563305</v>
      </c>
      <c r="DU109" s="17">
        <f>'Monthly Data'!D109</f>
        <v>38121462.399999999</v>
      </c>
      <c r="DV109" s="17">
        <f>'Monthly Data'!H109</f>
        <v>12223491.300000001</v>
      </c>
      <c r="DW109" s="17">
        <f>'Monthly Data'!L109</f>
        <v>30222258.684</v>
      </c>
    </row>
    <row r="110" spans="1:127" x14ac:dyDescent="0.2">
      <c r="A110">
        <v>2023</v>
      </c>
      <c r="B110">
        <v>1</v>
      </c>
      <c r="C110" s="98">
        <v>862.82150117675701</v>
      </c>
      <c r="D110" s="98">
        <v>0</v>
      </c>
      <c r="E110" s="98">
        <v>800.82150117675724</v>
      </c>
      <c r="F110" s="98">
        <v>0</v>
      </c>
      <c r="G110" s="98">
        <v>738.82150117675724</v>
      </c>
      <c r="H110" s="98">
        <v>0</v>
      </c>
      <c r="I110" s="98">
        <v>676.82150117675701</v>
      </c>
      <c r="J110" s="98">
        <v>0</v>
      </c>
      <c r="K110" s="98">
        <v>614.82150117675712</v>
      </c>
      <c r="L110" s="98">
        <v>0</v>
      </c>
      <c r="M110" s="98">
        <v>552.82150117675701</v>
      </c>
      <c r="N110" s="98">
        <v>0</v>
      </c>
      <c r="O110" s="98">
        <v>490.82150117675701</v>
      </c>
      <c r="P110" s="98">
        <v>0</v>
      </c>
      <c r="Q110" s="253">
        <v>-7.8329516508631301</v>
      </c>
      <c r="DU110" s="17">
        <f>'Monthly Data'!D110</f>
        <v>39889002.07</v>
      </c>
      <c r="DV110" s="17">
        <f>'Monthly Data'!H110</f>
        <v>12905236.92</v>
      </c>
      <c r="DW110" s="17">
        <f>'Monthly Data'!L110</f>
        <v>31082169.882999998</v>
      </c>
    </row>
    <row r="111" spans="1:127" x14ac:dyDescent="0.2">
      <c r="A111">
        <v>2023</v>
      </c>
      <c r="B111">
        <v>2</v>
      </c>
      <c r="C111" s="98">
        <v>811.82499999999993</v>
      </c>
      <c r="D111" s="98">
        <v>0</v>
      </c>
      <c r="E111" s="98">
        <v>755.82499999999993</v>
      </c>
      <c r="F111" s="98">
        <v>0</v>
      </c>
      <c r="G111" s="98">
        <v>699.82499999999993</v>
      </c>
      <c r="H111" s="98">
        <v>0</v>
      </c>
      <c r="I111" s="98">
        <v>643.82499999999993</v>
      </c>
      <c r="J111" s="98">
        <v>0</v>
      </c>
      <c r="K111" s="98">
        <v>587.82499999999993</v>
      </c>
      <c r="L111" s="98">
        <v>0</v>
      </c>
      <c r="M111" s="98">
        <v>531.82499999999993</v>
      </c>
      <c r="N111" s="98">
        <v>0</v>
      </c>
      <c r="O111" s="98">
        <v>475.82499999999993</v>
      </c>
      <c r="P111" s="98">
        <v>0</v>
      </c>
      <c r="Q111" s="253">
        <v>-8.9937499999999986</v>
      </c>
      <c r="DU111" s="17">
        <f>'Monthly Data'!D111</f>
        <v>36008276.280000001</v>
      </c>
      <c r="DV111" s="17">
        <f>'Monthly Data'!H111</f>
        <v>11829459.880000001</v>
      </c>
      <c r="DW111" s="17">
        <f>'Monthly Data'!L111</f>
        <v>28581943.862999998</v>
      </c>
    </row>
    <row r="112" spans="1:127" x14ac:dyDescent="0.2">
      <c r="A112">
        <v>2023</v>
      </c>
      <c r="B112">
        <v>3</v>
      </c>
      <c r="C112" s="98">
        <v>757.93333333333317</v>
      </c>
      <c r="D112" s="98">
        <v>0</v>
      </c>
      <c r="E112" s="98">
        <v>695.93333333333317</v>
      </c>
      <c r="F112" s="98">
        <v>0</v>
      </c>
      <c r="G112" s="98">
        <v>633.93333333333328</v>
      </c>
      <c r="H112" s="98">
        <v>0</v>
      </c>
      <c r="I112" s="98">
        <v>571.93333333333339</v>
      </c>
      <c r="J112" s="98">
        <v>0</v>
      </c>
      <c r="K112" s="98">
        <v>509.93333333333345</v>
      </c>
      <c r="L112" s="98">
        <v>0</v>
      </c>
      <c r="M112" s="98">
        <v>447.93333333333351</v>
      </c>
      <c r="N112" s="98">
        <v>0</v>
      </c>
      <c r="O112" s="98">
        <v>385.93333333333351</v>
      </c>
      <c r="P112" s="98">
        <v>0</v>
      </c>
      <c r="Q112" s="253">
        <v>-4.4494623655913985</v>
      </c>
      <c r="DU112" s="17">
        <f>'Monthly Data'!D112</f>
        <v>36118655.640000001</v>
      </c>
      <c r="DV112" s="17">
        <f>'Monthly Data'!H112</f>
        <v>12251194.9</v>
      </c>
      <c r="DW112" s="17">
        <f>'Monthly Data'!L112</f>
        <v>30124616.18</v>
      </c>
    </row>
    <row r="113" spans="1:127" x14ac:dyDescent="0.2">
      <c r="A113">
        <v>2023</v>
      </c>
      <c r="B113">
        <v>4</v>
      </c>
      <c r="C113" s="98">
        <v>490.43541666666664</v>
      </c>
      <c r="D113" s="98">
        <v>0</v>
      </c>
      <c r="E113" s="98">
        <v>430.43541666666664</v>
      </c>
      <c r="F113" s="98">
        <v>0</v>
      </c>
      <c r="G113" s="98">
        <v>370.55208333333326</v>
      </c>
      <c r="H113" s="98">
        <v>0.11666666666666714</v>
      </c>
      <c r="I113" s="98">
        <v>313.46458333333328</v>
      </c>
      <c r="J113" s="98">
        <v>3.0291666666666668</v>
      </c>
      <c r="K113" s="98">
        <v>257.67291666666665</v>
      </c>
      <c r="L113" s="98">
        <v>7.2375000000000007</v>
      </c>
      <c r="M113" s="98">
        <v>205.87291666666664</v>
      </c>
      <c r="N113" s="98">
        <v>15.4375</v>
      </c>
      <c r="O113" s="98">
        <v>158.83541666666665</v>
      </c>
      <c r="P113" s="98">
        <v>28.4</v>
      </c>
      <c r="Q113" s="253">
        <v>3.6521527777777774</v>
      </c>
      <c r="DU113" s="17">
        <f>'Monthly Data'!D113</f>
        <v>29575071.25</v>
      </c>
      <c r="DV113" s="17">
        <f>'Monthly Data'!H113</f>
        <v>11240362.689999999</v>
      </c>
      <c r="DW113" s="17">
        <f>'Monthly Data'!L113</f>
        <v>25423229.961999997</v>
      </c>
    </row>
    <row r="114" spans="1:127" x14ac:dyDescent="0.2">
      <c r="A114">
        <v>2023</v>
      </c>
      <c r="B114">
        <v>5</v>
      </c>
      <c r="C114" s="98">
        <v>261.56666666666666</v>
      </c>
      <c r="D114" s="98">
        <v>5.9479166666666714</v>
      </c>
      <c r="E114" s="98">
        <v>206.96666666666667</v>
      </c>
      <c r="F114" s="98">
        <v>13.347916666666674</v>
      </c>
      <c r="G114" s="98">
        <v>154.73333333333329</v>
      </c>
      <c r="H114" s="98">
        <v>23.114583333333339</v>
      </c>
      <c r="I114" s="98">
        <v>110.7708333333333</v>
      </c>
      <c r="J114" s="98">
        <v>41.152083333333337</v>
      </c>
      <c r="K114" s="98">
        <v>70.770833333333329</v>
      </c>
      <c r="L114" s="98">
        <v>63.152083333333337</v>
      </c>
      <c r="M114" s="98">
        <v>37.537500000000009</v>
      </c>
      <c r="N114" s="98">
        <v>91.918750000000017</v>
      </c>
      <c r="O114" s="98">
        <v>17.824999999999999</v>
      </c>
      <c r="P114" s="98">
        <v>134.20625000000001</v>
      </c>
      <c r="Q114" s="253">
        <v>11.754233870967743</v>
      </c>
      <c r="DU114" s="17">
        <f>'Monthly Data'!D114</f>
        <v>26447363.559999999</v>
      </c>
      <c r="DV114" s="17">
        <f>'Monthly Data'!H114</f>
        <v>10829287.810000001</v>
      </c>
      <c r="DW114" s="17">
        <f>'Monthly Data'!L114</f>
        <v>24900636.294</v>
      </c>
    </row>
    <row r="115" spans="1:127" x14ac:dyDescent="0.2">
      <c r="A115">
        <v>2023</v>
      </c>
      <c r="B115">
        <v>6</v>
      </c>
      <c r="C115" s="98">
        <v>85.08054225504516</v>
      </c>
      <c r="D115" s="98">
        <v>20.570833333333329</v>
      </c>
      <c r="E115" s="98">
        <v>49.529166666666654</v>
      </c>
      <c r="F115" s="98">
        <v>45.019457744954835</v>
      </c>
      <c r="G115" s="98">
        <v>24.508333333333326</v>
      </c>
      <c r="H115" s="98">
        <v>79.998624411621506</v>
      </c>
      <c r="I115" s="98">
        <v>8.8625000000000007</v>
      </c>
      <c r="J115" s="98">
        <v>124.35279107828819</v>
      </c>
      <c r="K115" s="98">
        <v>3.9875000000000025</v>
      </c>
      <c r="L115" s="98">
        <v>179.47779107828816</v>
      </c>
      <c r="M115" s="98">
        <v>1.9875000000000025</v>
      </c>
      <c r="N115" s="98">
        <v>237.47779107828816</v>
      </c>
      <c r="O115" s="98">
        <v>0</v>
      </c>
      <c r="P115" s="98">
        <v>295.49029107828818</v>
      </c>
      <c r="Q115" s="253">
        <v>17.849676369276267</v>
      </c>
      <c r="DU115" s="17">
        <f>'Monthly Data'!D115</f>
        <v>27292789.420000002</v>
      </c>
      <c r="DV115" s="17">
        <f>'Monthly Data'!H115</f>
        <v>10843409.26</v>
      </c>
      <c r="DW115" s="17">
        <f>'Monthly Data'!L115</f>
        <v>25366811.919</v>
      </c>
    </row>
    <row r="116" spans="1:127" x14ac:dyDescent="0.2">
      <c r="A116">
        <v>2023</v>
      </c>
      <c r="B116">
        <v>7</v>
      </c>
      <c r="C116" s="98">
        <v>44.083333333333329</v>
      </c>
      <c r="D116" s="98">
        <v>18.545833333333324</v>
      </c>
      <c r="E116" s="98">
        <v>13.6</v>
      </c>
      <c r="F116" s="98">
        <v>50.0625</v>
      </c>
      <c r="G116" s="98">
        <v>1.9833333333333325</v>
      </c>
      <c r="H116" s="98">
        <v>100.44583333333335</v>
      </c>
      <c r="I116" s="98">
        <v>0</v>
      </c>
      <c r="J116" s="98">
        <v>160.46250000000001</v>
      </c>
      <c r="K116" s="98">
        <v>0</v>
      </c>
      <c r="L116" s="98">
        <v>222.46250000000001</v>
      </c>
      <c r="M116" s="98">
        <v>0</v>
      </c>
      <c r="N116" s="98">
        <v>284.46250000000009</v>
      </c>
      <c r="O116" s="98">
        <v>0</v>
      </c>
      <c r="P116" s="98">
        <v>346.46249999999998</v>
      </c>
      <c r="Q116" s="253">
        <v>19.176209677419351</v>
      </c>
      <c r="DU116" s="17">
        <f>'Monthly Data'!D116</f>
        <v>29163370.149999999</v>
      </c>
      <c r="DV116" s="17">
        <f>'Monthly Data'!H116</f>
        <v>11325708.359999999</v>
      </c>
      <c r="DW116" s="17">
        <f>'Monthly Data'!L116</f>
        <v>26534886.311000001</v>
      </c>
    </row>
    <row r="117" spans="1:127" x14ac:dyDescent="0.2">
      <c r="A117">
        <v>2023</v>
      </c>
      <c r="B117">
        <v>8</v>
      </c>
      <c r="C117" s="98">
        <v>104.625</v>
      </c>
      <c r="D117" s="98">
        <v>0</v>
      </c>
      <c r="E117" s="98">
        <v>48.87916666666667</v>
      </c>
      <c r="F117" s="98">
        <v>6.2541666666666629</v>
      </c>
      <c r="G117" s="98">
        <v>16.139583333333327</v>
      </c>
      <c r="H117" s="98">
        <v>35.514583333333306</v>
      </c>
      <c r="I117" s="98">
        <v>3.2750000000000004</v>
      </c>
      <c r="J117" s="98">
        <v>84.649999999999977</v>
      </c>
      <c r="K117" s="98">
        <v>0.57083333333333286</v>
      </c>
      <c r="L117" s="98">
        <v>143.9458333333333</v>
      </c>
      <c r="M117" s="98">
        <v>0</v>
      </c>
      <c r="N117" s="98">
        <v>205.37499999999997</v>
      </c>
      <c r="O117" s="98">
        <v>0</v>
      </c>
      <c r="P117" s="98">
        <v>267.375</v>
      </c>
      <c r="Q117" s="253">
        <v>16.625</v>
      </c>
      <c r="DU117" s="17">
        <f>'Monthly Data'!D117</f>
        <v>26293508.239999998</v>
      </c>
      <c r="DV117" s="17">
        <f>'Monthly Data'!H117</f>
        <v>10669077.210000001</v>
      </c>
      <c r="DW117" s="17">
        <f>'Monthly Data'!L117</f>
        <v>25083519.902000003</v>
      </c>
    </row>
    <row r="118" spans="1:127" x14ac:dyDescent="0.2">
      <c r="A118">
        <v>2023</v>
      </c>
      <c r="B118">
        <v>9</v>
      </c>
      <c r="C118" s="98">
        <v>158.93749999999997</v>
      </c>
      <c r="D118" s="98">
        <v>8.4333333333333407</v>
      </c>
      <c r="E118" s="98">
        <v>108.49583333333337</v>
      </c>
      <c r="F118" s="98">
        <v>17.991666666666671</v>
      </c>
      <c r="G118" s="98">
        <v>60.497916666666661</v>
      </c>
      <c r="H118" s="98">
        <v>29.993750000000002</v>
      </c>
      <c r="I118" s="98">
        <v>25.80416666666666</v>
      </c>
      <c r="J118" s="98">
        <v>55.3</v>
      </c>
      <c r="K118" s="98">
        <v>7.8166666666666664</v>
      </c>
      <c r="L118" s="98">
        <v>97.312499999999972</v>
      </c>
      <c r="M118" s="98">
        <v>2.1166666666666671</v>
      </c>
      <c r="N118" s="98">
        <v>151.61250000000004</v>
      </c>
      <c r="O118" s="98">
        <v>0</v>
      </c>
      <c r="P118" s="98">
        <v>209.49583333333342</v>
      </c>
      <c r="Q118" s="253">
        <v>14.983194444444447</v>
      </c>
      <c r="DU118" s="17">
        <f>'Monthly Data'!D118</f>
        <v>24195404.620000001</v>
      </c>
      <c r="DV118" s="17">
        <f>'Monthly Data'!H118</f>
        <v>10011816.609999999</v>
      </c>
      <c r="DW118" s="17">
        <f>'Monthly Data'!L118</f>
        <v>24333574.75</v>
      </c>
    </row>
    <row r="119" spans="1:127" x14ac:dyDescent="0.2">
      <c r="A119">
        <v>2023</v>
      </c>
      <c r="B119">
        <v>10</v>
      </c>
      <c r="C119" s="98">
        <v>372.08887558837841</v>
      </c>
      <c r="D119" s="98">
        <v>0</v>
      </c>
      <c r="E119" s="98">
        <v>314.55762558837853</v>
      </c>
      <c r="F119" s="98">
        <v>4.4687499999999964</v>
      </c>
      <c r="G119" s="98">
        <v>260.45762558837851</v>
      </c>
      <c r="H119" s="98">
        <v>12.368749999999995</v>
      </c>
      <c r="I119" s="98">
        <v>209.40345892171183</v>
      </c>
      <c r="J119" s="98">
        <v>23.314583333333331</v>
      </c>
      <c r="K119" s="98">
        <v>160.86595892171184</v>
      </c>
      <c r="L119" s="98">
        <v>36.777083333333323</v>
      </c>
      <c r="M119" s="98">
        <v>115.11179225504519</v>
      </c>
      <c r="N119" s="98">
        <v>53.022916666666653</v>
      </c>
      <c r="O119" s="98">
        <v>75.534708921711839</v>
      </c>
      <c r="P119" s="98">
        <v>75.44583333333334</v>
      </c>
      <c r="Q119" s="253">
        <v>7.9971330455361764</v>
      </c>
      <c r="DU119" s="17">
        <f>'Monthly Data'!D119</f>
        <v>26754851.23</v>
      </c>
      <c r="DV119" s="17">
        <f>'Monthly Data'!H119</f>
        <v>10460439.25</v>
      </c>
      <c r="DW119" s="17">
        <f>'Monthly Data'!L119</f>
        <v>25725389.504000001</v>
      </c>
    </row>
    <row r="120" spans="1:127" x14ac:dyDescent="0.2">
      <c r="A120">
        <v>2023</v>
      </c>
      <c r="B120">
        <v>11</v>
      </c>
      <c r="C120" s="98">
        <v>639.4867922550452</v>
      </c>
      <c r="D120" s="98">
        <v>0</v>
      </c>
      <c r="E120" s="98">
        <v>579.4867922550452</v>
      </c>
      <c r="F120" s="98">
        <v>0</v>
      </c>
      <c r="G120" s="98">
        <v>519.4867922550452</v>
      </c>
      <c r="H120" s="98">
        <v>0</v>
      </c>
      <c r="I120" s="98">
        <v>459.4867922550452</v>
      </c>
      <c r="J120" s="98">
        <v>0</v>
      </c>
      <c r="K120" s="98">
        <v>399.48679225504515</v>
      </c>
      <c r="L120" s="98">
        <v>0</v>
      </c>
      <c r="M120" s="98">
        <v>339.48679225504515</v>
      </c>
      <c r="N120" s="98">
        <v>0</v>
      </c>
      <c r="O120" s="98">
        <v>279.48679225504515</v>
      </c>
      <c r="P120" s="98">
        <v>0</v>
      </c>
      <c r="Q120" s="253">
        <v>-1.3162264085015063</v>
      </c>
      <c r="DU120" s="17">
        <f>'Monthly Data'!D120</f>
        <v>33284311.859999999</v>
      </c>
      <c r="DV120" s="17">
        <f>'Monthly Data'!H120</f>
        <v>11929211.300000001</v>
      </c>
      <c r="DW120" s="17">
        <f>'Monthly Data'!L120</f>
        <v>27763400.131999999</v>
      </c>
    </row>
    <row r="121" spans="1:127" x14ac:dyDescent="0.2">
      <c r="A121">
        <v>2023</v>
      </c>
      <c r="B121">
        <v>12</v>
      </c>
      <c r="C121" s="98">
        <v>711.47216902018079</v>
      </c>
      <c r="D121" s="98">
        <v>0</v>
      </c>
      <c r="E121" s="98">
        <v>649.47216902018079</v>
      </c>
      <c r="F121" s="98">
        <v>0</v>
      </c>
      <c r="G121" s="98">
        <v>587.47216902018067</v>
      </c>
      <c r="H121" s="98">
        <v>0</v>
      </c>
      <c r="I121" s="98">
        <v>525.47216902018056</v>
      </c>
      <c r="J121" s="98">
        <v>0</v>
      </c>
      <c r="K121" s="98">
        <v>463.47216902018073</v>
      </c>
      <c r="L121" s="98">
        <v>0</v>
      </c>
      <c r="M121" s="98">
        <v>401.47216902018062</v>
      </c>
      <c r="N121" s="98">
        <v>0</v>
      </c>
      <c r="O121" s="98">
        <v>339.47216902018067</v>
      </c>
      <c r="P121" s="98">
        <v>0</v>
      </c>
      <c r="Q121" s="253">
        <v>-2.9507151296832492</v>
      </c>
      <c r="DU121" s="17">
        <f>'Monthly Data'!D121</f>
        <v>37318007.649999999</v>
      </c>
      <c r="DV121" s="17">
        <f>'Monthly Data'!H121</f>
        <v>12616017.5</v>
      </c>
      <c r="DW121" s="17">
        <f>'Monthly Data'!L121</f>
        <v>28951749.210999999</v>
      </c>
    </row>
    <row r="122" spans="1:127" x14ac:dyDescent="0.2">
      <c r="A122">
        <v>2024</v>
      </c>
      <c r="B122">
        <v>1</v>
      </c>
      <c r="C122" s="98">
        <v>873.51250000000005</v>
      </c>
      <c r="D122" s="98">
        <v>0</v>
      </c>
      <c r="E122" s="98">
        <v>811.51250000000005</v>
      </c>
      <c r="F122" s="98">
        <v>0</v>
      </c>
      <c r="G122" s="98">
        <v>749.51250000000005</v>
      </c>
      <c r="H122" s="98">
        <v>0</v>
      </c>
      <c r="I122" s="98">
        <v>687.51250000000005</v>
      </c>
      <c r="J122" s="98">
        <v>0</v>
      </c>
      <c r="K122" s="98">
        <v>625.51250000000005</v>
      </c>
      <c r="L122" s="98">
        <v>0</v>
      </c>
      <c r="M122" s="98">
        <v>563.51250000000005</v>
      </c>
      <c r="N122" s="98">
        <v>0</v>
      </c>
      <c r="O122" s="98">
        <v>501.51250000000005</v>
      </c>
      <c r="P122" s="98">
        <v>0</v>
      </c>
      <c r="Q122" s="10">
        <v>-8.177822580645163</v>
      </c>
    </row>
    <row r="123" spans="1:127" x14ac:dyDescent="0.2">
      <c r="A123">
        <v>2024</v>
      </c>
      <c r="B123">
        <v>2</v>
      </c>
      <c r="C123" s="98">
        <v>747.39166666666665</v>
      </c>
      <c r="D123" s="98">
        <v>0</v>
      </c>
      <c r="E123" s="98">
        <v>689.39166666666665</v>
      </c>
      <c r="F123" s="98">
        <v>0</v>
      </c>
      <c r="G123" s="98">
        <v>631.39166666666665</v>
      </c>
      <c r="H123" s="98">
        <v>0</v>
      </c>
      <c r="I123" s="98">
        <v>573.39166666666665</v>
      </c>
      <c r="J123" s="98">
        <v>0</v>
      </c>
      <c r="K123" s="98">
        <v>515.39166666666665</v>
      </c>
      <c r="L123" s="98">
        <v>0</v>
      </c>
      <c r="M123" s="98">
        <v>457.39166666666665</v>
      </c>
      <c r="N123" s="98">
        <v>0</v>
      </c>
      <c r="O123" s="98">
        <v>399.39166666666665</v>
      </c>
      <c r="P123" s="98">
        <v>0</v>
      </c>
      <c r="Q123" s="10">
        <v>-5.7721264367816101</v>
      </c>
    </row>
    <row r="124" spans="1:127" x14ac:dyDescent="0.2">
      <c r="A124">
        <v>2024</v>
      </c>
      <c r="B124">
        <v>3</v>
      </c>
      <c r="C124" s="98">
        <v>651.45416666666642</v>
      </c>
      <c r="D124" s="98">
        <v>0</v>
      </c>
      <c r="E124" s="98">
        <v>589.45416666666654</v>
      </c>
      <c r="F124" s="98">
        <v>0</v>
      </c>
      <c r="G124" s="98">
        <v>527.45416666666654</v>
      </c>
      <c r="H124" s="98">
        <v>0</v>
      </c>
      <c r="I124" s="98">
        <v>465.45416666666665</v>
      </c>
      <c r="J124" s="98">
        <v>0</v>
      </c>
      <c r="K124" s="98">
        <v>403.45416666666671</v>
      </c>
      <c r="L124" s="98">
        <v>0</v>
      </c>
      <c r="M124" s="98">
        <v>341.45416666666671</v>
      </c>
      <c r="N124" s="98">
        <v>0</v>
      </c>
      <c r="O124" s="98">
        <v>279.45416666666671</v>
      </c>
      <c r="P124" s="98">
        <v>0</v>
      </c>
      <c r="Q124" s="10">
        <v>-1.0146505376344084</v>
      </c>
    </row>
    <row r="125" spans="1:127" x14ac:dyDescent="0.2">
      <c r="A125">
        <v>2024</v>
      </c>
      <c r="B125">
        <v>4</v>
      </c>
      <c r="C125" s="98">
        <v>463.87916666666666</v>
      </c>
      <c r="D125" s="98">
        <v>0</v>
      </c>
      <c r="E125" s="98">
        <v>403.87916666666666</v>
      </c>
      <c r="F125" s="98">
        <v>0</v>
      </c>
      <c r="G125" s="98">
        <v>343.87916666666666</v>
      </c>
      <c r="H125" s="98">
        <v>0</v>
      </c>
      <c r="I125" s="98">
        <v>283.87916666666678</v>
      </c>
      <c r="J125" s="98">
        <v>0</v>
      </c>
      <c r="K125" s="98">
        <v>223.87916666666672</v>
      </c>
      <c r="L125" s="98">
        <v>0</v>
      </c>
      <c r="M125" s="98">
        <v>165.02083333333334</v>
      </c>
      <c r="N125" s="98">
        <v>1.141666666666671</v>
      </c>
      <c r="O125" s="98">
        <v>109.46041666666665</v>
      </c>
      <c r="P125" s="98">
        <v>5.5812500000000043</v>
      </c>
      <c r="Q125" s="10">
        <v>4.5373611111111121</v>
      </c>
    </row>
    <row r="126" spans="1:127" x14ac:dyDescent="0.2">
      <c r="A126">
        <v>2024</v>
      </c>
      <c r="B126">
        <v>5</v>
      </c>
      <c r="C126" s="98">
        <v>202.8125</v>
      </c>
      <c r="D126" s="98">
        <v>0</v>
      </c>
      <c r="E126" s="98">
        <v>145.15416666666664</v>
      </c>
      <c r="F126" s="98">
        <v>4.3416666666666721</v>
      </c>
      <c r="G126" s="98">
        <v>92.68541666666664</v>
      </c>
      <c r="H126" s="98">
        <v>13.872916666666676</v>
      </c>
      <c r="I126" s="98">
        <v>50.627083333333339</v>
      </c>
      <c r="J126" s="98">
        <v>33.814583333333346</v>
      </c>
      <c r="K126" s="98">
        <v>20.881250000000001</v>
      </c>
      <c r="L126" s="98">
        <v>66.068750000000023</v>
      </c>
      <c r="M126" s="98">
        <v>2.6791666666666654</v>
      </c>
      <c r="N126" s="98">
        <v>109.8666666666667</v>
      </c>
      <c r="O126" s="98">
        <v>0</v>
      </c>
      <c r="P126" s="98">
        <v>169.1875</v>
      </c>
      <c r="Q126" s="10">
        <v>13.457661290322582</v>
      </c>
    </row>
    <row r="127" spans="1:127" x14ac:dyDescent="0.2">
      <c r="A127">
        <v>2024</v>
      </c>
      <c r="B127">
        <v>6</v>
      </c>
      <c r="C127" s="98">
        <v>113.12708333333332</v>
      </c>
      <c r="D127" s="98">
        <v>17.7</v>
      </c>
      <c r="E127" s="98">
        <v>68.720833333333317</v>
      </c>
      <c r="F127" s="98">
        <v>33.293750000000003</v>
      </c>
      <c r="G127" s="98">
        <v>33.62083333333333</v>
      </c>
      <c r="H127" s="98">
        <v>58.193750000000009</v>
      </c>
      <c r="I127" s="98">
        <v>11.199999999999998</v>
      </c>
      <c r="J127" s="98">
        <v>95.772916666666688</v>
      </c>
      <c r="K127" s="98">
        <v>1.4000000000000004</v>
      </c>
      <c r="L127" s="98">
        <v>145.97291666666669</v>
      </c>
      <c r="M127" s="98">
        <v>0</v>
      </c>
      <c r="N127" s="98">
        <v>204.57291666666666</v>
      </c>
      <c r="O127" s="98">
        <v>0</v>
      </c>
      <c r="P127" s="98">
        <v>264.57291666666663</v>
      </c>
      <c r="Q127" s="10">
        <v>16.819097222222219</v>
      </c>
    </row>
    <row r="128" spans="1:127" x14ac:dyDescent="0.2">
      <c r="A128">
        <v>2024</v>
      </c>
      <c r="B128">
        <v>7</v>
      </c>
      <c r="C128" s="98">
        <v>37.364583333333329</v>
      </c>
      <c r="D128" s="98">
        <v>27.299999999999997</v>
      </c>
      <c r="E128" s="98">
        <v>10.652083333333334</v>
      </c>
      <c r="F128" s="98">
        <v>62.587499999999991</v>
      </c>
      <c r="G128" s="98">
        <v>1.8999999999999986</v>
      </c>
      <c r="H128" s="98">
        <v>115.8354166666667</v>
      </c>
      <c r="I128" s="98">
        <v>0</v>
      </c>
      <c r="J128" s="98">
        <v>175.9354166666667</v>
      </c>
      <c r="K128" s="98">
        <v>0</v>
      </c>
      <c r="L128" s="98">
        <v>237.9354166666667</v>
      </c>
      <c r="M128" s="98">
        <v>0</v>
      </c>
      <c r="N128" s="98">
        <v>299.93541666666664</v>
      </c>
      <c r="O128" s="98">
        <v>0</v>
      </c>
      <c r="P128" s="98">
        <v>361.9354166666667</v>
      </c>
      <c r="Q128" s="10">
        <v>19.675336021505373</v>
      </c>
    </row>
    <row r="129" spans="1:17" x14ac:dyDescent="0.2">
      <c r="A129">
        <v>2024</v>
      </c>
      <c r="B129">
        <v>8</v>
      </c>
      <c r="C129" s="98">
        <v>65.081249999999997</v>
      </c>
      <c r="D129" s="98">
        <v>22.900000000000006</v>
      </c>
      <c r="E129" s="98">
        <v>33.681249999999999</v>
      </c>
      <c r="F129" s="98">
        <v>53.500000000000007</v>
      </c>
      <c r="G129" s="98">
        <v>13.2</v>
      </c>
      <c r="H129" s="98">
        <v>95.018749999999983</v>
      </c>
      <c r="I129" s="98">
        <v>2.3000000000000007</v>
      </c>
      <c r="J129" s="98">
        <v>146.11875000000001</v>
      </c>
      <c r="K129" s="98">
        <v>0</v>
      </c>
      <c r="L129" s="98">
        <v>205.81874999999999</v>
      </c>
      <c r="M129" s="98">
        <v>0</v>
      </c>
      <c r="N129" s="98">
        <v>267.81874999999997</v>
      </c>
      <c r="O129" s="98">
        <v>0</v>
      </c>
      <c r="P129" s="98">
        <v>329.81875000000002</v>
      </c>
      <c r="Q129" s="10">
        <v>18.639314516129037</v>
      </c>
    </row>
    <row r="130" spans="1:17" x14ac:dyDescent="0.2">
      <c r="A130">
        <v>2024</v>
      </c>
      <c r="B130">
        <v>9</v>
      </c>
      <c r="C130" s="98">
        <v>117.28541666666663</v>
      </c>
      <c r="D130" s="98">
        <v>3.100000000000005</v>
      </c>
      <c r="E130" s="98">
        <v>74.385416666666686</v>
      </c>
      <c r="F130" s="98">
        <v>20.20000000000001</v>
      </c>
      <c r="G130" s="98">
        <v>38.591666666666683</v>
      </c>
      <c r="H130" s="98">
        <v>44.406250000000014</v>
      </c>
      <c r="I130" s="98">
        <v>19.100000000000001</v>
      </c>
      <c r="J130" s="98">
        <v>84.914583333333354</v>
      </c>
      <c r="K130" s="98">
        <v>7.5</v>
      </c>
      <c r="L130" s="98">
        <v>133.3145833333333</v>
      </c>
      <c r="M130" s="98">
        <v>3.9000000000000004</v>
      </c>
      <c r="N130" s="98">
        <v>189.71458333333334</v>
      </c>
      <c r="O130" s="98">
        <v>1.9000000000000004</v>
      </c>
      <c r="P130" s="98">
        <v>247.71458333333334</v>
      </c>
      <c r="Q130" s="10">
        <v>16.193819444444447</v>
      </c>
    </row>
    <row r="131" spans="1:17" x14ac:dyDescent="0.2">
      <c r="A131">
        <v>2024</v>
      </c>
      <c r="B131">
        <v>10</v>
      </c>
      <c r="C131" s="98">
        <v>370.53125000000006</v>
      </c>
      <c r="D131" s="98">
        <v>0</v>
      </c>
      <c r="E131" s="98">
        <v>308.53125</v>
      </c>
      <c r="F131" s="98">
        <v>0</v>
      </c>
      <c r="G131" s="98">
        <v>246.73125000000002</v>
      </c>
      <c r="H131" s="98">
        <v>0.19999999999999929</v>
      </c>
      <c r="I131" s="98">
        <v>191.26041666666669</v>
      </c>
      <c r="J131" s="98">
        <v>6.7291666666666661</v>
      </c>
      <c r="K131" s="98">
        <v>141.66041666666669</v>
      </c>
      <c r="L131" s="98">
        <v>19.129166666666666</v>
      </c>
      <c r="M131" s="98">
        <v>95.160416666666663</v>
      </c>
      <c r="N131" s="98">
        <v>34.629166666666663</v>
      </c>
      <c r="O131" s="98">
        <v>56.760416666666664</v>
      </c>
      <c r="P131" s="98">
        <v>58.229166666666671</v>
      </c>
      <c r="Q131" s="10">
        <v>8.0473790322580641</v>
      </c>
    </row>
    <row r="132" spans="1:17" x14ac:dyDescent="0.2">
      <c r="A132">
        <v>2024</v>
      </c>
      <c r="B132">
        <v>11</v>
      </c>
      <c r="C132" s="98">
        <v>558.92291666666665</v>
      </c>
      <c r="D132" s="98">
        <v>0</v>
      </c>
      <c r="E132" s="98">
        <v>498.92291666666665</v>
      </c>
      <c r="F132" s="98">
        <v>0</v>
      </c>
      <c r="G132" s="98">
        <v>438.92291666666665</v>
      </c>
      <c r="H132" s="98">
        <v>0</v>
      </c>
      <c r="I132" s="98">
        <v>379.02291666666673</v>
      </c>
      <c r="J132" s="98">
        <v>9.9999999999999645E-2</v>
      </c>
      <c r="K132" s="98">
        <v>321.02291666666667</v>
      </c>
      <c r="L132" s="98">
        <v>2.0999999999999996</v>
      </c>
      <c r="M132" s="98">
        <v>263.02291666666667</v>
      </c>
      <c r="N132" s="98">
        <v>4.0999999999999996</v>
      </c>
      <c r="O132" s="98">
        <v>205.02291666666665</v>
      </c>
      <c r="P132" s="98">
        <v>6.1</v>
      </c>
      <c r="Q132" s="10">
        <v>1.3692361111111111</v>
      </c>
    </row>
    <row r="133" spans="1:17" x14ac:dyDescent="0.2">
      <c r="A133">
        <v>2024</v>
      </c>
      <c r="B133">
        <v>12</v>
      </c>
      <c r="C133" s="98">
        <v>843.35625000000005</v>
      </c>
      <c r="D133" s="98">
        <v>0</v>
      </c>
      <c r="E133" s="98">
        <v>781.35624999999993</v>
      </c>
      <c r="F133" s="98">
        <v>0</v>
      </c>
      <c r="G133" s="98">
        <v>719.35624999999993</v>
      </c>
      <c r="H133" s="98">
        <v>0</v>
      </c>
      <c r="I133" s="98">
        <v>657.35625000000005</v>
      </c>
      <c r="J133" s="98">
        <v>0</v>
      </c>
      <c r="K133" s="98">
        <v>595.35625000000005</v>
      </c>
      <c r="L133" s="98">
        <v>0</v>
      </c>
      <c r="M133" s="98">
        <v>533.35625000000005</v>
      </c>
      <c r="N133" s="98">
        <v>0</v>
      </c>
      <c r="O133" s="98">
        <v>471.35624999999999</v>
      </c>
      <c r="P133" s="98">
        <v>0</v>
      </c>
      <c r="Q133" s="10">
        <v>-7.2050403225806452</v>
      </c>
    </row>
    <row r="134" spans="1:17" x14ac:dyDescent="0.2">
      <c r="C134" s="98"/>
      <c r="D134" s="98"/>
      <c r="E134" s="98"/>
      <c r="F134" s="98"/>
      <c r="G134" s="98"/>
      <c r="H134" s="98"/>
      <c r="I134" s="98"/>
      <c r="J134" s="98"/>
      <c r="K134" s="98"/>
      <c r="L134" s="98"/>
      <c r="M134" s="98"/>
      <c r="N134" s="98"/>
      <c r="O134" s="98"/>
      <c r="P134" s="98"/>
      <c r="Q134" s="10"/>
    </row>
    <row r="135" spans="1:17" x14ac:dyDescent="0.2">
      <c r="C135" s="98"/>
      <c r="D135" s="98"/>
      <c r="E135" s="98"/>
      <c r="F135" s="98"/>
      <c r="G135" s="98"/>
      <c r="H135" s="98"/>
      <c r="I135" s="98"/>
      <c r="J135" s="98"/>
      <c r="K135" s="98"/>
      <c r="L135" s="98"/>
      <c r="M135" s="98"/>
      <c r="N135" s="98"/>
      <c r="O135" s="98"/>
      <c r="P135" s="98"/>
      <c r="Q135" s="10"/>
    </row>
    <row r="136" spans="1:17" x14ac:dyDescent="0.2">
      <c r="C136" s="98"/>
      <c r="D136" s="98"/>
      <c r="E136" s="98"/>
      <c r="F136" s="98"/>
      <c r="G136" s="98"/>
      <c r="H136" s="98"/>
      <c r="I136" s="98"/>
      <c r="J136" s="98"/>
      <c r="K136" s="98"/>
      <c r="L136" s="98"/>
      <c r="M136" s="98"/>
      <c r="N136" s="98"/>
      <c r="O136" s="98"/>
      <c r="P136" s="98"/>
      <c r="Q136" s="10"/>
    </row>
    <row r="137" spans="1:17" x14ac:dyDescent="0.2">
      <c r="C137" s="98"/>
      <c r="D137" s="98"/>
      <c r="E137" s="98"/>
      <c r="F137" s="98"/>
      <c r="G137" s="98"/>
      <c r="H137" s="98"/>
      <c r="I137" s="98"/>
      <c r="J137" s="98"/>
      <c r="K137" s="98"/>
      <c r="L137" s="98"/>
      <c r="M137" s="98"/>
      <c r="N137" s="98"/>
      <c r="O137" s="98"/>
      <c r="P137" s="98"/>
      <c r="Q137" s="10"/>
    </row>
    <row r="138" spans="1:17" x14ac:dyDescent="0.2">
      <c r="C138" s="98"/>
      <c r="D138" s="98"/>
      <c r="E138" s="98"/>
      <c r="F138" s="98"/>
      <c r="G138" s="98"/>
      <c r="H138" s="98"/>
      <c r="I138" s="98"/>
      <c r="J138" s="98"/>
      <c r="K138" s="98"/>
      <c r="L138" s="98"/>
      <c r="M138" s="98"/>
      <c r="N138" s="98"/>
      <c r="O138" s="98"/>
      <c r="P138" s="98"/>
      <c r="Q138" s="10"/>
    </row>
    <row r="139" spans="1:17" x14ac:dyDescent="0.2">
      <c r="C139" s="98"/>
      <c r="D139" s="98"/>
      <c r="E139" s="98"/>
      <c r="F139" s="98"/>
      <c r="G139" s="98"/>
      <c r="H139" s="98"/>
      <c r="I139" s="98"/>
      <c r="J139" s="98"/>
      <c r="K139" s="98"/>
      <c r="L139" s="98"/>
      <c r="M139" s="98"/>
      <c r="N139" s="98"/>
      <c r="O139" s="98"/>
      <c r="P139" s="98"/>
      <c r="Q139" s="10"/>
    </row>
    <row r="140" spans="1:17" x14ac:dyDescent="0.2">
      <c r="C140" s="98"/>
      <c r="D140" s="98"/>
      <c r="E140" s="98"/>
      <c r="F140" s="98"/>
      <c r="G140" s="98"/>
      <c r="H140" s="98"/>
      <c r="I140" s="98"/>
      <c r="J140" s="98"/>
      <c r="K140" s="98"/>
      <c r="L140" s="98"/>
      <c r="M140" s="98"/>
      <c r="N140" s="98"/>
      <c r="O140" s="98"/>
      <c r="P140" s="98"/>
      <c r="Q140" s="10"/>
    </row>
    <row r="141" spans="1:17" x14ac:dyDescent="0.2">
      <c r="C141" s="98"/>
      <c r="D141" s="98"/>
      <c r="E141" s="98"/>
      <c r="F141" s="98"/>
      <c r="G141" s="98"/>
      <c r="H141" s="98"/>
      <c r="I141" s="98"/>
      <c r="J141" s="98"/>
      <c r="K141" s="98"/>
      <c r="L141" s="98"/>
      <c r="M141" s="98"/>
      <c r="N141" s="98"/>
      <c r="O141" s="98"/>
      <c r="P141" s="98"/>
      <c r="Q141" s="10"/>
    </row>
    <row r="142" spans="1:17" x14ac:dyDescent="0.2">
      <c r="C142" s="98"/>
      <c r="D142" s="98"/>
      <c r="E142" s="98"/>
      <c r="F142" s="98"/>
      <c r="G142" s="98"/>
      <c r="H142" s="98"/>
      <c r="I142" s="98"/>
      <c r="J142" s="98"/>
      <c r="K142" s="98"/>
      <c r="L142" s="98"/>
      <c r="M142" s="98"/>
      <c r="N142" s="98"/>
      <c r="O142" s="98"/>
      <c r="P142" s="98"/>
      <c r="Q142" s="10"/>
    </row>
    <row r="143" spans="1:17" x14ac:dyDescent="0.2">
      <c r="C143" s="98"/>
      <c r="D143" s="98"/>
      <c r="E143" s="98"/>
      <c r="F143" s="98"/>
      <c r="G143" s="98"/>
      <c r="H143" s="98"/>
      <c r="I143" s="98"/>
      <c r="J143" s="98"/>
      <c r="K143" s="98"/>
      <c r="L143" s="98"/>
      <c r="M143" s="98"/>
      <c r="N143" s="98"/>
      <c r="O143" s="98"/>
      <c r="P143" s="98"/>
      <c r="Q143" s="10"/>
    </row>
    <row r="144" spans="1:17" x14ac:dyDescent="0.2">
      <c r="C144" s="98"/>
      <c r="D144" s="98"/>
      <c r="E144" s="98"/>
      <c r="F144" s="98"/>
      <c r="G144" s="98"/>
      <c r="H144" s="98"/>
      <c r="I144" s="98"/>
      <c r="J144" s="98"/>
      <c r="K144" s="98"/>
      <c r="L144" s="98"/>
      <c r="M144" s="98"/>
      <c r="N144" s="98"/>
      <c r="O144" s="98"/>
      <c r="P144" s="98"/>
      <c r="Q144" s="10"/>
    </row>
    <row r="145" spans="3:17" x14ac:dyDescent="0.2">
      <c r="C145" s="98"/>
      <c r="D145" s="98"/>
      <c r="E145" s="98"/>
      <c r="F145" s="98"/>
      <c r="G145" s="98"/>
      <c r="H145" s="98"/>
      <c r="I145" s="98"/>
      <c r="J145" s="98"/>
      <c r="K145" s="98"/>
      <c r="L145" s="98"/>
      <c r="M145" s="98"/>
      <c r="N145" s="98"/>
      <c r="O145" s="98"/>
      <c r="P145" s="98"/>
      <c r="Q145" s="10"/>
    </row>
    <row r="146" spans="3:17" x14ac:dyDescent="0.2">
      <c r="C146" s="98"/>
      <c r="D146" s="98"/>
      <c r="E146" s="98"/>
      <c r="F146" s="98"/>
      <c r="G146" s="98"/>
      <c r="H146" s="98"/>
      <c r="I146" s="98"/>
      <c r="J146" s="98"/>
      <c r="K146" s="98"/>
      <c r="L146" s="98"/>
      <c r="M146" s="98"/>
      <c r="N146" s="98"/>
      <c r="O146" s="98"/>
      <c r="P146" s="98"/>
      <c r="Q146" s="10"/>
    </row>
    <row r="147" spans="3:17" x14ac:dyDescent="0.2">
      <c r="C147" s="98"/>
      <c r="D147" s="98"/>
      <c r="E147" s="98"/>
      <c r="F147" s="98"/>
      <c r="G147" s="98"/>
      <c r="H147" s="98"/>
      <c r="I147" s="98"/>
      <c r="J147" s="98"/>
      <c r="K147" s="98"/>
      <c r="L147" s="98"/>
      <c r="M147" s="98"/>
      <c r="N147" s="98"/>
      <c r="O147" s="98"/>
      <c r="P147" s="98"/>
      <c r="Q147" s="10"/>
    </row>
    <row r="148" spans="3:17" x14ac:dyDescent="0.2">
      <c r="C148" s="98"/>
      <c r="D148" s="98"/>
      <c r="E148" s="98"/>
      <c r="F148" s="98"/>
      <c r="G148" s="98"/>
      <c r="H148" s="98"/>
      <c r="I148" s="98"/>
      <c r="J148" s="98"/>
      <c r="K148" s="98"/>
      <c r="L148" s="98"/>
      <c r="M148" s="98"/>
      <c r="N148" s="98"/>
      <c r="O148" s="98"/>
      <c r="P148" s="98"/>
      <c r="Q148" s="10"/>
    </row>
    <row r="149" spans="3:17" x14ac:dyDescent="0.2">
      <c r="C149" s="98"/>
      <c r="D149" s="98"/>
      <c r="E149" s="98"/>
      <c r="F149" s="98"/>
      <c r="G149" s="98"/>
      <c r="H149" s="98"/>
      <c r="I149" s="98"/>
      <c r="J149" s="98"/>
      <c r="K149" s="98"/>
      <c r="L149" s="98"/>
      <c r="M149" s="98"/>
      <c r="N149" s="98"/>
      <c r="O149" s="98"/>
      <c r="P149" s="98"/>
      <c r="Q149" s="10"/>
    </row>
    <row r="150" spans="3:17" x14ac:dyDescent="0.2">
      <c r="C150" s="98"/>
      <c r="D150" s="98"/>
      <c r="E150" s="98"/>
      <c r="F150" s="98"/>
      <c r="G150" s="98"/>
      <c r="H150" s="98"/>
      <c r="I150" s="98"/>
      <c r="J150" s="98"/>
      <c r="K150" s="98"/>
      <c r="L150" s="98"/>
      <c r="M150" s="98"/>
      <c r="N150" s="98"/>
      <c r="O150" s="98"/>
      <c r="P150" s="98"/>
      <c r="Q150" s="10"/>
    </row>
    <row r="151" spans="3:17" x14ac:dyDescent="0.2">
      <c r="C151" s="98"/>
      <c r="D151" s="98"/>
      <c r="E151" s="98"/>
      <c r="F151" s="98"/>
      <c r="G151" s="98"/>
      <c r="H151" s="98"/>
      <c r="I151" s="98"/>
      <c r="J151" s="98"/>
      <c r="K151" s="98"/>
      <c r="L151" s="98"/>
      <c r="M151" s="98"/>
      <c r="N151" s="98"/>
      <c r="O151" s="98"/>
      <c r="P151" s="98"/>
      <c r="Q151" s="10"/>
    </row>
    <row r="152" spans="3:17" x14ac:dyDescent="0.2">
      <c r="C152" s="98"/>
      <c r="D152" s="98"/>
      <c r="E152" s="98"/>
      <c r="F152" s="98"/>
      <c r="G152" s="98"/>
      <c r="H152" s="98"/>
      <c r="I152" s="98"/>
      <c r="J152" s="98"/>
      <c r="K152" s="98"/>
      <c r="L152" s="98"/>
      <c r="M152" s="98"/>
      <c r="N152" s="98"/>
      <c r="O152" s="98"/>
      <c r="P152" s="98"/>
      <c r="Q152" s="10"/>
    </row>
    <row r="153" spans="3:17" x14ac:dyDescent="0.2">
      <c r="C153" s="98"/>
      <c r="D153" s="98"/>
      <c r="E153" s="98"/>
      <c r="F153" s="98"/>
      <c r="G153" s="98"/>
      <c r="H153" s="98"/>
      <c r="I153" s="98"/>
      <c r="J153" s="98"/>
      <c r="K153" s="98"/>
      <c r="L153" s="98"/>
      <c r="M153" s="98"/>
      <c r="N153" s="98"/>
      <c r="O153" s="98"/>
      <c r="P153" s="98"/>
      <c r="Q153" s="10"/>
    </row>
    <row r="154" spans="3:17" x14ac:dyDescent="0.2">
      <c r="C154" s="98"/>
      <c r="D154" s="98"/>
      <c r="E154" s="98"/>
      <c r="F154" s="98"/>
      <c r="G154" s="98"/>
      <c r="H154" s="98"/>
      <c r="I154" s="98"/>
      <c r="J154" s="98"/>
      <c r="K154" s="98"/>
      <c r="L154" s="98"/>
      <c r="M154" s="98"/>
      <c r="N154" s="98"/>
      <c r="O154" s="98"/>
      <c r="P154" s="98"/>
      <c r="Q154" s="10"/>
    </row>
    <row r="155" spans="3:17" x14ac:dyDescent="0.2">
      <c r="C155" s="98"/>
      <c r="D155" s="98"/>
      <c r="E155" s="98"/>
      <c r="F155" s="98"/>
      <c r="G155" s="98"/>
      <c r="H155" s="98"/>
      <c r="I155" s="98"/>
      <c r="J155" s="98"/>
      <c r="K155" s="98"/>
      <c r="L155" s="98"/>
      <c r="M155" s="98"/>
      <c r="N155" s="98"/>
      <c r="O155" s="98"/>
      <c r="P155" s="98"/>
      <c r="Q155" s="10"/>
    </row>
    <row r="156" spans="3:17" x14ac:dyDescent="0.2">
      <c r="C156" s="98"/>
      <c r="D156" s="98"/>
      <c r="E156" s="98"/>
      <c r="F156" s="98"/>
      <c r="G156" s="98"/>
      <c r="H156" s="98"/>
      <c r="I156" s="98"/>
      <c r="J156" s="98"/>
      <c r="K156" s="98"/>
      <c r="L156" s="98"/>
      <c r="M156" s="98"/>
      <c r="N156" s="98"/>
      <c r="O156" s="98"/>
      <c r="P156" s="98"/>
      <c r="Q156" s="10"/>
    </row>
    <row r="157" spans="3:17" x14ac:dyDescent="0.2">
      <c r="C157" s="98"/>
      <c r="D157" s="98"/>
      <c r="E157" s="98"/>
      <c r="F157" s="98"/>
      <c r="G157" s="98"/>
      <c r="H157" s="98"/>
      <c r="I157" s="98"/>
      <c r="J157" s="98"/>
      <c r="K157" s="98"/>
      <c r="L157" s="98"/>
      <c r="M157" s="98"/>
      <c r="N157" s="98"/>
      <c r="O157" s="98"/>
      <c r="P157" s="98"/>
      <c r="Q157" s="10"/>
    </row>
    <row r="158" spans="3:17" x14ac:dyDescent="0.2">
      <c r="C158" s="98"/>
      <c r="D158" s="98"/>
      <c r="E158" s="98"/>
      <c r="F158" s="98"/>
      <c r="G158" s="98"/>
      <c r="H158" s="98"/>
      <c r="I158" s="98"/>
      <c r="J158" s="98"/>
      <c r="K158" s="98"/>
      <c r="L158" s="98"/>
      <c r="M158" s="98"/>
      <c r="N158" s="98"/>
      <c r="O158" s="98"/>
      <c r="P158" s="98"/>
      <c r="Q158" s="10"/>
    </row>
    <row r="159" spans="3:17" x14ac:dyDescent="0.2">
      <c r="C159" s="98"/>
      <c r="D159" s="98"/>
      <c r="E159" s="98"/>
      <c r="F159" s="98"/>
      <c r="G159" s="98"/>
      <c r="H159" s="98"/>
      <c r="I159" s="98"/>
      <c r="J159" s="98"/>
      <c r="K159" s="98"/>
      <c r="L159" s="98"/>
      <c r="M159" s="98"/>
      <c r="N159" s="98"/>
      <c r="O159" s="98"/>
      <c r="P159" s="98"/>
      <c r="Q159" s="10"/>
    </row>
    <row r="160" spans="3:17" x14ac:dyDescent="0.2">
      <c r="C160" s="98"/>
      <c r="D160" s="98"/>
      <c r="E160" s="98"/>
      <c r="F160" s="98"/>
      <c r="G160" s="98"/>
      <c r="H160" s="98"/>
      <c r="I160" s="98"/>
      <c r="J160" s="98"/>
      <c r="K160" s="98"/>
      <c r="L160" s="98"/>
      <c r="M160" s="98"/>
      <c r="N160" s="98"/>
      <c r="O160" s="98"/>
      <c r="P160" s="98"/>
      <c r="Q160" s="10"/>
    </row>
    <row r="161" spans="3:17" x14ac:dyDescent="0.2">
      <c r="C161" s="98"/>
      <c r="D161" s="98"/>
      <c r="E161" s="98"/>
      <c r="F161" s="98"/>
      <c r="G161" s="98"/>
      <c r="H161" s="98"/>
      <c r="I161" s="98"/>
      <c r="J161" s="98"/>
      <c r="K161" s="98"/>
      <c r="L161" s="98"/>
      <c r="M161" s="98"/>
      <c r="N161" s="98"/>
      <c r="O161" s="98"/>
      <c r="P161" s="98"/>
      <c r="Q161" s="10"/>
    </row>
    <row r="162" spans="3:17" x14ac:dyDescent="0.2">
      <c r="C162" s="98"/>
      <c r="D162" s="98"/>
      <c r="E162" s="98"/>
      <c r="F162" s="98"/>
      <c r="G162" s="98"/>
      <c r="H162" s="98"/>
      <c r="I162" s="98"/>
      <c r="J162" s="98"/>
      <c r="K162" s="98"/>
      <c r="L162" s="98"/>
      <c r="M162" s="98"/>
      <c r="N162" s="98"/>
      <c r="O162" s="98"/>
      <c r="P162" s="98"/>
      <c r="Q162" s="10"/>
    </row>
    <row r="163" spans="3:17" x14ac:dyDescent="0.2">
      <c r="C163" s="98"/>
      <c r="D163" s="98"/>
      <c r="E163" s="98"/>
      <c r="F163" s="98"/>
      <c r="G163" s="98"/>
      <c r="H163" s="98"/>
      <c r="I163" s="98"/>
      <c r="J163" s="98"/>
      <c r="K163" s="98"/>
      <c r="L163" s="98"/>
      <c r="M163" s="98"/>
      <c r="N163" s="98"/>
      <c r="O163" s="98"/>
      <c r="P163" s="98"/>
      <c r="Q163" s="10"/>
    </row>
    <row r="164" spans="3:17" x14ac:dyDescent="0.2">
      <c r="C164" s="98"/>
      <c r="D164" s="98"/>
      <c r="E164" s="98"/>
      <c r="F164" s="98"/>
      <c r="G164" s="98"/>
      <c r="H164" s="98"/>
      <c r="I164" s="98"/>
      <c r="J164" s="98"/>
      <c r="K164" s="98"/>
      <c r="L164" s="98"/>
      <c r="M164" s="98"/>
      <c r="N164" s="98"/>
      <c r="O164" s="98"/>
      <c r="P164" s="98"/>
      <c r="Q164" s="10"/>
    </row>
    <row r="165" spans="3:17" x14ac:dyDescent="0.2">
      <c r="C165" s="98"/>
      <c r="D165" s="98"/>
      <c r="E165" s="98"/>
      <c r="F165" s="98"/>
      <c r="G165" s="98"/>
      <c r="H165" s="98"/>
      <c r="I165" s="98"/>
      <c r="J165" s="98"/>
      <c r="K165" s="98"/>
      <c r="L165" s="98"/>
      <c r="M165" s="98"/>
      <c r="N165" s="98"/>
      <c r="O165" s="98"/>
      <c r="P165" s="98"/>
      <c r="Q165" s="10"/>
    </row>
    <row r="166" spans="3:17" x14ac:dyDescent="0.2">
      <c r="C166" s="98"/>
      <c r="D166" s="98"/>
      <c r="E166" s="98"/>
      <c r="F166" s="98"/>
      <c r="G166" s="98"/>
      <c r="H166" s="98"/>
      <c r="I166" s="98"/>
      <c r="J166" s="98"/>
      <c r="K166" s="98"/>
      <c r="L166" s="98"/>
      <c r="M166" s="98"/>
      <c r="N166" s="98"/>
      <c r="O166" s="98"/>
      <c r="P166" s="98"/>
      <c r="Q166" s="10"/>
    </row>
    <row r="167" spans="3:17" x14ac:dyDescent="0.2">
      <c r="C167" s="98"/>
      <c r="D167" s="98"/>
      <c r="E167" s="98"/>
      <c r="F167" s="98"/>
      <c r="G167" s="98"/>
      <c r="H167" s="98"/>
      <c r="I167" s="98"/>
      <c r="J167" s="98"/>
      <c r="K167" s="98"/>
      <c r="L167" s="98"/>
      <c r="M167" s="98"/>
      <c r="N167" s="98"/>
      <c r="O167" s="98"/>
      <c r="P167" s="98"/>
      <c r="Q167" s="10"/>
    </row>
    <row r="168" spans="3:17" x14ac:dyDescent="0.2">
      <c r="C168" s="98"/>
      <c r="D168" s="98"/>
      <c r="E168" s="98"/>
      <c r="F168" s="98"/>
      <c r="G168" s="98"/>
      <c r="H168" s="98"/>
      <c r="I168" s="98"/>
      <c r="J168" s="98"/>
      <c r="K168" s="98"/>
      <c r="L168" s="98"/>
      <c r="M168" s="98"/>
      <c r="N168" s="98"/>
      <c r="O168" s="98"/>
      <c r="P168" s="98"/>
      <c r="Q168" s="10"/>
    </row>
    <row r="169" spans="3:17" x14ac:dyDescent="0.2">
      <c r="C169" s="98"/>
      <c r="D169" s="98"/>
      <c r="E169" s="98"/>
      <c r="F169" s="98"/>
      <c r="G169" s="98"/>
      <c r="H169" s="98"/>
      <c r="I169" s="98"/>
      <c r="J169" s="98"/>
      <c r="K169" s="98"/>
      <c r="L169" s="98"/>
      <c r="M169" s="98"/>
      <c r="N169" s="98"/>
      <c r="O169" s="98"/>
      <c r="P169" s="98"/>
      <c r="Q169" s="10"/>
    </row>
    <row r="170" spans="3:17" x14ac:dyDescent="0.2">
      <c r="C170" s="98"/>
      <c r="D170" s="98"/>
      <c r="E170" s="98"/>
      <c r="F170" s="98"/>
      <c r="G170" s="98"/>
      <c r="H170" s="98"/>
      <c r="I170" s="98"/>
      <c r="J170" s="98"/>
      <c r="K170" s="98"/>
      <c r="L170" s="98"/>
      <c r="M170" s="98"/>
      <c r="N170" s="98"/>
      <c r="O170" s="98"/>
      <c r="P170" s="98"/>
      <c r="Q170" s="10"/>
    </row>
    <row r="171" spans="3:17" x14ac:dyDescent="0.2">
      <c r="C171" s="98"/>
      <c r="D171" s="98"/>
      <c r="E171" s="98"/>
      <c r="F171" s="98"/>
      <c r="G171" s="98"/>
      <c r="H171" s="98"/>
      <c r="I171" s="98"/>
      <c r="J171" s="98"/>
      <c r="K171" s="98"/>
      <c r="L171" s="98"/>
      <c r="M171" s="98"/>
      <c r="N171" s="98"/>
      <c r="O171" s="98"/>
      <c r="P171" s="98"/>
      <c r="Q171" s="10"/>
    </row>
    <row r="172" spans="3:17" x14ac:dyDescent="0.2">
      <c r="C172" s="98"/>
      <c r="D172" s="98"/>
      <c r="E172" s="98"/>
      <c r="F172" s="98"/>
      <c r="G172" s="98"/>
      <c r="H172" s="98"/>
      <c r="I172" s="98"/>
      <c r="J172" s="98"/>
      <c r="K172" s="98"/>
      <c r="L172" s="98"/>
      <c r="M172" s="98"/>
      <c r="N172" s="98"/>
      <c r="O172" s="98"/>
      <c r="P172" s="98"/>
      <c r="Q172" s="10"/>
    </row>
    <row r="173" spans="3:17" x14ac:dyDescent="0.2">
      <c r="C173" s="98"/>
      <c r="D173" s="98"/>
      <c r="E173" s="98"/>
      <c r="F173" s="98"/>
      <c r="G173" s="98"/>
      <c r="H173" s="98"/>
      <c r="I173" s="98"/>
      <c r="J173" s="98"/>
      <c r="K173" s="98"/>
      <c r="L173" s="98"/>
      <c r="M173" s="98"/>
      <c r="N173" s="98"/>
      <c r="O173" s="98"/>
      <c r="P173" s="98"/>
      <c r="Q173" s="10"/>
    </row>
    <row r="174" spans="3:17" x14ac:dyDescent="0.2">
      <c r="C174" s="98"/>
      <c r="D174" s="98"/>
      <c r="E174" s="98"/>
      <c r="F174" s="98"/>
      <c r="G174" s="98"/>
      <c r="H174" s="98"/>
      <c r="I174" s="98"/>
      <c r="J174" s="98"/>
      <c r="K174" s="98"/>
      <c r="L174" s="98"/>
      <c r="M174" s="98"/>
      <c r="N174" s="98"/>
      <c r="O174" s="98"/>
      <c r="P174" s="98"/>
      <c r="Q174" s="10"/>
    </row>
    <row r="175" spans="3:17" x14ac:dyDescent="0.2">
      <c r="C175" s="98"/>
      <c r="D175" s="98"/>
      <c r="E175" s="98"/>
      <c r="F175" s="98"/>
      <c r="G175" s="98"/>
      <c r="H175" s="98"/>
      <c r="I175" s="98"/>
      <c r="J175" s="98"/>
      <c r="K175" s="98"/>
      <c r="L175" s="98"/>
      <c r="M175" s="98"/>
      <c r="N175" s="98"/>
      <c r="O175" s="98"/>
      <c r="P175" s="98"/>
      <c r="Q175" s="10"/>
    </row>
    <row r="176" spans="3:17" x14ac:dyDescent="0.2">
      <c r="C176" s="98"/>
      <c r="D176" s="98"/>
      <c r="E176" s="98"/>
      <c r="F176" s="98"/>
      <c r="G176" s="98"/>
      <c r="H176" s="98"/>
      <c r="I176" s="98"/>
      <c r="J176" s="98"/>
      <c r="K176" s="98"/>
      <c r="L176" s="98"/>
      <c r="M176" s="98"/>
      <c r="N176" s="98"/>
      <c r="O176" s="98"/>
      <c r="P176" s="98"/>
      <c r="Q176" s="10"/>
    </row>
    <row r="177" spans="3:17" x14ac:dyDescent="0.2">
      <c r="C177" s="98"/>
      <c r="D177" s="98"/>
      <c r="E177" s="98"/>
      <c r="F177" s="98"/>
      <c r="G177" s="98"/>
      <c r="H177" s="98"/>
      <c r="I177" s="98"/>
      <c r="J177" s="98"/>
      <c r="K177" s="98"/>
      <c r="L177" s="98"/>
      <c r="M177" s="98"/>
      <c r="N177" s="98"/>
      <c r="O177" s="98"/>
      <c r="P177" s="98"/>
      <c r="Q177" s="10"/>
    </row>
    <row r="178" spans="3:17" x14ac:dyDescent="0.2">
      <c r="C178" s="98"/>
      <c r="D178" s="98"/>
      <c r="E178" s="98"/>
      <c r="F178" s="98"/>
      <c r="G178" s="98"/>
      <c r="H178" s="98"/>
      <c r="I178" s="98"/>
      <c r="J178" s="98"/>
      <c r="K178" s="98"/>
      <c r="L178" s="98"/>
      <c r="M178" s="98"/>
      <c r="N178" s="98"/>
      <c r="O178" s="98"/>
      <c r="P178" s="98"/>
      <c r="Q178" s="10"/>
    </row>
    <row r="179" spans="3:17" x14ac:dyDescent="0.2">
      <c r="C179" s="98"/>
      <c r="D179" s="98"/>
      <c r="E179" s="98"/>
      <c r="F179" s="98"/>
      <c r="G179" s="98"/>
      <c r="H179" s="98"/>
      <c r="I179" s="98"/>
      <c r="J179" s="98"/>
      <c r="K179" s="98"/>
      <c r="L179" s="98"/>
      <c r="M179" s="98"/>
      <c r="N179" s="98"/>
      <c r="O179" s="98"/>
      <c r="P179" s="98"/>
      <c r="Q179" s="10"/>
    </row>
    <row r="180" spans="3:17" x14ac:dyDescent="0.2">
      <c r="C180" s="98"/>
      <c r="D180" s="98"/>
      <c r="E180" s="98"/>
      <c r="F180" s="98"/>
      <c r="G180" s="98"/>
      <c r="H180" s="98"/>
      <c r="I180" s="98"/>
      <c r="J180" s="98"/>
      <c r="K180" s="98"/>
      <c r="L180" s="98"/>
      <c r="M180" s="98"/>
      <c r="N180" s="98"/>
      <c r="O180" s="98"/>
      <c r="P180" s="98"/>
      <c r="Q180" s="10"/>
    </row>
    <row r="181" spans="3:17" x14ac:dyDescent="0.2">
      <c r="C181" s="98"/>
      <c r="D181" s="98"/>
      <c r="E181" s="98"/>
      <c r="F181" s="98"/>
      <c r="G181" s="98"/>
      <c r="H181" s="98"/>
      <c r="I181" s="98"/>
      <c r="J181" s="98"/>
      <c r="K181" s="98"/>
      <c r="L181" s="98"/>
      <c r="M181" s="98"/>
      <c r="N181" s="98"/>
      <c r="O181" s="98"/>
      <c r="P181" s="98"/>
      <c r="Q181" s="10"/>
    </row>
    <row r="182" spans="3:17" x14ac:dyDescent="0.2">
      <c r="C182" s="98"/>
      <c r="D182" s="98"/>
      <c r="E182" s="98"/>
      <c r="F182" s="98"/>
      <c r="G182" s="98"/>
      <c r="H182" s="98"/>
      <c r="I182" s="98"/>
      <c r="J182" s="98"/>
      <c r="K182" s="98"/>
      <c r="L182" s="98"/>
      <c r="M182" s="98"/>
      <c r="N182" s="98"/>
      <c r="O182" s="98"/>
      <c r="P182" s="98"/>
      <c r="Q182" s="10"/>
    </row>
    <row r="183" spans="3:17" x14ac:dyDescent="0.2">
      <c r="C183" s="98"/>
      <c r="D183" s="98"/>
      <c r="E183" s="98"/>
      <c r="F183" s="98"/>
      <c r="G183" s="98"/>
      <c r="H183" s="98"/>
      <c r="I183" s="98"/>
      <c r="J183" s="98"/>
      <c r="K183" s="98"/>
      <c r="L183" s="98"/>
      <c r="M183" s="98"/>
      <c r="N183" s="98"/>
      <c r="O183" s="98"/>
      <c r="P183" s="98"/>
      <c r="Q183" s="10"/>
    </row>
    <row r="184" spans="3:17" x14ac:dyDescent="0.2">
      <c r="C184" s="98"/>
      <c r="D184" s="98"/>
      <c r="E184" s="98"/>
      <c r="F184" s="98"/>
      <c r="G184" s="98"/>
      <c r="H184" s="98"/>
      <c r="I184" s="98"/>
      <c r="J184" s="98"/>
      <c r="K184" s="98"/>
      <c r="L184" s="98"/>
      <c r="M184" s="98"/>
      <c r="N184" s="98"/>
      <c r="O184" s="98"/>
      <c r="P184" s="98"/>
      <c r="Q184" s="10"/>
    </row>
    <row r="185" spans="3:17" x14ac:dyDescent="0.2">
      <c r="C185" s="98"/>
      <c r="D185" s="98"/>
      <c r="E185" s="98"/>
      <c r="F185" s="98"/>
      <c r="G185" s="98"/>
      <c r="H185" s="98"/>
      <c r="I185" s="98"/>
      <c r="J185" s="98"/>
      <c r="K185" s="98"/>
      <c r="L185" s="98"/>
      <c r="M185" s="98"/>
      <c r="N185" s="98"/>
      <c r="O185" s="98"/>
      <c r="P185" s="98"/>
      <c r="Q185" s="10"/>
    </row>
    <row r="186" spans="3:17" x14ac:dyDescent="0.2">
      <c r="C186" s="98"/>
      <c r="D186" s="98"/>
      <c r="E186" s="98"/>
      <c r="F186" s="98"/>
      <c r="G186" s="98"/>
      <c r="H186" s="98"/>
      <c r="I186" s="98"/>
      <c r="J186" s="98"/>
      <c r="K186" s="98"/>
      <c r="L186" s="98"/>
      <c r="M186" s="98"/>
      <c r="N186" s="98"/>
      <c r="O186" s="98"/>
      <c r="P186" s="98"/>
      <c r="Q186" s="10"/>
    </row>
    <row r="187" spans="3:17" x14ac:dyDescent="0.2">
      <c r="C187" s="98"/>
      <c r="D187" s="98"/>
      <c r="E187" s="98"/>
      <c r="F187" s="98"/>
      <c r="G187" s="98"/>
      <c r="H187" s="98"/>
      <c r="I187" s="98"/>
      <c r="J187" s="98"/>
      <c r="K187" s="98"/>
      <c r="L187" s="98"/>
      <c r="M187" s="98"/>
      <c r="N187" s="98"/>
      <c r="O187" s="98"/>
      <c r="P187" s="98"/>
      <c r="Q187" s="10"/>
    </row>
    <row r="188" spans="3:17" x14ac:dyDescent="0.2">
      <c r="C188" s="98"/>
      <c r="D188" s="98"/>
      <c r="E188" s="98"/>
      <c r="F188" s="98"/>
      <c r="G188" s="98"/>
      <c r="H188" s="98"/>
      <c r="I188" s="98"/>
      <c r="J188" s="98"/>
      <c r="K188" s="98"/>
      <c r="L188" s="98"/>
      <c r="M188" s="98"/>
      <c r="N188" s="98"/>
      <c r="O188" s="98"/>
      <c r="P188" s="98"/>
      <c r="Q188" s="10"/>
    </row>
    <row r="189" spans="3:17" x14ac:dyDescent="0.2">
      <c r="C189" s="98"/>
      <c r="D189" s="98"/>
      <c r="E189" s="98"/>
      <c r="F189" s="98"/>
      <c r="G189" s="98"/>
      <c r="H189" s="98"/>
      <c r="I189" s="98"/>
      <c r="J189" s="98"/>
      <c r="K189" s="98"/>
      <c r="L189" s="98"/>
      <c r="M189" s="98"/>
      <c r="N189" s="98"/>
      <c r="O189" s="98"/>
      <c r="P189" s="98"/>
      <c r="Q189" s="10"/>
    </row>
    <row r="190" spans="3:17" x14ac:dyDescent="0.2">
      <c r="C190" s="98"/>
      <c r="D190" s="98"/>
      <c r="E190" s="98"/>
      <c r="F190" s="98"/>
      <c r="G190" s="98"/>
      <c r="H190" s="98"/>
      <c r="I190" s="98"/>
      <c r="J190" s="98"/>
      <c r="K190" s="98"/>
      <c r="L190" s="98"/>
      <c r="M190" s="98"/>
      <c r="N190" s="98"/>
      <c r="O190" s="98"/>
      <c r="P190" s="98"/>
      <c r="Q190" s="10"/>
    </row>
    <row r="191" spans="3:17" x14ac:dyDescent="0.2">
      <c r="C191" s="98"/>
      <c r="D191" s="98"/>
      <c r="E191" s="98"/>
      <c r="F191" s="98"/>
      <c r="G191" s="98"/>
      <c r="H191" s="98"/>
      <c r="I191" s="98"/>
      <c r="J191" s="98"/>
      <c r="K191" s="98"/>
      <c r="L191" s="98"/>
      <c r="M191" s="98"/>
      <c r="N191" s="98"/>
      <c r="O191" s="98"/>
      <c r="P191" s="98"/>
      <c r="Q191" s="10"/>
    </row>
    <row r="192" spans="3:17" x14ac:dyDescent="0.2">
      <c r="C192" s="98"/>
      <c r="D192" s="98"/>
      <c r="E192" s="98"/>
      <c r="F192" s="98"/>
      <c r="G192" s="98"/>
      <c r="H192" s="98"/>
      <c r="I192" s="98"/>
      <c r="J192" s="98"/>
      <c r="K192" s="98"/>
      <c r="L192" s="98"/>
      <c r="M192" s="98"/>
      <c r="N192" s="98"/>
      <c r="O192" s="98"/>
      <c r="P192" s="98"/>
      <c r="Q192" s="10"/>
    </row>
    <row r="193" spans="3:17" x14ac:dyDescent="0.2">
      <c r="C193" s="98"/>
      <c r="D193" s="98"/>
      <c r="E193" s="98"/>
      <c r="F193" s="98"/>
      <c r="G193" s="98"/>
      <c r="H193" s="98"/>
      <c r="I193" s="98"/>
      <c r="J193" s="98"/>
      <c r="K193" s="98"/>
      <c r="L193" s="98"/>
      <c r="M193" s="98"/>
      <c r="N193" s="98"/>
      <c r="O193" s="98"/>
      <c r="P193" s="98"/>
      <c r="Q193" s="10"/>
    </row>
    <row r="194" spans="3:17" x14ac:dyDescent="0.2">
      <c r="C194" s="98"/>
      <c r="D194" s="98"/>
      <c r="E194" s="98"/>
      <c r="F194" s="98"/>
      <c r="G194" s="98"/>
      <c r="H194" s="98"/>
      <c r="I194" s="98"/>
      <c r="J194" s="98"/>
      <c r="K194" s="98"/>
      <c r="L194" s="98"/>
      <c r="M194" s="98"/>
      <c r="N194" s="98"/>
      <c r="O194" s="98"/>
      <c r="P194" s="98"/>
      <c r="Q194" s="10"/>
    </row>
    <row r="195" spans="3:17" x14ac:dyDescent="0.2">
      <c r="C195" s="98"/>
      <c r="D195" s="98"/>
      <c r="E195" s="98"/>
      <c r="F195" s="98"/>
      <c r="G195" s="98"/>
      <c r="H195" s="98"/>
      <c r="I195" s="98"/>
      <c r="J195" s="98"/>
      <c r="K195" s="98"/>
      <c r="L195" s="98"/>
      <c r="M195" s="98"/>
      <c r="N195" s="98"/>
      <c r="O195" s="98"/>
      <c r="P195" s="98"/>
      <c r="Q195" s="10"/>
    </row>
    <row r="196" spans="3:17" x14ac:dyDescent="0.2">
      <c r="C196" s="98"/>
      <c r="D196" s="98"/>
      <c r="E196" s="98"/>
      <c r="F196" s="98"/>
      <c r="G196" s="98"/>
      <c r="H196" s="98"/>
      <c r="I196" s="98"/>
      <c r="J196" s="98"/>
      <c r="K196" s="98"/>
      <c r="L196" s="98"/>
      <c r="M196" s="98"/>
      <c r="N196" s="98"/>
      <c r="O196" s="98"/>
      <c r="P196" s="98"/>
      <c r="Q196" s="10"/>
    </row>
    <row r="197" spans="3:17" x14ac:dyDescent="0.2">
      <c r="C197" s="98"/>
      <c r="D197" s="98"/>
      <c r="E197" s="98"/>
      <c r="F197" s="98"/>
      <c r="G197" s="98"/>
      <c r="H197" s="98"/>
      <c r="I197" s="98"/>
      <c r="J197" s="98"/>
      <c r="K197" s="98"/>
      <c r="L197" s="98"/>
      <c r="M197" s="98"/>
      <c r="N197" s="98"/>
      <c r="O197" s="98"/>
      <c r="P197" s="98"/>
      <c r="Q197" s="10"/>
    </row>
    <row r="198" spans="3:17" x14ac:dyDescent="0.2">
      <c r="C198" s="98"/>
      <c r="D198" s="98"/>
      <c r="E198" s="98"/>
      <c r="F198" s="98"/>
      <c r="G198" s="98"/>
      <c r="H198" s="98"/>
      <c r="I198" s="98"/>
      <c r="J198" s="98"/>
      <c r="K198" s="98"/>
      <c r="L198" s="98"/>
      <c r="M198" s="98"/>
      <c r="N198" s="98"/>
      <c r="O198" s="98"/>
      <c r="P198" s="98"/>
      <c r="Q198" s="10"/>
    </row>
    <row r="199" spans="3:17" x14ac:dyDescent="0.2">
      <c r="C199" s="98"/>
      <c r="D199" s="98"/>
      <c r="E199" s="98"/>
      <c r="F199" s="98"/>
      <c r="G199" s="98"/>
      <c r="H199" s="98"/>
      <c r="I199" s="98"/>
      <c r="J199" s="98"/>
      <c r="K199" s="98"/>
      <c r="L199" s="98"/>
      <c r="M199" s="98"/>
      <c r="N199" s="98"/>
      <c r="O199" s="98"/>
      <c r="P199" s="98"/>
      <c r="Q199" s="10"/>
    </row>
    <row r="200" spans="3:17" x14ac:dyDescent="0.2">
      <c r="C200" s="98"/>
      <c r="D200" s="98"/>
      <c r="E200" s="98"/>
      <c r="F200" s="98"/>
      <c r="G200" s="98"/>
      <c r="H200" s="98"/>
      <c r="I200" s="98"/>
      <c r="J200" s="98"/>
      <c r="K200" s="98"/>
      <c r="L200" s="98"/>
      <c r="M200" s="98"/>
      <c r="N200" s="98"/>
      <c r="O200" s="98"/>
      <c r="P200" s="98"/>
      <c r="Q200" s="10"/>
    </row>
    <row r="201" spans="3:17" x14ac:dyDescent="0.2">
      <c r="C201" s="98"/>
      <c r="D201" s="98"/>
      <c r="E201" s="98"/>
      <c r="F201" s="98"/>
      <c r="G201" s="98"/>
      <c r="H201" s="98"/>
      <c r="I201" s="98"/>
      <c r="J201" s="98"/>
      <c r="K201" s="98"/>
      <c r="L201" s="98"/>
      <c r="M201" s="98"/>
      <c r="N201" s="98"/>
      <c r="O201" s="98"/>
      <c r="P201" s="98"/>
      <c r="Q201" s="10"/>
    </row>
    <row r="202" spans="3:17" x14ac:dyDescent="0.2">
      <c r="C202" s="98"/>
      <c r="D202" s="98"/>
      <c r="E202" s="98"/>
      <c r="F202" s="98"/>
      <c r="G202" s="98"/>
      <c r="H202" s="98"/>
      <c r="I202" s="98"/>
      <c r="J202" s="98"/>
      <c r="K202" s="98"/>
      <c r="L202" s="98"/>
      <c r="M202" s="98"/>
      <c r="N202" s="98"/>
      <c r="O202" s="98"/>
      <c r="P202" s="98"/>
      <c r="Q202" s="10"/>
    </row>
    <row r="203" spans="3:17" x14ac:dyDescent="0.2">
      <c r="C203" s="98"/>
      <c r="D203" s="98"/>
      <c r="E203" s="98"/>
      <c r="F203" s="98"/>
      <c r="G203" s="98"/>
      <c r="H203" s="98"/>
      <c r="I203" s="98"/>
      <c r="J203" s="98"/>
      <c r="K203" s="98"/>
      <c r="L203" s="98"/>
      <c r="M203" s="98"/>
      <c r="N203" s="98"/>
      <c r="O203" s="98"/>
      <c r="P203" s="98"/>
      <c r="Q203" s="10"/>
    </row>
    <row r="204" spans="3:17" x14ac:dyDescent="0.2">
      <c r="C204" s="98"/>
      <c r="D204" s="98"/>
      <c r="E204" s="98"/>
      <c r="F204" s="98"/>
      <c r="G204" s="98"/>
      <c r="H204" s="98"/>
      <c r="I204" s="98"/>
      <c r="J204" s="98"/>
      <c r="K204" s="98"/>
      <c r="L204" s="98"/>
      <c r="M204" s="98"/>
      <c r="N204" s="98"/>
      <c r="O204" s="98"/>
      <c r="P204" s="98"/>
      <c r="Q204" s="10"/>
    </row>
    <row r="205" spans="3:17" x14ac:dyDescent="0.2">
      <c r="C205" s="98"/>
      <c r="D205" s="98"/>
      <c r="E205" s="98"/>
      <c r="F205" s="98"/>
      <c r="G205" s="98"/>
      <c r="H205" s="98"/>
      <c r="I205" s="98"/>
      <c r="J205" s="98"/>
      <c r="K205" s="98"/>
      <c r="L205" s="98"/>
      <c r="M205" s="98"/>
      <c r="N205" s="98"/>
      <c r="O205" s="98"/>
      <c r="P205" s="98"/>
      <c r="Q205" s="10"/>
    </row>
    <row r="206" spans="3:17" x14ac:dyDescent="0.2">
      <c r="C206" s="98"/>
      <c r="D206" s="98"/>
      <c r="E206" s="98"/>
      <c r="F206" s="98"/>
      <c r="G206" s="98"/>
      <c r="H206" s="98"/>
      <c r="I206" s="98"/>
      <c r="J206" s="98"/>
      <c r="K206" s="98"/>
      <c r="L206" s="98"/>
      <c r="M206" s="98"/>
      <c r="N206" s="98"/>
      <c r="O206" s="98"/>
      <c r="P206" s="98"/>
      <c r="Q206" s="10"/>
    </row>
    <row r="207" spans="3:17" x14ac:dyDescent="0.2">
      <c r="C207" s="98"/>
      <c r="D207" s="98"/>
      <c r="E207" s="98"/>
      <c r="F207" s="98"/>
      <c r="G207" s="98"/>
      <c r="H207" s="98"/>
      <c r="I207" s="98"/>
      <c r="J207" s="98"/>
      <c r="K207" s="98"/>
      <c r="L207" s="98"/>
      <c r="M207" s="98"/>
      <c r="N207" s="98"/>
      <c r="O207" s="98"/>
      <c r="P207" s="98"/>
      <c r="Q207" s="10"/>
    </row>
    <row r="208" spans="3:17" x14ac:dyDescent="0.2">
      <c r="C208" s="98"/>
      <c r="D208" s="98"/>
      <c r="E208" s="98"/>
      <c r="F208" s="98"/>
      <c r="G208" s="98"/>
      <c r="H208" s="98"/>
      <c r="I208" s="98"/>
      <c r="J208" s="98"/>
      <c r="K208" s="98"/>
      <c r="L208" s="98"/>
      <c r="M208" s="98"/>
      <c r="N208" s="98"/>
      <c r="O208" s="98"/>
      <c r="P208" s="98"/>
      <c r="Q208" s="10"/>
    </row>
    <row r="209" spans="3:17" x14ac:dyDescent="0.2">
      <c r="C209" s="98"/>
      <c r="D209" s="98"/>
      <c r="E209" s="98"/>
      <c r="F209" s="98"/>
      <c r="G209" s="98"/>
      <c r="H209" s="98"/>
      <c r="I209" s="98"/>
      <c r="J209" s="98"/>
      <c r="K209" s="98"/>
      <c r="L209" s="98"/>
      <c r="M209" s="98"/>
      <c r="N209" s="98"/>
      <c r="O209" s="98"/>
      <c r="P209" s="98"/>
      <c r="Q209" s="10"/>
    </row>
    <row r="210" spans="3:17" x14ac:dyDescent="0.2">
      <c r="C210" s="98"/>
      <c r="D210" s="98"/>
      <c r="E210" s="98"/>
      <c r="F210" s="98"/>
      <c r="G210" s="98"/>
      <c r="H210" s="98"/>
      <c r="I210" s="98"/>
      <c r="J210" s="98"/>
      <c r="K210" s="98"/>
      <c r="L210" s="98"/>
      <c r="M210" s="98"/>
      <c r="N210" s="98"/>
      <c r="O210" s="98"/>
      <c r="P210" s="98"/>
      <c r="Q210" s="10"/>
    </row>
    <row r="211" spans="3:17" x14ac:dyDescent="0.2">
      <c r="C211" s="98"/>
      <c r="D211" s="98"/>
      <c r="E211" s="98"/>
      <c r="F211" s="98"/>
      <c r="G211" s="98"/>
      <c r="H211" s="98"/>
      <c r="I211" s="98"/>
      <c r="J211" s="98"/>
      <c r="K211" s="98"/>
      <c r="L211" s="98"/>
      <c r="M211" s="98"/>
      <c r="N211" s="98"/>
      <c r="O211" s="98"/>
      <c r="P211" s="98"/>
      <c r="Q211" s="10"/>
    </row>
    <row r="212" spans="3:17" x14ac:dyDescent="0.2">
      <c r="C212" s="98"/>
      <c r="D212" s="98"/>
      <c r="E212" s="98"/>
      <c r="F212" s="98"/>
      <c r="G212" s="98"/>
      <c r="H212" s="98"/>
      <c r="I212" s="98"/>
      <c r="J212" s="98"/>
      <c r="K212" s="98"/>
      <c r="L212" s="98"/>
      <c r="M212" s="98"/>
      <c r="N212" s="98"/>
      <c r="O212" s="98"/>
      <c r="P212" s="98"/>
      <c r="Q212" s="10"/>
    </row>
    <row r="213" spans="3:17" x14ac:dyDescent="0.2">
      <c r="C213" s="98"/>
      <c r="D213" s="98"/>
      <c r="E213" s="98"/>
      <c r="F213" s="98"/>
      <c r="G213" s="98"/>
      <c r="H213" s="98"/>
      <c r="I213" s="98"/>
      <c r="J213" s="98"/>
      <c r="K213" s="98"/>
      <c r="L213" s="98"/>
      <c r="M213" s="98"/>
      <c r="N213" s="98"/>
      <c r="O213" s="98"/>
      <c r="P213" s="98"/>
      <c r="Q213" s="10"/>
    </row>
    <row r="214" spans="3:17" x14ac:dyDescent="0.2">
      <c r="C214" s="98"/>
      <c r="D214" s="98"/>
      <c r="E214" s="98"/>
      <c r="F214" s="98"/>
      <c r="G214" s="98"/>
      <c r="H214" s="98"/>
      <c r="I214" s="98"/>
      <c r="J214" s="98"/>
      <c r="K214" s="98"/>
      <c r="L214" s="98"/>
      <c r="M214" s="98"/>
      <c r="N214" s="98"/>
      <c r="O214" s="98"/>
      <c r="P214" s="98"/>
      <c r="Q214" s="10"/>
    </row>
    <row r="215" spans="3:17" x14ac:dyDescent="0.2">
      <c r="C215" s="98"/>
      <c r="D215" s="98"/>
      <c r="E215" s="98"/>
      <c r="F215" s="98"/>
      <c r="G215" s="98"/>
      <c r="H215" s="98"/>
      <c r="I215" s="98"/>
      <c r="J215" s="98"/>
      <c r="K215" s="98"/>
      <c r="L215" s="98"/>
      <c r="M215" s="98"/>
      <c r="N215" s="98"/>
      <c r="O215" s="98"/>
      <c r="P215" s="98"/>
      <c r="Q215" s="10"/>
    </row>
    <row r="216" spans="3:17" x14ac:dyDescent="0.2">
      <c r="C216" s="98"/>
      <c r="D216" s="98"/>
      <c r="E216" s="98"/>
      <c r="F216" s="98"/>
      <c r="G216" s="98"/>
      <c r="H216" s="98"/>
      <c r="I216" s="98"/>
      <c r="J216" s="98"/>
      <c r="K216" s="98"/>
      <c r="L216" s="98"/>
      <c r="M216" s="98"/>
      <c r="N216" s="98"/>
      <c r="O216" s="98"/>
      <c r="P216" s="98"/>
      <c r="Q216" s="10"/>
    </row>
    <row r="217" spans="3:17" x14ac:dyDescent="0.2">
      <c r="C217" s="98"/>
      <c r="D217" s="98"/>
      <c r="E217" s="98"/>
      <c r="F217" s="98"/>
      <c r="G217" s="98"/>
      <c r="H217" s="98"/>
      <c r="I217" s="98"/>
      <c r="J217" s="98"/>
      <c r="K217" s="98"/>
      <c r="L217" s="98"/>
      <c r="M217" s="98"/>
      <c r="N217" s="98"/>
      <c r="O217" s="98"/>
      <c r="P217" s="98"/>
      <c r="Q217" s="10"/>
    </row>
    <row r="218" spans="3:17" x14ac:dyDescent="0.2">
      <c r="C218" s="98"/>
      <c r="D218" s="98"/>
      <c r="E218" s="98"/>
      <c r="F218" s="98"/>
      <c r="G218" s="98"/>
      <c r="H218" s="98"/>
      <c r="I218" s="98"/>
      <c r="J218" s="98"/>
      <c r="K218" s="98"/>
      <c r="L218" s="98"/>
      <c r="M218" s="98"/>
      <c r="N218" s="98"/>
      <c r="O218" s="98"/>
      <c r="P218" s="98"/>
      <c r="Q218" s="10"/>
    </row>
    <row r="219" spans="3:17" x14ac:dyDescent="0.2">
      <c r="C219" s="98"/>
      <c r="D219" s="98"/>
      <c r="E219" s="98"/>
      <c r="F219" s="98"/>
      <c r="G219" s="98"/>
      <c r="H219" s="98"/>
      <c r="I219" s="98"/>
      <c r="J219" s="98"/>
      <c r="K219" s="98"/>
      <c r="L219" s="98"/>
      <c r="M219" s="98"/>
      <c r="N219" s="98"/>
      <c r="O219" s="98"/>
      <c r="P219" s="98"/>
      <c r="Q219" s="10"/>
    </row>
    <row r="220" spans="3:17" x14ac:dyDescent="0.2">
      <c r="C220" s="98"/>
      <c r="D220" s="98"/>
      <c r="E220" s="98"/>
      <c r="F220" s="98"/>
      <c r="G220" s="98"/>
      <c r="H220" s="98"/>
      <c r="I220" s="98"/>
      <c r="J220" s="98"/>
      <c r="K220" s="98"/>
      <c r="L220" s="98"/>
      <c r="M220" s="98"/>
      <c r="N220" s="98"/>
      <c r="O220" s="98"/>
      <c r="P220" s="98"/>
      <c r="Q220" s="10"/>
    </row>
    <row r="221" spans="3:17" x14ac:dyDescent="0.2">
      <c r="C221" s="98"/>
      <c r="D221" s="98"/>
      <c r="E221" s="98"/>
      <c r="F221" s="98"/>
      <c r="G221" s="98"/>
      <c r="H221" s="98"/>
      <c r="I221" s="98"/>
      <c r="J221" s="98"/>
      <c r="K221" s="98"/>
      <c r="L221" s="98"/>
      <c r="M221" s="98"/>
      <c r="N221" s="98"/>
      <c r="O221" s="98"/>
      <c r="P221" s="98"/>
      <c r="Q221" s="10"/>
    </row>
    <row r="222" spans="3:17" x14ac:dyDescent="0.2">
      <c r="C222" s="98"/>
      <c r="D222" s="98"/>
      <c r="E222" s="98"/>
      <c r="F222" s="98"/>
      <c r="G222" s="98"/>
      <c r="H222" s="98"/>
      <c r="I222" s="98"/>
      <c r="J222" s="98"/>
      <c r="K222" s="98"/>
      <c r="L222" s="98"/>
      <c r="M222" s="98"/>
      <c r="N222" s="98"/>
      <c r="O222" s="98"/>
      <c r="P222" s="98"/>
      <c r="Q222" s="10"/>
    </row>
    <row r="223" spans="3:17" x14ac:dyDescent="0.2">
      <c r="C223" s="98"/>
      <c r="D223" s="98"/>
      <c r="E223" s="98"/>
      <c r="F223" s="98"/>
      <c r="G223" s="98"/>
      <c r="H223" s="98"/>
      <c r="I223" s="98"/>
      <c r="J223" s="98"/>
      <c r="K223" s="98"/>
      <c r="L223" s="98"/>
      <c r="M223" s="98"/>
      <c r="N223" s="98"/>
      <c r="O223" s="98"/>
      <c r="P223" s="98"/>
      <c r="Q223" s="10"/>
    </row>
    <row r="224" spans="3:17" x14ac:dyDescent="0.2">
      <c r="C224" s="98"/>
      <c r="D224" s="98"/>
      <c r="E224" s="98"/>
      <c r="F224" s="98"/>
      <c r="G224" s="98"/>
      <c r="H224" s="98"/>
      <c r="I224" s="98"/>
      <c r="J224" s="98"/>
      <c r="K224" s="98"/>
      <c r="L224" s="98"/>
      <c r="M224" s="98"/>
      <c r="N224" s="98"/>
      <c r="O224" s="98"/>
      <c r="P224" s="98"/>
      <c r="Q224" s="10"/>
    </row>
    <row r="225" spans="3:17" x14ac:dyDescent="0.2">
      <c r="C225" s="98"/>
      <c r="D225" s="98"/>
      <c r="E225" s="98"/>
      <c r="F225" s="98"/>
      <c r="G225" s="98"/>
      <c r="H225" s="98"/>
      <c r="I225" s="98"/>
      <c r="J225" s="98"/>
      <c r="K225" s="98"/>
      <c r="L225" s="98"/>
      <c r="M225" s="98"/>
      <c r="N225" s="98"/>
      <c r="O225" s="98"/>
      <c r="P225" s="98"/>
      <c r="Q225" s="10"/>
    </row>
    <row r="226" spans="3:17" x14ac:dyDescent="0.2">
      <c r="C226" s="98"/>
      <c r="D226" s="98"/>
      <c r="E226" s="98"/>
      <c r="F226" s="98"/>
      <c r="G226" s="98"/>
      <c r="H226" s="98"/>
      <c r="I226" s="98"/>
      <c r="J226" s="98"/>
      <c r="K226" s="98"/>
      <c r="L226" s="98"/>
      <c r="M226" s="98"/>
      <c r="N226" s="98"/>
      <c r="O226" s="98"/>
      <c r="P226" s="98"/>
      <c r="Q226" s="10"/>
    </row>
    <row r="227" spans="3:17" x14ac:dyDescent="0.2">
      <c r="C227" s="98"/>
      <c r="D227" s="98"/>
      <c r="E227" s="98"/>
      <c r="F227" s="98"/>
      <c r="G227" s="98"/>
      <c r="H227" s="98"/>
      <c r="I227" s="98"/>
      <c r="J227" s="98"/>
      <c r="K227" s="98"/>
      <c r="L227" s="98"/>
      <c r="M227" s="98"/>
      <c r="N227" s="98"/>
      <c r="O227" s="98"/>
      <c r="P227" s="98"/>
      <c r="Q227" s="10"/>
    </row>
    <row r="228" spans="3:17" x14ac:dyDescent="0.2">
      <c r="C228" s="98"/>
      <c r="D228" s="98"/>
      <c r="E228" s="98"/>
      <c r="F228" s="98"/>
      <c r="G228" s="98"/>
      <c r="H228" s="98"/>
      <c r="I228" s="98"/>
      <c r="J228" s="98"/>
      <c r="K228" s="98"/>
      <c r="L228" s="98"/>
      <c r="M228" s="98"/>
      <c r="N228" s="98"/>
      <c r="O228" s="98"/>
      <c r="P228" s="98"/>
      <c r="Q228" s="10"/>
    </row>
    <row r="229" spans="3:17" x14ac:dyDescent="0.2">
      <c r="C229" s="98"/>
      <c r="D229" s="98"/>
      <c r="E229" s="98"/>
      <c r="F229" s="98"/>
      <c r="G229" s="98"/>
      <c r="H229" s="98"/>
      <c r="I229" s="98"/>
      <c r="J229" s="98"/>
      <c r="K229" s="98"/>
      <c r="L229" s="98"/>
      <c r="M229" s="98"/>
      <c r="N229" s="98"/>
      <c r="O229" s="98"/>
      <c r="P229" s="98"/>
      <c r="Q229" s="10"/>
    </row>
    <row r="230" spans="3:17" x14ac:dyDescent="0.2">
      <c r="C230" s="98"/>
      <c r="D230" s="98"/>
      <c r="E230" s="98"/>
      <c r="F230" s="98"/>
      <c r="G230" s="98"/>
      <c r="H230" s="98"/>
      <c r="I230" s="98"/>
      <c r="J230" s="98"/>
      <c r="K230" s="98"/>
      <c r="L230" s="98"/>
      <c r="M230" s="98"/>
      <c r="N230" s="98"/>
      <c r="O230" s="98"/>
      <c r="P230" s="98"/>
      <c r="Q230" s="10"/>
    </row>
    <row r="231" spans="3:17" x14ac:dyDescent="0.2">
      <c r="C231" s="98"/>
      <c r="D231" s="98"/>
      <c r="E231" s="98"/>
      <c r="F231" s="98"/>
      <c r="G231" s="98"/>
      <c r="H231" s="98"/>
      <c r="I231" s="98"/>
      <c r="J231" s="98"/>
      <c r="K231" s="98"/>
      <c r="L231" s="98"/>
      <c r="M231" s="98"/>
      <c r="N231" s="98"/>
      <c r="O231" s="98"/>
      <c r="P231" s="98"/>
      <c r="Q231" s="10"/>
    </row>
    <row r="232" spans="3:17" x14ac:dyDescent="0.2">
      <c r="C232" s="98"/>
      <c r="D232" s="98"/>
      <c r="E232" s="98"/>
      <c r="F232" s="98"/>
      <c r="G232" s="98"/>
      <c r="H232" s="98"/>
      <c r="I232" s="98"/>
      <c r="J232" s="98"/>
      <c r="K232" s="98"/>
      <c r="L232" s="98"/>
      <c r="M232" s="98"/>
      <c r="N232" s="98"/>
      <c r="O232" s="98"/>
      <c r="P232" s="98"/>
      <c r="Q232" s="10"/>
    </row>
    <row r="233" spans="3:17" x14ac:dyDescent="0.2">
      <c r="C233" s="98"/>
      <c r="D233" s="98"/>
      <c r="E233" s="98"/>
      <c r="F233" s="98"/>
      <c r="G233" s="98"/>
      <c r="H233" s="98"/>
      <c r="I233" s="98"/>
      <c r="J233" s="98"/>
      <c r="K233" s="98"/>
      <c r="L233" s="98"/>
      <c r="M233" s="98"/>
      <c r="N233" s="98"/>
      <c r="O233" s="98"/>
      <c r="P233" s="98"/>
      <c r="Q233" s="10"/>
    </row>
    <row r="234" spans="3:17" x14ac:dyDescent="0.2">
      <c r="C234" s="98"/>
      <c r="D234" s="98"/>
      <c r="E234" s="98"/>
      <c r="F234" s="98"/>
      <c r="G234" s="98"/>
      <c r="H234" s="98"/>
      <c r="I234" s="98"/>
      <c r="J234" s="98"/>
      <c r="K234" s="98"/>
      <c r="L234" s="98"/>
      <c r="M234" s="98"/>
      <c r="N234" s="98"/>
      <c r="O234" s="98"/>
      <c r="P234" s="98"/>
      <c r="Q234" s="10"/>
    </row>
    <row r="235" spans="3:17" x14ac:dyDescent="0.2">
      <c r="C235" s="98"/>
      <c r="D235" s="98"/>
      <c r="E235" s="98"/>
      <c r="F235" s="98"/>
      <c r="G235" s="98"/>
      <c r="H235" s="98"/>
      <c r="I235" s="98"/>
      <c r="J235" s="98"/>
      <c r="K235" s="98"/>
      <c r="L235" s="98"/>
      <c r="M235" s="98"/>
      <c r="N235" s="98"/>
      <c r="O235" s="98"/>
      <c r="P235" s="98"/>
      <c r="Q235" s="10"/>
    </row>
    <row r="236" spans="3:17" x14ac:dyDescent="0.2">
      <c r="C236" s="98"/>
      <c r="D236" s="98"/>
      <c r="E236" s="98"/>
      <c r="F236" s="98"/>
      <c r="G236" s="98"/>
      <c r="H236" s="98"/>
      <c r="I236" s="98"/>
      <c r="J236" s="98"/>
      <c r="K236" s="98"/>
      <c r="L236" s="98"/>
      <c r="M236" s="98"/>
      <c r="N236" s="98"/>
      <c r="O236" s="98"/>
      <c r="P236" s="98"/>
      <c r="Q236" s="10"/>
    </row>
    <row r="237" spans="3:17" x14ac:dyDescent="0.2">
      <c r="C237" s="98"/>
      <c r="D237" s="98"/>
      <c r="E237" s="98"/>
      <c r="F237" s="98"/>
      <c r="G237" s="98"/>
      <c r="H237" s="98"/>
      <c r="I237" s="98"/>
      <c r="J237" s="98"/>
      <c r="K237" s="98"/>
      <c r="L237" s="98"/>
      <c r="M237" s="98"/>
      <c r="N237" s="98"/>
      <c r="O237" s="98"/>
      <c r="P237" s="98"/>
      <c r="Q237" s="10"/>
    </row>
    <row r="238" spans="3:17" x14ac:dyDescent="0.2">
      <c r="C238" s="98"/>
      <c r="D238" s="98"/>
      <c r="E238" s="98"/>
      <c r="F238" s="98"/>
      <c r="G238" s="98"/>
      <c r="H238" s="98"/>
      <c r="I238" s="98"/>
      <c r="J238" s="98"/>
      <c r="K238" s="98"/>
      <c r="L238" s="98"/>
      <c r="M238" s="98"/>
      <c r="N238" s="98"/>
      <c r="O238" s="98"/>
      <c r="P238" s="98"/>
      <c r="Q238" s="10"/>
    </row>
    <row r="239" spans="3:17" x14ac:dyDescent="0.2">
      <c r="C239" s="98"/>
      <c r="D239" s="98"/>
      <c r="E239" s="98"/>
      <c r="F239" s="98"/>
      <c r="G239" s="98"/>
      <c r="H239" s="98"/>
      <c r="I239" s="98"/>
      <c r="J239" s="98"/>
      <c r="K239" s="98"/>
      <c r="L239" s="98"/>
      <c r="M239" s="98"/>
      <c r="N239" s="98"/>
      <c r="O239" s="98"/>
      <c r="P239" s="98"/>
      <c r="Q239" s="10"/>
    </row>
    <row r="240" spans="3:17" x14ac:dyDescent="0.2">
      <c r="C240" s="98"/>
      <c r="D240" s="98"/>
      <c r="E240" s="98"/>
      <c r="F240" s="98"/>
      <c r="G240" s="98"/>
      <c r="H240" s="98"/>
      <c r="I240" s="98"/>
      <c r="J240" s="98"/>
      <c r="K240" s="98"/>
      <c r="L240" s="98"/>
      <c r="M240" s="98"/>
      <c r="N240" s="98"/>
      <c r="O240" s="98"/>
      <c r="P240" s="98"/>
      <c r="Q240" s="10"/>
    </row>
    <row r="241" spans="3:17" x14ac:dyDescent="0.2">
      <c r="C241" s="98"/>
      <c r="D241" s="98"/>
      <c r="E241" s="98"/>
      <c r="F241" s="98"/>
      <c r="G241" s="98"/>
      <c r="H241" s="98"/>
      <c r="I241" s="98"/>
      <c r="J241" s="98"/>
      <c r="K241" s="98"/>
      <c r="L241" s="98"/>
      <c r="M241" s="98"/>
      <c r="N241" s="98"/>
      <c r="O241" s="98"/>
      <c r="P241" s="98"/>
      <c r="Q241" s="10"/>
    </row>
    <row r="242" spans="3:17" x14ac:dyDescent="0.2">
      <c r="C242" s="98"/>
      <c r="D242" s="98"/>
      <c r="E242" s="98"/>
      <c r="F242" s="98"/>
      <c r="G242" s="98"/>
      <c r="H242" s="98"/>
      <c r="I242" s="98"/>
      <c r="J242" s="98"/>
      <c r="K242" s="98"/>
      <c r="L242" s="98"/>
      <c r="M242" s="98"/>
      <c r="N242" s="98"/>
      <c r="O242" s="98"/>
      <c r="P242" s="98"/>
      <c r="Q242" s="10"/>
    </row>
    <row r="243" spans="3:17" x14ac:dyDescent="0.2">
      <c r="C243" s="98"/>
      <c r="D243" s="98"/>
      <c r="E243" s="98"/>
      <c r="F243" s="98"/>
      <c r="G243" s="98"/>
      <c r="H243" s="98"/>
      <c r="I243" s="98"/>
      <c r="J243" s="98"/>
      <c r="K243" s="98"/>
      <c r="L243" s="98"/>
      <c r="M243" s="98"/>
      <c r="N243" s="98"/>
      <c r="O243" s="98"/>
      <c r="P243" s="98"/>
      <c r="Q243" s="10"/>
    </row>
    <row r="244" spans="3:17" x14ac:dyDescent="0.2">
      <c r="C244" s="98"/>
      <c r="D244" s="98"/>
      <c r="E244" s="98"/>
      <c r="F244" s="98"/>
      <c r="G244" s="98"/>
      <c r="H244" s="98"/>
      <c r="I244" s="98"/>
      <c r="J244" s="98"/>
      <c r="K244" s="98"/>
      <c r="L244" s="98"/>
      <c r="M244" s="98"/>
      <c r="N244" s="98"/>
      <c r="O244" s="98"/>
      <c r="P244" s="98"/>
      <c r="Q244" s="10"/>
    </row>
    <row r="245" spans="3:17" x14ac:dyDescent="0.2">
      <c r="C245" s="98"/>
      <c r="D245" s="98"/>
      <c r="E245" s="98"/>
      <c r="F245" s="98"/>
      <c r="G245" s="98"/>
      <c r="H245" s="98"/>
      <c r="I245" s="98"/>
      <c r="J245" s="98"/>
      <c r="K245" s="98"/>
      <c r="L245" s="98"/>
      <c r="M245" s="98"/>
      <c r="N245" s="98"/>
      <c r="O245" s="98"/>
      <c r="P245" s="98"/>
      <c r="Q245" s="10"/>
    </row>
    <row r="246" spans="3:17" x14ac:dyDescent="0.2">
      <c r="C246" s="98"/>
      <c r="D246" s="98"/>
      <c r="E246" s="98"/>
      <c r="F246" s="98"/>
      <c r="G246" s="98"/>
      <c r="H246" s="98"/>
      <c r="I246" s="98"/>
      <c r="J246" s="98"/>
      <c r="K246" s="98"/>
      <c r="L246" s="98"/>
      <c r="M246" s="98"/>
      <c r="N246" s="98"/>
      <c r="O246" s="98"/>
      <c r="P246" s="98"/>
      <c r="Q246" s="10"/>
    </row>
    <row r="247" spans="3:17" x14ac:dyDescent="0.2">
      <c r="C247" s="98"/>
      <c r="D247" s="98"/>
      <c r="E247" s="98"/>
      <c r="F247" s="98"/>
      <c r="G247" s="98"/>
      <c r="H247" s="98"/>
      <c r="I247" s="98"/>
      <c r="J247" s="98"/>
      <c r="K247" s="98"/>
      <c r="L247" s="98"/>
      <c r="M247" s="98"/>
      <c r="N247" s="98"/>
      <c r="O247" s="98"/>
      <c r="P247" s="98"/>
      <c r="Q247" s="10"/>
    </row>
    <row r="248" spans="3:17" x14ac:dyDescent="0.2">
      <c r="C248" s="98"/>
      <c r="D248" s="98"/>
      <c r="E248" s="98"/>
      <c r="F248" s="98"/>
      <c r="G248" s="98"/>
      <c r="H248" s="98"/>
      <c r="I248" s="98"/>
      <c r="J248" s="98"/>
      <c r="K248" s="98"/>
      <c r="L248" s="98"/>
      <c r="M248" s="98"/>
      <c r="N248" s="98"/>
      <c r="O248" s="98"/>
      <c r="P248" s="98"/>
      <c r="Q248" s="10"/>
    </row>
    <row r="249" spans="3:17" x14ac:dyDescent="0.2">
      <c r="C249" s="98"/>
      <c r="D249" s="98"/>
      <c r="E249" s="98"/>
      <c r="F249" s="98"/>
      <c r="G249" s="98"/>
      <c r="H249" s="98"/>
      <c r="I249" s="98"/>
      <c r="J249" s="98"/>
      <c r="K249" s="98"/>
      <c r="L249" s="98"/>
      <c r="M249" s="98"/>
      <c r="N249" s="98"/>
      <c r="O249" s="98"/>
      <c r="P249" s="98"/>
      <c r="Q249" s="10"/>
    </row>
    <row r="250" spans="3:17" x14ac:dyDescent="0.2">
      <c r="C250" s="98"/>
      <c r="D250" s="98"/>
      <c r="E250" s="98"/>
      <c r="F250" s="98"/>
      <c r="G250" s="98"/>
      <c r="H250" s="98"/>
      <c r="I250" s="98"/>
      <c r="J250" s="98"/>
      <c r="K250" s="98"/>
      <c r="L250" s="98"/>
      <c r="M250" s="98"/>
      <c r="N250" s="98"/>
      <c r="O250" s="98"/>
      <c r="P250" s="98"/>
      <c r="Q250" s="10"/>
    </row>
    <row r="251" spans="3:17" x14ac:dyDescent="0.2">
      <c r="C251" s="98"/>
      <c r="D251" s="98"/>
      <c r="E251" s="98"/>
      <c r="F251" s="98"/>
      <c r="G251" s="98"/>
      <c r="H251" s="98"/>
      <c r="I251" s="98"/>
      <c r="J251" s="98"/>
      <c r="K251" s="98"/>
      <c r="L251" s="98"/>
      <c r="M251" s="98"/>
      <c r="N251" s="98"/>
      <c r="O251" s="98"/>
      <c r="P251" s="98"/>
      <c r="Q251" s="10"/>
    </row>
    <row r="252" spans="3:17" x14ac:dyDescent="0.2">
      <c r="C252" s="98"/>
      <c r="D252" s="98"/>
      <c r="E252" s="98"/>
      <c r="F252" s="98"/>
      <c r="G252" s="98"/>
      <c r="H252" s="98"/>
      <c r="I252" s="98"/>
      <c r="J252" s="98"/>
      <c r="K252" s="98"/>
      <c r="L252" s="98"/>
      <c r="M252" s="98"/>
      <c r="N252" s="98"/>
      <c r="O252" s="98"/>
      <c r="P252" s="98"/>
      <c r="Q252" s="10"/>
    </row>
    <row r="253" spans="3:17" x14ac:dyDescent="0.2">
      <c r="C253" s="98"/>
      <c r="D253" s="98"/>
      <c r="E253" s="98"/>
      <c r="F253" s="98"/>
      <c r="G253" s="98"/>
      <c r="H253" s="98"/>
      <c r="I253" s="98"/>
      <c r="J253" s="98"/>
      <c r="K253" s="98"/>
      <c r="L253" s="98"/>
      <c r="M253" s="98"/>
      <c r="N253" s="98"/>
      <c r="O253" s="98"/>
      <c r="P253" s="98"/>
      <c r="Q253" s="1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5B87-6DC3-41E7-B1AF-FBE10F1F2223}">
  <sheetPr codeName="Sheet6"/>
  <dimension ref="A3:M38"/>
  <sheetViews>
    <sheetView topLeftCell="A20" zoomScale="91" workbookViewId="0">
      <selection activeCell="P25" sqref="P25"/>
    </sheetView>
  </sheetViews>
  <sheetFormatPr defaultRowHeight="12.75" x14ac:dyDescent="0.2"/>
  <cols>
    <col min="2" max="2" width="23" bestFit="1" customWidth="1"/>
    <col min="4" max="5" width="13" bestFit="1" customWidth="1"/>
    <col min="6" max="6" width="12.1640625" bestFit="1" customWidth="1"/>
    <col min="8" max="8" width="12" bestFit="1" customWidth="1"/>
    <col min="9" max="9" width="14.6640625" bestFit="1" customWidth="1"/>
  </cols>
  <sheetData>
    <row r="3" spans="1:11" x14ac:dyDescent="0.2">
      <c r="H3" s="69" t="s">
        <v>121</v>
      </c>
    </row>
    <row r="4" spans="1:11" x14ac:dyDescent="0.2">
      <c r="D4" s="69">
        <v>2019</v>
      </c>
      <c r="E4" s="69">
        <v>2020</v>
      </c>
      <c r="F4" s="73" t="s">
        <v>97</v>
      </c>
      <c r="H4" s="69" t="s">
        <v>122</v>
      </c>
      <c r="I4" s="74" t="s">
        <v>123</v>
      </c>
    </row>
    <row r="5" spans="1:11" x14ac:dyDescent="0.2">
      <c r="A5" s="69" t="s">
        <v>97</v>
      </c>
      <c r="B5" t="s">
        <v>124</v>
      </c>
      <c r="D5" s="17">
        <v>0</v>
      </c>
      <c r="E5" s="17">
        <v>0</v>
      </c>
      <c r="K5" t="s">
        <v>125</v>
      </c>
    </row>
    <row r="6" spans="1:11" x14ac:dyDescent="0.2">
      <c r="B6" t="s">
        <v>126</v>
      </c>
      <c r="D6" s="17">
        <v>152432.5</v>
      </c>
      <c r="E6" s="17">
        <v>16185</v>
      </c>
      <c r="H6" s="72">
        <v>1</v>
      </c>
      <c r="I6" s="17">
        <f>D6*K6</f>
        <v>152432.5</v>
      </c>
      <c r="K6" s="31">
        <v>1</v>
      </c>
    </row>
    <row r="7" spans="1:11" x14ac:dyDescent="0.2">
      <c r="A7" s="67" t="s">
        <v>127</v>
      </c>
      <c r="B7" t="s">
        <v>128</v>
      </c>
      <c r="D7" s="17">
        <v>2474253.9919999996</v>
      </c>
      <c r="E7" s="17">
        <v>3359066.3899999997</v>
      </c>
      <c r="H7" s="72">
        <v>1</v>
      </c>
      <c r="I7" s="17">
        <f>D7*K7</f>
        <v>2474253.9919999996</v>
      </c>
      <c r="K7" s="72">
        <v>1</v>
      </c>
    </row>
    <row r="8" spans="1:11" x14ac:dyDescent="0.2">
      <c r="A8" s="67"/>
      <c r="B8" t="s">
        <v>129</v>
      </c>
      <c r="D8" s="17">
        <v>26886.27</v>
      </c>
      <c r="E8" s="17">
        <v>0</v>
      </c>
      <c r="H8" s="32">
        <v>0.88100000000000001</v>
      </c>
      <c r="I8" s="17">
        <f>D8*K8</f>
        <v>23686.80387</v>
      </c>
      <c r="K8" s="82">
        <v>0.88100000000000001</v>
      </c>
    </row>
    <row r="9" spans="1:11" x14ac:dyDescent="0.2">
      <c r="A9" s="67"/>
      <c r="D9" s="70">
        <f>SUM(D6:D8)</f>
        <v>2653572.7619999996</v>
      </c>
      <c r="E9" s="70">
        <f>SUM(E6:E8)</f>
        <v>3375251.3899999997</v>
      </c>
      <c r="F9" s="71">
        <f>SUM(D9:E9)</f>
        <v>6028824.1519999988</v>
      </c>
      <c r="I9" s="70">
        <f>SUM(I6:I8)</f>
        <v>2650373.2958699996</v>
      </c>
    </row>
    <row r="10" spans="1:11" x14ac:dyDescent="0.2">
      <c r="A10" s="67"/>
      <c r="D10" s="17"/>
      <c r="E10" s="17"/>
    </row>
    <row r="11" spans="1:11" x14ac:dyDescent="0.2">
      <c r="A11" s="67"/>
      <c r="B11" t="s">
        <v>126</v>
      </c>
      <c r="D11" s="17">
        <v>26.03</v>
      </c>
      <c r="E11" s="17">
        <v>3.75</v>
      </c>
      <c r="H11" s="72">
        <v>1</v>
      </c>
      <c r="I11" s="17">
        <f>D11*K11</f>
        <v>26.03</v>
      </c>
      <c r="K11" s="31">
        <v>1</v>
      </c>
    </row>
    <row r="12" spans="1:11" x14ac:dyDescent="0.2">
      <c r="A12" s="67" t="s">
        <v>130</v>
      </c>
      <c r="B12" t="s">
        <v>128</v>
      </c>
      <c r="D12" s="17">
        <v>390.16436000000004</v>
      </c>
      <c r="E12" s="17">
        <v>206.00400000000002</v>
      </c>
      <c r="H12" s="72">
        <v>1</v>
      </c>
      <c r="I12" s="17">
        <f t="shared" ref="I12:I13" si="0">D12*K12</f>
        <v>390.16436000000004</v>
      </c>
      <c r="K12" s="72">
        <v>1</v>
      </c>
    </row>
    <row r="13" spans="1:11" x14ac:dyDescent="0.2">
      <c r="B13" t="s">
        <v>129</v>
      </c>
      <c r="D13" s="17">
        <v>5.38</v>
      </c>
      <c r="E13" s="17">
        <v>0</v>
      </c>
      <c r="H13" s="32">
        <v>0.88100000000000001</v>
      </c>
      <c r="I13" s="17">
        <f t="shared" si="0"/>
        <v>4.7397799999999997</v>
      </c>
      <c r="K13" s="82">
        <v>0.88100000000000001</v>
      </c>
    </row>
    <row r="14" spans="1:11" x14ac:dyDescent="0.2">
      <c r="D14" s="70">
        <f>SUM(D11:D13)</f>
        <v>421.57436000000007</v>
      </c>
      <c r="E14" s="70">
        <f>SUM(E11:E13)</f>
        <v>209.75400000000002</v>
      </c>
      <c r="F14" s="71">
        <f>SUM(D14:E14)</f>
        <v>631.32836000000009</v>
      </c>
      <c r="I14" s="70">
        <f>SUM(I11:I13)</f>
        <v>420.93414000000007</v>
      </c>
    </row>
    <row r="15" spans="1:11" x14ac:dyDescent="0.2">
      <c r="D15" s="17"/>
      <c r="E15" s="17"/>
    </row>
    <row r="16" spans="1:11" x14ac:dyDescent="0.2">
      <c r="A16" s="69" t="s">
        <v>131</v>
      </c>
      <c r="B16" t="s">
        <v>126</v>
      </c>
      <c r="D16" s="17">
        <v>60113</v>
      </c>
      <c r="E16" s="17">
        <v>0</v>
      </c>
      <c r="H16" s="72">
        <v>1</v>
      </c>
      <c r="I16" s="17">
        <f>D16*K16</f>
        <v>60113</v>
      </c>
      <c r="K16" s="31">
        <v>1</v>
      </c>
    </row>
    <row r="17" spans="1:13" x14ac:dyDescent="0.2">
      <c r="A17" s="67" t="s">
        <v>127</v>
      </c>
      <c r="B17" t="s">
        <v>128</v>
      </c>
      <c r="D17" s="17">
        <v>1112948.561</v>
      </c>
      <c r="E17" s="17">
        <v>639378.723</v>
      </c>
      <c r="H17" s="72">
        <v>1</v>
      </c>
      <c r="I17" s="17">
        <f t="shared" ref="I17:I18" si="1">D17*K17</f>
        <v>1112948.561</v>
      </c>
      <c r="K17" s="72">
        <v>1</v>
      </c>
    </row>
    <row r="18" spans="1:13" x14ac:dyDescent="0.2">
      <c r="A18" s="67"/>
      <c r="B18" t="s">
        <v>129</v>
      </c>
      <c r="D18" s="17">
        <v>26886.27</v>
      </c>
      <c r="E18" s="17">
        <v>0</v>
      </c>
      <c r="H18" s="32">
        <v>0.88100000000000001</v>
      </c>
      <c r="I18" s="17">
        <f t="shared" si="1"/>
        <v>23686.80387</v>
      </c>
      <c r="K18" s="82">
        <v>0.88100000000000001</v>
      </c>
    </row>
    <row r="19" spans="1:13" x14ac:dyDescent="0.2">
      <c r="A19" s="67"/>
      <c r="D19" s="70">
        <f>SUM(D16:D18)</f>
        <v>1199947.831</v>
      </c>
      <c r="E19" s="70">
        <f>SUM(E16:E18)</f>
        <v>639378.723</v>
      </c>
      <c r="F19" s="71">
        <f>SUM(D19:E19)</f>
        <v>1839326.554</v>
      </c>
      <c r="I19" s="70">
        <f>SUM(I16:I18)</f>
        <v>1196748.3648699999</v>
      </c>
    </row>
    <row r="20" spans="1:13" x14ac:dyDescent="0.2">
      <c r="A20" s="67"/>
      <c r="D20" s="17"/>
      <c r="E20" s="17"/>
    </row>
    <row r="21" spans="1:13" x14ac:dyDescent="0.2">
      <c r="A21" s="67"/>
      <c r="B21" t="s">
        <v>126</v>
      </c>
      <c r="D21" s="17">
        <v>6.9399999999999995</v>
      </c>
      <c r="E21" s="17">
        <v>0</v>
      </c>
      <c r="H21" s="72">
        <v>1</v>
      </c>
      <c r="I21" s="17">
        <f>D21*K21</f>
        <v>6.9399999999999995</v>
      </c>
      <c r="K21" s="31">
        <v>1</v>
      </c>
    </row>
    <row r="22" spans="1:13" x14ac:dyDescent="0.2">
      <c r="A22" s="67" t="s">
        <v>130</v>
      </c>
      <c r="B22" t="s">
        <v>128</v>
      </c>
      <c r="D22" s="17">
        <v>181.59599999999998</v>
      </c>
      <c r="E22" s="17">
        <v>56.654999999999987</v>
      </c>
      <c r="H22" s="72">
        <v>1</v>
      </c>
      <c r="I22" s="17">
        <f t="shared" ref="I22:I23" si="2">D22*K22</f>
        <v>181.59599999999998</v>
      </c>
      <c r="K22" s="72">
        <v>1</v>
      </c>
    </row>
    <row r="23" spans="1:13" x14ac:dyDescent="0.2">
      <c r="B23" t="s">
        <v>129</v>
      </c>
      <c r="D23" s="17">
        <v>5.38</v>
      </c>
      <c r="E23" s="17">
        <v>0</v>
      </c>
      <c r="H23" s="32">
        <v>0.88100000000000001</v>
      </c>
      <c r="I23" s="17">
        <f t="shared" si="2"/>
        <v>4.7397799999999997</v>
      </c>
      <c r="K23" s="82">
        <v>0.88100000000000001</v>
      </c>
    </row>
    <row r="24" spans="1:13" x14ac:dyDescent="0.2">
      <c r="D24" s="70">
        <f>SUM(D21:D23)</f>
        <v>193.91599999999997</v>
      </c>
      <c r="E24" s="70">
        <f>SUM(E21:E23)</f>
        <v>56.654999999999987</v>
      </c>
      <c r="F24" s="71">
        <f>SUM(D24:E24)</f>
        <v>250.57099999999997</v>
      </c>
      <c r="I24" s="70">
        <f>SUM(I21:I23)</f>
        <v>193.27577999999997</v>
      </c>
    </row>
    <row r="25" spans="1:13" x14ac:dyDescent="0.2">
      <c r="D25" s="17"/>
      <c r="E25" s="17"/>
    </row>
    <row r="26" spans="1:13" x14ac:dyDescent="0.2">
      <c r="A26" s="69" t="s">
        <v>132</v>
      </c>
      <c r="B26" t="s">
        <v>126</v>
      </c>
      <c r="D26" s="17">
        <v>92319.5</v>
      </c>
      <c r="E26" s="17">
        <v>16185</v>
      </c>
      <c r="H26" s="72">
        <v>1</v>
      </c>
      <c r="I26" s="17">
        <f>D26*K26</f>
        <v>92319.5</v>
      </c>
      <c r="K26" s="31">
        <v>1</v>
      </c>
      <c r="M26" s="70"/>
    </row>
    <row r="27" spans="1:13" x14ac:dyDescent="0.2">
      <c r="A27" s="67" t="s">
        <v>127</v>
      </c>
      <c r="B27" t="s">
        <v>128</v>
      </c>
      <c r="D27" s="17">
        <v>1361305.4310000001</v>
      </c>
      <c r="E27" s="17">
        <v>2719687.6669999999</v>
      </c>
      <c r="H27" s="72">
        <v>1</v>
      </c>
      <c r="I27" s="17">
        <f t="shared" ref="I27:I28" si="3">D27*K27</f>
        <v>1361305.4310000001</v>
      </c>
      <c r="K27" s="72">
        <v>1</v>
      </c>
    </row>
    <row r="28" spans="1:13" x14ac:dyDescent="0.2">
      <c r="A28" s="67"/>
      <c r="B28" t="s">
        <v>129</v>
      </c>
      <c r="D28" s="17">
        <v>0</v>
      </c>
      <c r="E28" s="17">
        <v>0</v>
      </c>
      <c r="H28" s="32">
        <v>0.88100000000000001</v>
      </c>
      <c r="I28" s="17">
        <f t="shared" si="3"/>
        <v>0</v>
      </c>
      <c r="K28" s="82">
        <v>0.88100000000000001</v>
      </c>
    </row>
    <row r="29" spans="1:13" x14ac:dyDescent="0.2">
      <c r="A29" s="67"/>
      <c r="D29" s="70">
        <f>SUM(D26:D28)</f>
        <v>1453624.9310000001</v>
      </c>
      <c r="E29" s="70">
        <f>SUM(E26:E28)</f>
        <v>2735872.6669999999</v>
      </c>
      <c r="F29" s="71">
        <f>SUM(D29:E29)</f>
        <v>4189497.5980000002</v>
      </c>
      <c r="I29" s="70">
        <f>SUM(I26:I28)</f>
        <v>1453624.9310000001</v>
      </c>
    </row>
    <row r="30" spans="1:13" x14ac:dyDescent="0.2">
      <c r="A30" s="67"/>
      <c r="D30" s="17"/>
      <c r="E30" s="17"/>
    </row>
    <row r="31" spans="1:13" x14ac:dyDescent="0.2">
      <c r="A31" s="67"/>
      <c r="B31" t="s">
        <v>126</v>
      </c>
      <c r="D31" s="17">
        <v>19.09</v>
      </c>
      <c r="E31" s="17">
        <v>3.75</v>
      </c>
      <c r="H31" s="72">
        <v>1</v>
      </c>
      <c r="I31" s="17">
        <f>D31*K31</f>
        <v>19.09</v>
      </c>
      <c r="K31" s="31">
        <v>1</v>
      </c>
    </row>
    <row r="32" spans="1:13" x14ac:dyDescent="0.2">
      <c r="A32" s="67" t="s">
        <v>130</v>
      </c>
      <c r="B32" t="s">
        <v>128</v>
      </c>
      <c r="D32" s="17">
        <v>208.56835999999998</v>
      </c>
      <c r="E32" s="17">
        <v>149.34899999999999</v>
      </c>
      <c r="H32" s="72">
        <v>1</v>
      </c>
      <c r="I32" s="17">
        <f t="shared" ref="I32:I33" si="4">D32*K32</f>
        <v>208.56835999999998</v>
      </c>
      <c r="K32" s="72">
        <v>1</v>
      </c>
    </row>
    <row r="33" spans="2:11" x14ac:dyDescent="0.2">
      <c r="B33" t="s">
        <v>129</v>
      </c>
      <c r="D33" s="17">
        <v>0</v>
      </c>
      <c r="E33" s="17">
        <v>0</v>
      </c>
      <c r="H33" s="32">
        <v>0.88100000000000001</v>
      </c>
      <c r="I33" s="17">
        <f t="shared" si="4"/>
        <v>0</v>
      </c>
      <c r="K33" s="82">
        <v>0.88100000000000001</v>
      </c>
    </row>
    <row r="34" spans="2:11" x14ac:dyDescent="0.2">
      <c r="D34" s="70">
        <f>SUM(D31:D33)</f>
        <v>227.65835999999999</v>
      </c>
      <c r="E34" s="70">
        <f>SUM(E31:E33)</f>
        <v>153.09899999999999</v>
      </c>
      <c r="F34" s="71">
        <f>SUM(D34:E34)</f>
        <v>380.75735999999995</v>
      </c>
      <c r="I34" s="70">
        <f>SUM(I31:I33)</f>
        <v>227.65835999999999</v>
      </c>
    </row>
    <row r="36" spans="2:11" x14ac:dyDescent="0.2">
      <c r="H36" t="s">
        <v>133</v>
      </c>
    </row>
    <row r="38" spans="2:11" x14ac:dyDescent="0.2">
      <c r="D38" s="18"/>
      <c r="E38" s="18"/>
      <c r="F38" s="18"/>
      <c r="G38" s="18"/>
      <c r="H38" s="18"/>
      <c r="I38" s="18">
        <f>I9+I19+I29</f>
        <v>5300746.5917399991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DDF5-829B-422A-8B49-673E90012E3A}">
  <sheetPr codeName="Sheet9"/>
  <dimension ref="A1:Y158"/>
  <sheetViews>
    <sheetView workbookViewId="0">
      <selection activeCell="S133" sqref="S133"/>
    </sheetView>
  </sheetViews>
  <sheetFormatPr defaultRowHeight="12.75" x14ac:dyDescent="0.2"/>
  <cols>
    <col min="1" max="1" width="14.33203125" style="28" customWidth="1"/>
    <col min="4" max="4" width="14.6640625" style="18" bestFit="1" customWidth="1"/>
    <col min="6" max="6" width="8.83203125" style="98"/>
    <col min="7" max="7" width="11.1640625" customWidth="1"/>
    <col min="11" max="11" width="13.6640625" bestFit="1" customWidth="1"/>
    <col min="12" max="12" width="13.83203125" bestFit="1" customWidth="1"/>
    <col min="13" max="13" width="12.83203125" bestFit="1" customWidth="1"/>
    <col min="14" max="14" width="13.83203125" bestFit="1" customWidth="1"/>
    <col min="15" max="16" width="11.1640625" customWidth="1"/>
    <col min="17" max="17" width="14.33203125" bestFit="1" customWidth="1"/>
    <col min="18" max="18" width="13.83203125" bestFit="1" customWidth="1"/>
    <col min="21" max="21" width="14.83203125" bestFit="1" customWidth="1"/>
    <col min="22" max="22" width="12.6640625" bestFit="1" customWidth="1"/>
    <col min="23" max="24" width="10.6640625" customWidth="1"/>
  </cols>
  <sheetData>
    <row r="1" spans="1:25"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134</v>
      </c>
      <c r="L1" t="str">
        <f>E1</f>
        <v>HDD12</v>
      </c>
      <c r="M1" t="str">
        <f>F1</f>
        <v>CDD18</v>
      </c>
      <c r="N1" t="str">
        <f>G1</f>
        <v>MonthDays</v>
      </c>
      <c r="O1" t="str">
        <f>H1</f>
        <v>COVID_WFH</v>
      </c>
      <c r="P1" t="str">
        <f>I1</f>
        <v>Shoulder</v>
      </c>
      <c r="Q1" t="s">
        <v>135</v>
      </c>
      <c r="R1" t="s">
        <v>136</v>
      </c>
      <c r="S1" t="s">
        <v>137</v>
      </c>
    </row>
    <row r="2" spans="1:25" x14ac:dyDescent="0.2">
      <c r="A2" s="206">
        <f>'Monthly Data'!A2</f>
        <v>41640</v>
      </c>
      <c r="B2">
        <f>'Monthly Data'!C2</f>
        <v>1</v>
      </c>
      <c r="C2">
        <f>'Monthly Data'!B2</f>
        <v>2014</v>
      </c>
      <c r="D2" s="18">
        <f>'Monthly Data'!F2</f>
        <v>49739999.203906089</v>
      </c>
      <c r="E2" s="10">
        <f>'Monthly Data'!AG2</f>
        <v>837.07916666666665</v>
      </c>
      <c r="F2" s="98">
        <f>'Monthly Data'!AB2</f>
        <v>0</v>
      </c>
      <c r="G2">
        <f>'Monthly Data'!BO2</f>
        <v>31</v>
      </c>
      <c r="H2">
        <f>'Monthly Data'!BS2</f>
        <v>0</v>
      </c>
      <c r="I2">
        <f>'Monthly Data'!BK2</f>
        <v>0</v>
      </c>
      <c r="K2" s="17">
        <f>'Res Predicted Monthly'!$V$7</f>
        <v>-1956373.74241439</v>
      </c>
      <c r="L2" s="17">
        <f>E2*'Res Predicted Monthly'!$V$8</f>
        <v>20901234.52404879</v>
      </c>
      <c r="M2" s="17">
        <f>F2*'Res Predicted Monthly'!$V$9</f>
        <v>0</v>
      </c>
      <c r="N2" s="17">
        <f>G2*'Res Predicted Monthly'!$V$10</f>
        <v>27425350.500205077</v>
      </c>
      <c r="O2" s="17">
        <f>H2*'Res Predicted Monthly'!$V$11</f>
        <v>0</v>
      </c>
      <c r="P2" s="17">
        <f>I2*'Res Predicted Monthly'!$V$12</f>
        <v>0</v>
      </c>
      <c r="Q2" s="17">
        <f>SUM(K2:P2)</f>
        <v>46370211.281839475</v>
      </c>
      <c r="R2" s="17">
        <f t="shared" ref="R2:R33" si="0">Q2-D2</f>
        <v>-3369787.922066614</v>
      </c>
      <c r="S2" s="29">
        <f t="shared" ref="S2:S33" si="1">ABS(R2/D2)</f>
        <v>6.7748049376767663E-2</v>
      </c>
      <c r="U2" t="s">
        <v>484</v>
      </c>
    </row>
    <row r="3" spans="1:25" x14ac:dyDescent="0.2">
      <c r="A3" s="206">
        <f>'Monthly Data'!A3</f>
        <v>41671</v>
      </c>
      <c r="B3">
        <f>'Monthly Data'!C3</f>
        <v>2</v>
      </c>
      <c r="C3">
        <f>'Monthly Data'!B3</f>
        <v>2014</v>
      </c>
      <c r="D3" s="18">
        <f>'Monthly Data'!F3</f>
        <v>42862938.403064542</v>
      </c>
      <c r="E3" s="10">
        <f>'Monthly Data'!AG3</f>
        <v>705.85208333333344</v>
      </c>
      <c r="F3" s="98">
        <f>'Monthly Data'!AB3</f>
        <v>0</v>
      </c>
      <c r="G3">
        <f>'Monthly Data'!BO3</f>
        <v>28</v>
      </c>
      <c r="H3">
        <f>'Monthly Data'!BS3</f>
        <v>0</v>
      </c>
      <c r="I3">
        <f>'Monthly Data'!BK3</f>
        <v>0</v>
      </c>
      <c r="K3" s="17">
        <f>'Res Predicted Monthly'!$V$7</f>
        <v>-1956373.74241439</v>
      </c>
      <c r="L3" s="17">
        <f>E3*'Res Predicted Monthly'!$V$8</f>
        <v>17624593.372437015</v>
      </c>
      <c r="M3" s="17">
        <f>F3*'Res Predicted Monthly'!$V$9</f>
        <v>0</v>
      </c>
      <c r="N3" s="17">
        <f>G3*'Res Predicted Monthly'!$V$10</f>
        <v>24771284.322765879</v>
      </c>
      <c r="O3" s="17">
        <f>H3*'Res Predicted Monthly'!$V$11</f>
        <v>0</v>
      </c>
      <c r="P3" s="17">
        <f>I3*'Res Predicted Monthly'!$V$12</f>
        <v>0</v>
      </c>
      <c r="Q3" s="17">
        <f t="shared" ref="Q3:Q66" si="2">SUM(K3:P3)</f>
        <v>40439503.952788502</v>
      </c>
      <c r="R3" s="17">
        <f t="shared" si="0"/>
        <v>-2423434.4502760395</v>
      </c>
      <c r="S3" s="29">
        <f t="shared" si="1"/>
        <v>5.6539158083076566E-2</v>
      </c>
      <c r="U3" t="s">
        <v>138</v>
      </c>
    </row>
    <row r="4" spans="1:25" x14ac:dyDescent="0.2">
      <c r="A4" s="206">
        <f>'Monthly Data'!A4</f>
        <v>41699</v>
      </c>
      <c r="B4">
        <f>'Monthly Data'!C4</f>
        <v>3</v>
      </c>
      <c r="C4">
        <f>'Monthly Data'!B4</f>
        <v>2014</v>
      </c>
      <c r="D4" s="18">
        <f>'Monthly Data'!F4</f>
        <v>41151306.654312156</v>
      </c>
      <c r="E4" s="10">
        <f>'Monthly Data'!AG4</f>
        <v>679.39791666666656</v>
      </c>
      <c r="F4" s="98">
        <f>'Monthly Data'!AB4</f>
        <v>0</v>
      </c>
      <c r="G4">
        <f>'Monthly Data'!BO4</f>
        <v>31</v>
      </c>
      <c r="H4">
        <f>'Monthly Data'!BS4</f>
        <v>0</v>
      </c>
      <c r="I4">
        <f>'Monthly Data'!BK4</f>
        <v>1</v>
      </c>
      <c r="K4" s="17">
        <f>'Res Predicted Monthly'!$V$7</f>
        <v>-1956373.74241439</v>
      </c>
      <c r="L4" s="17">
        <f>E4*'Res Predicted Monthly'!$V$8</f>
        <v>16964052.812288947</v>
      </c>
      <c r="M4" s="17">
        <f>F4*'Res Predicted Monthly'!$V$9</f>
        <v>0</v>
      </c>
      <c r="N4" s="17">
        <f>G4*'Res Predicted Monthly'!$V$10</f>
        <v>27425350.500205077</v>
      </c>
      <c r="O4" s="17">
        <f>H4*'Res Predicted Monthly'!$V$11</f>
        <v>0</v>
      </c>
      <c r="P4" s="17">
        <f>I4*'Res Predicted Monthly'!$V$12</f>
        <v>-1149094.2112539201</v>
      </c>
      <c r="Q4" s="17">
        <f t="shared" si="2"/>
        <v>41283935.358825713</v>
      </c>
      <c r="R4" s="17">
        <f t="shared" si="0"/>
        <v>132628.70451355726</v>
      </c>
      <c r="S4" s="29">
        <f t="shared" si="1"/>
        <v>3.2229524478455261E-3</v>
      </c>
      <c r="U4" t="s">
        <v>490</v>
      </c>
    </row>
    <row r="5" spans="1:25" x14ac:dyDescent="0.2">
      <c r="A5" s="206">
        <f>'Monthly Data'!A5</f>
        <v>41730</v>
      </c>
      <c r="B5">
        <f>'Monthly Data'!C5</f>
        <v>4</v>
      </c>
      <c r="C5">
        <f>'Monthly Data'!B5</f>
        <v>2014</v>
      </c>
      <c r="D5" s="18">
        <f>'Monthly Data'!F5</f>
        <v>33726515.482850805</v>
      </c>
      <c r="E5" s="10">
        <f>'Monthly Data'!AG5</f>
        <v>317.06666666666666</v>
      </c>
      <c r="F5" s="98">
        <f>'Monthly Data'!AB5</f>
        <v>0</v>
      </c>
      <c r="G5">
        <f>'Monthly Data'!BO5</f>
        <v>30</v>
      </c>
      <c r="H5">
        <f>'Monthly Data'!BS5</f>
        <v>0</v>
      </c>
      <c r="I5">
        <f>'Monthly Data'!BK5</f>
        <v>1</v>
      </c>
      <c r="K5" s="17">
        <f>'Res Predicted Monthly'!$V$7</f>
        <v>-1956373.74241439</v>
      </c>
      <c r="L5" s="17">
        <f>E5*'Res Predicted Monthly'!$V$8</f>
        <v>7916915.1779850405</v>
      </c>
      <c r="M5" s="17">
        <f>F5*'Res Predicted Monthly'!$V$9</f>
        <v>0</v>
      </c>
      <c r="N5" s="17">
        <f>G5*'Res Predicted Monthly'!$V$10</f>
        <v>26540661.774392013</v>
      </c>
      <c r="O5" s="17">
        <f>H5*'Res Predicted Monthly'!$V$11</f>
        <v>0</v>
      </c>
      <c r="P5" s="17">
        <f>I5*'Res Predicted Monthly'!$V$12</f>
        <v>-1149094.2112539201</v>
      </c>
      <c r="Q5" s="17">
        <f t="shared" si="2"/>
        <v>31352108.998708744</v>
      </c>
      <c r="R5" s="17">
        <f t="shared" si="0"/>
        <v>-2374406.4841420613</v>
      </c>
      <c r="S5" s="29">
        <f t="shared" si="1"/>
        <v>7.0401772912158544E-2</v>
      </c>
    </row>
    <row r="6" spans="1:25" x14ac:dyDescent="0.2">
      <c r="A6" s="206">
        <f>'Monthly Data'!A6</f>
        <v>41760</v>
      </c>
      <c r="B6">
        <f>'Monthly Data'!C6</f>
        <v>5</v>
      </c>
      <c r="C6">
        <f>'Monthly Data'!B6</f>
        <v>2014</v>
      </c>
      <c r="D6" s="18">
        <f>'Monthly Data'!F6</f>
        <v>27384700.889515348</v>
      </c>
      <c r="E6" s="10">
        <f>'Monthly Data'!AG6</f>
        <v>74.822916666666671</v>
      </c>
      <c r="F6" s="98">
        <f>'Monthly Data'!AB6</f>
        <v>2.4458333333333329</v>
      </c>
      <c r="G6">
        <f>'Monthly Data'!BO6</f>
        <v>31</v>
      </c>
      <c r="H6">
        <f>'Monthly Data'!BS6</f>
        <v>0</v>
      </c>
      <c r="I6">
        <f>'Monthly Data'!BK6</f>
        <v>1</v>
      </c>
      <c r="K6" s="17">
        <f>'Res Predicted Monthly'!$V$7</f>
        <v>-1956373.74241439</v>
      </c>
      <c r="L6" s="17">
        <f>E6*'Res Predicted Monthly'!$V$8</f>
        <v>1868271.7134759563</v>
      </c>
      <c r="M6" s="17">
        <f>F6*'Res Predicted Monthly'!$V$9</f>
        <v>128802.17498185</v>
      </c>
      <c r="N6" s="17">
        <f>G6*'Res Predicted Monthly'!$V$10</f>
        <v>27425350.500205077</v>
      </c>
      <c r="O6" s="17">
        <f>H6*'Res Predicted Monthly'!$V$11</f>
        <v>0</v>
      </c>
      <c r="P6" s="17">
        <f>I6*'Res Predicted Monthly'!$V$12</f>
        <v>-1149094.2112539201</v>
      </c>
      <c r="Q6" s="17">
        <f t="shared" si="2"/>
        <v>26316956.434994575</v>
      </c>
      <c r="R6" s="17">
        <f t="shared" si="0"/>
        <v>-1067744.4545207731</v>
      </c>
      <c r="S6" s="29">
        <f t="shared" si="1"/>
        <v>3.8990546540151383E-2</v>
      </c>
      <c r="V6" t="s">
        <v>139</v>
      </c>
      <c r="W6" t="s">
        <v>140</v>
      </c>
      <c r="X6" t="s">
        <v>141</v>
      </c>
      <c r="Y6" t="s">
        <v>142</v>
      </c>
    </row>
    <row r="7" spans="1:25" x14ac:dyDescent="0.2">
      <c r="A7" s="206">
        <f>'Monthly Data'!A7</f>
        <v>41791</v>
      </c>
      <c r="B7">
        <f>'Monthly Data'!C7</f>
        <v>6</v>
      </c>
      <c r="C7">
        <f>'Monthly Data'!B7</f>
        <v>2014</v>
      </c>
      <c r="D7" s="18">
        <f>'Monthly Data'!F7</f>
        <v>24640954.003170546</v>
      </c>
      <c r="E7" s="10">
        <f>'Monthly Data'!AG7</f>
        <v>0.90833333333333144</v>
      </c>
      <c r="F7" s="98">
        <f>'Monthly Data'!AB7</f>
        <v>21.445833333333336</v>
      </c>
      <c r="G7">
        <f>'Monthly Data'!BO7</f>
        <v>30</v>
      </c>
      <c r="H7">
        <f>'Monthly Data'!BS7</f>
        <v>0</v>
      </c>
      <c r="I7">
        <f>'Monthly Data'!BK7</f>
        <v>0</v>
      </c>
      <c r="K7" s="17">
        <f>'Res Predicted Monthly'!$V$7</f>
        <v>-1956373.74241439</v>
      </c>
      <c r="L7" s="17">
        <f>E7*'Res Predicted Monthly'!$V$8</f>
        <v>22680.397245594188</v>
      </c>
      <c r="M7" s="17">
        <f>F7*'Res Predicted Monthly'!$V$9</f>
        <v>1129377.8443468178</v>
      </c>
      <c r="N7" s="17">
        <f>G7*'Res Predicted Monthly'!$V$10</f>
        <v>26540661.774392013</v>
      </c>
      <c r="O7" s="17">
        <f>H7*'Res Predicted Monthly'!$V$11</f>
        <v>0</v>
      </c>
      <c r="P7" s="17">
        <f>I7*'Res Predicted Monthly'!$V$12</f>
        <v>0</v>
      </c>
      <c r="Q7" s="17">
        <f t="shared" si="2"/>
        <v>25736346.273570035</v>
      </c>
      <c r="R7" s="17">
        <f t="shared" si="0"/>
        <v>1095392.2703994885</v>
      </c>
      <c r="S7" s="29">
        <f t="shared" si="1"/>
        <v>4.4454133969753958E-2</v>
      </c>
      <c r="U7" t="s">
        <v>134</v>
      </c>
      <c r="V7" s="105">
        <v>-1956373.74241439</v>
      </c>
      <c r="W7" s="105">
        <v>3040014.5087131201</v>
      </c>
      <c r="X7" s="76">
        <v>-0.64354092284992304</v>
      </c>
      <c r="Y7" s="251">
        <v>0.52105209471446901</v>
      </c>
    </row>
    <row r="8" spans="1:25" x14ac:dyDescent="0.2">
      <c r="A8" s="206">
        <f>'Monthly Data'!A8</f>
        <v>41821</v>
      </c>
      <c r="B8">
        <f>'Monthly Data'!C8</f>
        <v>7</v>
      </c>
      <c r="C8">
        <f>'Monthly Data'!B8</f>
        <v>2014</v>
      </c>
      <c r="D8" s="18">
        <f>'Monthly Data'!F8</f>
        <v>24994769.104995698</v>
      </c>
      <c r="E8" s="10">
        <f>'Monthly Data'!AG8</f>
        <v>0</v>
      </c>
      <c r="F8" s="98">
        <f>'Monthly Data'!AB8</f>
        <v>15.170833333333327</v>
      </c>
      <c r="G8">
        <f>'Monthly Data'!BO8</f>
        <v>31</v>
      </c>
      <c r="H8">
        <f>'Monthly Data'!BS8</f>
        <v>0</v>
      </c>
      <c r="I8">
        <f>'Monthly Data'!BK8</f>
        <v>0</v>
      </c>
      <c r="K8" s="17">
        <f>'Res Predicted Monthly'!$V$7</f>
        <v>-1956373.74241439</v>
      </c>
      <c r="L8" s="17">
        <f>E8*'Res Predicted Monthly'!$V$8</f>
        <v>0</v>
      </c>
      <c r="M8" s="17">
        <f>F8*'Res Predicted Monthly'!$V$9</f>
        <v>798924.5640697031</v>
      </c>
      <c r="N8" s="17">
        <f>G8*'Res Predicted Monthly'!$V$10</f>
        <v>27425350.500205077</v>
      </c>
      <c r="O8" s="17">
        <f>H8*'Res Predicted Monthly'!$V$11</f>
        <v>0</v>
      </c>
      <c r="P8" s="17">
        <f>I8*'Res Predicted Monthly'!$V$12</f>
        <v>0</v>
      </c>
      <c r="Q8" s="17">
        <f t="shared" si="2"/>
        <v>26267901.321860392</v>
      </c>
      <c r="R8" s="17">
        <f t="shared" si="0"/>
        <v>1273132.2168646939</v>
      </c>
      <c r="S8" s="29">
        <f t="shared" si="1"/>
        <v>5.0935946298068954E-2</v>
      </c>
      <c r="U8" t="s">
        <v>32</v>
      </c>
      <c r="V8" s="105">
        <v>24969.244674048699</v>
      </c>
      <c r="W8" s="105">
        <v>570.37956726039602</v>
      </c>
      <c r="X8" s="76">
        <v>43.776541284567998</v>
      </c>
      <c r="Y8" s="251">
        <v>1.12895231545913E-77</v>
      </c>
    </row>
    <row r="9" spans="1:25" x14ac:dyDescent="0.2">
      <c r="A9" s="206">
        <f>'Monthly Data'!A9</f>
        <v>41852</v>
      </c>
      <c r="B9">
        <f>'Monthly Data'!C9</f>
        <v>8</v>
      </c>
      <c r="C9">
        <f>'Monthly Data'!B9</f>
        <v>2014</v>
      </c>
      <c r="D9" s="18">
        <f>'Monthly Data'!F9</f>
        <v>25099596.710185621</v>
      </c>
      <c r="E9" s="10">
        <f>'Monthly Data'!AG9</f>
        <v>3.9541666666666693</v>
      </c>
      <c r="F9" s="98">
        <f>'Monthly Data'!AB9</f>
        <v>20.833333333333353</v>
      </c>
      <c r="G9">
        <f>'Monthly Data'!BO9</f>
        <v>31</v>
      </c>
      <c r="H9">
        <f>'Monthly Data'!BS9</f>
        <v>0</v>
      </c>
      <c r="I9">
        <f>'Monthly Data'!BK9</f>
        <v>0</v>
      </c>
      <c r="K9" s="17">
        <f>'Res Predicted Monthly'!$V$7</f>
        <v>-1956373.74241439</v>
      </c>
      <c r="L9" s="17">
        <f>E9*'Res Predicted Monthly'!$V$8</f>
        <v>98732.554981967623</v>
      </c>
      <c r="M9" s="17">
        <f>F9*'Res Predicted Monthly'!$V$9</f>
        <v>1097122.4444791323</v>
      </c>
      <c r="N9" s="17">
        <f>G9*'Res Predicted Monthly'!$V$10</f>
        <v>27425350.500205077</v>
      </c>
      <c r="O9" s="17">
        <f>H9*'Res Predicted Monthly'!$V$11</f>
        <v>0</v>
      </c>
      <c r="P9" s="17">
        <f>I9*'Res Predicted Monthly'!$V$12</f>
        <v>0</v>
      </c>
      <c r="Q9" s="17">
        <f t="shared" si="2"/>
        <v>26664831.757251788</v>
      </c>
      <c r="R9" s="17">
        <f t="shared" si="0"/>
        <v>1565235.047066167</v>
      </c>
      <c r="S9" s="29">
        <f t="shared" si="1"/>
        <v>6.2360964008277543E-2</v>
      </c>
      <c r="U9" t="s">
        <v>27</v>
      </c>
      <c r="V9" s="105">
        <v>52661.877334998302</v>
      </c>
      <c r="W9" s="105">
        <v>6971.8459227396997</v>
      </c>
      <c r="X9" s="76">
        <v>7.5535056165303303</v>
      </c>
      <c r="Y9" s="251">
        <v>7.789641813815E-12</v>
      </c>
    </row>
    <row r="10" spans="1:25" x14ac:dyDescent="0.2">
      <c r="A10" s="206">
        <f>'Monthly Data'!A10</f>
        <v>41883</v>
      </c>
      <c r="B10">
        <f>'Monthly Data'!C10</f>
        <v>9</v>
      </c>
      <c r="C10">
        <f>'Monthly Data'!B10</f>
        <v>2014</v>
      </c>
      <c r="D10" s="18">
        <f>'Monthly Data'!F10</f>
        <v>25409916.865108382</v>
      </c>
      <c r="E10" s="10">
        <f>'Monthly Data'!AG10</f>
        <v>60.024999999999991</v>
      </c>
      <c r="F10" s="98">
        <f>'Monthly Data'!AB10</f>
        <v>1.2416666666666636</v>
      </c>
      <c r="G10">
        <f>'Monthly Data'!BO10</f>
        <v>30</v>
      </c>
      <c r="H10">
        <f>'Monthly Data'!BS10</f>
        <v>0</v>
      </c>
      <c r="I10">
        <f>'Monthly Data'!BK10</f>
        <v>1</v>
      </c>
      <c r="K10" s="17">
        <f>'Res Predicted Monthly'!$V$7</f>
        <v>-1956373.74241439</v>
      </c>
      <c r="L10" s="17">
        <f>E10*'Res Predicted Monthly'!$V$8</f>
        <v>1498778.9115597729</v>
      </c>
      <c r="M10" s="17">
        <f>F10*'Res Predicted Monthly'!$V$9</f>
        <v>65388.497690956065</v>
      </c>
      <c r="N10" s="17">
        <f>G10*'Res Predicted Monthly'!$V$10</f>
        <v>26540661.774392013</v>
      </c>
      <c r="O10" s="17">
        <f>H10*'Res Predicted Monthly'!$V$11</f>
        <v>0</v>
      </c>
      <c r="P10" s="17">
        <f>I10*'Res Predicted Monthly'!$V$12</f>
        <v>-1149094.2112539201</v>
      </c>
      <c r="Q10" s="17">
        <f t="shared" si="2"/>
        <v>24999361.229974434</v>
      </c>
      <c r="R10" s="17">
        <f t="shared" si="0"/>
        <v>-410555.63513394818</v>
      </c>
      <c r="S10" s="29">
        <f t="shared" si="1"/>
        <v>1.6157299424214271E-2</v>
      </c>
      <c r="U10" t="s">
        <v>66</v>
      </c>
      <c r="V10" s="105">
        <v>884688.72581306705</v>
      </c>
      <c r="W10" s="105">
        <v>100950.069331437</v>
      </c>
      <c r="X10" s="76">
        <v>8.7636267282638105</v>
      </c>
      <c r="Y10" s="251">
        <v>1.13799902645692E-14</v>
      </c>
    </row>
    <row r="11" spans="1:25" x14ac:dyDescent="0.2">
      <c r="A11" s="206">
        <f>'Monthly Data'!A11</f>
        <v>41913</v>
      </c>
      <c r="B11">
        <f>'Monthly Data'!C11</f>
        <v>10</v>
      </c>
      <c r="C11">
        <f>'Monthly Data'!B11</f>
        <v>2014</v>
      </c>
      <c r="D11" s="18">
        <f>'Monthly Data'!F11</f>
        <v>30084252.514873486</v>
      </c>
      <c r="E11" s="10">
        <f>'Monthly Data'!AG11</f>
        <v>186.66039671590113</v>
      </c>
      <c r="F11" s="98">
        <f>'Monthly Data'!AB11</f>
        <v>0</v>
      </c>
      <c r="G11">
        <f>'Monthly Data'!BO11</f>
        <v>31</v>
      </c>
      <c r="H11">
        <f>'Monthly Data'!BS11</f>
        <v>0</v>
      </c>
      <c r="I11">
        <f>'Monthly Data'!BK11</f>
        <v>1</v>
      </c>
      <c r="K11" s="17">
        <f>'Res Predicted Monthly'!$V$7</f>
        <v>-1956373.74241439</v>
      </c>
      <c r="L11" s="17">
        <f>E11*'Res Predicted Monthly'!$V$8</f>
        <v>4660769.116554332</v>
      </c>
      <c r="M11" s="17">
        <f>F11*'Res Predicted Monthly'!$V$9</f>
        <v>0</v>
      </c>
      <c r="N11" s="17">
        <f>G11*'Res Predicted Monthly'!$V$10</f>
        <v>27425350.500205077</v>
      </c>
      <c r="O11" s="17">
        <f>H11*'Res Predicted Monthly'!$V$11</f>
        <v>0</v>
      </c>
      <c r="P11" s="17">
        <f>I11*'Res Predicted Monthly'!$V$12</f>
        <v>-1149094.2112539201</v>
      </c>
      <c r="Q11" s="17">
        <f t="shared" si="2"/>
        <v>28980651.663091101</v>
      </c>
      <c r="R11" s="17">
        <f t="shared" si="0"/>
        <v>-1103600.8517823853</v>
      </c>
      <c r="S11" s="29">
        <f t="shared" si="1"/>
        <v>3.6683672005371287E-2</v>
      </c>
      <c r="U11" t="s">
        <v>70</v>
      </c>
      <c r="V11" s="105">
        <v>2103852.6986380499</v>
      </c>
      <c r="W11" s="105">
        <v>448006.62902908103</v>
      </c>
      <c r="X11" s="76">
        <v>4.6960302868676802</v>
      </c>
      <c r="Y11" s="251">
        <v>6.8678879659091402E-6</v>
      </c>
    </row>
    <row r="12" spans="1:25" x14ac:dyDescent="0.2">
      <c r="A12" s="206">
        <f>'Monthly Data'!A12</f>
        <v>41944</v>
      </c>
      <c r="B12">
        <f>'Monthly Data'!C12</f>
        <v>11</v>
      </c>
      <c r="C12">
        <f>'Monthly Data'!B12</f>
        <v>2014</v>
      </c>
      <c r="D12" s="18">
        <f>'Monthly Data'!F12</f>
        <v>35778259.692600749</v>
      </c>
      <c r="E12" s="10">
        <f>'Monthly Data'!AG12</f>
        <v>473.34929225504521</v>
      </c>
      <c r="F12" s="98">
        <f>'Monthly Data'!AB12</f>
        <v>0</v>
      </c>
      <c r="G12">
        <f>'Monthly Data'!BO12</f>
        <v>30</v>
      </c>
      <c r="H12">
        <f>'Monthly Data'!BS12</f>
        <v>0</v>
      </c>
      <c r="I12">
        <f>'Monthly Data'!BK12</f>
        <v>1</v>
      </c>
      <c r="K12" s="17">
        <f>'Res Predicted Monthly'!$V$7</f>
        <v>-1956373.74241439</v>
      </c>
      <c r="L12" s="17">
        <f>E12*'Res Predicted Monthly'!$V$8</f>
        <v>11819174.294604009</v>
      </c>
      <c r="M12" s="17">
        <f>F12*'Res Predicted Monthly'!$V$9</f>
        <v>0</v>
      </c>
      <c r="N12" s="17">
        <f>G12*'Res Predicted Monthly'!$V$10</f>
        <v>26540661.774392013</v>
      </c>
      <c r="O12" s="17">
        <f>H12*'Res Predicted Monthly'!$V$11</f>
        <v>0</v>
      </c>
      <c r="P12" s="17">
        <f>I12*'Res Predicted Monthly'!$V$12</f>
        <v>-1149094.2112539201</v>
      </c>
      <c r="Q12" s="17">
        <f t="shared" si="2"/>
        <v>35254368.115327708</v>
      </c>
      <c r="R12" s="17">
        <f t="shared" si="0"/>
        <v>-523891.57727304101</v>
      </c>
      <c r="S12" s="29">
        <f t="shared" si="1"/>
        <v>1.4642735051235213E-2</v>
      </c>
      <c r="U12" t="s">
        <v>62</v>
      </c>
      <c r="V12" s="105">
        <v>-1149094.2112539201</v>
      </c>
      <c r="W12" s="105">
        <v>239076.156899044</v>
      </c>
      <c r="X12" s="76">
        <v>-4.8063940217139596</v>
      </c>
      <c r="Y12" s="251">
        <v>4.3263619654112698E-6</v>
      </c>
    </row>
    <row r="13" spans="1:25" x14ac:dyDescent="0.2">
      <c r="A13" s="206">
        <f>'Monthly Data'!A13</f>
        <v>41974</v>
      </c>
      <c r="B13">
        <f>'Monthly Data'!C13</f>
        <v>12</v>
      </c>
      <c r="C13">
        <f>'Monthly Data'!B13</f>
        <v>2014</v>
      </c>
      <c r="D13" s="18">
        <f>'Monthly Data'!F13</f>
        <v>42258828.755309202</v>
      </c>
      <c r="E13" s="10">
        <f>'Monthly Data'!AG13</f>
        <v>576.76666666666654</v>
      </c>
      <c r="F13" s="98">
        <f>'Monthly Data'!AB13</f>
        <v>0</v>
      </c>
      <c r="G13">
        <f>'Monthly Data'!BO13</f>
        <v>31</v>
      </c>
      <c r="H13">
        <f>'Monthly Data'!BS13</f>
        <v>0</v>
      </c>
      <c r="I13">
        <f>'Monthly Data'!BK13</f>
        <v>0</v>
      </c>
      <c r="K13" s="17">
        <f>'Res Predicted Monthly'!$V$7</f>
        <v>-1956373.74241439</v>
      </c>
      <c r="L13" s="17">
        <f>E13*'Res Predicted Monthly'!$V$8</f>
        <v>14401428.019835485</v>
      </c>
      <c r="M13" s="17">
        <f>F13*'Res Predicted Monthly'!$V$9</f>
        <v>0</v>
      </c>
      <c r="N13" s="17">
        <f>G13*'Res Predicted Monthly'!$V$10</f>
        <v>27425350.500205077</v>
      </c>
      <c r="O13" s="17">
        <f>H13*'Res Predicted Monthly'!$V$11</f>
        <v>0</v>
      </c>
      <c r="P13" s="17">
        <f>I13*'Res Predicted Monthly'!$V$12</f>
        <v>0</v>
      </c>
      <c r="Q13" s="17">
        <f t="shared" si="2"/>
        <v>39870404.777626172</v>
      </c>
      <c r="R13" s="17">
        <f t="shared" si="0"/>
        <v>-2388423.9776830301</v>
      </c>
      <c r="S13" s="29">
        <f t="shared" si="1"/>
        <v>5.6518934576078608E-2</v>
      </c>
    </row>
    <row r="14" spans="1:25" x14ac:dyDescent="0.2">
      <c r="A14" s="206">
        <f>'Monthly Data'!A14</f>
        <v>42005</v>
      </c>
      <c r="B14">
        <f>'Monthly Data'!C14</f>
        <v>1</v>
      </c>
      <c r="C14">
        <f>'Monthly Data'!B14</f>
        <v>2015</v>
      </c>
      <c r="D14" s="18">
        <f>'Monthly Data'!F14</f>
        <v>47554511.246614844</v>
      </c>
      <c r="E14" s="10">
        <f>'Monthly Data'!AG14</f>
        <v>825.31875000000002</v>
      </c>
      <c r="F14" s="98">
        <f>'Monthly Data'!AB14</f>
        <v>0</v>
      </c>
      <c r="G14">
        <f>'Monthly Data'!BO14</f>
        <v>31</v>
      </c>
      <c r="H14">
        <f>'Monthly Data'!BS14</f>
        <v>0</v>
      </c>
      <c r="I14">
        <f>'Monthly Data'!BK14</f>
        <v>0</v>
      </c>
      <c r="K14" s="17">
        <f>'Res Predicted Monthly'!$V$7</f>
        <v>-1956373.74241439</v>
      </c>
      <c r="L14" s="17">
        <f>E14*'Res Predicted Monthly'!$V$8</f>
        <v>20607585.802830029</v>
      </c>
      <c r="M14" s="17">
        <f>F14*'Res Predicted Monthly'!$V$9</f>
        <v>0</v>
      </c>
      <c r="N14" s="17">
        <f>G14*'Res Predicted Monthly'!$V$10</f>
        <v>27425350.500205077</v>
      </c>
      <c r="O14" s="17">
        <f>H14*'Res Predicted Monthly'!$V$11</f>
        <v>0</v>
      </c>
      <c r="P14" s="17">
        <f>I14*'Res Predicted Monthly'!$V$12</f>
        <v>0</v>
      </c>
      <c r="Q14" s="17">
        <f t="shared" si="2"/>
        <v>46076562.560620718</v>
      </c>
      <c r="R14" s="17">
        <f t="shared" si="0"/>
        <v>-1477948.6859941259</v>
      </c>
      <c r="S14" s="29">
        <f t="shared" si="1"/>
        <v>3.1079042708052926E-2</v>
      </c>
      <c r="U14" t="s">
        <v>143</v>
      </c>
    </row>
    <row r="15" spans="1:25" x14ac:dyDescent="0.2">
      <c r="A15" s="206">
        <f>'Monthly Data'!A15</f>
        <v>42036</v>
      </c>
      <c r="B15">
        <f>'Monthly Data'!C15</f>
        <v>2</v>
      </c>
      <c r="C15">
        <f>'Monthly Data'!B15</f>
        <v>2015</v>
      </c>
      <c r="D15" s="18">
        <f>'Monthly Data'!F15</f>
        <v>42204351.624248534</v>
      </c>
      <c r="E15" s="10">
        <f>'Monthly Data'!AG15</f>
        <v>861.05624999999998</v>
      </c>
      <c r="F15" s="98">
        <f>'Monthly Data'!AB15</f>
        <v>0</v>
      </c>
      <c r="G15">
        <f>'Monthly Data'!BO15</f>
        <v>28</v>
      </c>
      <c r="H15">
        <f>'Monthly Data'!BS15</f>
        <v>0</v>
      </c>
      <c r="I15">
        <f>'Monthly Data'!BK15</f>
        <v>0</v>
      </c>
      <c r="K15" s="17">
        <f>'Res Predicted Monthly'!$V$7</f>
        <v>-1956373.74241439</v>
      </c>
      <c r="L15" s="17">
        <f>E15*'Res Predicted Monthly'!$V$8</f>
        <v>21499924.184368845</v>
      </c>
      <c r="M15" s="17">
        <f>F15*'Res Predicted Monthly'!$V$9</f>
        <v>0</v>
      </c>
      <c r="N15" s="17">
        <f>G15*'Res Predicted Monthly'!$V$10</f>
        <v>24771284.322765879</v>
      </c>
      <c r="O15" s="17">
        <f>H15*'Res Predicted Monthly'!$V$11</f>
        <v>0</v>
      </c>
      <c r="P15" s="17">
        <f>I15*'Res Predicted Monthly'!$V$12</f>
        <v>0</v>
      </c>
      <c r="Q15" s="17">
        <f t="shared" si="2"/>
        <v>44314834.764720336</v>
      </c>
      <c r="R15" s="17">
        <f t="shared" si="0"/>
        <v>2110483.1404718012</v>
      </c>
      <c r="S15" s="29">
        <f t="shared" si="1"/>
        <v>5.000629222459662E-2</v>
      </c>
      <c r="U15" t="s">
        <v>144</v>
      </c>
      <c r="V15" s="254">
        <v>148352832191464</v>
      </c>
      <c r="W15" t="s">
        <v>145</v>
      </c>
      <c r="X15" s="105">
        <v>1089413.90551604</v>
      </c>
    </row>
    <row r="16" spans="1:25" x14ac:dyDescent="0.2">
      <c r="A16" s="206">
        <f>'Monthly Data'!A16</f>
        <v>42064</v>
      </c>
      <c r="B16">
        <f>'Monthly Data'!C16</f>
        <v>3</v>
      </c>
      <c r="C16">
        <f>'Monthly Data'!B16</f>
        <v>2015</v>
      </c>
      <c r="D16" s="18">
        <f>'Monthly Data'!F16</f>
        <v>39410637.810047477</v>
      </c>
      <c r="E16" s="10">
        <f>'Monthly Data'!AG16</f>
        <v>576.78333333333353</v>
      </c>
      <c r="F16" s="98">
        <f>'Monthly Data'!AB16</f>
        <v>0</v>
      </c>
      <c r="G16">
        <f>'Monthly Data'!BO16</f>
        <v>31</v>
      </c>
      <c r="H16">
        <f>'Monthly Data'!BS16</f>
        <v>0</v>
      </c>
      <c r="I16">
        <f>'Monthly Data'!BK16</f>
        <v>1</v>
      </c>
      <c r="K16" s="17">
        <f>'Res Predicted Monthly'!$V$7</f>
        <v>-1956373.74241439</v>
      </c>
      <c r="L16" s="17">
        <f>E16*'Res Predicted Monthly'!$V$8</f>
        <v>14401844.173913393</v>
      </c>
      <c r="M16" s="17">
        <f>F16*'Res Predicted Monthly'!$V$9</f>
        <v>0</v>
      </c>
      <c r="N16" s="17">
        <f>G16*'Res Predicted Monthly'!$V$10</f>
        <v>27425350.500205077</v>
      </c>
      <c r="O16" s="17">
        <f>H16*'Res Predicted Monthly'!$V$11</f>
        <v>0</v>
      </c>
      <c r="P16" s="17">
        <f>I16*'Res Predicted Monthly'!$V$12</f>
        <v>-1149094.2112539201</v>
      </c>
      <c r="Q16" s="17">
        <f t="shared" si="2"/>
        <v>38721726.720450163</v>
      </c>
      <c r="R16" s="17">
        <f t="shared" si="0"/>
        <v>-688911.0895973146</v>
      </c>
      <c r="S16" s="29">
        <f t="shared" si="1"/>
        <v>1.7480333429713776E-2</v>
      </c>
      <c r="U16" t="s">
        <v>146</v>
      </c>
      <c r="V16" s="252">
        <v>0.97226032536850804</v>
      </c>
      <c r="W16" t="s">
        <v>147</v>
      </c>
      <c r="X16" s="252">
        <v>0.97115073838324895</v>
      </c>
    </row>
    <row r="17" spans="1:24" x14ac:dyDescent="0.2">
      <c r="A17" s="206">
        <f>'Monthly Data'!A17</f>
        <v>42095</v>
      </c>
      <c r="B17">
        <f>'Monthly Data'!C17</f>
        <v>4</v>
      </c>
      <c r="C17">
        <f>'Monthly Data'!B17</f>
        <v>2015</v>
      </c>
      <c r="D17" s="18">
        <f>'Monthly Data'!F17</f>
        <v>31522989.511739235</v>
      </c>
      <c r="E17" s="10">
        <f>'Monthly Data'!AG17</f>
        <v>264.73333333333335</v>
      </c>
      <c r="F17" s="98">
        <f>'Monthly Data'!AB17</f>
        <v>0</v>
      </c>
      <c r="G17">
        <f>'Monthly Data'!BO17</f>
        <v>30</v>
      </c>
      <c r="H17">
        <f>'Monthly Data'!BS17</f>
        <v>0</v>
      </c>
      <c r="I17">
        <f>'Monthly Data'!BK17</f>
        <v>1</v>
      </c>
      <c r="K17" s="17">
        <f>'Res Predicted Monthly'!$V$7</f>
        <v>-1956373.74241439</v>
      </c>
      <c r="L17" s="17">
        <f>E17*'Res Predicted Monthly'!$V$8</f>
        <v>6610191.3733764924</v>
      </c>
      <c r="M17" s="17">
        <f>F17*'Res Predicted Monthly'!$V$9</f>
        <v>0</v>
      </c>
      <c r="N17" s="17">
        <f>G17*'Res Predicted Monthly'!$V$10</f>
        <v>26540661.774392013</v>
      </c>
      <c r="O17" s="17">
        <f>H17*'Res Predicted Monthly'!$V$11</f>
        <v>0</v>
      </c>
      <c r="P17" s="17">
        <f>I17*'Res Predicted Monthly'!$V$12</f>
        <v>-1149094.2112539201</v>
      </c>
      <c r="Q17" s="17">
        <f t="shared" si="2"/>
        <v>30045385.194100197</v>
      </c>
      <c r="R17" s="17">
        <f t="shared" si="0"/>
        <v>-1477604.317639038</v>
      </c>
      <c r="S17" s="29">
        <f t="shared" si="1"/>
        <v>4.6873863822109091E-2</v>
      </c>
      <c r="U17" t="s">
        <v>485</v>
      </c>
      <c r="V17" s="76">
        <v>575.04462718739796</v>
      </c>
      <c r="W17" t="s">
        <v>148</v>
      </c>
      <c r="X17" s="252">
        <v>1.9524379408792601E-84</v>
      </c>
    </row>
    <row r="18" spans="1:24" x14ac:dyDescent="0.2">
      <c r="A18" s="206">
        <f>'Monthly Data'!A18</f>
        <v>42125</v>
      </c>
      <c r="B18">
        <f>'Monthly Data'!C18</f>
        <v>5</v>
      </c>
      <c r="C18">
        <f>'Monthly Data'!B18</f>
        <v>2015</v>
      </c>
      <c r="D18" s="18">
        <f>'Monthly Data'!F18</f>
        <v>25792582.373976927</v>
      </c>
      <c r="E18" s="10">
        <f>'Monthly Data'!AG18</f>
        <v>46.254166666666663</v>
      </c>
      <c r="F18" s="98">
        <f>'Monthly Data'!AB18</f>
        <v>3.587499999999995</v>
      </c>
      <c r="G18">
        <f>'Monthly Data'!BO18</f>
        <v>31</v>
      </c>
      <c r="H18">
        <f>'Monthly Data'!BS18</f>
        <v>0</v>
      </c>
      <c r="I18">
        <f>'Monthly Data'!BK18</f>
        <v>1</v>
      </c>
      <c r="K18" s="17">
        <f>'Res Predicted Monthly'!$V$7</f>
        <v>-1956373.74241439</v>
      </c>
      <c r="L18" s="17">
        <f>E18*'Res Predicted Monthly'!$V$8</f>
        <v>1154931.6046942275</v>
      </c>
      <c r="M18" s="17">
        <f>F18*'Res Predicted Monthly'!$V$9</f>
        <v>188924.48493930616</v>
      </c>
      <c r="N18" s="17">
        <f>G18*'Res Predicted Monthly'!$V$10</f>
        <v>27425350.500205077</v>
      </c>
      <c r="O18" s="17">
        <f>H18*'Res Predicted Monthly'!$V$11</f>
        <v>0</v>
      </c>
      <c r="P18" s="17">
        <f>I18*'Res Predicted Monthly'!$V$12</f>
        <v>-1149094.2112539201</v>
      </c>
      <c r="Q18" s="17">
        <f t="shared" si="2"/>
        <v>25663738.636170302</v>
      </c>
      <c r="R18" s="17">
        <f t="shared" si="0"/>
        <v>-128843.73780662566</v>
      </c>
      <c r="S18" s="29">
        <f t="shared" si="1"/>
        <v>4.9953795218512431E-3</v>
      </c>
      <c r="U18" t="s">
        <v>149</v>
      </c>
      <c r="V18" s="252">
        <v>-3.9947005231748503E-2</v>
      </c>
      <c r="W18" t="s">
        <v>150</v>
      </c>
      <c r="X18" s="252">
        <v>1.9973966565849599</v>
      </c>
    </row>
    <row r="19" spans="1:24" x14ac:dyDescent="0.2">
      <c r="A19" s="206">
        <f>'Monthly Data'!A19</f>
        <v>42156</v>
      </c>
      <c r="B19">
        <f>'Monthly Data'!C19</f>
        <v>6</v>
      </c>
      <c r="C19">
        <f>'Monthly Data'!B19</f>
        <v>2015</v>
      </c>
      <c r="D19" s="18">
        <f>'Monthly Data'!F19</f>
        <v>24102849.621862877</v>
      </c>
      <c r="E19" s="10">
        <f>'Monthly Data'!AG19</f>
        <v>1.7604166666666696</v>
      </c>
      <c r="F19" s="98">
        <f>'Monthly Data'!AB19</f>
        <v>4.09791666666667</v>
      </c>
      <c r="G19">
        <f>'Monthly Data'!BO19</f>
        <v>30</v>
      </c>
      <c r="H19">
        <f>'Monthly Data'!BS19</f>
        <v>0</v>
      </c>
      <c r="I19">
        <f>'Monthly Data'!BK19</f>
        <v>0</v>
      </c>
      <c r="K19" s="17">
        <f>'Res Predicted Monthly'!$V$7</f>
        <v>-1956373.74241439</v>
      </c>
      <c r="L19" s="17">
        <f>E19*'Res Predicted Monthly'!$V$8</f>
        <v>43956.274478273306</v>
      </c>
      <c r="M19" s="17">
        <f>F19*'Res Predicted Monthly'!$V$9</f>
        <v>215803.98482904531</v>
      </c>
      <c r="N19" s="17">
        <f>G19*'Res Predicted Monthly'!$V$10</f>
        <v>26540661.774392013</v>
      </c>
      <c r="O19" s="17">
        <f>H19*'Res Predicted Monthly'!$V$11</f>
        <v>0</v>
      </c>
      <c r="P19" s="17">
        <f>I19*'Res Predicted Monthly'!$V$12</f>
        <v>0</v>
      </c>
      <c r="Q19" s="17">
        <f t="shared" si="2"/>
        <v>24844048.291284941</v>
      </c>
      <c r="R19" s="17">
        <f t="shared" si="0"/>
        <v>741198.66942206398</v>
      </c>
      <c r="S19" s="29">
        <f t="shared" si="1"/>
        <v>3.075149540615927E-2</v>
      </c>
    </row>
    <row r="20" spans="1:24" x14ac:dyDescent="0.2">
      <c r="A20" s="206">
        <f>'Monthly Data'!A20</f>
        <v>42186</v>
      </c>
      <c r="B20">
        <f>'Monthly Data'!C20</f>
        <v>7</v>
      </c>
      <c r="C20">
        <f>'Monthly Data'!B20</f>
        <v>2015</v>
      </c>
      <c r="D20" s="18">
        <f>'Monthly Data'!F20</f>
        <v>25673766.616705209</v>
      </c>
      <c r="E20" s="10">
        <f>'Monthly Data'!AG20</f>
        <v>0</v>
      </c>
      <c r="F20" s="98">
        <f>'Monthly Data'!AB20</f>
        <v>54.720833333333339</v>
      </c>
      <c r="G20">
        <f>'Monthly Data'!BO20</f>
        <v>31</v>
      </c>
      <c r="H20">
        <f>'Monthly Data'!BS20</f>
        <v>0</v>
      </c>
      <c r="I20">
        <f>'Monthly Data'!BK20</f>
        <v>0</v>
      </c>
      <c r="K20" s="17">
        <f>'Res Predicted Monthly'!$V$7</f>
        <v>-1956373.74241439</v>
      </c>
      <c r="L20" s="17">
        <f>E20*'Res Predicted Monthly'!$V$8</f>
        <v>0</v>
      </c>
      <c r="M20" s="17">
        <f>F20*'Res Predicted Monthly'!$V$9</f>
        <v>2881701.8126688865</v>
      </c>
      <c r="N20" s="17">
        <f>G20*'Res Predicted Monthly'!$V$10</f>
        <v>27425350.500205077</v>
      </c>
      <c r="O20" s="17">
        <f>H20*'Res Predicted Monthly'!$V$11</f>
        <v>0</v>
      </c>
      <c r="P20" s="17">
        <f>I20*'Res Predicted Monthly'!$V$12</f>
        <v>0</v>
      </c>
      <c r="Q20" s="17">
        <f t="shared" si="2"/>
        <v>28350678.570459574</v>
      </c>
      <c r="R20" s="17">
        <f t="shared" si="0"/>
        <v>2676911.9537543654</v>
      </c>
      <c r="S20" s="29">
        <f t="shared" si="1"/>
        <v>0.10426642859690767</v>
      </c>
      <c r="U20" t="s">
        <v>151</v>
      </c>
    </row>
    <row r="21" spans="1:24" x14ac:dyDescent="0.2">
      <c r="A21" s="206">
        <f>'Monthly Data'!A21</f>
        <v>42217</v>
      </c>
      <c r="B21">
        <f>'Monthly Data'!C21</f>
        <v>8</v>
      </c>
      <c r="C21">
        <f>'Monthly Data'!B21</f>
        <v>2015</v>
      </c>
      <c r="D21" s="18">
        <f>'Monthly Data'!F21</f>
        <v>25829204.73398304</v>
      </c>
      <c r="E21" s="10">
        <f>'Monthly Data'!AG21</f>
        <v>0</v>
      </c>
      <c r="F21" s="98">
        <f>'Monthly Data'!AB21</f>
        <v>28.762500000000021</v>
      </c>
      <c r="G21">
        <f>'Monthly Data'!BO21</f>
        <v>31</v>
      </c>
      <c r="H21">
        <f>'Monthly Data'!BS21</f>
        <v>0</v>
      </c>
      <c r="I21">
        <f>'Monthly Data'!BK21</f>
        <v>0</v>
      </c>
      <c r="K21" s="17">
        <f>'Res Predicted Monthly'!$V$7</f>
        <v>-1956373.74241439</v>
      </c>
      <c r="L21" s="17">
        <f>E21*'Res Predicted Monthly'!$V$8</f>
        <v>0</v>
      </c>
      <c r="M21" s="17">
        <f>F21*'Res Predicted Monthly'!$V$9</f>
        <v>1514687.2468478899</v>
      </c>
      <c r="N21" s="17">
        <f>G21*'Res Predicted Monthly'!$V$10</f>
        <v>27425350.500205077</v>
      </c>
      <c r="O21" s="17">
        <f>H21*'Res Predicted Monthly'!$V$11</f>
        <v>0</v>
      </c>
      <c r="P21" s="17">
        <f>I21*'Res Predicted Monthly'!$V$12</f>
        <v>0</v>
      </c>
      <c r="Q21" s="17">
        <f t="shared" si="2"/>
        <v>26983664.004638579</v>
      </c>
      <c r="R21" s="17">
        <f t="shared" si="0"/>
        <v>1154459.2706555389</v>
      </c>
      <c r="S21" s="29">
        <f t="shared" si="1"/>
        <v>4.469588911255315E-2</v>
      </c>
      <c r="U21" t="s">
        <v>152</v>
      </c>
      <c r="V21">
        <v>32495719.496887598</v>
      </c>
      <c r="W21" t="s">
        <v>153</v>
      </c>
      <c r="X21">
        <v>6403745.97615878</v>
      </c>
    </row>
    <row r="22" spans="1:24" x14ac:dyDescent="0.2">
      <c r="A22" s="206">
        <f>'Monthly Data'!A22</f>
        <v>42248</v>
      </c>
      <c r="B22">
        <f>'Monthly Data'!C22</f>
        <v>9</v>
      </c>
      <c r="C22">
        <f>'Monthly Data'!B22</f>
        <v>2015</v>
      </c>
      <c r="D22" s="18">
        <f>'Monthly Data'!F22</f>
        <v>25236217.744057812</v>
      </c>
      <c r="E22" s="10">
        <f>'Monthly Data'!AG22</f>
        <v>10.968749999999995</v>
      </c>
      <c r="F22" s="98">
        <f>'Monthly Data'!AB22</f>
        <v>27.039583333333312</v>
      </c>
      <c r="G22">
        <f>'Monthly Data'!BO22</f>
        <v>30</v>
      </c>
      <c r="H22">
        <f>'Monthly Data'!BS22</f>
        <v>0</v>
      </c>
      <c r="I22">
        <f>'Monthly Data'!BK22</f>
        <v>1</v>
      </c>
      <c r="K22" s="17">
        <f>'Res Predicted Monthly'!$V$7</f>
        <v>-1956373.74241439</v>
      </c>
      <c r="L22" s="17">
        <f>E22*'Res Predicted Monthly'!$V$8</f>
        <v>273881.40251847153</v>
      </c>
      <c r="M22" s="17">
        <f>F22*'Res Predicted Monthly'!$V$9</f>
        <v>1423955.2206894634</v>
      </c>
      <c r="N22" s="17">
        <f>G22*'Res Predicted Monthly'!$V$10</f>
        <v>26540661.774392013</v>
      </c>
      <c r="O22" s="17">
        <f>H22*'Res Predicted Monthly'!$V$11</f>
        <v>0</v>
      </c>
      <c r="P22" s="17">
        <f>I22*'Res Predicted Monthly'!$V$12</f>
        <v>-1149094.2112539201</v>
      </c>
      <c r="Q22" s="17">
        <f t="shared" si="2"/>
        <v>25133030.443931639</v>
      </c>
      <c r="R22" s="17">
        <f t="shared" si="0"/>
        <v>-103187.3001261726</v>
      </c>
      <c r="S22" s="29">
        <f t="shared" si="1"/>
        <v>4.0888575765466824E-3</v>
      </c>
    </row>
    <row r="23" spans="1:24" x14ac:dyDescent="0.2">
      <c r="A23" s="206">
        <f>'Monthly Data'!A23</f>
        <v>42278</v>
      </c>
      <c r="B23">
        <f>'Monthly Data'!C23</f>
        <v>10</v>
      </c>
      <c r="C23">
        <f>'Monthly Data'!B23</f>
        <v>2015</v>
      </c>
      <c r="D23" s="18">
        <f>'Monthly Data'!F23</f>
        <v>28041945.938314706</v>
      </c>
      <c r="E23" s="10">
        <f>'Monthly Data'!AG23</f>
        <v>209.20416666666668</v>
      </c>
      <c r="F23" s="98">
        <f>'Monthly Data'!AB23</f>
        <v>0</v>
      </c>
      <c r="G23">
        <f>'Monthly Data'!BO23</f>
        <v>31</v>
      </c>
      <c r="H23">
        <f>'Monthly Data'!BS23</f>
        <v>0</v>
      </c>
      <c r="I23">
        <f>'Monthly Data'!BK23</f>
        <v>1</v>
      </c>
      <c r="K23" s="17">
        <f>'Res Predicted Monthly'!$V$7</f>
        <v>-1956373.74241439</v>
      </c>
      <c r="L23" s="17">
        <f>E23*'Res Predicted Monthly'!$V$8</f>
        <v>5223670.0243304633</v>
      </c>
      <c r="M23" s="17">
        <f>F23*'Res Predicted Monthly'!$V$9</f>
        <v>0</v>
      </c>
      <c r="N23" s="17">
        <f>G23*'Res Predicted Monthly'!$V$10</f>
        <v>27425350.500205077</v>
      </c>
      <c r="O23" s="17">
        <f>H23*'Res Predicted Monthly'!$V$11</f>
        <v>0</v>
      </c>
      <c r="P23" s="17">
        <f>I23*'Res Predicted Monthly'!$V$12</f>
        <v>-1149094.2112539201</v>
      </c>
      <c r="Q23" s="17">
        <f t="shared" si="2"/>
        <v>29543552.570867233</v>
      </c>
      <c r="R23" s="17">
        <f t="shared" si="0"/>
        <v>1501606.6325525269</v>
      </c>
      <c r="S23" s="29">
        <f t="shared" si="1"/>
        <v>5.3548588812477114E-2</v>
      </c>
    </row>
    <row r="24" spans="1:24" x14ac:dyDescent="0.2">
      <c r="A24" s="206">
        <f>'Monthly Data'!A24</f>
        <v>42309</v>
      </c>
      <c r="B24">
        <f>'Monthly Data'!C24</f>
        <v>11</v>
      </c>
      <c r="C24">
        <f>'Monthly Data'!B24</f>
        <v>2015</v>
      </c>
      <c r="D24" s="18">
        <f>'Monthly Data'!F24</f>
        <v>31333244.388989836</v>
      </c>
      <c r="E24" s="10">
        <f>'Monthly Data'!AG24</f>
        <v>304.27499999999998</v>
      </c>
      <c r="F24" s="98">
        <f>'Monthly Data'!AB24</f>
        <v>0</v>
      </c>
      <c r="G24">
        <f>'Monthly Data'!BO24</f>
        <v>30</v>
      </c>
      <c r="H24">
        <f>'Monthly Data'!BS24</f>
        <v>0</v>
      </c>
      <c r="I24">
        <f>'Monthly Data'!BK24</f>
        <v>1</v>
      </c>
      <c r="K24" s="17">
        <f>'Res Predicted Monthly'!$V$7</f>
        <v>-1956373.74241439</v>
      </c>
      <c r="L24" s="17">
        <f>E24*'Res Predicted Monthly'!$V$8</f>
        <v>7597516.9231961677</v>
      </c>
      <c r="M24" s="17">
        <f>F24*'Res Predicted Monthly'!$V$9</f>
        <v>0</v>
      </c>
      <c r="N24" s="17">
        <f>G24*'Res Predicted Monthly'!$V$10</f>
        <v>26540661.774392013</v>
      </c>
      <c r="O24" s="17">
        <f>H24*'Res Predicted Monthly'!$V$11</f>
        <v>0</v>
      </c>
      <c r="P24" s="17">
        <f>I24*'Res Predicted Monthly'!$V$12</f>
        <v>-1149094.2112539201</v>
      </c>
      <c r="Q24" s="17">
        <f t="shared" si="2"/>
        <v>31032710.743919872</v>
      </c>
      <c r="R24" s="17">
        <f t="shared" si="0"/>
        <v>-300533.64506996423</v>
      </c>
      <c r="S24" s="29">
        <f t="shared" si="1"/>
        <v>9.5915265377232526E-3</v>
      </c>
    </row>
    <row r="25" spans="1:24" x14ac:dyDescent="0.2">
      <c r="A25" s="206">
        <f>'Monthly Data'!A25</f>
        <v>42339</v>
      </c>
      <c r="B25">
        <f>'Monthly Data'!C25</f>
        <v>12</v>
      </c>
      <c r="C25">
        <f>'Monthly Data'!B25</f>
        <v>2015</v>
      </c>
      <c r="D25" s="18">
        <f>'Monthly Data'!F25</f>
        <v>36693303.595950089</v>
      </c>
      <c r="E25" s="10">
        <f>'Monthly Data'!AG25</f>
        <v>414.51249999999999</v>
      </c>
      <c r="F25" s="98">
        <f>'Monthly Data'!AB25</f>
        <v>0</v>
      </c>
      <c r="G25">
        <f>'Monthly Data'!BO25</f>
        <v>31</v>
      </c>
      <c r="H25">
        <f>'Monthly Data'!BS25</f>
        <v>0</v>
      </c>
      <c r="I25">
        <f>'Monthly Data'!BK25</f>
        <v>0</v>
      </c>
      <c r="K25" s="17">
        <f>'Res Predicted Monthly'!$V$7</f>
        <v>-1956373.74241439</v>
      </c>
      <c r="L25" s="17">
        <f>E25*'Res Predicted Monthly'!$V$8</f>
        <v>10350064.032951612</v>
      </c>
      <c r="M25" s="17">
        <f>F25*'Res Predicted Monthly'!$V$9</f>
        <v>0</v>
      </c>
      <c r="N25" s="17">
        <f>G25*'Res Predicted Monthly'!$V$10</f>
        <v>27425350.500205077</v>
      </c>
      <c r="O25" s="17">
        <f>H25*'Res Predicted Monthly'!$V$11</f>
        <v>0</v>
      </c>
      <c r="P25" s="17">
        <f>I25*'Res Predicted Monthly'!$V$12</f>
        <v>0</v>
      </c>
      <c r="Q25" s="17">
        <f t="shared" si="2"/>
        <v>35819040.7907423</v>
      </c>
      <c r="R25" s="17">
        <f t="shared" si="0"/>
        <v>-874262.80520778894</v>
      </c>
      <c r="S25" s="29">
        <f t="shared" si="1"/>
        <v>2.3826222213043882E-2</v>
      </c>
    </row>
    <row r="26" spans="1:24" x14ac:dyDescent="0.2">
      <c r="A26" s="206">
        <f>'Monthly Data'!A26</f>
        <v>42370</v>
      </c>
      <c r="B26">
        <f>'Monthly Data'!C26</f>
        <v>1</v>
      </c>
      <c r="C26">
        <f>'Monthly Data'!B26</f>
        <v>2016</v>
      </c>
      <c r="D26" s="18">
        <f>'Monthly Data'!F26</f>
        <v>41372173.652349353</v>
      </c>
      <c r="E26" s="10">
        <f>'Monthly Data'!AG26</f>
        <v>677.80416666666667</v>
      </c>
      <c r="F26" s="98">
        <f>'Monthly Data'!AB26</f>
        <v>0</v>
      </c>
      <c r="G26">
        <f>'Monthly Data'!BO26</f>
        <v>31</v>
      </c>
      <c r="H26">
        <f>'Monthly Data'!BS26</f>
        <v>0</v>
      </c>
      <c r="I26">
        <f>'Monthly Data'!BK26</f>
        <v>0</v>
      </c>
      <c r="K26" s="17">
        <f>'Res Predicted Monthly'!$V$7</f>
        <v>-1956373.74241439</v>
      </c>
      <c r="L26" s="17">
        <f>E26*'Res Predicted Monthly'!$V$8</f>
        <v>16924258.078589685</v>
      </c>
      <c r="M26" s="17">
        <f>F26*'Res Predicted Monthly'!$V$9</f>
        <v>0</v>
      </c>
      <c r="N26" s="17">
        <f>G26*'Res Predicted Monthly'!$V$10</f>
        <v>27425350.500205077</v>
      </c>
      <c r="O26" s="17">
        <f>H26*'Res Predicted Monthly'!$V$11</f>
        <v>0</v>
      </c>
      <c r="P26" s="17">
        <f>I26*'Res Predicted Monthly'!$V$12</f>
        <v>0</v>
      </c>
      <c r="Q26" s="17">
        <f t="shared" si="2"/>
        <v>42393234.83638037</v>
      </c>
      <c r="R26" s="17">
        <f t="shared" si="0"/>
        <v>1021061.1840310171</v>
      </c>
      <c r="S26" s="29">
        <f t="shared" si="1"/>
        <v>2.4679901825101117E-2</v>
      </c>
    </row>
    <row r="27" spans="1:24" x14ac:dyDescent="0.2">
      <c r="A27" s="206">
        <f>'Monthly Data'!A27</f>
        <v>42401</v>
      </c>
      <c r="B27">
        <f>'Monthly Data'!C27</f>
        <v>2</v>
      </c>
      <c r="C27">
        <f>'Monthly Data'!B27</f>
        <v>2016</v>
      </c>
      <c r="D27" s="18">
        <f>'Monthly Data'!F27</f>
        <v>38274735.283061758</v>
      </c>
      <c r="E27" s="10">
        <f>'Monthly Data'!AG27</f>
        <v>665.26874999999995</v>
      </c>
      <c r="F27" s="98">
        <f>'Monthly Data'!AB27</f>
        <v>0</v>
      </c>
      <c r="G27">
        <f>'Monthly Data'!BO27</f>
        <v>29</v>
      </c>
      <c r="H27">
        <f>'Monthly Data'!BS27</f>
        <v>0</v>
      </c>
      <c r="I27">
        <f>'Monthly Data'!BK27</f>
        <v>0</v>
      </c>
      <c r="K27" s="17">
        <f>'Res Predicted Monthly'!$V$7</f>
        <v>-1956373.74241439</v>
      </c>
      <c r="L27" s="17">
        <f>E27*'Res Predicted Monthly'!$V$8</f>
        <v>16611258.192748535</v>
      </c>
      <c r="M27" s="17">
        <f>F27*'Res Predicted Monthly'!$V$9</f>
        <v>0</v>
      </c>
      <c r="N27" s="17">
        <f>G27*'Res Predicted Monthly'!$V$10</f>
        <v>25655973.048578944</v>
      </c>
      <c r="O27" s="17">
        <f>H27*'Res Predicted Monthly'!$V$11</f>
        <v>0</v>
      </c>
      <c r="P27" s="17">
        <f>I27*'Res Predicted Monthly'!$V$12</f>
        <v>0</v>
      </c>
      <c r="Q27" s="17">
        <f t="shared" si="2"/>
        <v>40310857.498913087</v>
      </c>
      <c r="R27" s="17">
        <f t="shared" si="0"/>
        <v>2036122.2158513293</v>
      </c>
      <c r="S27" s="29">
        <f t="shared" si="1"/>
        <v>5.3197551878364065E-2</v>
      </c>
    </row>
    <row r="28" spans="1:24" x14ac:dyDescent="0.2">
      <c r="A28" s="206">
        <f>'Monthly Data'!A28</f>
        <v>42430</v>
      </c>
      <c r="B28">
        <f>'Monthly Data'!C28</f>
        <v>3</v>
      </c>
      <c r="C28">
        <f>'Monthly Data'!B28</f>
        <v>2016</v>
      </c>
      <c r="D28" s="18">
        <f>'Monthly Data'!F28</f>
        <v>36337940.50300879</v>
      </c>
      <c r="E28" s="10">
        <f>'Monthly Data'!AG28</f>
        <v>463.5020833333333</v>
      </c>
      <c r="F28" s="98">
        <f>'Monthly Data'!AB28</f>
        <v>0</v>
      </c>
      <c r="G28">
        <f>'Monthly Data'!BO28</f>
        <v>31</v>
      </c>
      <c r="H28">
        <f>'Monthly Data'!BS28</f>
        <v>0</v>
      </c>
      <c r="I28">
        <f>'Monthly Data'!BK28</f>
        <v>1</v>
      </c>
      <c r="K28" s="17">
        <f>'Res Predicted Monthly'!$V$7</f>
        <v>-1956373.74241439</v>
      </c>
      <c r="L28" s="17">
        <f>E28*'Res Predicted Monthly'!$V$8</f>
        <v>11573296.92568131</v>
      </c>
      <c r="M28" s="17">
        <f>F28*'Res Predicted Monthly'!$V$9</f>
        <v>0</v>
      </c>
      <c r="N28" s="17">
        <f>G28*'Res Predicted Monthly'!$V$10</f>
        <v>27425350.500205077</v>
      </c>
      <c r="O28" s="17">
        <f>H28*'Res Predicted Monthly'!$V$11</f>
        <v>0</v>
      </c>
      <c r="P28" s="17">
        <f>I28*'Res Predicted Monthly'!$V$12</f>
        <v>-1149094.2112539201</v>
      </c>
      <c r="Q28" s="17">
        <f t="shared" si="2"/>
        <v>35893179.472218074</v>
      </c>
      <c r="R28" s="17">
        <f t="shared" si="0"/>
        <v>-444761.03079071641</v>
      </c>
      <c r="S28" s="29">
        <f t="shared" si="1"/>
        <v>1.223957727471897E-2</v>
      </c>
    </row>
    <row r="29" spans="1:24" x14ac:dyDescent="0.2">
      <c r="A29" s="206">
        <f>'Monthly Data'!A29</f>
        <v>42461</v>
      </c>
      <c r="B29">
        <f>'Monthly Data'!C29</f>
        <v>4</v>
      </c>
      <c r="C29">
        <f>'Monthly Data'!B29</f>
        <v>2016</v>
      </c>
      <c r="D29" s="18">
        <f>'Monthly Data'!F29</f>
        <v>30505983.058929548</v>
      </c>
      <c r="E29" s="10">
        <f>'Monthly Data'!AG29</f>
        <v>351.29166666666657</v>
      </c>
      <c r="F29" s="98">
        <f>'Monthly Data'!AB29</f>
        <v>0</v>
      </c>
      <c r="G29">
        <f>'Monthly Data'!BO29</f>
        <v>30</v>
      </c>
      <c r="H29">
        <f>'Monthly Data'!BS29</f>
        <v>0</v>
      </c>
      <c r="I29">
        <f>'Monthly Data'!BK29</f>
        <v>1</v>
      </c>
      <c r="K29" s="17">
        <f>'Res Predicted Monthly'!$V$7</f>
        <v>-1956373.74241439</v>
      </c>
      <c r="L29" s="17">
        <f>E29*'Res Predicted Monthly'!$V$8</f>
        <v>8771487.5769543555</v>
      </c>
      <c r="M29" s="17">
        <f>F29*'Res Predicted Monthly'!$V$9</f>
        <v>0</v>
      </c>
      <c r="N29" s="17">
        <f>G29*'Res Predicted Monthly'!$V$10</f>
        <v>26540661.774392013</v>
      </c>
      <c r="O29" s="17">
        <f>H29*'Res Predicted Monthly'!$V$11</f>
        <v>0</v>
      </c>
      <c r="P29" s="17">
        <f>I29*'Res Predicted Monthly'!$V$12</f>
        <v>-1149094.2112539201</v>
      </c>
      <c r="Q29" s="17">
        <f t="shared" si="2"/>
        <v>32206681.397678059</v>
      </c>
      <c r="R29" s="17">
        <f t="shared" si="0"/>
        <v>1700698.3387485109</v>
      </c>
      <c r="S29" s="29">
        <f t="shared" si="1"/>
        <v>5.5749665089081323E-2</v>
      </c>
    </row>
    <row r="30" spans="1:24" x14ac:dyDescent="0.2">
      <c r="A30" s="206">
        <f>'Monthly Data'!A30</f>
        <v>42491</v>
      </c>
      <c r="B30">
        <f>'Monthly Data'!C30</f>
        <v>5</v>
      </c>
      <c r="C30">
        <f>'Monthly Data'!B30</f>
        <v>2016</v>
      </c>
      <c r="D30" s="18">
        <f>'Monthly Data'!F30</f>
        <v>26057753.769623701</v>
      </c>
      <c r="E30" s="10">
        <f>'Monthly Data'!AG30</f>
        <v>57.731249999999996</v>
      </c>
      <c r="F30" s="98">
        <f>'Monthly Data'!AB30</f>
        <v>10.241666666666671</v>
      </c>
      <c r="G30">
        <f>'Monthly Data'!BO30</f>
        <v>31</v>
      </c>
      <c r="H30">
        <f>'Monthly Data'!BS30</f>
        <v>0</v>
      </c>
      <c r="I30">
        <f>'Monthly Data'!BK30</f>
        <v>1</v>
      </c>
      <c r="K30" s="17">
        <f>'Res Predicted Monthly'!$V$7</f>
        <v>-1956373.74241439</v>
      </c>
      <c r="L30" s="17">
        <f>E30*'Res Predicted Monthly'!$V$8</f>
        <v>1441505.7065886739</v>
      </c>
      <c r="M30" s="17">
        <f>F30*'Res Predicted Monthly'!$V$9</f>
        <v>539345.39370594115</v>
      </c>
      <c r="N30" s="17">
        <f>G30*'Res Predicted Monthly'!$V$10</f>
        <v>27425350.500205077</v>
      </c>
      <c r="O30" s="17">
        <f>H30*'Res Predicted Monthly'!$V$11</f>
        <v>0</v>
      </c>
      <c r="P30" s="17">
        <f>I30*'Res Predicted Monthly'!$V$12</f>
        <v>-1149094.2112539201</v>
      </c>
      <c r="Q30" s="17">
        <f t="shared" si="2"/>
        <v>26300733.646831382</v>
      </c>
      <c r="R30" s="17">
        <f t="shared" si="0"/>
        <v>242979.87720768154</v>
      </c>
      <c r="S30" s="29">
        <f t="shared" si="1"/>
        <v>9.3246670206443664E-3</v>
      </c>
    </row>
    <row r="31" spans="1:24" x14ac:dyDescent="0.2">
      <c r="A31" s="206">
        <f>'Monthly Data'!A31</f>
        <v>42522</v>
      </c>
      <c r="B31">
        <f>'Monthly Data'!C31</f>
        <v>6</v>
      </c>
      <c r="C31">
        <f>'Monthly Data'!B31</f>
        <v>2016</v>
      </c>
      <c r="D31" s="18">
        <f>'Monthly Data'!F31</f>
        <v>25131212.759782858</v>
      </c>
      <c r="E31" s="10">
        <f>'Monthly Data'!AG31</f>
        <v>5.7208333333333341</v>
      </c>
      <c r="F31" s="98">
        <f>'Monthly Data'!AB31</f>
        <v>36.485416666666666</v>
      </c>
      <c r="G31">
        <f>'Monthly Data'!BO31</f>
        <v>30</v>
      </c>
      <c r="H31">
        <f>'Monthly Data'!BS31</f>
        <v>0</v>
      </c>
      <c r="I31">
        <f>'Monthly Data'!BK31</f>
        <v>0</v>
      </c>
      <c r="K31" s="17">
        <f>'Res Predicted Monthly'!$V$7</f>
        <v>-1956373.74241439</v>
      </c>
      <c r="L31" s="17">
        <f>E31*'Res Predicted Monthly'!$V$8</f>
        <v>142844.88723945362</v>
      </c>
      <c r="M31" s="17">
        <f>F31*'Res Predicted Monthly'!$V$9</f>
        <v>1921390.5370163026</v>
      </c>
      <c r="N31" s="17">
        <f>G31*'Res Predicted Monthly'!$V$10</f>
        <v>26540661.774392013</v>
      </c>
      <c r="O31" s="17">
        <f>H31*'Res Predicted Monthly'!$V$11</f>
        <v>0</v>
      </c>
      <c r="P31" s="17">
        <f>I31*'Res Predicted Monthly'!$V$12</f>
        <v>0</v>
      </c>
      <c r="Q31" s="17">
        <f t="shared" si="2"/>
        <v>26648523.456233378</v>
      </c>
      <c r="R31" s="17">
        <f t="shared" si="0"/>
        <v>1517310.6964505203</v>
      </c>
      <c r="S31" s="29">
        <f t="shared" si="1"/>
        <v>6.0375546176532006E-2</v>
      </c>
    </row>
    <row r="32" spans="1:24" x14ac:dyDescent="0.2">
      <c r="A32" s="206">
        <f>'Monthly Data'!A32</f>
        <v>42552</v>
      </c>
      <c r="B32">
        <f>'Monthly Data'!C32</f>
        <v>7</v>
      </c>
      <c r="C32">
        <f>'Monthly Data'!B32</f>
        <v>2016</v>
      </c>
      <c r="D32" s="18">
        <f>'Monthly Data'!F32</f>
        <v>27482089.560612053</v>
      </c>
      <c r="E32" s="10">
        <f>'Monthly Data'!AG32</f>
        <v>0</v>
      </c>
      <c r="F32" s="98">
        <f>'Monthly Data'!AB32</f>
        <v>69.933333333333337</v>
      </c>
      <c r="G32">
        <f>'Monthly Data'!BO32</f>
        <v>31</v>
      </c>
      <c r="H32">
        <f>'Monthly Data'!BS32</f>
        <v>0</v>
      </c>
      <c r="I32">
        <f>'Monthly Data'!BK32</f>
        <v>0</v>
      </c>
      <c r="K32" s="17">
        <f>'Res Predicted Monthly'!$V$7</f>
        <v>-1956373.74241439</v>
      </c>
      <c r="L32" s="17">
        <f>E32*'Res Predicted Monthly'!$V$8</f>
        <v>0</v>
      </c>
      <c r="M32" s="17">
        <f>F32*'Res Predicted Monthly'!$V$9</f>
        <v>3682820.6216275482</v>
      </c>
      <c r="N32" s="17">
        <f>G32*'Res Predicted Monthly'!$V$10</f>
        <v>27425350.500205077</v>
      </c>
      <c r="O32" s="17">
        <f>H32*'Res Predicted Monthly'!$V$11</f>
        <v>0</v>
      </c>
      <c r="P32" s="17">
        <f>I32*'Res Predicted Monthly'!$V$12</f>
        <v>0</v>
      </c>
      <c r="Q32" s="17">
        <f t="shared" si="2"/>
        <v>29151797.379418235</v>
      </c>
      <c r="R32" s="17">
        <f t="shared" si="0"/>
        <v>1669707.8188061826</v>
      </c>
      <c r="S32" s="29">
        <f t="shared" si="1"/>
        <v>6.0756217794997847E-2</v>
      </c>
    </row>
    <row r="33" spans="1:19" x14ac:dyDescent="0.2">
      <c r="A33" s="206">
        <f>'Monthly Data'!A33</f>
        <v>42583</v>
      </c>
      <c r="B33">
        <f>'Monthly Data'!C33</f>
        <v>8</v>
      </c>
      <c r="C33">
        <f>'Monthly Data'!B33</f>
        <v>2016</v>
      </c>
      <c r="D33" s="18">
        <f>'Monthly Data'!F33</f>
        <v>26892456.97727035</v>
      </c>
      <c r="E33" s="10">
        <f>'Monthly Data'!AG33</f>
        <v>0</v>
      </c>
      <c r="F33" s="98">
        <f>'Monthly Data'!AB33</f>
        <v>64.395833333333357</v>
      </c>
      <c r="G33">
        <f>'Monthly Data'!BO33</f>
        <v>31</v>
      </c>
      <c r="H33">
        <f>'Monthly Data'!BS33</f>
        <v>0</v>
      </c>
      <c r="I33">
        <f>'Monthly Data'!BK33</f>
        <v>0</v>
      </c>
      <c r="K33" s="17">
        <f>'Res Predicted Monthly'!$V$7</f>
        <v>-1956373.74241439</v>
      </c>
      <c r="L33" s="17">
        <f>E33*'Res Predicted Monthly'!$V$8</f>
        <v>0</v>
      </c>
      <c r="M33" s="17">
        <f>F33*'Res Predicted Monthly'!$V$9</f>
        <v>3391205.4758849959</v>
      </c>
      <c r="N33" s="17">
        <f>G33*'Res Predicted Monthly'!$V$10</f>
        <v>27425350.500205077</v>
      </c>
      <c r="O33" s="17">
        <f>H33*'Res Predicted Monthly'!$V$11</f>
        <v>0</v>
      </c>
      <c r="P33" s="17">
        <f>I33*'Res Predicted Monthly'!$V$12</f>
        <v>0</v>
      </c>
      <c r="Q33" s="17">
        <f t="shared" si="2"/>
        <v>28860182.233675685</v>
      </c>
      <c r="R33" s="17">
        <f t="shared" si="0"/>
        <v>1967725.2564053349</v>
      </c>
      <c r="S33" s="29">
        <f t="shared" si="1"/>
        <v>7.3170155410807833E-2</v>
      </c>
    </row>
    <row r="34" spans="1:19" x14ac:dyDescent="0.2">
      <c r="A34" s="206">
        <f>'Monthly Data'!A34</f>
        <v>42614</v>
      </c>
      <c r="B34">
        <f>'Monthly Data'!C34</f>
        <v>9</v>
      </c>
      <c r="C34">
        <f>'Monthly Data'!B34</f>
        <v>2016</v>
      </c>
      <c r="D34" s="18">
        <f>'Monthly Data'!F34</f>
        <v>24816050.515237778</v>
      </c>
      <c r="E34" s="10">
        <f>'Monthly Data'!AG34</f>
        <v>8.9458333333333382</v>
      </c>
      <c r="F34" s="98">
        <f>'Monthly Data'!AB34</f>
        <v>7.9291666666666671</v>
      </c>
      <c r="G34">
        <f>'Monthly Data'!BO34</f>
        <v>30</v>
      </c>
      <c r="H34">
        <f>'Monthly Data'!BS34</f>
        <v>0</v>
      </c>
      <c r="I34">
        <f>'Monthly Data'!BK34</f>
        <v>1</v>
      </c>
      <c r="K34" s="17">
        <f>'Res Predicted Monthly'!$V$7</f>
        <v>-1956373.74241439</v>
      </c>
      <c r="L34" s="17">
        <f>E34*'Res Predicted Monthly'!$V$8</f>
        <v>223370.70131326077</v>
      </c>
      <c r="M34" s="17">
        <f>F34*'Res Predicted Monthly'!$V$9</f>
        <v>417564.80236875737</v>
      </c>
      <c r="N34" s="17">
        <f>G34*'Res Predicted Monthly'!$V$10</f>
        <v>26540661.774392013</v>
      </c>
      <c r="O34" s="17">
        <f>H34*'Res Predicted Monthly'!$V$11</f>
        <v>0</v>
      </c>
      <c r="P34" s="17">
        <f>I34*'Res Predicted Monthly'!$V$12</f>
        <v>-1149094.2112539201</v>
      </c>
      <c r="Q34" s="17">
        <f t="shared" si="2"/>
        <v>24076129.324405722</v>
      </c>
      <c r="R34" s="17">
        <f t="shared" ref="R34:R65" si="3">Q34-D34</f>
        <v>-739921.19083205611</v>
      </c>
      <c r="S34" s="29">
        <f t="shared" ref="S34:S65" si="4">ABS(R34/D34)</f>
        <v>2.9816234874994428E-2</v>
      </c>
    </row>
    <row r="35" spans="1:19" x14ac:dyDescent="0.2">
      <c r="A35" s="206">
        <f>'Monthly Data'!A35</f>
        <v>42644</v>
      </c>
      <c r="B35">
        <f>'Monthly Data'!C35</f>
        <v>10</v>
      </c>
      <c r="C35">
        <f>'Monthly Data'!B35</f>
        <v>2016</v>
      </c>
      <c r="D35" s="18">
        <f>'Monthly Data'!F35</f>
        <v>26301016.269701853</v>
      </c>
      <c r="E35" s="10">
        <f>'Monthly Data'!AG35</f>
        <v>163.39166666666668</v>
      </c>
      <c r="F35" s="98">
        <f>'Monthly Data'!AB35</f>
        <v>0</v>
      </c>
      <c r="G35">
        <f>'Monthly Data'!BO35</f>
        <v>31</v>
      </c>
      <c r="H35">
        <f>'Monthly Data'!BS35</f>
        <v>0</v>
      </c>
      <c r="I35">
        <f>'Monthly Data'!BK35</f>
        <v>1</v>
      </c>
      <c r="K35" s="17">
        <f>'Res Predicted Monthly'!$V$7</f>
        <v>-1956373.74241439</v>
      </c>
      <c r="L35" s="17">
        <f>E35*'Res Predicted Monthly'!$V$8</f>
        <v>4079766.5027006073</v>
      </c>
      <c r="M35" s="17">
        <f>F35*'Res Predicted Monthly'!$V$9</f>
        <v>0</v>
      </c>
      <c r="N35" s="17">
        <f>G35*'Res Predicted Monthly'!$V$10</f>
        <v>27425350.500205077</v>
      </c>
      <c r="O35" s="17">
        <f>H35*'Res Predicted Monthly'!$V$11</f>
        <v>0</v>
      </c>
      <c r="P35" s="17">
        <f>I35*'Res Predicted Monthly'!$V$12</f>
        <v>-1149094.2112539201</v>
      </c>
      <c r="Q35" s="17">
        <f t="shared" si="2"/>
        <v>28399649.049237378</v>
      </c>
      <c r="R35" s="17">
        <f t="shared" si="3"/>
        <v>2098632.7795355245</v>
      </c>
      <c r="S35" s="29">
        <f t="shared" si="4"/>
        <v>7.9792839866537776E-2</v>
      </c>
    </row>
    <row r="36" spans="1:19" x14ac:dyDescent="0.2">
      <c r="A36" s="206">
        <f>'Monthly Data'!A36</f>
        <v>42675</v>
      </c>
      <c r="B36">
        <f>'Monthly Data'!C36</f>
        <v>11</v>
      </c>
      <c r="C36">
        <f>'Monthly Data'!B36</f>
        <v>2016</v>
      </c>
      <c r="D36" s="18">
        <f>'Monthly Data'!F36</f>
        <v>30154736.379422963</v>
      </c>
      <c r="E36" s="10">
        <f>'Monthly Data'!AG36</f>
        <v>283.76250000000005</v>
      </c>
      <c r="F36" s="98">
        <f>'Monthly Data'!AB36</f>
        <v>0</v>
      </c>
      <c r="G36">
        <f>'Monthly Data'!BO36</f>
        <v>30</v>
      </c>
      <c r="H36">
        <f>'Monthly Data'!BS36</f>
        <v>0</v>
      </c>
      <c r="I36">
        <f>'Monthly Data'!BK36</f>
        <v>1</v>
      </c>
      <c r="K36" s="17">
        <f>'Res Predicted Monthly'!$V$7</f>
        <v>-1956373.74241439</v>
      </c>
      <c r="L36" s="17">
        <f>E36*'Res Predicted Monthly'!$V$8</f>
        <v>7085335.2918197447</v>
      </c>
      <c r="M36" s="17">
        <f>F36*'Res Predicted Monthly'!$V$9</f>
        <v>0</v>
      </c>
      <c r="N36" s="17">
        <f>G36*'Res Predicted Monthly'!$V$10</f>
        <v>26540661.774392013</v>
      </c>
      <c r="O36" s="17">
        <f>H36*'Res Predicted Monthly'!$V$11</f>
        <v>0</v>
      </c>
      <c r="P36" s="17">
        <f>I36*'Res Predicted Monthly'!$V$12</f>
        <v>-1149094.2112539201</v>
      </c>
      <c r="Q36" s="17">
        <f t="shared" si="2"/>
        <v>30520529.112543449</v>
      </c>
      <c r="R36" s="17">
        <f t="shared" si="3"/>
        <v>365792.73312048614</v>
      </c>
      <c r="S36" s="29">
        <f t="shared" si="4"/>
        <v>1.2130523328670066E-2</v>
      </c>
    </row>
    <row r="37" spans="1:19" x14ac:dyDescent="0.2">
      <c r="A37" s="206">
        <f>'Monthly Data'!A37</f>
        <v>42705</v>
      </c>
      <c r="B37">
        <f>'Monthly Data'!C37</f>
        <v>12</v>
      </c>
      <c r="C37">
        <f>'Monthly Data'!B37</f>
        <v>2016</v>
      </c>
      <c r="D37" s="18">
        <f>'Monthly Data'!F37</f>
        <v>39354812.091523588</v>
      </c>
      <c r="E37" s="10">
        <f>'Monthly Data'!AG37</f>
        <v>596.79583333333335</v>
      </c>
      <c r="F37" s="98">
        <f>'Monthly Data'!AB37</f>
        <v>0</v>
      </c>
      <c r="G37">
        <f>'Monthly Data'!BO37</f>
        <v>31</v>
      </c>
      <c r="H37">
        <f>'Monthly Data'!BS37</f>
        <v>0</v>
      </c>
      <c r="I37">
        <f>'Monthly Data'!BK37</f>
        <v>0</v>
      </c>
      <c r="K37" s="17">
        <f>'Res Predicted Monthly'!$V$7</f>
        <v>-1956373.74241439</v>
      </c>
      <c r="L37" s="17">
        <f>E37*'Res Predicted Monthly'!$V$8</f>
        <v>14901541.18295279</v>
      </c>
      <c r="M37" s="17">
        <f>F37*'Res Predicted Monthly'!$V$9</f>
        <v>0</v>
      </c>
      <c r="N37" s="17">
        <f>G37*'Res Predicted Monthly'!$V$10</f>
        <v>27425350.500205077</v>
      </c>
      <c r="O37" s="17">
        <f>H37*'Res Predicted Monthly'!$V$11</f>
        <v>0</v>
      </c>
      <c r="P37" s="17">
        <f>I37*'Res Predicted Monthly'!$V$12</f>
        <v>0</v>
      </c>
      <c r="Q37" s="17">
        <f t="shared" si="2"/>
        <v>40370517.940743476</v>
      </c>
      <c r="R37" s="17">
        <f t="shared" si="3"/>
        <v>1015705.8492198884</v>
      </c>
      <c r="S37" s="29">
        <f t="shared" si="4"/>
        <v>2.5808936575729594E-2</v>
      </c>
    </row>
    <row r="38" spans="1:19" x14ac:dyDescent="0.2">
      <c r="A38" s="206">
        <f>'Monthly Data'!A38</f>
        <v>42736</v>
      </c>
      <c r="B38">
        <f>'Monthly Data'!C38</f>
        <v>1</v>
      </c>
      <c r="C38">
        <f>'Monthly Data'!B38</f>
        <v>2017</v>
      </c>
      <c r="D38" s="18">
        <f>'Monthly Data'!F38</f>
        <v>40174272.583988234</v>
      </c>
      <c r="E38" s="10">
        <f>'Monthly Data'!AG38</f>
        <v>602.22916666666686</v>
      </c>
      <c r="F38" s="98">
        <f>'Monthly Data'!AB38</f>
        <v>0</v>
      </c>
      <c r="G38">
        <f>'Monthly Data'!BO38</f>
        <v>31</v>
      </c>
      <c r="H38">
        <f>'Monthly Data'!BS38</f>
        <v>0</v>
      </c>
      <c r="I38">
        <f>'Monthly Data'!BK38</f>
        <v>0</v>
      </c>
      <c r="K38" s="17">
        <f>'Res Predicted Monthly'!$V$7</f>
        <v>-1956373.74241439</v>
      </c>
      <c r="L38" s="17">
        <f>E38*'Res Predicted Monthly'!$V$8</f>
        <v>15037207.412348459</v>
      </c>
      <c r="M38" s="17">
        <f>F38*'Res Predicted Monthly'!$V$9</f>
        <v>0</v>
      </c>
      <c r="N38" s="17">
        <f>G38*'Res Predicted Monthly'!$V$10</f>
        <v>27425350.500205077</v>
      </c>
      <c r="O38" s="17">
        <f>H38*'Res Predicted Monthly'!$V$11</f>
        <v>0</v>
      </c>
      <c r="P38" s="17">
        <f>I38*'Res Predicted Monthly'!$V$12</f>
        <v>0</v>
      </c>
      <c r="Q38" s="17">
        <f t="shared" si="2"/>
        <v>40506184.170139149</v>
      </c>
      <c r="R38" s="17">
        <f t="shared" si="3"/>
        <v>331911.58615091443</v>
      </c>
      <c r="S38" s="29">
        <f t="shared" si="4"/>
        <v>8.2617945466721496E-3</v>
      </c>
    </row>
    <row r="39" spans="1:19" x14ac:dyDescent="0.2">
      <c r="A39" s="206">
        <f>'Monthly Data'!A39</f>
        <v>42767</v>
      </c>
      <c r="B39">
        <f>'Monthly Data'!C39</f>
        <v>2</v>
      </c>
      <c r="C39">
        <f>'Monthly Data'!B39</f>
        <v>2017</v>
      </c>
      <c r="D39" s="18">
        <f>'Monthly Data'!F39</f>
        <v>35385413.861019395</v>
      </c>
      <c r="E39" s="10">
        <f>'Monthly Data'!AG39</f>
        <v>531.37916666666683</v>
      </c>
      <c r="F39" s="98">
        <f>'Monthly Data'!AB39</f>
        <v>0</v>
      </c>
      <c r="G39">
        <f>'Monthly Data'!BO39</f>
        <v>28</v>
      </c>
      <c r="H39">
        <f>'Monthly Data'!BS39</f>
        <v>0</v>
      </c>
      <c r="I39">
        <f>'Monthly Data'!BK39</f>
        <v>0</v>
      </c>
      <c r="K39" s="17">
        <f>'Res Predicted Monthly'!$V$7</f>
        <v>-1956373.74241439</v>
      </c>
      <c r="L39" s="17">
        <f>E39*'Res Predicted Monthly'!$V$8</f>
        <v>13268136.427192107</v>
      </c>
      <c r="M39" s="17">
        <f>F39*'Res Predicted Monthly'!$V$9</f>
        <v>0</v>
      </c>
      <c r="N39" s="17">
        <f>G39*'Res Predicted Monthly'!$V$10</f>
        <v>24771284.322765879</v>
      </c>
      <c r="O39" s="17">
        <f>H39*'Res Predicted Monthly'!$V$11</f>
        <v>0</v>
      </c>
      <c r="P39" s="17">
        <f>I39*'Res Predicted Monthly'!$V$12</f>
        <v>0</v>
      </c>
      <c r="Q39" s="17">
        <f t="shared" si="2"/>
        <v>36083047.007543594</v>
      </c>
      <c r="R39" s="17">
        <f t="shared" si="3"/>
        <v>697633.14652419835</v>
      </c>
      <c r="S39" s="29">
        <f t="shared" si="4"/>
        <v>1.9715274470555554E-2</v>
      </c>
    </row>
    <row r="40" spans="1:19" x14ac:dyDescent="0.2">
      <c r="A40" s="206">
        <f>'Monthly Data'!A40</f>
        <v>42795</v>
      </c>
      <c r="B40">
        <f>'Monthly Data'!C40</f>
        <v>3</v>
      </c>
      <c r="C40">
        <f>'Monthly Data'!B40</f>
        <v>2017</v>
      </c>
      <c r="D40" s="18">
        <f>'Monthly Data'!F40</f>
        <v>36573863.20518063</v>
      </c>
      <c r="E40" s="10">
        <f>'Monthly Data'!AG40</f>
        <v>579.80416666666656</v>
      </c>
      <c r="F40" s="98">
        <f>'Monthly Data'!AB40</f>
        <v>0</v>
      </c>
      <c r="G40">
        <f>'Monthly Data'!BO40</f>
        <v>31</v>
      </c>
      <c r="H40">
        <f>'Monthly Data'!BS40</f>
        <v>0</v>
      </c>
      <c r="I40">
        <f>'Monthly Data'!BK40</f>
        <v>1</v>
      </c>
      <c r="K40" s="17">
        <f>'Res Predicted Monthly'!$V$7</f>
        <v>-1956373.74241439</v>
      </c>
      <c r="L40" s="17">
        <f>E40*'Res Predicted Monthly'!$V$8</f>
        <v>14477272.100532908</v>
      </c>
      <c r="M40" s="17">
        <f>F40*'Res Predicted Monthly'!$V$9</f>
        <v>0</v>
      </c>
      <c r="N40" s="17">
        <f>G40*'Res Predicted Monthly'!$V$10</f>
        <v>27425350.500205077</v>
      </c>
      <c r="O40" s="17">
        <f>H40*'Res Predicted Monthly'!$V$11</f>
        <v>0</v>
      </c>
      <c r="P40" s="17">
        <f>I40*'Res Predicted Monthly'!$V$12</f>
        <v>-1149094.2112539201</v>
      </c>
      <c r="Q40" s="17">
        <f t="shared" si="2"/>
        <v>38797154.647069678</v>
      </c>
      <c r="R40" s="17">
        <f t="shared" si="3"/>
        <v>2223291.4418890476</v>
      </c>
      <c r="S40" s="29">
        <f t="shared" si="4"/>
        <v>6.0789078512606287E-2</v>
      </c>
    </row>
    <row r="41" spans="1:19" x14ac:dyDescent="0.2">
      <c r="A41" s="206">
        <f>'Monthly Data'!A41</f>
        <v>42826</v>
      </c>
      <c r="B41">
        <f>'Monthly Data'!C41</f>
        <v>4</v>
      </c>
      <c r="C41">
        <f>'Monthly Data'!B41</f>
        <v>2017</v>
      </c>
      <c r="D41" s="18">
        <f>'Monthly Data'!F41</f>
        <v>29225148.14688924</v>
      </c>
      <c r="E41" s="10">
        <f>'Monthly Data'!AG41</f>
        <v>236.36666666666676</v>
      </c>
      <c r="F41" s="98">
        <f>'Monthly Data'!AB41</f>
        <v>0</v>
      </c>
      <c r="G41">
        <f>'Monthly Data'!BO41</f>
        <v>30</v>
      </c>
      <c r="H41">
        <f>'Monthly Data'!BS41</f>
        <v>0</v>
      </c>
      <c r="I41">
        <f>'Monthly Data'!BK41</f>
        <v>1</v>
      </c>
      <c r="K41" s="17">
        <f>'Res Predicted Monthly'!$V$7</f>
        <v>-1956373.74241439</v>
      </c>
      <c r="L41" s="17">
        <f>E41*'Res Predicted Monthly'!$V$8</f>
        <v>5901897.1327893129</v>
      </c>
      <c r="M41" s="17">
        <f>F41*'Res Predicted Monthly'!$V$9</f>
        <v>0</v>
      </c>
      <c r="N41" s="17">
        <f>G41*'Res Predicted Monthly'!$V$10</f>
        <v>26540661.774392013</v>
      </c>
      <c r="O41" s="17">
        <f>H41*'Res Predicted Monthly'!$V$11</f>
        <v>0</v>
      </c>
      <c r="P41" s="17">
        <f>I41*'Res Predicted Monthly'!$V$12</f>
        <v>-1149094.2112539201</v>
      </c>
      <c r="Q41" s="17">
        <f t="shared" si="2"/>
        <v>29337090.953513019</v>
      </c>
      <c r="R41" s="17">
        <f t="shared" si="3"/>
        <v>111942.80662377924</v>
      </c>
      <c r="S41" s="29">
        <f t="shared" si="4"/>
        <v>3.8303589107963024E-3</v>
      </c>
    </row>
    <row r="42" spans="1:19" x14ac:dyDescent="0.2">
      <c r="A42" s="206">
        <f>'Monthly Data'!A42</f>
        <v>42856</v>
      </c>
      <c r="B42">
        <f>'Monthly Data'!C42</f>
        <v>5</v>
      </c>
      <c r="C42">
        <f>'Monthly Data'!B42</f>
        <v>2017</v>
      </c>
      <c r="D42" s="18">
        <f>'Monthly Data'!F42</f>
        <v>25362616.954719719</v>
      </c>
      <c r="E42" s="10">
        <f>'Monthly Data'!AG42</f>
        <v>90.116666666666674</v>
      </c>
      <c r="F42" s="98">
        <f>'Monthly Data'!AB42</f>
        <v>1.9583333333333321</v>
      </c>
      <c r="G42">
        <f>'Monthly Data'!BO42</f>
        <v>31</v>
      </c>
      <c r="H42">
        <f>'Monthly Data'!BS42</f>
        <v>0</v>
      </c>
      <c r="I42">
        <f>'Monthly Data'!BK42</f>
        <v>1</v>
      </c>
      <c r="K42" s="17">
        <f>'Res Predicted Monthly'!$V$7</f>
        <v>-1956373.74241439</v>
      </c>
      <c r="L42" s="17">
        <f>E42*'Res Predicted Monthly'!$V$8</f>
        <v>2250145.0992096886</v>
      </c>
      <c r="M42" s="17">
        <f>F42*'Res Predicted Monthly'!$V$9</f>
        <v>103129.50978103827</v>
      </c>
      <c r="N42" s="17">
        <f>G42*'Res Predicted Monthly'!$V$10</f>
        <v>27425350.500205077</v>
      </c>
      <c r="O42" s="17">
        <f>H42*'Res Predicted Monthly'!$V$11</f>
        <v>0</v>
      </c>
      <c r="P42" s="17">
        <f>I42*'Res Predicted Monthly'!$V$12</f>
        <v>-1149094.2112539201</v>
      </c>
      <c r="Q42" s="17">
        <f t="shared" si="2"/>
        <v>26673157.155527495</v>
      </c>
      <c r="R42" s="17">
        <f t="shared" si="3"/>
        <v>1310540.2008077763</v>
      </c>
      <c r="S42" s="29">
        <f t="shared" si="4"/>
        <v>5.1672120552366675E-2</v>
      </c>
    </row>
    <row r="43" spans="1:19" x14ac:dyDescent="0.2">
      <c r="A43" s="206">
        <f>'Monthly Data'!A43</f>
        <v>42887</v>
      </c>
      <c r="B43">
        <f>'Monthly Data'!C43</f>
        <v>6</v>
      </c>
      <c r="C43">
        <f>'Monthly Data'!B43</f>
        <v>2017</v>
      </c>
      <c r="D43" s="18">
        <f>'Monthly Data'!F43</f>
        <v>23651666.519475527</v>
      </c>
      <c r="E43" s="10">
        <f>'Monthly Data'!AG43</f>
        <v>4.0458333333333361</v>
      </c>
      <c r="F43" s="98">
        <f>'Monthly Data'!AB43</f>
        <v>11.541666666666657</v>
      </c>
      <c r="G43">
        <f>'Monthly Data'!BO43</f>
        <v>30</v>
      </c>
      <c r="H43">
        <f>'Monthly Data'!BS43</f>
        <v>0</v>
      </c>
      <c r="I43">
        <f>'Monthly Data'!BK43</f>
        <v>0</v>
      </c>
      <c r="K43" s="17">
        <f>'Res Predicted Monthly'!$V$7</f>
        <v>-1956373.74241439</v>
      </c>
      <c r="L43" s="17">
        <f>E43*'Res Predicted Monthly'!$V$8</f>
        <v>101021.4024104221</v>
      </c>
      <c r="M43" s="17">
        <f>F43*'Res Predicted Monthly'!$V$9</f>
        <v>607805.83424143819</v>
      </c>
      <c r="N43" s="17">
        <f>G43*'Res Predicted Monthly'!$V$10</f>
        <v>26540661.774392013</v>
      </c>
      <c r="O43" s="17">
        <f>H43*'Res Predicted Monthly'!$V$11</f>
        <v>0</v>
      </c>
      <c r="P43" s="17">
        <f>I43*'Res Predicted Monthly'!$V$12</f>
        <v>0</v>
      </c>
      <c r="Q43" s="17">
        <f t="shared" si="2"/>
        <v>25293115.268629484</v>
      </c>
      <c r="R43" s="17">
        <f t="shared" si="3"/>
        <v>1641448.7491539568</v>
      </c>
      <c r="S43" s="29">
        <f t="shared" si="4"/>
        <v>6.9400976366816955E-2</v>
      </c>
    </row>
    <row r="44" spans="1:19" x14ac:dyDescent="0.2">
      <c r="A44" s="206">
        <f>'Monthly Data'!A44</f>
        <v>42917</v>
      </c>
      <c r="B44">
        <f>'Monthly Data'!C44</f>
        <v>7</v>
      </c>
      <c r="C44">
        <f>'Monthly Data'!B44</f>
        <v>2017</v>
      </c>
      <c r="D44" s="18">
        <f>'Monthly Data'!F44</f>
        <v>25687567.091892406</v>
      </c>
      <c r="E44" s="10">
        <f>'Monthly Data'!AG44</f>
        <v>0</v>
      </c>
      <c r="F44" s="98">
        <f>'Monthly Data'!AB44</f>
        <v>31.645833333333339</v>
      </c>
      <c r="G44">
        <f>'Monthly Data'!BO44</f>
        <v>31</v>
      </c>
      <c r="H44">
        <f>'Monthly Data'!BS44</f>
        <v>0</v>
      </c>
      <c r="I44">
        <f>'Monthly Data'!BK44</f>
        <v>0</v>
      </c>
      <c r="K44" s="17">
        <f>'Res Predicted Monthly'!$V$7</f>
        <v>-1956373.74241439</v>
      </c>
      <c r="L44" s="17">
        <f>E44*'Res Predicted Monthly'!$V$8</f>
        <v>0</v>
      </c>
      <c r="M44" s="17">
        <f>F44*'Res Predicted Monthly'!$V$9</f>
        <v>1666528.9931638008</v>
      </c>
      <c r="N44" s="17">
        <f>G44*'Res Predicted Monthly'!$V$10</f>
        <v>27425350.500205077</v>
      </c>
      <c r="O44" s="17">
        <f>H44*'Res Predicted Monthly'!$V$11</f>
        <v>0</v>
      </c>
      <c r="P44" s="17">
        <f>I44*'Res Predicted Monthly'!$V$12</f>
        <v>0</v>
      </c>
      <c r="Q44" s="17">
        <f t="shared" si="2"/>
        <v>27135505.750954486</v>
      </c>
      <c r="R44" s="17">
        <f t="shared" si="3"/>
        <v>1447938.6590620801</v>
      </c>
      <c r="S44" s="29">
        <f t="shared" si="4"/>
        <v>5.6367294492403804E-2</v>
      </c>
    </row>
    <row r="45" spans="1:19" x14ac:dyDescent="0.2">
      <c r="A45" s="206">
        <f>'Monthly Data'!A45</f>
        <v>42948</v>
      </c>
      <c r="B45">
        <f>'Monthly Data'!C45</f>
        <v>8</v>
      </c>
      <c r="C45">
        <f>'Monthly Data'!B45</f>
        <v>2017</v>
      </c>
      <c r="D45" s="18">
        <f>'Monthly Data'!F45</f>
        <v>24822990.21198979</v>
      </c>
      <c r="E45" s="10">
        <f>'Monthly Data'!AG45</f>
        <v>2.2291666666666643</v>
      </c>
      <c r="F45" s="98">
        <f>'Monthly Data'!AB45</f>
        <v>10.208333333333339</v>
      </c>
      <c r="G45">
        <f>'Monthly Data'!BO45</f>
        <v>31</v>
      </c>
      <c r="H45">
        <f>'Monthly Data'!BS45</f>
        <v>0</v>
      </c>
      <c r="I45">
        <f>'Monthly Data'!BK45</f>
        <v>0</v>
      </c>
      <c r="K45" s="17">
        <f>'Res Predicted Monthly'!$V$7</f>
        <v>-1956373.74241439</v>
      </c>
      <c r="L45" s="17">
        <f>E45*'Res Predicted Monthly'!$V$8</f>
        <v>55660.607919233502</v>
      </c>
      <c r="M45" s="17">
        <f>F45*'Res Predicted Monthly'!$V$9</f>
        <v>537589.99779477459</v>
      </c>
      <c r="N45" s="17">
        <f>G45*'Res Predicted Monthly'!$V$10</f>
        <v>27425350.500205077</v>
      </c>
      <c r="O45" s="17">
        <f>H45*'Res Predicted Monthly'!$V$11</f>
        <v>0</v>
      </c>
      <c r="P45" s="17">
        <f>I45*'Res Predicted Monthly'!$V$12</f>
        <v>0</v>
      </c>
      <c r="Q45" s="17">
        <f t="shared" si="2"/>
        <v>26062227.363504697</v>
      </c>
      <c r="R45" s="17">
        <f t="shared" si="3"/>
        <v>1239237.1515149064</v>
      </c>
      <c r="S45" s="29">
        <f t="shared" si="4"/>
        <v>4.9922960164418093E-2</v>
      </c>
    </row>
    <row r="46" spans="1:19" x14ac:dyDescent="0.2">
      <c r="A46" s="206">
        <f>'Monthly Data'!A46</f>
        <v>42979</v>
      </c>
      <c r="B46">
        <f>'Monthly Data'!C46</f>
        <v>9</v>
      </c>
      <c r="C46">
        <f>'Monthly Data'!B46</f>
        <v>2017</v>
      </c>
      <c r="D46" s="18">
        <f>'Monthly Data'!F46</f>
        <v>24260809.784453958</v>
      </c>
      <c r="E46" s="10">
        <f>'Monthly Data'!AG46</f>
        <v>24.054166666666667</v>
      </c>
      <c r="F46" s="98">
        <f>'Monthly Data'!AB46</f>
        <v>25.850000000000005</v>
      </c>
      <c r="G46">
        <f>'Monthly Data'!BO46</f>
        <v>30</v>
      </c>
      <c r="H46">
        <f>'Monthly Data'!BS46</f>
        <v>0</v>
      </c>
      <c r="I46">
        <f>'Monthly Data'!BK46</f>
        <v>1</v>
      </c>
      <c r="K46" s="17">
        <f>'Res Predicted Monthly'!$V$7</f>
        <v>-1956373.74241439</v>
      </c>
      <c r="L46" s="17">
        <f>E46*'Res Predicted Monthly'!$V$8</f>
        <v>600614.37293034641</v>
      </c>
      <c r="M46" s="17">
        <f>F46*'Res Predicted Monthly'!$V$9</f>
        <v>1361309.5291097064</v>
      </c>
      <c r="N46" s="17">
        <f>G46*'Res Predicted Monthly'!$V$10</f>
        <v>26540661.774392013</v>
      </c>
      <c r="O46" s="17">
        <f>H46*'Res Predicted Monthly'!$V$11</f>
        <v>0</v>
      </c>
      <c r="P46" s="17">
        <f>I46*'Res Predicted Monthly'!$V$12</f>
        <v>-1149094.2112539201</v>
      </c>
      <c r="Q46" s="17">
        <f t="shared" si="2"/>
        <v>25397117.722763758</v>
      </c>
      <c r="R46" s="17">
        <f t="shared" si="3"/>
        <v>1136307.9383097999</v>
      </c>
      <c r="S46" s="29">
        <f t="shared" si="4"/>
        <v>4.6837180968210414E-2</v>
      </c>
    </row>
    <row r="47" spans="1:19" x14ac:dyDescent="0.2">
      <c r="A47" s="206">
        <f>'Monthly Data'!A47</f>
        <v>43009</v>
      </c>
      <c r="B47">
        <f>'Monthly Data'!C47</f>
        <v>10</v>
      </c>
      <c r="C47">
        <f>'Monthly Data'!B47</f>
        <v>2017</v>
      </c>
      <c r="D47" s="18">
        <f>'Monthly Data'!F47</f>
        <v>26789305.491885893</v>
      </c>
      <c r="E47" s="10">
        <f>'Monthly Data'!AG47</f>
        <v>102.87708333333335</v>
      </c>
      <c r="F47" s="98">
        <f>'Monthly Data'!AB47</f>
        <v>0</v>
      </c>
      <c r="G47">
        <f>'Monthly Data'!BO47</f>
        <v>31</v>
      </c>
      <c r="H47">
        <f>'Monthly Data'!BS47</f>
        <v>0</v>
      </c>
      <c r="I47">
        <f>'Monthly Data'!BK47</f>
        <v>1</v>
      </c>
      <c r="K47" s="17">
        <f>'Res Predicted Monthly'!$V$7</f>
        <v>-1956373.74241439</v>
      </c>
      <c r="L47" s="17">
        <f>E47*'Res Predicted Monthly'!$V$8</f>
        <v>2568763.065102498</v>
      </c>
      <c r="M47" s="17">
        <f>F47*'Res Predicted Monthly'!$V$9</f>
        <v>0</v>
      </c>
      <c r="N47" s="17">
        <f>G47*'Res Predicted Monthly'!$V$10</f>
        <v>27425350.500205077</v>
      </c>
      <c r="O47" s="17">
        <f>H47*'Res Predicted Monthly'!$V$11</f>
        <v>0</v>
      </c>
      <c r="P47" s="17">
        <f>I47*'Res Predicted Monthly'!$V$12</f>
        <v>-1149094.2112539201</v>
      </c>
      <c r="Q47" s="17">
        <f t="shared" si="2"/>
        <v>26888645.611639265</v>
      </c>
      <c r="R47" s="17">
        <f t="shared" si="3"/>
        <v>99340.119753371924</v>
      </c>
      <c r="S47" s="29">
        <f t="shared" si="4"/>
        <v>3.7082006393730758E-3</v>
      </c>
    </row>
    <row r="48" spans="1:19" x14ac:dyDescent="0.2">
      <c r="A48" s="206">
        <f>'Monthly Data'!A48</f>
        <v>43040</v>
      </c>
      <c r="B48">
        <f>'Monthly Data'!C48</f>
        <v>11</v>
      </c>
      <c r="C48">
        <f>'Monthly Data'!B48</f>
        <v>2017</v>
      </c>
      <c r="D48" s="18">
        <f>'Monthly Data'!F48</f>
        <v>33472091.689021043</v>
      </c>
      <c r="E48" s="10">
        <f>'Monthly Data'!AG48</f>
        <v>428.26250000000005</v>
      </c>
      <c r="F48" s="98">
        <f>'Monthly Data'!AB48</f>
        <v>0</v>
      </c>
      <c r="G48">
        <f>'Monthly Data'!BO48</f>
        <v>30</v>
      </c>
      <c r="H48">
        <f>'Monthly Data'!BS48</f>
        <v>0</v>
      </c>
      <c r="I48">
        <f>'Monthly Data'!BK48</f>
        <v>1</v>
      </c>
      <c r="K48" s="17">
        <f>'Res Predicted Monthly'!$V$7</f>
        <v>-1956373.74241439</v>
      </c>
      <c r="L48" s="17">
        <f>E48*'Res Predicted Monthly'!$V$8</f>
        <v>10693391.147219783</v>
      </c>
      <c r="M48" s="17">
        <f>F48*'Res Predicted Monthly'!$V$9</f>
        <v>0</v>
      </c>
      <c r="N48" s="17">
        <f>G48*'Res Predicted Monthly'!$V$10</f>
        <v>26540661.774392013</v>
      </c>
      <c r="O48" s="17">
        <f>H48*'Res Predicted Monthly'!$V$11</f>
        <v>0</v>
      </c>
      <c r="P48" s="17">
        <f>I48*'Res Predicted Monthly'!$V$12</f>
        <v>-1149094.2112539201</v>
      </c>
      <c r="Q48" s="17">
        <f t="shared" si="2"/>
        <v>34128584.967943482</v>
      </c>
      <c r="R48" s="17">
        <f t="shared" si="3"/>
        <v>656493.27892243862</v>
      </c>
      <c r="S48" s="29">
        <f t="shared" si="4"/>
        <v>1.9613153698959621E-2</v>
      </c>
    </row>
    <row r="49" spans="1:19" x14ac:dyDescent="0.2">
      <c r="A49" s="206">
        <f>'Monthly Data'!A49</f>
        <v>43070</v>
      </c>
      <c r="B49">
        <f>'Monthly Data'!C49</f>
        <v>12</v>
      </c>
      <c r="C49">
        <f>'Monthly Data'!B49</f>
        <v>2017</v>
      </c>
      <c r="D49" s="18">
        <f>'Monthly Data'!F49</f>
        <v>44424054.277723424</v>
      </c>
      <c r="E49" s="10">
        <f>'Monthly Data'!AG49</f>
        <v>771.36249999999995</v>
      </c>
      <c r="F49" s="98">
        <f>'Monthly Data'!AB49</f>
        <v>0</v>
      </c>
      <c r="G49">
        <f>'Monthly Data'!BO49</f>
        <v>31</v>
      </c>
      <c r="H49">
        <f>'Monthly Data'!BS49</f>
        <v>0</v>
      </c>
      <c r="I49">
        <f>'Monthly Data'!BK49</f>
        <v>0</v>
      </c>
      <c r="K49" s="17">
        <f>'Res Predicted Monthly'!$V$7</f>
        <v>-1956373.74241439</v>
      </c>
      <c r="L49" s="17">
        <f>E49*'Res Predicted Monthly'!$V$8</f>
        <v>19260338.994885888</v>
      </c>
      <c r="M49" s="17">
        <f>F49*'Res Predicted Monthly'!$V$9</f>
        <v>0</v>
      </c>
      <c r="N49" s="17">
        <f>G49*'Res Predicted Monthly'!$V$10</f>
        <v>27425350.500205077</v>
      </c>
      <c r="O49" s="17">
        <f>H49*'Res Predicted Monthly'!$V$11</f>
        <v>0</v>
      </c>
      <c r="P49" s="17">
        <f>I49*'Res Predicted Monthly'!$V$12</f>
        <v>0</v>
      </c>
      <c r="Q49" s="17">
        <f t="shared" si="2"/>
        <v>44729315.752676576</v>
      </c>
      <c r="R49" s="17">
        <f t="shared" si="3"/>
        <v>305261.47495315224</v>
      </c>
      <c r="S49" s="29">
        <f t="shared" si="4"/>
        <v>6.8715357010138206E-3</v>
      </c>
    </row>
    <row r="50" spans="1:19" x14ac:dyDescent="0.2">
      <c r="A50" s="206">
        <f>'Monthly Data'!A50</f>
        <v>43101</v>
      </c>
      <c r="B50">
        <f>'Monthly Data'!C50</f>
        <v>1</v>
      </c>
      <c r="C50">
        <f>'Monthly Data'!B50</f>
        <v>2018</v>
      </c>
      <c r="D50" s="18">
        <f>'Monthly Data'!F50</f>
        <v>45520581.955199547</v>
      </c>
      <c r="E50" s="10">
        <f>'Monthly Data'!AG50</f>
        <v>729.3104166666667</v>
      </c>
      <c r="F50" s="98">
        <f>'Monthly Data'!AB50</f>
        <v>0</v>
      </c>
      <c r="G50">
        <f>'Monthly Data'!BO50</f>
        <v>31</v>
      </c>
      <c r="H50">
        <f>'Monthly Data'!BS50</f>
        <v>0</v>
      </c>
      <c r="I50">
        <f>'Monthly Data'!BK50</f>
        <v>0</v>
      </c>
      <c r="K50" s="17">
        <f>'Res Predicted Monthly'!$V$7</f>
        <v>-1956373.74241439</v>
      </c>
      <c r="L50" s="17">
        <f>E50*'Res Predicted Monthly'!$V$8</f>
        <v>18210330.237082407</v>
      </c>
      <c r="M50" s="17">
        <f>F50*'Res Predicted Monthly'!$V$9</f>
        <v>0</v>
      </c>
      <c r="N50" s="17">
        <f>G50*'Res Predicted Monthly'!$V$10</f>
        <v>27425350.500205077</v>
      </c>
      <c r="O50" s="17">
        <f>H50*'Res Predicted Monthly'!$V$11</f>
        <v>0</v>
      </c>
      <c r="P50" s="17">
        <f>I50*'Res Predicted Monthly'!$V$12</f>
        <v>0</v>
      </c>
      <c r="Q50" s="17">
        <f t="shared" si="2"/>
        <v>43679306.994873092</v>
      </c>
      <c r="R50" s="17">
        <f t="shared" si="3"/>
        <v>-1841274.9603264555</v>
      </c>
      <c r="S50" s="29">
        <f t="shared" si="4"/>
        <v>4.044928428504279E-2</v>
      </c>
    </row>
    <row r="51" spans="1:19" x14ac:dyDescent="0.2">
      <c r="A51" s="206">
        <f>'Monthly Data'!A51</f>
        <v>43132</v>
      </c>
      <c r="B51">
        <f>'Monthly Data'!C51</f>
        <v>2</v>
      </c>
      <c r="C51">
        <f>'Monthly Data'!B51</f>
        <v>2018</v>
      </c>
      <c r="D51" s="18">
        <f>'Monthly Data'!F51</f>
        <v>37472089.839686185</v>
      </c>
      <c r="E51" s="10">
        <f>'Monthly Data'!AG51</f>
        <v>593.08958333333339</v>
      </c>
      <c r="F51" s="98">
        <f>'Monthly Data'!AB51</f>
        <v>0</v>
      </c>
      <c r="G51">
        <f>'Monthly Data'!BO51</f>
        <v>28</v>
      </c>
      <c r="H51">
        <f>'Monthly Data'!BS51</f>
        <v>0</v>
      </c>
      <c r="I51">
        <f>'Monthly Data'!BK51</f>
        <v>0</v>
      </c>
      <c r="K51" s="17">
        <f>'Res Predicted Monthly'!$V$7</f>
        <v>-1956373.74241439</v>
      </c>
      <c r="L51" s="17">
        <f>E51*'Res Predicted Monthly'!$V$8</f>
        <v>14808998.919879597</v>
      </c>
      <c r="M51" s="17">
        <f>F51*'Res Predicted Monthly'!$V$9</f>
        <v>0</v>
      </c>
      <c r="N51" s="17">
        <f>G51*'Res Predicted Monthly'!$V$10</f>
        <v>24771284.322765879</v>
      </c>
      <c r="O51" s="17">
        <f>H51*'Res Predicted Monthly'!$V$11</f>
        <v>0</v>
      </c>
      <c r="P51" s="17">
        <f>I51*'Res Predicted Monthly'!$V$12</f>
        <v>0</v>
      </c>
      <c r="Q51" s="17">
        <f t="shared" si="2"/>
        <v>37623909.500231087</v>
      </c>
      <c r="R51" s="17">
        <f t="shared" si="3"/>
        <v>151819.66054490209</v>
      </c>
      <c r="S51" s="29">
        <f t="shared" si="4"/>
        <v>4.0515397244834722E-3</v>
      </c>
    </row>
    <row r="52" spans="1:19" x14ac:dyDescent="0.2">
      <c r="A52" s="206">
        <f>'Monthly Data'!A52</f>
        <v>43160</v>
      </c>
      <c r="B52">
        <f>'Monthly Data'!C52</f>
        <v>3</v>
      </c>
      <c r="C52">
        <f>'Monthly Data'!B52</f>
        <v>2018</v>
      </c>
      <c r="D52" s="18">
        <f>'Monthly Data'!F52</f>
        <v>36600167.801154256</v>
      </c>
      <c r="E52" s="10">
        <f>'Monthly Data'!AG52</f>
        <v>530.80624999999986</v>
      </c>
      <c r="F52" s="98">
        <f>'Monthly Data'!AB52</f>
        <v>0</v>
      </c>
      <c r="G52">
        <f>'Monthly Data'!BO52</f>
        <v>31</v>
      </c>
      <c r="H52">
        <f>'Monthly Data'!BS52</f>
        <v>0</v>
      </c>
      <c r="I52">
        <f>'Monthly Data'!BK52</f>
        <v>1</v>
      </c>
      <c r="K52" s="17">
        <f>'Res Predicted Monthly'!$V$7</f>
        <v>-1956373.74241439</v>
      </c>
      <c r="L52" s="17">
        <f>E52*'Res Predicted Monthly'!$V$8</f>
        <v>13253831.130764259</v>
      </c>
      <c r="M52" s="17">
        <f>F52*'Res Predicted Monthly'!$V$9</f>
        <v>0</v>
      </c>
      <c r="N52" s="17">
        <f>G52*'Res Predicted Monthly'!$V$10</f>
        <v>27425350.500205077</v>
      </c>
      <c r="O52" s="17">
        <f>H52*'Res Predicted Monthly'!$V$11</f>
        <v>0</v>
      </c>
      <c r="P52" s="17">
        <f>I52*'Res Predicted Monthly'!$V$12</f>
        <v>-1149094.2112539201</v>
      </c>
      <c r="Q52" s="17">
        <f t="shared" si="2"/>
        <v>37573713.677301027</v>
      </c>
      <c r="R52" s="17">
        <f t="shared" si="3"/>
        <v>973545.87614677101</v>
      </c>
      <c r="S52" s="29">
        <f t="shared" si="4"/>
        <v>2.6599492150854793E-2</v>
      </c>
    </row>
    <row r="53" spans="1:19" x14ac:dyDescent="0.2">
      <c r="A53" s="206">
        <f>'Monthly Data'!A53</f>
        <v>43191</v>
      </c>
      <c r="B53">
        <f>'Monthly Data'!C53</f>
        <v>4</v>
      </c>
      <c r="C53">
        <f>'Monthly Data'!B53</f>
        <v>2018</v>
      </c>
      <c r="D53" s="18">
        <f>'Monthly Data'!F53</f>
        <v>31766180.561929934</v>
      </c>
      <c r="E53" s="10">
        <f>'Monthly Data'!AG53</f>
        <v>396.60624999999999</v>
      </c>
      <c r="F53" s="98">
        <f>'Monthly Data'!AB53</f>
        <v>0</v>
      </c>
      <c r="G53">
        <f>'Monthly Data'!BO53</f>
        <v>30</v>
      </c>
      <c r="H53">
        <f>'Monthly Data'!BS53</f>
        <v>0</v>
      </c>
      <c r="I53">
        <f>'Monthly Data'!BK53</f>
        <v>1</v>
      </c>
      <c r="K53" s="17">
        <f>'Res Predicted Monthly'!$V$7</f>
        <v>-1956373.74241439</v>
      </c>
      <c r="L53" s="17">
        <f>E53*'Res Predicted Monthly'!$V$8</f>
        <v>9902958.4955069274</v>
      </c>
      <c r="M53" s="17">
        <f>F53*'Res Predicted Monthly'!$V$9</f>
        <v>0</v>
      </c>
      <c r="N53" s="17">
        <f>G53*'Res Predicted Monthly'!$V$10</f>
        <v>26540661.774392013</v>
      </c>
      <c r="O53" s="17">
        <f>H53*'Res Predicted Monthly'!$V$11</f>
        <v>0</v>
      </c>
      <c r="P53" s="17">
        <f>I53*'Res Predicted Monthly'!$V$12</f>
        <v>-1149094.2112539201</v>
      </c>
      <c r="Q53" s="17">
        <f t="shared" si="2"/>
        <v>33338152.316230632</v>
      </c>
      <c r="R53" s="17">
        <f t="shared" si="3"/>
        <v>1571971.7543006986</v>
      </c>
      <c r="S53" s="29">
        <f t="shared" si="4"/>
        <v>4.9485702293860991E-2</v>
      </c>
    </row>
    <row r="54" spans="1:19" x14ac:dyDescent="0.2">
      <c r="A54" s="206">
        <f>'Monthly Data'!A54</f>
        <v>43221</v>
      </c>
      <c r="B54">
        <f>'Monthly Data'!C54</f>
        <v>5</v>
      </c>
      <c r="C54">
        <f>'Monthly Data'!B54</f>
        <v>2018</v>
      </c>
      <c r="D54" s="18">
        <f>'Monthly Data'!F54</f>
        <v>26041589.172468107</v>
      </c>
      <c r="E54" s="10">
        <f>'Monthly Data'!AG54</f>
        <v>41.137500000000003</v>
      </c>
      <c r="F54" s="98">
        <f>'Monthly Data'!AB54</f>
        <v>14.637499999999996</v>
      </c>
      <c r="G54">
        <f>'Monthly Data'!BO54</f>
        <v>31</v>
      </c>
      <c r="H54">
        <f>'Monthly Data'!BS54</f>
        <v>0</v>
      </c>
      <c r="I54">
        <f>'Monthly Data'!BK54</f>
        <v>1</v>
      </c>
      <c r="K54" s="17">
        <f>'Res Predicted Monthly'!$V$7</f>
        <v>-1956373.74241439</v>
      </c>
      <c r="L54" s="17">
        <f>E54*'Res Predicted Monthly'!$V$8</f>
        <v>1027172.3027786785</v>
      </c>
      <c r="M54" s="17">
        <f>F54*'Res Predicted Monthly'!$V$9</f>
        <v>770838.22949103743</v>
      </c>
      <c r="N54" s="17">
        <f>G54*'Res Predicted Monthly'!$V$10</f>
        <v>27425350.500205077</v>
      </c>
      <c r="O54" s="17">
        <f>H54*'Res Predicted Monthly'!$V$11</f>
        <v>0</v>
      </c>
      <c r="P54" s="17">
        <f>I54*'Res Predicted Monthly'!$V$12</f>
        <v>-1149094.2112539201</v>
      </c>
      <c r="Q54" s="17">
        <f t="shared" si="2"/>
        <v>26117893.078806486</v>
      </c>
      <c r="R54" s="17">
        <f t="shared" si="3"/>
        <v>76303.906338378787</v>
      </c>
      <c r="S54" s="29">
        <f t="shared" si="4"/>
        <v>2.9300787226552746E-3</v>
      </c>
    </row>
    <row r="55" spans="1:19" x14ac:dyDescent="0.2">
      <c r="A55" s="206">
        <f>'Monthly Data'!A55</f>
        <v>43252</v>
      </c>
      <c r="B55">
        <f>'Monthly Data'!C55</f>
        <v>6</v>
      </c>
      <c r="C55">
        <f>'Monthly Data'!B55</f>
        <v>2018</v>
      </c>
      <c r="D55" s="18">
        <f>'Monthly Data'!F55</f>
        <v>26204691.073098194</v>
      </c>
      <c r="E55" s="10">
        <f>'Monthly Data'!AG55</f>
        <v>4.9208333333333307</v>
      </c>
      <c r="F55" s="98">
        <f>'Monthly Data'!AB55</f>
        <v>24.545833333333317</v>
      </c>
      <c r="G55">
        <f>'Monthly Data'!BO55</f>
        <v>30</v>
      </c>
      <c r="H55">
        <f>'Monthly Data'!BS55</f>
        <v>0</v>
      </c>
      <c r="I55">
        <f>'Monthly Data'!BK55</f>
        <v>0</v>
      </c>
      <c r="K55" s="17">
        <f>'Res Predicted Monthly'!$V$7</f>
        <v>-1956373.74241439</v>
      </c>
      <c r="L55" s="17">
        <f>E55*'Res Predicted Monthly'!$V$8</f>
        <v>122869.49150021457</v>
      </c>
      <c r="M55" s="17">
        <f>F55*'Res Predicted Monthly'!$V$9</f>
        <v>1292629.6640853116</v>
      </c>
      <c r="N55" s="17">
        <f>G55*'Res Predicted Monthly'!$V$10</f>
        <v>26540661.774392013</v>
      </c>
      <c r="O55" s="17">
        <f>H55*'Res Predicted Monthly'!$V$11</f>
        <v>0</v>
      </c>
      <c r="P55" s="17">
        <f>I55*'Res Predicted Monthly'!$V$12</f>
        <v>0</v>
      </c>
      <c r="Q55" s="17">
        <f t="shared" si="2"/>
        <v>25999787.187563147</v>
      </c>
      <c r="R55" s="17">
        <f t="shared" si="3"/>
        <v>-204903.88553504646</v>
      </c>
      <c r="S55" s="29">
        <f t="shared" si="4"/>
        <v>7.8193589446815242E-3</v>
      </c>
    </row>
    <row r="56" spans="1:19" x14ac:dyDescent="0.2">
      <c r="A56" s="206">
        <f>'Monthly Data'!A56</f>
        <v>43282</v>
      </c>
      <c r="B56">
        <f>'Monthly Data'!C56</f>
        <v>7</v>
      </c>
      <c r="C56">
        <f>'Monthly Data'!B56</f>
        <v>2018</v>
      </c>
      <c r="D56" s="18">
        <f>'Monthly Data'!F56</f>
        <v>29942956.550238851</v>
      </c>
      <c r="E56" s="10">
        <f>'Monthly Data'!AG56</f>
        <v>0</v>
      </c>
      <c r="F56" s="98">
        <f>'Monthly Data'!AB56</f>
        <v>91.926415489909644</v>
      </c>
      <c r="G56">
        <f>'Monthly Data'!BO56</f>
        <v>31</v>
      </c>
      <c r="H56">
        <f>'Monthly Data'!BS56</f>
        <v>0</v>
      </c>
      <c r="I56">
        <f>'Monthly Data'!BK56</f>
        <v>0</v>
      </c>
      <c r="K56" s="17">
        <f>'Res Predicted Monthly'!$V$7</f>
        <v>-1956373.74241439</v>
      </c>
      <c r="L56" s="17">
        <f>E56*'Res Predicted Monthly'!$V$8</f>
        <v>0</v>
      </c>
      <c r="M56" s="17">
        <f>F56*'Res Predicted Monthly'!$V$9</f>
        <v>4841017.6163757099</v>
      </c>
      <c r="N56" s="17">
        <f>G56*'Res Predicted Monthly'!$V$10</f>
        <v>27425350.500205077</v>
      </c>
      <c r="O56" s="17">
        <f>H56*'Res Predicted Monthly'!$V$11</f>
        <v>0</v>
      </c>
      <c r="P56" s="17">
        <f>I56*'Res Predicted Monthly'!$V$12</f>
        <v>0</v>
      </c>
      <c r="Q56" s="17">
        <f t="shared" si="2"/>
        <v>30309994.374166399</v>
      </c>
      <c r="R56" s="17">
        <f t="shared" si="3"/>
        <v>367037.82392754778</v>
      </c>
      <c r="S56" s="29">
        <f t="shared" si="4"/>
        <v>1.2257901897954695E-2</v>
      </c>
    </row>
    <row r="57" spans="1:19" x14ac:dyDescent="0.2">
      <c r="A57" s="206">
        <f>'Monthly Data'!A57</f>
        <v>43313</v>
      </c>
      <c r="B57">
        <f>'Monthly Data'!C57</f>
        <v>8</v>
      </c>
      <c r="C57">
        <f>'Monthly Data'!B57</f>
        <v>2018</v>
      </c>
      <c r="D57" s="18">
        <f>'Monthly Data'!F57</f>
        <v>28759316.024186172</v>
      </c>
      <c r="E57" s="10">
        <f>'Monthly Data'!AG57</f>
        <v>0</v>
      </c>
      <c r="F57" s="98">
        <f>'Monthly Data'!AB57</f>
        <v>56.750000000000014</v>
      </c>
      <c r="G57">
        <f>'Monthly Data'!BO57</f>
        <v>31</v>
      </c>
      <c r="H57">
        <f>'Monthly Data'!BS57</f>
        <v>0</v>
      </c>
      <c r="I57">
        <f>'Monthly Data'!BK57</f>
        <v>0</v>
      </c>
      <c r="K57" s="17">
        <f>'Res Predicted Monthly'!$V$7</f>
        <v>-1956373.74241439</v>
      </c>
      <c r="L57" s="17">
        <f>E57*'Res Predicted Monthly'!$V$8</f>
        <v>0</v>
      </c>
      <c r="M57" s="17">
        <f>F57*'Res Predicted Monthly'!$V$9</f>
        <v>2988561.5387611543</v>
      </c>
      <c r="N57" s="17">
        <f>G57*'Res Predicted Monthly'!$V$10</f>
        <v>27425350.500205077</v>
      </c>
      <c r="O57" s="17">
        <f>H57*'Res Predicted Monthly'!$V$11</f>
        <v>0</v>
      </c>
      <c r="P57" s="17">
        <f>I57*'Res Predicted Monthly'!$V$12</f>
        <v>0</v>
      </c>
      <c r="Q57" s="17">
        <f t="shared" si="2"/>
        <v>28457538.296551842</v>
      </c>
      <c r="R57" s="17">
        <f t="shared" si="3"/>
        <v>-301777.72763432935</v>
      </c>
      <c r="S57" s="29">
        <f t="shared" si="4"/>
        <v>1.0493216437433305E-2</v>
      </c>
    </row>
    <row r="58" spans="1:19" x14ac:dyDescent="0.2">
      <c r="A58" s="206">
        <f>'Monthly Data'!A58</f>
        <v>43344</v>
      </c>
      <c r="B58">
        <f>'Monthly Data'!C58</f>
        <v>9</v>
      </c>
      <c r="C58">
        <f>'Monthly Data'!B58</f>
        <v>2018</v>
      </c>
      <c r="D58" s="18">
        <f>'Monthly Data'!F58</f>
        <v>25634956.45174019</v>
      </c>
      <c r="E58" s="10">
        <f>'Monthly Data'!AG58</f>
        <v>39.441666666666656</v>
      </c>
      <c r="F58" s="98">
        <f>'Monthly Data'!AB58</f>
        <v>20.450000000000006</v>
      </c>
      <c r="G58">
        <f>'Monthly Data'!BO58</f>
        <v>30</v>
      </c>
      <c r="H58">
        <f>'Monthly Data'!BS58</f>
        <v>0</v>
      </c>
      <c r="I58">
        <f>'Monthly Data'!BK58</f>
        <v>1</v>
      </c>
      <c r="K58" s="17">
        <f>'Res Predicted Monthly'!$V$7</f>
        <v>-1956373.74241439</v>
      </c>
      <c r="L58" s="17">
        <f>E58*'Res Predicted Monthly'!$V$8</f>
        <v>984828.62535227055</v>
      </c>
      <c r="M58" s="17">
        <f>F58*'Res Predicted Monthly'!$V$9</f>
        <v>1076935.3915007156</v>
      </c>
      <c r="N58" s="17">
        <f>G58*'Res Predicted Monthly'!$V$10</f>
        <v>26540661.774392013</v>
      </c>
      <c r="O58" s="17">
        <f>H58*'Res Predicted Monthly'!$V$11</f>
        <v>0</v>
      </c>
      <c r="P58" s="17">
        <f>I58*'Res Predicted Monthly'!$V$12</f>
        <v>-1149094.2112539201</v>
      </c>
      <c r="Q58" s="17">
        <f t="shared" si="2"/>
        <v>25496957.837576691</v>
      </c>
      <c r="R58" s="17">
        <f t="shared" si="3"/>
        <v>-137998.61416349933</v>
      </c>
      <c r="S58" s="29">
        <f t="shared" si="4"/>
        <v>5.3832201518770866E-3</v>
      </c>
    </row>
    <row r="59" spans="1:19" x14ac:dyDescent="0.2">
      <c r="A59" s="206">
        <f>'Monthly Data'!A59</f>
        <v>43374</v>
      </c>
      <c r="B59">
        <f>'Monthly Data'!C59</f>
        <v>10</v>
      </c>
      <c r="C59">
        <f>'Monthly Data'!B59</f>
        <v>2018</v>
      </c>
      <c r="D59" s="18">
        <f>'Monthly Data'!F59</f>
        <v>29875577.738693967</v>
      </c>
      <c r="E59" s="10">
        <f>'Monthly Data'!AG59</f>
        <v>260.22916666666669</v>
      </c>
      <c r="F59" s="98">
        <f>'Monthly Data'!AB59</f>
        <v>0</v>
      </c>
      <c r="G59">
        <f>'Monthly Data'!BO59</f>
        <v>31</v>
      </c>
      <c r="H59">
        <f>'Monthly Data'!BS59</f>
        <v>0</v>
      </c>
      <c r="I59">
        <f>'Monthly Data'!BK59</f>
        <v>1</v>
      </c>
      <c r="K59" s="17">
        <f>'Res Predicted Monthly'!$V$7</f>
        <v>-1956373.74241439</v>
      </c>
      <c r="L59" s="17">
        <f>E59*'Res Predicted Monthly'!$V$8</f>
        <v>6497725.7338237986</v>
      </c>
      <c r="M59" s="17">
        <f>F59*'Res Predicted Monthly'!$V$9</f>
        <v>0</v>
      </c>
      <c r="N59" s="17">
        <f>G59*'Res Predicted Monthly'!$V$10</f>
        <v>27425350.500205077</v>
      </c>
      <c r="O59" s="17">
        <f>H59*'Res Predicted Monthly'!$V$11</f>
        <v>0</v>
      </c>
      <c r="P59" s="17">
        <f>I59*'Res Predicted Monthly'!$V$12</f>
        <v>-1149094.2112539201</v>
      </c>
      <c r="Q59" s="17">
        <f t="shared" si="2"/>
        <v>30817608.280360568</v>
      </c>
      <c r="R59" s="17">
        <f t="shared" si="3"/>
        <v>942030.54166660085</v>
      </c>
      <c r="S59" s="29">
        <f t="shared" si="4"/>
        <v>3.1531793289691287E-2</v>
      </c>
    </row>
    <row r="60" spans="1:19" x14ac:dyDescent="0.2">
      <c r="A60" s="206">
        <f>'Monthly Data'!A60</f>
        <v>43405</v>
      </c>
      <c r="B60">
        <f>'Monthly Data'!C60</f>
        <v>11</v>
      </c>
      <c r="C60">
        <f>'Monthly Data'!B60</f>
        <v>2018</v>
      </c>
      <c r="D60" s="18">
        <f>'Monthly Data'!F60</f>
        <v>35543400.996821858</v>
      </c>
      <c r="E60" s="10">
        <f>'Monthly Data'!AG60</f>
        <v>496.37708333333336</v>
      </c>
      <c r="F60" s="98">
        <f>'Monthly Data'!AB60</f>
        <v>0</v>
      </c>
      <c r="G60">
        <f>'Monthly Data'!BO60</f>
        <v>30</v>
      </c>
      <c r="H60">
        <f>'Monthly Data'!BS60</f>
        <v>0</v>
      </c>
      <c r="I60">
        <f>'Monthly Data'!BK60</f>
        <v>1</v>
      </c>
      <c r="K60" s="17">
        <f>'Res Predicted Monthly'!$V$7</f>
        <v>-1956373.74241439</v>
      </c>
      <c r="L60" s="17">
        <f>E60*'Res Predicted Monthly'!$V$8</f>
        <v>12394160.844340662</v>
      </c>
      <c r="M60" s="17">
        <f>F60*'Res Predicted Monthly'!$V$9</f>
        <v>0</v>
      </c>
      <c r="N60" s="17">
        <f>G60*'Res Predicted Monthly'!$V$10</f>
        <v>26540661.774392013</v>
      </c>
      <c r="O60" s="17">
        <f>H60*'Res Predicted Monthly'!$V$11</f>
        <v>0</v>
      </c>
      <c r="P60" s="17">
        <f>I60*'Res Predicted Monthly'!$V$12</f>
        <v>-1149094.2112539201</v>
      </c>
      <c r="Q60" s="17">
        <f t="shared" si="2"/>
        <v>35829354.665064365</v>
      </c>
      <c r="R60" s="17">
        <f t="shared" si="3"/>
        <v>285953.66824250668</v>
      </c>
      <c r="S60" s="29">
        <f t="shared" si="4"/>
        <v>8.0451971455425854E-3</v>
      </c>
    </row>
    <row r="61" spans="1:19" x14ac:dyDescent="0.2">
      <c r="A61" s="206">
        <f>'Monthly Data'!A61</f>
        <v>43435</v>
      </c>
      <c r="B61">
        <f>'Monthly Data'!C61</f>
        <v>12</v>
      </c>
      <c r="C61">
        <f>'Monthly Data'!B61</f>
        <v>2018</v>
      </c>
      <c r="D61" s="18">
        <f>'Monthly Data'!F61</f>
        <v>41267204.336152174</v>
      </c>
      <c r="E61" s="10">
        <f>'Monthly Data'!AG61</f>
        <v>598.44791666666663</v>
      </c>
      <c r="F61" s="98">
        <f>'Monthly Data'!AB61</f>
        <v>0</v>
      </c>
      <c r="G61">
        <f>'Monthly Data'!BO61</f>
        <v>31</v>
      </c>
      <c r="H61">
        <f>'Monthly Data'!BS61</f>
        <v>0</v>
      </c>
      <c r="I61">
        <f>'Monthly Data'!BK61</f>
        <v>0</v>
      </c>
      <c r="K61" s="17">
        <f>'Res Predicted Monthly'!$V$7</f>
        <v>-1956373.74241439</v>
      </c>
      <c r="L61" s="17">
        <f>E61*'Res Predicted Monthly'!$V$8</f>
        <v>14942792.455924705</v>
      </c>
      <c r="M61" s="17">
        <f>F61*'Res Predicted Monthly'!$V$9</f>
        <v>0</v>
      </c>
      <c r="N61" s="17">
        <f>G61*'Res Predicted Monthly'!$V$10</f>
        <v>27425350.500205077</v>
      </c>
      <c r="O61" s="17">
        <f>H61*'Res Predicted Monthly'!$V$11</f>
        <v>0</v>
      </c>
      <c r="P61" s="17">
        <f>I61*'Res Predicted Monthly'!$V$12</f>
        <v>0</v>
      </c>
      <c r="Q61" s="17">
        <f t="shared" si="2"/>
        <v>40411769.213715389</v>
      </c>
      <c r="R61" s="17">
        <f t="shared" si="3"/>
        <v>-855435.12243678421</v>
      </c>
      <c r="S61" s="29">
        <f t="shared" si="4"/>
        <v>2.0729175532915357E-2</v>
      </c>
    </row>
    <row r="62" spans="1:19" x14ac:dyDescent="0.2">
      <c r="A62" s="206">
        <f>'Monthly Data'!A62</f>
        <v>43466</v>
      </c>
      <c r="B62">
        <f>'Monthly Data'!C62</f>
        <v>1</v>
      </c>
      <c r="C62">
        <f>'Monthly Data'!B62</f>
        <v>2019</v>
      </c>
      <c r="D62" s="18">
        <f>'Monthly Data'!F62</f>
        <v>46349988.259634361</v>
      </c>
      <c r="E62" s="10">
        <f>'Monthly Data'!AG62</f>
        <v>861.23958333333326</v>
      </c>
      <c r="F62" s="98">
        <f>'Monthly Data'!AB62</f>
        <v>0</v>
      </c>
      <c r="G62">
        <f>'Monthly Data'!BO62</f>
        <v>31</v>
      </c>
      <c r="H62">
        <f>'Monthly Data'!BS62</f>
        <v>0</v>
      </c>
      <c r="I62">
        <f>'Monthly Data'!BK62</f>
        <v>0</v>
      </c>
      <c r="K62" s="17">
        <f>'Res Predicted Monthly'!$V$7</f>
        <v>-1956373.74241439</v>
      </c>
      <c r="L62" s="17">
        <f>E62*'Res Predicted Monthly'!$V$8</f>
        <v>21504501.879225753</v>
      </c>
      <c r="M62" s="17">
        <f>F62*'Res Predicted Monthly'!$V$9</f>
        <v>0</v>
      </c>
      <c r="N62" s="17">
        <f>G62*'Res Predicted Monthly'!$V$10</f>
        <v>27425350.500205077</v>
      </c>
      <c r="O62" s="17">
        <f>H62*'Res Predicted Monthly'!$V$11</f>
        <v>0</v>
      </c>
      <c r="P62" s="17">
        <f>I62*'Res Predicted Monthly'!$V$12</f>
        <v>0</v>
      </c>
      <c r="Q62" s="17">
        <f t="shared" si="2"/>
        <v>46973478.637016445</v>
      </c>
      <c r="R62" s="17">
        <f t="shared" si="3"/>
        <v>623490.37738208473</v>
      </c>
      <c r="S62" s="29">
        <f t="shared" si="4"/>
        <v>1.3451791484596231E-2</v>
      </c>
    </row>
    <row r="63" spans="1:19" x14ac:dyDescent="0.2">
      <c r="A63" s="206">
        <f>'Monthly Data'!A63</f>
        <v>43497</v>
      </c>
      <c r="B63">
        <f>'Monthly Data'!C63</f>
        <v>2</v>
      </c>
      <c r="C63">
        <f>'Monthly Data'!B63</f>
        <v>2019</v>
      </c>
      <c r="D63" s="18">
        <f>'Monthly Data'!F63</f>
        <v>40264271.143208794</v>
      </c>
      <c r="E63" s="10">
        <f>'Monthly Data'!AG63</f>
        <v>670.45833333333337</v>
      </c>
      <c r="F63" s="98">
        <f>'Monthly Data'!AB63</f>
        <v>0</v>
      </c>
      <c r="G63">
        <f>'Monthly Data'!BO63</f>
        <v>28</v>
      </c>
      <c r="H63">
        <f>'Monthly Data'!BS63</f>
        <v>0</v>
      </c>
      <c r="I63">
        <f>'Monthly Data'!BK63</f>
        <v>0</v>
      </c>
      <c r="K63" s="17">
        <f>'Res Predicted Monthly'!$V$7</f>
        <v>-1956373.74241439</v>
      </c>
      <c r="L63" s="17">
        <f>E63*'Res Predicted Monthly'!$V$8</f>
        <v>16740838.168754902</v>
      </c>
      <c r="M63" s="17">
        <f>F63*'Res Predicted Monthly'!$V$9</f>
        <v>0</v>
      </c>
      <c r="N63" s="17">
        <f>G63*'Res Predicted Monthly'!$V$10</f>
        <v>24771284.322765879</v>
      </c>
      <c r="O63" s="17">
        <f>H63*'Res Predicted Monthly'!$V$11</f>
        <v>0</v>
      </c>
      <c r="P63" s="17">
        <f>I63*'Res Predicted Monthly'!$V$12</f>
        <v>0</v>
      </c>
      <c r="Q63" s="17">
        <f t="shared" si="2"/>
        <v>39555748.749106392</v>
      </c>
      <c r="R63" s="17">
        <f t="shared" si="3"/>
        <v>-708522.39410240203</v>
      </c>
      <c r="S63" s="29">
        <f t="shared" si="4"/>
        <v>1.7596801680139329E-2</v>
      </c>
    </row>
    <row r="64" spans="1:19" x14ac:dyDescent="0.2">
      <c r="A64" s="206">
        <f>'Monthly Data'!A64</f>
        <v>43525</v>
      </c>
      <c r="B64">
        <f>'Monthly Data'!C64</f>
        <v>3</v>
      </c>
      <c r="C64">
        <f>'Monthly Data'!B64</f>
        <v>2019</v>
      </c>
      <c r="D64" s="18">
        <f>'Monthly Data'!F64</f>
        <v>38046077.156783223</v>
      </c>
      <c r="E64" s="10">
        <f>'Monthly Data'!AG64</f>
        <v>555.16666666666674</v>
      </c>
      <c r="F64" s="98">
        <f>'Monthly Data'!AB64</f>
        <v>0</v>
      </c>
      <c r="G64">
        <f>'Monthly Data'!BO64</f>
        <v>31</v>
      </c>
      <c r="H64">
        <f>'Monthly Data'!BS64</f>
        <v>0</v>
      </c>
      <c r="I64">
        <f>'Monthly Data'!BK64</f>
        <v>1</v>
      </c>
      <c r="K64" s="17">
        <f>'Res Predicted Monthly'!$V$7</f>
        <v>-1956373.74241439</v>
      </c>
      <c r="L64" s="17">
        <f>E64*'Res Predicted Monthly'!$V$8</f>
        <v>13862092.334876038</v>
      </c>
      <c r="M64" s="17">
        <f>F64*'Res Predicted Monthly'!$V$9</f>
        <v>0</v>
      </c>
      <c r="N64" s="17">
        <f>G64*'Res Predicted Monthly'!$V$10</f>
        <v>27425350.500205077</v>
      </c>
      <c r="O64" s="17">
        <f>H64*'Res Predicted Monthly'!$V$11</f>
        <v>0</v>
      </c>
      <c r="P64" s="17">
        <f>I64*'Res Predicted Monthly'!$V$12</f>
        <v>-1149094.2112539201</v>
      </c>
      <c r="Q64" s="17">
        <f t="shared" si="2"/>
        <v>38181974.881412804</v>
      </c>
      <c r="R64" s="17">
        <f t="shared" si="3"/>
        <v>135897.72462958097</v>
      </c>
      <c r="S64" s="29">
        <f t="shared" si="4"/>
        <v>3.5719247498122633E-3</v>
      </c>
    </row>
    <row r="65" spans="1:19" x14ac:dyDescent="0.2">
      <c r="A65" s="206">
        <f>'Monthly Data'!A65</f>
        <v>43556</v>
      </c>
      <c r="B65">
        <f>'Monthly Data'!C65</f>
        <v>4</v>
      </c>
      <c r="C65">
        <f>'Monthly Data'!B65</f>
        <v>2019</v>
      </c>
      <c r="D65" s="18">
        <f>'Monthly Data'!F65</f>
        <v>31820714.450357649</v>
      </c>
      <c r="E65" s="10">
        <f>'Monthly Data'!AG65</f>
        <v>307.67708333333331</v>
      </c>
      <c r="F65" s="98">
        <f>'Monthly Data'!AB65</f>
        <v>0</v>
      </c>
      <c r="G65">
        <f>'Monthly Data'!BO65</f>
        <v>30</v>
      </c>
      <c r="H65">
        <f>'Monthly Data'!BS65</f>
        <v>0</v>
      </c>
      <c r="I65">
        <f>'Monthly Data'!BK65</f>
        <v>1</v>
      </c>
      <c r="K65" s="17">
        <f>'Res Predicted Monthly'!$V$7</f>
        <v>-1956373.74241439</v>
      </c>
      <c r="L65" s="17">
        <f>E65*'Res Predicted Monthly'!$V$8</f>
        <v>7682464.3743476709</v>
      </c>
      <c r="M65" s="17">
        <f>F65*'Res Predicted Monthly'!$V$9</f>
        <v>0</v>
      </c>
      <c r="N65" s="17">
        <f>G65*'Res Predicted Monthly'!$V$10</f>
        <v>26540661.774392013</v>
      </c>
      <c r="O65" s="17">
        <f>H65*'Res Predicted Monthly'!$V$11</f>
        <v>0</v>
      </c>
      <c r="P65" s="17">
        <f>I65*'Res Predicted Monthly'!$V$12</f>
        <v>-1149094.2112539201</v>
      </c>
      <c r="Q65" s="17">
        <f t="shared" si="2"/>
        <v>31117658.195071377</v>
      </c>
      <c r="R65" s="17">
        <f t="shared" si="3"/>
        <v>-703056.25528627262</v>
      </c>
      <c r="S65" s="29">
        <f t="shared" si="4"/>
        <v>2.2094295097713327E-2</v>
      </c>
    </row>
    <row r="66" spans="1:19" x14ac:dyDescent="0.2">
      <c r="A66" s="206">
        <f>'Monthly Data'!A66</f>
        <v>43586</v>
      </c>
      <c r="B66">
        <f>'Monthly Data'!C66</f>
        <v>5</v>
      </c>
      <c r="C66">
        <f>'Monthly Data'!B66</f>
        <v>2019</v>
      </c>
      <c r="D66" s="18">
        <f>'Monthly Data'!F66</f>
        <v>26566440.643932082</v>
      </c>
      <c r="E66" s="10">
        <f>'Monthly Data'!AG66</f>
        <v>108.52291666666665</v>
      </c>
      <c r="F66" s="98">
        <f>'Monthly Data'!AB66</f>
        <v>0</v>
      </c>
      <c r="G66">
        <f>'Monthly Data'!BO66</f>
        <v>31</v>
      </c>
      <c r="H66">
        <f>'Monthly Data'!BS66</f>
        <v>0</v>
      </c>
      <c r="I66">
        <f>'Monthly Data'!BK66</f>
        <v>1</v>
      </c>
      <c r="K66" s="17">
        <f>'Res Predicted Monthly'!$V$7</f>
        <v>-1956373.74241439</v>
      </c>
      <c r="L66" s="17">
        <f>E66*'Res Predicted Monthly'!$V$8</f>
        <v>2709735.258991397</v>
      </c>
      <c r="M66" s="17">
        <f>F66*'Res Predicted Monthly'!$V$9</f>
        <v>0</v>
      </c>
      <c r="N66" s="17">
        <f>G66*'Res Predicted Monthly'!$V$10</f>
        <v>27425350.500205077</v>
      </c>
      <c r="O66" s="17">
        <f>H66*'Res Predicted Monthly'!$V$11</f>
        <v>0</v>
      </c>
      <c r="P66" s="17">
        <f>I66*'Res Predicted Monthly'!$V$12</f>
        <v>-1149094.2112539201</v>
      </c>
      <c r="Q66" s="17">
        <f t="shared" si="2"/>
        <v>27029617.805528164</v>
      </c>
      <c r="R66" s="17">
        <f t="shared" ref="R66:R97" si="5">Q66-D66</f>
        <v>463177.16159608215</v>
      </c>
      <c r="S66" s="29">
        <f t="shared" ref="S66:S97" si="6">ABS(R66/D66)</f>
        <v>1.7434671351123369E-2</v>
      </c>
    </row>
    <row r="67" spans="1:19" x14ac:dyDescent="0.2">
      <c r="A67" s="206">
        <f>'Monthly Data'!A67</f>
        <v>43617</v>
      </c>
      <c r="B67">
        <f>'Monthly Data'!C67</f>
        <v>6</v>
      </c>
      <c r="C67">
        <f>'Monthly Data'!B67</f>
        <v>2019</v>
      </c>
      <c r="D67" s="18">
        <f>'Monthly Data'!F67</f>
        <v>25527424.167506509</v>
      </c>
      <c r="E67" s="10">
        <f>'Monthly Data'!AG67</f>
        <v>10.513875588378506</v>
      </c>
      <c r="F67" s="98">
        <f>'Monthly Data'!AB67</f>
        <v>13.45</v>
      </c>
      <c r="G67">
        <f>'Monthly Data'!BO67</f>
        <v>30</v>
      </c>
      <c r="H67">
        <f>'Monthly Data'!BS67</f>
        <v>0</v>
      </c>
      <c r="I67">
        <f>'Monthly Data'!BK67</f>
        <v>0</v>
      </c>
      <c r="K67" s="17">
        <f>'Res Predicted Monthly'!$V$7</f>
        <v>-1956373.74241439</v>
      </c>
      <c r="L67" s="17">
        <f>E67*'Res Predicted Monthly'!$V$8</f>
        <v>262523.53203873063</v>
      </c>
      <c r="M67" s="17">
        <f>F67*'Res Predicted Monthly'!$V$9</f>
        <v>708302.25015572715</v>
      </c>
      <c r="N67" s="17">
        <f>G67*'Res Predicted Monthly'!$V$10</f>
        <v>26540661.774392013</v>
      </c>
      <c r="O67" s="17">
        <f>H67*'Res Predicted Monthly'!$V$11</f>
        <v>0</v>
      </c>
      <c r="P67" s="17">
        <f>I67*'Res Predicted Monthly'!$V$12</f>
        <v>0</v>
      </c>
      <c r="Q67" s="17">
        <f t="shared" ref="Q67:Q121" si="7">SUM(K67:P67)</f>
        <v>25555113.814172082</v>
      </c>
      <c r="R67" s="17">
        <f t="shared" si="5"/>
        <v>27689.64666557312</v>
      </c>
      <c r="S67" s="29">
        <f t="shared" si="6"/>
        <v>1.084701945792826E-3</v>
      </c>
    </row>
    <row r="68" spans="1:19" x14ac:dyDescent="0.2">
      <c r="A68" s="206">
        <f>'Monthly Data'!A68</f>
        <v>43647</v>
      </c>
      <c r="B68">
        <f>'Monthly Data'!C68</f>
        <v>7</v>
      </c>
      <c r="C68">
        <f>'Monthly Data'!B68</f>
        <v>2019</v>
      </c>
      <c r="D68" s="18">
        <f>'Monthly Data'!F68</f>
        <v>29663002.171080936</v>
      </c>
      <c r="E68" s="10">
        <f>'Monthly Data'!AG68</f>
        <v>0</v>
      </c>
      <c r="F68" s="98">
        <f>'Monthly Data'!AB68</f>
        <v>75.160416666666691</v>
      </c>
      <c r="G68">
        <f>'Monthly Data'!BO68</f>
        <v>31</v>
      </c>
      <c r="H68">
        <f>'Monthly Data'!BS68</f>
        <v>0</v>
      </c>
      <c r="I68">
        <f>'Monthly Data'!BK68</f>
        <v>0</v>
      </c>
      <c r="K68" s="17">
        <f>'Res Predicted Monthly'!$V$7</f>
        <v>-1956373.74241439</v>
      </c>
      <c r="L68" s="17">
        <f>E68*'Res Predicted Monthly'!$V$8</f>
        <v>0</v>
      </c>
      <c r="M68" s="17">
        <f>F68*'Res Predicted Monthly'!$V$9</f>
        <v>3958088.6429473632</v>
      </c>
      <c r="N68" s="17">
        <f>G68*'Res Predicted Monthly'!$V$10</f>
        <v>27425350.500205077</v>
      </c>
      <c r="O68" s="17">
        <f>H68*'Res Predicted Monthly'!$V$11</f>
        <v>0</v>
      </c>
      <c r="P68" s="17">
        <f>I68*'Res Predicted Monthly'!$V$12</f>
        <v>0</v>
      </c>
      <c r="Q68" s="17">
        <f t="shared" si="7"/>
        <v>29427065.400738049</v>
      </c>
      <c r="R68" s="17">
        <f t="shared" si="5"/>
        <v>-235936.77034288645</v>
      </c>
      <c r="S68" s="29">
        <f t="shared" si="6"/>
        <v>7.9539073281296533E-3</v>
      </c>
    </row>
    <row r="69" spans="1:19" x14ac:dyDescent="0.2">
      <c r="A69" s="206">
        <f>'Monthly Data'!A69</f>
        <v>43678</v>
      </c>
      <c r="B69">
        <f>'Monthly Data'!C69</f>
        <v>8</v>
      </c>
      <c r="C69">
        <f>'Monthly Data'!B69</f>
        <v>2019</v>
      </c>
      <c r="D69" s="18">
        <f>'Monthly Data'!F69</f>
        <v>27101734.964655366</v>
      </c>
      <c r="E69" s="10">
        <f>'Monthly Data'!AG69</f>
        <v>0</v>
      </c>
      <c r="F69" s="98">
        <f>'Monthly Data'!AB69</f>
        <v>22.158333333333331</v>
      </c>
      <c r="G69">
        <f>'Monthly Data'!BO69</f>
        <v>31</v>
      </c>
      <c r="H69">
        <f>'Monthly Data'!BS69</f>
        <v>0</v>
      </c>
      <c r="I69">
        <f>'Monthly Data'!BK69</f>
        <v>0</v>
      </c>
      <c r="K69" s="17">
        <f>'Res Predicted Monthly'!$V$7</f>
        <v>-1956373.74241439</v>
      </c>
      <c r="L69" s="17">
        <f>E69*'Res Predicted Monthly'!$V$8</f>
        <v>0</v>
      </c>
      <c r="M69" s="17">
        <f>F69*'Res Predicted Monthly'!$V$9</f>
        <v>1166899.4319480041</v>
      </c>
      <c r="N69" s="17">
        <f>G69*'Res Predicted Monthly'!$V$10</f>
        <v>27425350.500205077</v>
      </c>
      <c r="O69" s="17">
        <f>H69*'Res Predicted Monthly'!$V$11</f>
        <v>0</v>
      </c>
      <c r="P69" s="17">
        <f>I69*'Res Predicted Monthly'!$V$12</f>
        <v>0</v>
      </c>
      <c r="Q69" s="17">
        <f t="shared" si="7"/>
        <v>26635876.189738691</v>
      </c>
      <c r="R69" s="17">
        <f t="shared" si="5"/>
        <v>-465858.77491667494</v>
      </c>
      <c r="S69" s="29">
        <f t="shared" si="6"/>
        <v>1.7189260227222464E-2</v>
      </c>
    </row>
    <row r="70" spans="1:19" x14ac:dyDescent="0.2">
      <c r="A70" s="206">
        <f>'Monthly Data'!A70</f>
        <v>43709</v>
      </c>
      <c r="B70">
        <f>'Monthly Data'!C70</f>
        <v>9</v>
      </c>
      <c r="C70">
        <f>'Monthly Data'!B70</f>
        <v>2019</v>
      </c>
      <c r="D70" s="18">
        <f>'Monthly Data'!F70</f>
        <v>24213463.878229793</v>
      </c>
      <c r="E70" s="10">
        <f>'Monthly Data'!AG70</f>
        <v>15.400000000000002</v>
      </c>
      <c r="F70" s="98">
        <f>'Monthly Data'!AB70</f>
        <v>2.3249999999999993</v>
      </c>
      <c r="G70">
        <f>'Monthly Data'!BO70</f>
        <v>30</v>
      </c>
      <c r="H70">
        <f>'Monthly Data'!BS70</f>
        <v>0</v>
      </c>
      <c r="I70">
        <f>'Monthly Data'!BK70</f>
        <v>1</v>
      </c>
      <c r="K70" s="17">
        <f>'Res Predicted Monthly'!$V$7</f>
        <v>-1956373.74241439</v>
      </c>
      <c r="L70" s="17">
        <f>E70*'Res Predicted Monthly'!$V$8</f>
        <v>384526.36798035004</v>
      </c>
      <c r="M70" s="17">
        <f>F70*'Res Predicted Monthly'!$V$9</f>
        <v>122438.86480387101</v>
      </c>
      <c r="N70" s="17">
        <f>G70*'Res Predicted Monthly'!$V$10</f>
        <v>26540661.774392013</v>
      </c>
      <c r="O70" s="17">
        <f>H70*'Res Predicted Monthly'!$V$11</f>
        <v>0</v>
      </c>
      <c r="P70" s="17">
        <f>I70*'Res Predicted Monthly'!$V$12</f>
        <v>-1149094.2112539201</v>
      </c>
      <c r="Q70" s="17">
        <f t="shared" si="7"/>
        <v>23942159.053507924</v>
      </c>
      <c r="R70" s="17">
        <f t="shared" si="5"/>
        <v>-271304.82472186908</v>
      </c>
      <c r="S70" s="29">
        <f t="shared" si="6"/>
        <v>1.1204709333875932E-2</v>
      </c>
    </row>
    <row r="71" spans="1:19" x14ac:dyDescent="0.2">
      <c r="A71" s="206">
        <f>'Monthly Data'!A71</f>
        <v>43739</v>
      </c>
      <c r="B71">
        <f>'Monthly Data'!C71</f>
        <v>10</v>
      </c>
      <c r="C71">
        <f>'Monthly Data'!B71</f>
        <v>2019</v>
      </c>
      <c r="D71" s="18">
        <f>'Monthly Data'!F71</f>
        <v>27632465.091804221</v>
      </c>
      <c r="E71" s="10">
        <f>'Monthly Data'!AG71</f>
        <v>179.78262558837852</v>
      </c>
      <c r="F71" s="98">
        <f>'Monthly Data'!AB71</f>
        <v>0</v>
      </c>
      <c r="G71">
        <f>'Monthly Data'!BO71</f>
        <v>31</v>
      </c>
      <c r="H71">
        <f>'Monthly Data'!BS71</f>
        <v>0</v>
      </c>
      <c r="I71">
        <f>'Monthly Data'!BK71</f>
        <v>1</v>
      </c>
      <c r="K71" s="17">
        <f>'Res Predicted Monthly'!$V$7</f>
        <v>-1956373.74241439</v>
      </c>
      <c r="L71" s="17">
        <f>E71*'Res Predicted Monthly'!$V$8</f>
        <v>4489036.3664591117</v>
      </c>
      <c r="M71" s="17">
        <f>F71*'Res Predicted Monthly'!$V$9</f>
        <v>0</v>
      </c>
      <c r="N71" s="17">
        <f>G71*'Res Predicted Monthly'!$V$10</f>
        <v>27425350.500205077</v>
      </c>
      <c r="O71" s="17">
        <f>H71*'Res Predicted Monthly'!$V$11</f>
        <v>0</v>
      </c>
      <c r="P71" s="17">
        <f>I71*'Res Predicted Monthly'!$V$12</f>
        <v>-1149094.2112539201</v>
      </c>
      <c r="Q71" s="17">
        <f t="shared" si="7"/>
        <v>28808918.912995882</v>
      </c>
      <c r="R71" s="17">
        <f t="shared" si="5"/>
        <v>1176453.8211916611</v>
      </c>
      <c r="S71" s="29">
        <f t="shared" si="6"/>
        <v>4.2575058623365337E-2</v>
      </c>
    </row>
    <row r="72" spans="1:19" x14ac:dyDescent="0.2">
      <c r="A72" s="206">
        <f>'Monthly Data'!A72</f>
        <v>43770</v>
      </c>
      <c r="B72">
        <f>'Monthly Data'!C72</f>
        <v>11</v>
      </c>
      <c r="C72">
        <f>'Monthly Data'!B72</f>
        <v>2019</v>
      </c>
      <c r="D72" s="18">
        <f>'Monthly Data'!F72</f>
        <v>36562187.96537865</v>
      </c>
      <c r="E72" s="10">
        <f>'Monthly Data'!AG72</f>
        <v>491.92083333333318</v>
      </c>
      <c r="F72" s="98">
        <f>'Monthly Data'!AB72</f>
        <v>0</v>
      </c>
      <c r="G72">
        <f>'Monthly Data'!BO72</f>
        <v>30</v>
      </c>
      <c r="H72">
        <f>'Monthly Data'!BS72</f>
        <v>0</v>
      </c>
      <c r="I72">
        <f>'Monthly Data'!BK72</f>
        <v>1</v>
      </c>
      <c r="K72" s="17">
        <f>'Res Predicted Monthly'!$V$7</f>
        <v>-1956373.74241439</v>
      </c>
      <c r="L72" s="17">
        <f>E72*'Res Predicted Monthly'!$V$8</f>
        <v>12282891.647761928</v>
      </c>
      <c r="M72" s="17">
        <f>F72*'Res Predicted Monthly'!$V$9</f>
        <v>0</v>
      </c>
      <c r="N72" s="17">
        <f>G72*'Res Predicted Monthly'!$V$10</f>
        <v>26540661.774392013</v>
      </c>
      <c r="O72" s="17">
        <f>H72*'Res Predicted Monthly'!$V$11</f>
        <v>0</v>
      </c>
      <c r="P72" s="17">
        <f>I72*'Res Predicted Monthly'!$V$12</f>
        <v>-1149094.2112539201</v>
      </c>
      <c r="Q72" s="17">
        <f t="shared" si="7"/>
        <v>35718085.468485631</v>
      </c>
      <c r="R72" s="17">
        <f t="shared" si="5"/>
        <v>-844102.49689301848</v>
      </c>
      <c r="S72" s="29">
        <f t="shared" si="6"/>
        <v>2.3086761046475484E-2</v>
      </c>
    </row>
    <row r="73" spans="1:19" x14ac:dyDescent="0.2">
      <c r="A73" s="206">
        <f>'Monthly Data'!A73</f>
        <v>43800</v>
      </c>
      <c r="B73">
        <f>'Monthly Data'!C73</f>
        <v>12</v>
      </c>
      <c r="C73">
        <f>'Monthly Data'!B73</f>
        <v>2019</v>
      </c>
      <c r="D73" s="18">
        <f>'Monthly Data'!F73</f>
        <v>40960320.168953083</v>
      </c>
      <c r="E73" s="10">
        <f>'Monthly Data'!AG73</f>
        <v>604.69583333333333</v>
      </c>
      <c r="F73" s="98">
        <f>'Monthly Data'!AB73</f>
        <v>0</v>
      </c>
      <c r="G73">
        <f>'Monthly Data'!BO73</f>
        <v>31</v>
      </c>
      <c r="H73">
        <f>'Monthly Data'!BS73</f>
        <v>0</v>
      </c>
      <c r="I73">
        <f>'Monthly Data'!BK73</f>
        <v>0</v>
      </c>
      <c r="K73" s="17">
        <f>'Res Predicted Monthly'!$V$7</f>
        <v>-1956373.74241439</v>
      </c>
      <c r="L73" s="17">
        <f>E73*'Res Predicted Monthly'!$V$8</f>
        <v>15098798.215877773</v>
      </c>
      <c r="M73" s="17">
        <f>F73*'Res Predicted Monthly'!$V$9</f>
        <v>0</v>
      </c>
      <c r="N73" s="17">
        <f>G73*'Res Predicted Monthly'!$V$10</f>
        <v>27425350.500205077</v>
      </c>
      <c r="O73" s="17">
        <f>H73*'Res Predicted Monthly'!$V$11</f>
        <v>0</v>
      </c>
      <c r="P73" s="17">
        <f>I73*'Res Predicted Monthly'!$V$12</f>
        <v>0</v>
      </c>
      <c r="Q73" s="17">
        <f t="shared" si="7"/>
        <v>40567774.973668456</v>
      </c>
      <c r="R73" s="17">
        <f t="shared" si="5"/>
        <v>-392545.19528462738</v>
      </c>
      <c r="S73" s="29">
        <f t="shared" si="6"/>
        <v>9.5835480207541682E-3</v>
      </c>
    </row>
    <row r="74" spans="1:19" x14ac:dyDescent="0.2">
      <c r="A74" s="206">
        <f>'Monthly Data'!A74</f>
        <v>43831</v>
      </c>
      <c r="B74">
        <f>'Monthly Data'!C74</f>
        <v>1</v>
      </c>
      <c r="C74">
        <f>'Monthly Data'!B74</f>
        <v>2020</v>
      </c>
      <c r="D74" s="18">
        <f>'Monthly Data'!F74</f>
        <v>41114550.962867439</v>
      </c>
      <c r="E74" s="10">
        <f>'Monthly Data'!AG74</f>
        <v>622.02637558837841</v>
      </c>
      <c r="F74" s="98">
        <f>'Monthly Data'!AB74</f>
        <v>0</v>
      </c>
      <c r="G74">
        <f>'Monthly Data'!BO74</f>
        <v>31</v>
      </c>
      <c r="H74">
        <f>'Monthly Data'!BS74</f>
        <v>0</v>
      </c>
      <c r="I74">
        <f>'Monthly Data'!BK74</f>
        <v>0</v>
      </c>
      <c r="K74" s="17">
        <f>'Res Predicted Monthly'!$V$7</f>
        <v>-1956373.74241439</v>
      </c>
      <c r="L74" s="17">
        <f>E74*'Res Predicted Monthly'!$V$8</f>
        <v>15531528.765777934</v>
      </c>
      <c r="M74" s="17">
        <f>F74*'Res Predicted Monthly'!$V$9</f>
        <v>0</v>
      </c>
      <c r="N74" s="17">
        <f>G74*'Res Predicted Monthly'!$V$10</f>
        <v>27425350.500205077</v>
      </c>
      <c r="O74" s="17">
        <f>H74*'Res Predicted Monthly'!$V$11</f>
        <v>0</v>
      </c>
      <c r="P74" s="17">
        <f>I74*'Res Predicted Monthly'!$V$12</f>
        <v>0</v>
      </c>
      <c r="Q74" s="17">
        <f t="shared" si="7"/>
        <v>41000505.523568623</v>
      </c>
      <c r="R74" s="17">
        <f t="shared" si="5"/>
        <v>-114045.43929881603</v>
      </c>
      <c r="S74" s="29">
        <f t="shared" si="6"/>
        <v>2.7738461597650922E-3</v>
      </c>
    </row>
    <row r="75" spans="1:19" x14ac:dyDescent="0.2">
      <c r="A75" s="206">
        <f>'Monthly Data'!A75</f>
        <v>43862</v>
      </c>
      <c r="B75">
        <f>'Monthly Data'!C75</f>
        <v>2</v>
      </c>
      <c r="C75">
        <f>'Monthly Data'!B75</f>
        <v>2020</v>
      </c>
      <c r="D75" s="18">
        <f>'Monthly Data'!F75</f>
        <v>37817384.928010598</v>
      </c>
      <c r="E75" s="10">
        <f>'Monthly Data'!AG75</f>
        <v>619.21666666666658</v>
      </c>
      <c r="F75" s="98">
        <f>'Monthly Data'!AB75</f>
        <v>0</v>
      </c>
      <c r="G75">
        <f>'Monthly Data'!BO75</f>
        <v>29</v>
      </c>
      <c r="H75">
        <f>'Monthly Data'!BS75</f>
        <v>0</v>
      </c>
      <c r="I75">
        <f>'Monthly Data'!BK75</f>
        <v>0</v>
      </c>
      <c r="K75" s="17">
        <f>'Res Predicted Monthly'!$V$7</f>
        <v>-1956373.74241439</v>
      </c>
      <c r="L75" s="17">
        <f>E75*'Res Predicted Monthly'!$V$8</f>
        <v>15461372.456248853</v>
      </c>
      <c r="M75" s="17">
        <f>F75*'Res Predicted Monthly'!$V$9</f>
        <v>0</v>
      </c>
      <c r="N75" s="17">
        <f>G75*'Res Predicted Monthly'!$V$10</f>
        <v>25655973.048578944</v>
      </c>
      <c r="O75" s="17">
        <f>H75*'Res Predicted Monthly'!$V$11</f>
        <v>0</v>
      </c>
      <c r="P75" s="17">
        <f>I75*'Res Predicted Monthly'!$V$12</f>
        <v>0</v>
      </c>
      <c r="Q75" s="17">
        <f t="shared" si="7"/>
        <v>39160971.762413405</v>
      </c>
      <c r="R75" s="17">
        <f t="shared" si="5"/>
        <v>1343586.8344028071</v>
      </c>
      <c r="S75" s="29">
        <f t="shared" si="6"/>
        <v>3.5528285124962158E-2</v>
      </c>
    </row>
    <row r="76" spans="1:19" x14ac:dyDescent="0.2">
      <c r="A76" s="206">
        <f>'Monthly Data'!A76</f>
        <v>43891</v>
      </c>
      <c r="B76">
        <f>'Monthly Data'!C76</f>
        <v>3</v>
      </c>
      <c r="C76">
        <f>'Monthly Data'!B76</f>
        <v>2020</v>
      </c>
      <c r="D76" s="18">
        <f>'Monthly Data'!F76</f>
        <v>36840381.413153768</v>
      </c>
      <c r="E76" s="10">
        <f>'Monthly Data'!AG76</f>
        <v>451.14720892171192</v>
      </c>
      <c r="F76" s="98">
        <f>'Monthly Data'!AB76</f>
        <v>0</v>
      </c>
      <c r="G76">
        <f>'Monthly Data'!BO76</f>
        <v>31</v>
      </c>
      <c r="H76">
        <f>'Monthly Data'!BS76</f>
        <v>0.5</v>
      </c>
      <c r="I76">
        <f>'Monthly Data'!BK76</f>
        <v>1</v>
      </c>
      <c r="K76" s="17">
        <f>'Res Predicted Monthly'!$V$7</f>
        <v>-1956373.74241439</v>
      </c>
      <c r="L76" s="17">
        <f>E76*'Res Predicted Monthly'!$V$8</f>
        <v>11264805.043580391</v>
      </c>
      <c r="M76" s="17">
        <f>F76*'Res Predicted Monthly'!$V$9</f>
        <v>0</v>
      </c>
      <c r="N76" s="17">
        <f>G76*'Res Predicted Monthly'!$V$10</f>
        <v>27425350.500205077</v>
      </c>
      <c r="O76" s="17">
        <f>H76*'Res Predicted Monthly'!$V$11</f>
        <v>1051926.3493190249</v>
      </c>
      <c r="P76" s="17">
        <f>I76*'Res Predicted Monthly'!$V$12</f>
        <v>-1149094.2112539201</v>
      </c>
      <c r="Q76" s="17">
        <f t="shared" si="7"/>
        <v>36636613.939436182</v>
      </c>
      <c r="R76" s="17">
        <f t="shared" si="5"/>
        <v>-203767.47371758521</v>
      </c>
      <c r="S76" s="29">
        <f t="shared" si="6"/>
        <v>5.5310902303750452E-3</v>
      </c>
    </row>
    <row r="77" spans="1:19" x14ac:dyDescent="0.2">
      <c r="A77" s="206">
        <f>'Monthly Data'!A77</f>
        <v>43922</v>
      </c>
      <c r="B77">
        <f>'Monthly Data'!C77</f>
        <v>4</v>
      </c>
      <c r="C77">
        <f>'Monthly Data'!B77</f>
        <v>2020</v>
      </c>
      <c r="D77" s="18">
        <f>'Monthly Data'!F77</f>
        <v>32323910.638296925</v>
      </c>
      <c r="E77" s="10">
        <f>'Monthly Data'!AG77</f>
        <v>299.53541666666661</v>
      </c>
      <c r="F77" s="98">
        <f>'Monthly Data'!AB77</f>
        <v>0</v>
      </c>
      <c r="G77">
        <f>'Monthly Data'!BO77</f>
        <v>30</v>
      </c>
      <c r="H77">
        <f>'Monthly Data'!BS77</f>
        <v>1</v>
      </c>
      <c r="I77">
        <f>'Monthly Data'!BK77</f>
        <v>1</v>
      </c>
      <c r="K77" s="17">
        <f>'Res Predicted Monthly'!$V$7</f>
        <v>-1956373.74241439</v>
      </c>
      <c r="L77" s="17">
        <f>E77*'Res Predicted Monthly'!$V$8</f>
        <v>7479173.1072931234</v>
      </c>
      <c r="M77" s="17">
        <f>F77*'Res Predicted Monthly'!$V$9</f>
        <v>0</v>
      </c>
      <c r="N77" s="17">
        <f>G77*'Res Predicted Monthly'!$V$10</f>
        <v>26540661.774392013</v>
      </c>
      <c r="O77" s="17">
        <f>H77*'Res Predicted Monthly'!$V$11</f>
        <v>2103852.6986380499</v>
      </c>
      <c r="P77" s="17">
        <f>I77*'Res Predicted Monthly'!$V$12</f>
        <v>-1149094.2112539201</v>
      </c>
      <c r="Q77" s="17">
        <f t="shared" si="7"/>
        <v>33018219.626654878</v>
      </c>
      <c r="R77" s="17">
        <f t="shared" si="5"/>
        <v>694308.98835795373</v>
      </c>
      <c r="S77" s="29">
        <f t="shared" si="6"/>
        <v>2.1479733567118145E-2</v>
      </c>
    </row>
    <row r="78" spans="1:19" x14ac:dyDescent="0.2">
      <c r="A78" s="206">
        <f>'Monthly Data'!A78</f>
        <v>43952</v>
      </c>
      <c r="B78">
        <f>'Monthly Data'!C78</f>
        <v>5</v>
      </c>
      <c r="C78">
        <f>'Monthly Data'!B78</f>
        <v>2020</v>
      </c>
      <c r="D78" s="18">
        <f>'Monthly Data'!F78</f>
        <v>29728529.533440087</v>
      </c>
      <c r="E78" s="10">
        <f>'Monthly Data'!AG78</f>
        <v>140.3354166666667</v>
      </c>
      <c r="F78" s="98">
        <f>'Monthly Data'!AB78</f>
        <v>18.945833333333326</v>
      </c>
      <c r="G78">
        <f>'Monthly Data'!BO78</f>
        <v>31</v>
      </c>
      <c r="H78">
        <f>'Monthly Data'!BS78</f>
        <v>1</v>
      </c>
      <c r="I78">
        <f>'Monthly Data'!BK78</f>
        <v>1</v>
      </c>
      <c r="K78" s="17">
        <f>'Res Predicted Monthly'!$V$7</f>
        <v>-1956373.74241439</v>
      </c>
      <c r="L78" s="17">
        <f>E78*'Res Predicted Monthly'!$V$8</f>
        <v>3504069.3551845727</v>
      </c>
      <c r="M78" s="17">
        <f>F78*'Res Predicted Monthly'!$V$9</f>
        <v>997723.15100932156</v>
      </c>
      <c r="N78" s="17">
        <f>G78*'Res Predicted Monthly'!$V$10</f>
        <v>27425350.500205077</v>
      </c>
      <c r="O78" s="17">
        <f>H78*'Res Predicted Monthly'!$V$11</f>
        <v>2103852.6986380499</v>
      </c>
      <c r="P78" s="17">
        <f>I78*'Res Predicted Monthly'!$V$12</f>
        <v>-1149094.2112539201</v>
      </c>
      <c r="Q78" s="17">
        <f t="shared" si="7"/>
        <v>30925527.751368716</v>
      </c>
      <c r="R78" s="17">
        <f t="shared" si="5"/>
        <v>1196998.2179286294</v>
      </c>
      <c r="S78" s="29">
        <f t="shared" si="6"/>
        <v>4.0264292809443804E-2</v>
      </c>
    </row>
    <row r="79" spans="1:19" x14ac:dyDescent="0.2">
      <c r="A79" s="206">
        <f>'Monthly Data'!A79</f>
        <v>43983</v>
      </c>
      <c r="B79">
        <f>'Monthly Data'!C79</f>
        <v>6</v>
      </c>
      <c r="C79">
        <f>'Monthly Data'!B79</f>
        <v>2020</v>
      </c>
      <c r="D79" s="18">
        <f>'Monthly Data'!F79</f>
        <v>29557827.458583251</v>
      </c>
      <c r="E79" s="10">
        <f>'Monthly Data'!AG79</f>
        <v>5.8562500000000046</v>
      </c>
      <c r="F79" s="98">
        <f>'Monthly Data'!AB79</f>
        <v>43.943750000000009</v>
      </c>
      <c r="G79">
        <f>'Monthly Data'!BO79</f>
        <v>30</v>
      </c>
      <c r="H79">
        <f>'Monthly Data'!BS79</f>
        <v>1</v>
      </c>
      <c r="I79">
        <f>'Monthly Data'!BK79</f>
        <v>0</v>
      </c>
      <c r="K79" s="17">
        <f>'Res Predicted Monthly'!$V$7</f>
        <v>-1956373.74241439</v>
      </c>
      <c r="L79" s="17">
        <f>E79*'Res Predicted Monthly'!$V$8</f>
        <v>146226.13912239781</v>
      </c>
      <c r="M79" s="17">
        <f>F79*'Res Predicted Monthly'!$V$9</f>
        <v>2314160.372139832</v>
      </c>
      <c r="N79" s="17">
        <f>G79*'Res Predicted Monthly'!$V$10</f>
        <v>26540661.774392013</v>
      </c>
      <c r="O79" s="17">
        <f>H79*'Res Predicted Monthly'!$V$11</f>
        <v>2103852.6986380499</v>
      </c>
      <c r="P79" s="17">
        <f>I79*'Res Predicted Monthly'!$V$12</f>
        <v>0</v>
      </c>
      <c r="Q79" s="17">
        <f t="shared" si="7"/>
        <v>29148527.241877906</v>
      </c>
      <c r="R79" s="17">
        <f t="shared" si="5"/>
        <v>-409300.21670534462</v>
      </c>
      <c r="S79" s="29">
        <f t="shared" si="6"/>
        <v>1.3847439135330921E-2</v>
      </c>
    </row>
    <row r="80" spans="1:19" x14ac:dyDescent="0.2">
      <c r="A80" s="206">
        <f>'Monthly Data'!A80</f>
        <v>44013</v>
      </c>
      <c r="B80">
        <f>'Monthly Data'!C80</f>
        <v>7</v>
      </c>
      <c r="C80">
        <f>'Monthly Data'!B80</f>
        <v>2020</v>
      </c>
      <c r="D80" s="18">
        <f>'Monthly Data'!F80</f>
        <v>33373151.203726415</v>
      </c>
      <c r="E80" s="10">
        <f>'Monthly Data'!AG80</f>
        <v>0</v>
      </c>
      <c r="F80" s="98">
        <f>'Monthly Data'!AB80</f>
        <v>94.325000000000017</v>
      </c>
      <c r="G80">
        <f>'Monthly Data'!BO80</f>
        <v>31</v>
      </c>
      <c r="H80">
        <f>'Monthly Data'!BS80</f>
        <v>1</v>
      </c>
      <c r="I80">
        <f>'Monthly Data'!BK80</f>
        <v>0</v>
      </c>
      <c r="K80" s="17">
        <f>'Res Predicted Monthly'!$V$7</f>
        <v>-1956373.74241439</v>
      </c>
      <c r="L80" s="17">
        <f>E80*'Res Predicted Monthly'!$V$8</f>
        <v>0</v>
      </c>
      <c r="M80" s="17">
        <f>F80*'Res Predicted Monthly'!$V$9</f>
        <v>4967331.579623716</v>
      </c>
      <c r="N80" s="17">
        <f>G80*'Res Predicted Monthly'!$V$10</f>
        <v>27425350.500205077</v>
      </c>
      <c r="O80" s="17">
        <f>H80*'Res Predicted Monthly'!$V$11</f>
        <v>2103852.6986380499</v>
      </c>
      <c r="P80" s="17">
        <f>I80*'Res Predicted Monthly'!$V$12</f>
        <v>0</v>
      </c>
      <c r="Q80" s="17">
        <f t="shared" si="7"/>
        <v>32540161.036052451</v>
      </c>
      <c r="R80" s="17">
        <f t="shared" si="5"/>
        <v>-832990.16767396405</v>
      </c>
      <c r="S80" s="29">
        <f t="shared" si="6"/>
        <v>2.4959889540816068E-2</v>
      </c>
    </row>
    <row r="81" spans="1:19" x14ac:dyDescent="0.2">
      <c r="A81" s="206">
        <f>'Monthly Data'!A81</f>
        <v>44044</v>
      </c>
      <c r="B81">
        <f>'Monthly Data'!C81</f>
        <v>8</v>
      </c>
      <c r="C81">
        <f>'Monthly Data'!B81</f>
        <v>2020</v>
      </c>
      <c r="D81" s="18">
        <f>'Monthly Data'!F81</f>
        <v>29693676.668869577</v>
      </c>
      <c r="E81" s="10">
        <f>'Monthly Data'!AG81</f>
        <v>0.56666666666666465</v>
      </c>
      <c r="F81" s="98">
        <f>'Monthly Data'!AB81</f>
        <v>37.895833333333343</v>
      </c>
      <c r="G81">
        <f>'Monthly Data'!BO81</f>
        <v>31</v>
      </c>
      <c r="H81">
        <f>'Monthly Data'!BS81</f>
        <v>1</v>
      </c>
      <c r="I81">
        <f>'Monthly Data'!BK81</f>
        <v>0</v>
      </c>
      <c r="K81" s="17">
        <f>'Res Predicted Monthly'!$V$7</f>
        <v>-1956373.74241439</v>
      </c>
      <c r="L81" s="17">
        <f>E81*'Res Predicted Monthly'!$V$8</f>
        <v>14149.238648627546</v>
      </c>
      <c r="M81" s="17">
        <f>F81*'Res Predicted Monthly'!$V$9</f>
        <v>1995665.7265075403</v>
      </c>
      <c r="N81" s="17">
        <f>G81*'Res Predicted Monthly'!$V$10</f>
        <v>27425350.500205077</v>
      </c>
      <c r="O81" s="17">
        <f>H81*'Res Predicted Monthly'!$V$11</f>
        <v>2103852.6986380499</v>
      </c>
      <c r="P81" s="17">
        <f>I81*'Res Predicted Monthly'!$V$12</f>
        <v>0</v>
      </c>
      <c r="Q81" s="17">
        <f t="shared" si="7"/>
        <v>29582644.421584904</v>
      </c>
      <c r="R81" s="17">
        <f t="shared" si="5"/>
        <v>-111032.24728467315</v>
      </c>
      <c r="S81" s="29">
        <f t="shared" si="6"/>
        <v>3.7392556173778831E-3</v>
      </c>
    </row>
    <row r="82" spans="1:19" x14ac:dyDescent="0.2">
      <c r="A82" s="206">
        <f>'Monthly Data'!A82</f>
        <v>44075</v>
      </c>
      <c r="B82">
        <f>'Monthly Data'!C82</f>
        <v>9</v>
      </c>
      <c r="C82">
        <f>'Monthly Data'!B82</f>
        <v>2020</v>
      </c>
      <c r="D82" s="18">
        <f>'Monthly Data'!F82</f>
        <v>25944890.22401274</v>
      </c>
      <c r="E82" s="10">
        <f>'Monthly Data'!AG82</f>
        <v>45.793042255045179</v>
      </c>
      <c r="F82" s="98">
        <f>'Monthly Data'!AB82</f>
        <v>0</v>
      </c>
      <c r="G82">
        <f>'Monthly Data'!BO82</f>
        <v>30</v>
      </c>
      <c r="H82">
        <f>'Monthly Data'!BS82</f>
        <v>1</v>
      </c>
      <c r="I82">
        <f>'Monthly Data'!BK82</f>
        <v>1</v>
      </c>
      <c r="K82" s="17">
        <f>'Res Predicted Monthly'!$V$7</f>
        <v>-1956373.74241439</v>
      </c>
      <c r="L82" s="17">
        <f>E82*'Res Predicted Monthly'!$V$8</f>
        <v>1143417.6764352738</v>
      </c>
      <c r="M82" s="17">
        <f>F82*'Res Predicted Monthly'!$V$9</f>
        <v>0</v>
      </c>
      <c r="N82" s="17">
        <f>G82*'Res Predicted Monthly'!$V$10</f>
        <v>26540661.774392013</v>
      </c>
      <c r="O82" s="17">
        <f>H82*'Res Predicted Monthly'!$V$11</f>
        <v>2103852.6986380499</v>
      </c>
      <c r="P82" s="17">
        <f>I82*'Res Predicted Monthly'!$V$12</f>
        <v>-1149094.2112539201</v>
      </c>
      <c r="Q82" s="17">
        <f t="shared" si="7"/>
        <v>26682464.195797026</v>
      </c>
      <c r="R82" s="17">
        <f t="shared" si="5"/>
        <v>737573.9717842862</v>
      </c>
      <c r="S82" s="29">
        <f t="shared" si="6"/>
        <v>2.8428486897263506E-2</v>
      </c>
    </row>
    <row r="83" spans="1:19" x14ac:dyDescent="0.2">
      <c r="A83" s="206">
        <f>'Monthly Data'!A83</f>
        <v>44105</v>
      </c>
      <c r="B83">
        <f>'Monthly Data'!C83</f>
        <v>10</v>
      </c>
      <c r="C83">
        <f>'Monthly Data'!B83</f>
        <v>2020</v>
      </c>
      <c r="D83" s="18">
        <f>'Monthly Data'!F83</f>
        <v>30180388.669155903</v>
      </c>
      <c r="E83" s="10">
        <f>'Monthly Data'!AG83</f>
        <v>257.96041666666662</v>
      </c>
      <c r="F83" s="98">
        <f>'Monthly Data'!AB83</f>
        <v>0</v>
      </c>
      <c r="G83">
        <f>'Monthly Data'!BO83</f>
        <v>31</v>
      </c>
      <c r="H83">
        <f>'Monthly Data'!BS83</f>
        <v>1</v>
      </c>
      <c r="I83">
        <f>'Monthly Data'!BK83</f>
        <v>1</v>
      </c>
      <c r="K83" s="17">
        <f>'Res Predicted Monthly'!$V$7</f>
        <v>-1956373.74241439</v>
      </c>
      <c r="L83" s="17">
        <f>E83*'Res Predicted Monthly'!$V$8</f>
        <v>6441076.7599695483</v>
      </c>
      <c r="M83" s="17">
        <f>F83*'Res Predicted Monthly'!$V$9</f>
        <v>0</v>
      </c>
      <c r="N83" s="17">
        <f>G83*'Res Predicted Monthly'!$V$10</f>
        <v>27425350.500205077</v>
      </c>
      <c r="O83" s="17">
        <f>H83*'Res Predicted Monthly'!$V$11</f>
        <v>2103852.6986380499</v>
      </c>
      <c r="P83" s="17">
        <f>I83*'Res Predicted Monthly'!$V$12</f>
        <v>-1149094.2112539201</v>
      </c>
      <c r="Q83" s="17">
        <f t="shared" si="7"/>
        <v>32864812.005144365</v>
      </c>
      <c r="R83" s="17">
        <f t="shared" si="5"/>
        <v>2684423.335988462</v>
      </c>
      <c r="S83" s="29">
        <f t="shared" si="6"/>
        <v>8.8945949815812664E-2</v>
      </c>
    </row>
    <row r="84" spans="1:19" x14ac:dyDescent="0.2">
      <c r="A84" s="206">
        <f>'Monthly Data'!A84</f>
        <v>44136</v>
      </c>
      <c r="B84">
        <f>'Monthly Data'!C84</f>
        <v>11</v>
      </c>
      <c r="C84">
        <f>'Monthly Data'!B84</f>
        <v>2020</v>
      </c>
      <c r="D84" s="18">
        <f>'Monthly Data'!F84</f>
        <v>33811578.484299064</v>
      </c>
      <c r="E84" s="10">
        <f>'Monthly Data'!AG84</f>
        <v>317.25833333333338</v>
      </c>
      <c r="F84" s="98">
        <f>'Monthly Data'!AB84</f>
        <v>0</v>
      </c>
      <c r="G84">
        <f>'Monthly Data'!BO84</f>
        <v>30</v>
      </c>
      <c r="H84">
        <f>'Monthly Data'!BS84</f>
        <v>1</v>
      </c>
      <c r="I84">
        <f>'Monthly Data'!BK84</f>
        <v>1</v>
      </c>
      <c r="K84" s="17">
        <f>'Res Predicted Monthly'!$V$7</f>
        <v>-1956373.74241439</v>
      </c>
      <c r="L84" s="17">
        <f>E84*'Res Predicted Monthly'!$V$8</f>
        <v>7921700.9498809017</v>
      </c>
      <c r="M84" s="17">
        <f>F84*'Res Predicted Monthly'!$V$9</f>
        <v>0</v>
      </c>
      <c r="N84" s="17">
        <f>G84*'Res Predicted Monthly'!$V$10</f>
        <v>26540661.774392013</v>
      </c>
      <c r="O84" s="17">
        <f>H84*'Res Predicted Monthly'!$V$11</f>
        <v>2103852.6986380499</v>
      </c>
      <c r="P84" s="17">
        <f>I84*'Res Predicted Monthly'!$V$12</f>
        <v>-1149094.2112539201</v>
      </c>
      <c r="Q84" s="17">
        <f t="shared" si="7"/>
        <v>33460747.469242655</v>
      </c>
      <c r="R84" s="17">
        <f t="shared" si="5"/>
        <v>-350831.01505640894</v>
      </c>
      <c r="S84" s="29">
        <f t="shared" si="6"/>
        <v>1.0376061419886765E-2</v>
      </c>
    </row>
    <row r="85" spans="1:19" x14ac:dyDescent="0.2">
      <c r="A85" s="206">
        <f>'Monthly Data'!A85</f>
        <v>44166</v>
      </c>
      <c r="B85">
        <f>'Monthly Data'!C85</f>
        <v>12</v>
      </c>
      <c r="C85">
        <f>'Monthly Data'!B85</f>
        <v>2020</v>
      </c>
      <c r="D85" s="18">
        <f>'Monthly Data'!F85</f>
        <v>40838337.479442224</v>
      </c>
      <c r="E85" s="10">
        <f>'Monthly Data'!AG85</f>
        <v>566.51387558837848</v>
      </c>
      <c r="F85" s="98">
        <f>'Monthly Data'!AB85</f>
        <v>0</v>
      </c>
      <c r="G85">
        <f>'Monthly Data'!BO85</f>
        <v>31</v>
      </c>
      <c r="H85">
        <f>'Monthly Data'!BS85</f>
        <v>1</v>
      </c>
      <c r="I85">
        <f>'Monthly Data'!BK85</f>
        <v>0</v>
      </c>
      <c r="K85" s="17">
        <f>'Res Predicted Monthly'!$V$7</f>
        <v>-1956373.74241439</v>
      </c>
      <c r="L85" s="17">
        <f>E85*'Res Predicted Monthly'!$V$8</f>
        <v>14145423.570809808</v>
      </c>
      <c r="M85" s="17">
        <f>F85*'Res Predicted Monthly'!$V$9</f>
        <v>0</v>
      </c>
      <c r="N85" s="17">
        <f>G85*'Res Predicted Monthly'!$V$10</f>
        <v>27425350.500205077</v>
      </c>
      <c r="O85" s="17">
        <f>H85*'Res Predicted Monthly'!$V$11</f>
        <v>2103852.6986380499</v>
      </c>
      <c r="P85" s="17">
        <f>I85*'Res Predicted Monthly'!$V$12</f>
        <v>0</v>
      </c>
      <c r="Q85" s="17">
        <f t="shared" si="7"/>
        <v>41718253.027238548</v>
      </c>
      <c r="R85" s="17">
        <f t="shared" si="5"/>
        <v>879915.5477963239</v>
      </c>
      <c r="S85" s="29">
        <f t="shared" si="6"/>
        <v>2.1546311679295667E-2</v>
      </c>
    </row>
    <row r="86" spans="1:19" x14ac:dyDescent="0.2">
      <c r="A86" s="206">
        <f>'Monthly Data'!A86</f>
        <v>44197</v>
      </c>
      <c r="B86">
        <f>'Monthly Data'!C86</f>
        <v>1</v>
      </c>
      <c r="C86">
        <f>'Monthly Data'!B86</f>
        <v>2021</v>
      </c>
      <c r="D86" s="18">
        <f>'Monthly Data'!F86</f>
        <v>42530208.31538289</v>
      </c>
      <c r="E86" s="10">
        <f>'Monthly Data'!AG86</f>
        <v>637.9242922550452</v>
      </c>
      <c r="F86" s="98">
        <f>'Monthly Data'!AB86</f>
        <v>0</v>
      </c>
      <c r="G86">
        <f>'Monthly Data'!BO86</f>
        <v>31</v>
      </c>
      <c r="H86">
        <f>'Monthly Data'!BS86</f>
        <v>0.75</v>
      </c>
      <c r="I86">
        <f>'Monthly Data'!BK86</f>
        <v>0</v>
      </c>
      <c r="K86" s="17">
        <f>'Res Predicted Monthly'!$V$7</f>
        <v>-1956373.74241439</v>
      </c>
      <c r="L86" s="17">
        <f>E86*'Res Predicted Monthly'!$V$8</f>
        <v>15928487.736835573</v>
      </c>
      <c r="M86" s="17">
        <f>F86*'Res Predicted Monthly'!$V$9</f>
        <v>0</v>
      </c>
      <c r="N86" s="17">
        <f>G86*'Res Predicted Monthly'!$V$10</f>
        <v>27425350.500205077</v>
      </c>
      <c r="O86" s="17">
        <f>H86*'Res Predicted Monthly'!$V$11</f>
        <v>1577889.5239785374</v>
      </c>
      <c r="P86" s="17">
        <f>I86*'Res Predicted Monthly'!$V$12</f>
        <v>0</v>
      </c>
      <c r="Q86" s="17">
        <f t="shared" si="7"/>
        <v>42975354.0186048</v>
      </c>
      <c r="R86" s="17">
        <f t="shared" si="5"/>
        <v>445145.7032219097</v>
      </c>
      <c r="S86" s="29">
        <f t="shared" si="6"/>
        <v>1.0466577072017385E-2</v>
      </c>
    </row>
    <row r="87" spans="1:19" x14ac:dyDescent="0.2">
      <c r="A87" s="206">
        <f>'Monthly Data'!A87</f>
        <v>44228</v>
      </c>
      <c r="B87">
        <f>'Monthly Data'!C87</f>
        <v>2</v>
      </c>
      <c r="C87">
        <f>'Monthly Data'!B87</f>
        <v>2021</v>
      </c>
      <c r="D87" s="18">
        <f>'Monthly Data'!F87</f>
        <v>40231756.483946629</v>
      </c>
      <c r="E87" s="10">
        <f>'Monthly Data'!AG87</f>
        <v>639.86250000000018</v>
      </c>
      <c r="F87" s="98">
        <f>'Monthly Data'!AB87</f>
        <v>0</v>
      </c>
      <c r="G87">
        <f>'Monthly Data'!BO87</f>
        <v>28</v>
      </c>
      <c r="H87">
        <f>'Monthly Data'!BS87</f>
        <v>0.75</v>
      </c>
      <c r="I87">
        <f>'Monthly Data'!BK87</f>
        <v>0</v>
      </c>
      <c r="K87" s="17">
        <f>'Res Predicted Monthly'!$V$7</f>
        <v>-1956373.74241439</v>
      </c>
      <c r="L87" s="17">
        <f>E87*'Res Predicted Monthly'!$V$8</f>
        <v>15976883.32024849</v>
      </c>
      <c r="M87" s="17">
        <f>F87*'Res Predicted Monthly'!$V$9</f>
        <v>0</v>
      </c>
      <c r="N87" s="17">
        <f>G87*'Res Predicted Monthly'!$V$10</f>
        <v>24771284.322765879</v>
      </c>
      <c r="O87" s="17">
        <f>H87*'Res Predicted Monthly'!$V$11</f>
        <v>1577889.5239785374</v>
      </c>
      <c r="P87" s="17">
        <f>I87*'Res Predicted Monthly'!$V$12</f>
        <v>0</v>
      </c>
      <c r="Q87" s="17">
        <f t="shared" si="7"/>
        <v>40369683.424578518</v>
      </c>
      <c r="R87" s="17">
        <f t="shared" si="5"/>
        <v>137926.94063188881</v>
      </c>
      <c r="S87" s="29">
        <f t="shared" si="6"/>
        <v>3.4283101879214431E-3</v>
      </c>
    </row>
    <row r="88" spans="1:19" x14ac:dyDescent="0.2">
      <c r="A88" s="206">
        <f>'Monthly Data'!A88</f>
        <v>44256</v>
      </c>
      <c r="B88">
        <f>'Monthly Data'!C88</f>
        <v>3</v>
      </c>
      <c r="C88">
        <f>'Monthly Data'!B88</f>
        <v>2021</v>
      </c>
      <c r="D88" s="18">
        <f>'Monthly Data'!F88</f>
        <v>36730744.112510376</v>
      </c>
      <c r="E88" s="10">
        <f>'Monthly Data'!AG88</f>
        <v>442.87637558837849</v>
      </c>
      <c r="F88" s="98">
        <f>'Monthly Data'!AB88</f>
        <v>0</v>
      </c>
      <c r="G88">
        <f>'Monthly Data'!BO88</f>
        <v>31</v>
      </c>
      <c r="H88">
        <f>'Monthly Data'!BS88</f>
        <v>0.75</v>
      </c>
      <c r="I88">
        <f>'Monthly Data'!BK88</f>
        <v>1</v>
      </c>
      <c r="K88" s="17">
        <f>'Res Predicted Monthly'!$V$7</f>
        <v>-1956373.74241439</v>
      </c>
      <c r="L88" s="17">
        <f>E88*'Res Predicted Monthly'!$V$8</f>
        <v>11058288.582422111</v>
      </c>
      <c r="M88" s="17">
        <f>F88*'Res Predicted Monthly'!$V$9</f>
        <v>0</v>
      </c>
      <c r="N88" s="17">
        <f>G88*'Res Predicted Monthly'!$V$10</f>
        <v>27425350.500205077</v>
      </c>
      <c r="O88" s="17">
        <f>H88*'Res Predicted Monthly'!$V$11</f>
        <v>1577889.5239785374</v>
      </c>
      <c r="P88" s="17">
        <f>I88*'Res Predicted Monthly'!$V$12</f>
        <v>-1149094.2112539201</v>
      </c>
      <c r="Q88" s="17">
        <f t="shared" si="7"/>
        <v>36956060.65293742</v>
      </c>
      <c r="R88" s="17">
        <f t="shared" si="5"/>
        <v>225316.54042704403</v>
      </c>
      <c r="S88" s="29">
        <f t="shared" si="6"/>
        <v>6.134276499732058E-3</v>
      </c>
    </row>
    <row r="89" spans="1:19" x14ac:dyDescent="0.2">
      <c r="A89" s="206">
        <f>'Monthly Data'!A89</f>
        <v>44287</v>
      </c>
      <c r="B89">
        <f>'Monthly Data'!C89</f>
        <v>4</v>
      </c>
      <c r="C89">
        <f>'Monthly Data'!B89</f>
        <v>2021</v>
      </c>
      <c r="D89" s="18">
        <f>'Monthly Data'!F89</f>
        <v>29987134.981074113</v>
      </c>
      <c r="E89" s="10">
        <f>'Monthly Data'!AG89</f>
        <v>200.60624999999999</v>
      </c>
      <c r="F89" s="98">
        <f>'Monthly Data'!AB89</f>
        <v>0</v>
      </c>
      <c r="G89">
        <f>'Monthly Data'!BO89</f>
        <v>30</v>
      </c>
      <c r="H89">
        <f>'Monthly Data'!BS89</f>
        <v>0.75</v>
      </c>
      <c r="I89">
        <f>'Monthly Data'!BK89</f>
        <v>1</v>
      </c>
      <c r="K89" s="17">
        <f>'Res Predicted Monthly'!$V$7</f>
        <v>-1956373.74241439</v>
      </c>
      <c r="L89" s="17">
        <f>E89*'Res Predicted Monthly'!$V$8</f>
        <v>5008986.5393933812</v>
      </c>
      <c r="M89" s="17">
        <f>F89*'Res Predicted Monthly'!$V$9</f>
        <v>0</v>
      </c>
      <c r="N89" s="17">
        <f>G89*'Res Predicted Monthly'!$V$10</f>
        <v>26540661.774392013</v>
      </c>
      <c r="O89" s="17">
        <f>H89*'Res Predicted Monthly'!$V$11</f>
        <v>1577889.5239785374</v>
      </c>
      <c r="P89" s="17">
        <f>I89*'Res Predicted Monthly'!$V$12</f>
        <v>-1149094.2112539201</v>
      </c>
      <c r="Q89" s="17">
        <f t="shared" si="7"/>
        <v>30022069.884095624</v>
      </c>
      <c r="R89" s="17">
        <f t="shared" si="5"/>
        <v>34934.90302151069</v>
      </c>
      <c r="S89" s="29">
        <f t="shared" si="6"/>
        <v>1.1649963573899034E-3</v>
      </c>
    </row>
    <row r="90" spans="1:19" x14ac:dyDescent="0.2">
      <c r="A90" s="206">
        <f>'Monthly Data'!A90</f>
        <v>44317</v>
      </c>
      <c r="B90">
        <f>'Monthly Data'!C90</f>
        <v>5</v>
      </c>
      <c r="C90">
        <f>'Monthly Data'!B90</f>
        <v>2021</v>
      </c>
      <c r="D90" s="18">
        <f>'Monthly Data'!F90</f>
        <v>28148573.559637856</v>
      </c>
      <c r="E90" s="10">
        <f>'Monthly Data'!AG90</f>
        <v>92.268749999999997</v>
      </c>
      <c r="F90" s="98">
        <f>'Monthly Data'!AB90</f>
        <v>12.579166666666673</v>
      </c>
      <c r="G90">
        <f>'Monthly Data'!BO90</f>
        <v>31</v>
      </c>
      <c r="H90">
        <f>'Monthly Data'!BS90</f>
        <v>0.75</v>
      </c>
      <c r="I90">
        <f>'Monthly Data'!BK90</f>
        <v>1</v>
      </c>
      <c r="K90" s="17">
        <f>'Res Predicted Monthly'!$V$7</f>
        <v>-1956373.74241439</v>
      </c>
      <c r="L90" s="17">
        <f>E90*'Res Predicted Monthly'!$V$8</f>
        <v>2303880.9945186307</v>
      </c>
      <c r="M90" s="17">
        <f>F90*'Res Predicted Monthly'!$V$9</f>
        <v>662442.53197649983</v>
      </c>
      <c r="N90" s="17">
        <f>G90*'Res Predicted Monthly'!$V$10</f>
        <v>27425350.500205077</v>
      </c>
      <c r="O90" s="17">
        <f>H90*'Res Predicted Monthly'!$V$11</f>
        <v>1577889.5239785374</v>
      </c>
      <c r="P90" s="17">
        <f>I90*'Res Predicted Monthly'!$V$12</f>
        <v>-1149094.2112539201</v>
      </c>
      <c r="Q90" s="17">
        <f t="shared" si="7"/>
        <v>28864095.597010437</v>
      </c>
      <c r="R90" s="17">
        <f t="shared" si="5"/>
        <v>715522.03737258166</v>
      </c>
      <c r="S90" s="29">
        <f t="shared" si="6"/>
        <v>2.5419477681759558E-2</v>
      </c>
    </row>
    <row r="91" spans="1:19" x14ac:dyDescent="0.2">
      <c r="A91" s="206">
        <f>'Monthly Data'!A91</f>
        <v>44348</v>
      </c>
      <c r="B91">
        <f>'Monthly Data'!C91</f>
        <v>6</v>
      </c>
      <c r="C91">
        <f>'Monthly Data'!B91</f>
        <v>2021</v>
      </c>
      <c r="D91" s="18">
        <f>'Monthly Data'!F91</f>
        <v>27805602.948201597</v>
      </c>
      <c r="E91" s="10">
        <f>'Monthly Data'!AG91</f>
        <v>3.3708333333333318</v>
      </c>
      <c r="F91" s="98">
        <f>'Monthly Data'!AB91</f>
        <v>25.816666666666659</v>
      </c>
      <c r="G91">
        <f>'Monthly Data'!BO91</f>
        <v>30</v>
      </c>
      <c r="H91">
        <f>'Monthly Data'!BS91</f>
        <v>0.75</v>
      </c>
      <c r="I91">
        <f>'Monthly Data'!BK91</f>
        <v>0</v>
      </c>
      <c r="K91" s="17">
        <f>'Res Predicted Monthly'!$V$7</f>
        <v>-1956373.74241439</v>
      </c>
      <c r="L91" s="17">
        <f>E91*'Res Predicted Monthly'!$V$8</f>
        <v>84167.162255439122</v>
      </c>
      <c r="M91" s="17">
        <f>F91*'Res Predicted Monthly'!$V$9</f>
        <v>1359554.133198539</v>
      </c>
      <c r="N91" s="17">
        <f>G91*'Res Predicted Monthly'!$V$10</f>
        <v>26540661.774392013</v>
      </c>
      <c r="O91" s="17">
        <f>H91*'Res Predicted Monthly'!$V$11</f>
        <v>1577889.5239785374</v>
      </c>
      <c r="P91" s="17">
        <f>I91*'Res Predicted Monthly'!$V$12</f>
        <v>0</v>
      </c>
      <c r="Q91" s="17">
        <f t="shared" si="7"/>
        <v>27605898.851410139</v>
      </c>
      <c r="R91" s="17">
        <f t="shared" si="5"/>
        <v>-199704.09679145738</v>
      </c>
      <c r="S91" s="29">
        <f t="shared" si="6"/>
        <v>7.1821530776901852E-3</v>
      </c>
    </row>
    <row r="92" spans="1:19" x14ac:dyDescent="0.2">
      <c r="A92" s="206">
        <f>'Monthly Data'!A92</f>
        <v>44378</v>
      </c>
      <c r="B92">
        <f>'Monthly Data'!C92</f>
        <v>7</v>
      </c>
      <c r="C92">
        <f>'Monthly Data'!B92</f>
        <v>2021</v>
      </c>
      <c r="D92" s="18">
        <f>'Monthly Data'!F92</f>
        <v>29964928.846765336</v>
      </c>
      <c r="E92" s="10">
        <f>'Monthly Data'!AG92</f>
        <v>0</v>
      </c>
      <c r="F92" s="98">
        <f>'Monthly Data'!AB92</f>
        <v>41.341666666666697</v>
      </c>
      <c r="G92">
        <f>'Monthly Data'!BO92</f>
        <v>31</v>
      </c>
      <c r="H92">
        <f>'Monthly Data'!BS92</f>
        <v>0.75</v>
      </c>
      <c r="I92">
        <f>'Monthly Data'!BK92</f>
        <v>0</v>
      </c>
      <c r="K92" s="17">
        <f>'Res Predicted Monthly'!$V$7</f>
        <v>-1956373.74241439</v>
      </c>
      <c r="L92" s="17">
        <f>E92*'Res Predicted Monthly'!$V$8</f>
        <v>0</v>
      </c>
      <c r="M92" s="17">
        <f>F92*'Res Predicted Monthly'!$V$9</f>
        <v>2177129.7788243899</v>
      </c>
      <c r="N92" s="17">
        <f>G92*'Res Predicted Monthly'!$V$10</f>
        <v>27425350.500205077</v>
      </c>
      <c r="O92" s="17">
        <f>H92*'Res Predicted Monthly'!$V$11</f>
        <v>1577889.5239785374</v>
      </c>
      <c r="P92" s="17">
        <f>I92*'Res Predicted Monthly'!$V$12</f>
        <v>0</v>
      </c>
      <c r="Q92" s="17">
        <f t="shared" si="7"/>
        <v>29223996.060593616</v>
      </c>
      <c r="R92" s="17">
        <f t="shared" si="5"/>
        <v>-740932.78617171943</v>
      </c>
      <c r="S92" s="29">
        <f t="shared" si="6"/>
        <v>2.4726665962088605E-2</v>
      </c>
    </row>
    <row r="93" spans="1:19" x14ac:dyDescent="0.2">
      <c r="A93" s="206">
        <f>'Monthly Data'!A93</f>
        <v>44409</v>
      </c>
      <c r="B93">
        <f>'Monthly Data'!C93</f>
        <v>8</v>
      </c>
      <c r="C93">
        <f>'Monthly Data'!B93</f>
        <v>2021</v>
      </c>
      <c r="D93" s="18">
        <f>'Monthly Data'!F93</f>
        <v>30815942.315329079</v>
      </c>
      <c r="E93" s="10">
        <f>'Monthly Data'!AG93</f>
        <v>0</v>
      </c>
      <c r="F93" s="98">
        <f>'Monthly Data'!AB93</f>
        <v>69.433333333333337</v>
      </c>
      <c r="G93">
        <f>'Monthly Data'!BO93</f>
        <v>31</v>
      </c>
      <c r="H93">
        <f>'Monthly Data'!BS93</f>
        <v>0.75</v>
      </c>
      <c r="I93">
        <f>'Monthly Data'!BK93</f>
        <v>0</v>
      </c>
      <c r="K93" s="17">
        <f>'Res Predicted Monthly'!$V$7</f>
        <v>-1956373.74241439</v>
      </c>
      <c r="L93" s="17">
        <f>E93*'Res Predicted Monthly'!$V$8</f>
        <v>0</v>
      </c>
      <c r="M93" s="17">
        <f>F93*'Res Predicted Monthly'!$V$9</f>
        <v>3656489.6829600488</v>
      </c>
      <c r="N93" s="17">
        <f>G93*'Res Predicted Monthly'!$V$10</f>
        <v>27425350.500205077</v>
      </c>
      <c r="O93" s="17">
        <f>H93*'Res Predicted Monthly'!$V$11</f>
        <v>1577889.5239785374</v>
      </c>
      <c r="P93" s="17">
        <f>I93*'Res Predicted Monthly'!$V$12</f>
        <v>0</v>
      </c>
      <c r="Q93" s="17">
        <f t="shared" si="7"/>
        <v>30703355.964729276</v>
      </c>
      <c r="R93" s="17">
        <f t="shared" si="5"/>
        <v>-112586.35059980303</v>
      </c>
      <c r="S93" s="29">
        <f t="shared" si="6"/>
        <v>3.6535099088564329E-3</v>
      </c>
    </row>
    <row r="94" spans="1:19" x14ac:dyDescent="0.2">
      <c r="A94" s="206">
        <f>'Monthly Data'!A94</f>
        <v>44440</v>
      </c>
      <c r="B94">
        <f>'Monthly Data'!C94</f>
        <v>9</v>
      </c>
      <c r="C94">
        <f>'Monthly Data'!B94</f>
        <v>2021</v>
      </c>
      <c r="D94" s="18">
        <f>'Monthly Data'!F94</f>
        <v>25926319.283892822</v>
      </c>
      <c r="E94" s="10">
        <f>'Monthly Data'!AG94</f>
        <v>20.447916666666664</v>
      </c>
      <c r="F94" s="98">
        <f>'Monthly Data'!AB94</f>
        <v>0.25416666666666288</v>
      </c>
      <c r="G94">
        <f>'Monthly Data'!BO94</f>
        <v>30</v>
      </c>
      <c r="H94">
        <f>'Monthly Data'!BS94</f>
        <v>0.75</v>
      </c>
      <c r="I94">
        <f>'Monthly Data'!BK94</f>
        <v>1</v>
      </c>
      <c r="K94" s="17">
        <f>'Res Predicted Monthly'!$V$7</f>
        <v>-1956373.74241439</v>
      </c>
      <c r="L94" s="17">
        <f>E94*'Res Predicted Monthly'!$V$8</f>
        <v>510569.03432455822</v>
      </c>
      <c r="M94" s="17">
        <f>F94*'Res Predicted Monthly'!$V$9</f>
        <v>13384.893822645203</v>
      </c>
      <c r="N94" s="17">
        <f>G94*'Res Predicted Monthly'!$V$10</f>
        <v>26540661.774392013</v>
      </c>
      <c r="O94" s="17">
        <f>H94*'Res Predicted Monthly'!$V$11</f>
        <v>1577889.5239785374</v>
      </c>
      <c r="P94" s="17">
        <f>I94*'Res Predicted Monthly'!$V$12</f>
        <v>-1149094.2112539201</v>
      </c>
      <c r="Q94" s="17">
        <f t="shared" si="7"/>
        <v>25537037.272849448</v>
      </c>
      <c r="R94" s="17">
        <f t="shared" si="5"/>
        <v>-389282.0110433735</v>
      </c>
      <c r="S94" s="29">
        <f t="shared" si="6"/>
        <v>1.5014935470814082E-2</v>
      </c>
    </row>
    <row r="95" spans="1:19" x14ac:dyDescent="0.2">
      <c r="A95" s="206">
        <f>'Monthly Data'!A95</f>
        <v>44470</v>
      </c>
      <c r="B95">
        <f>'Monthly Data'!C95</f>
        <v>10</v>
      </c>
      <c r="C95">
        <f>'Monthly Data'!B95</f>
        <v>2021</v>
      </c>
      <c r="D95" s="18">
        <f>'Monthly Data'!F95</f>
        <v>27354078.152456563</v>
      </c>
      <c r="E95" s="10">
        <f>'Monthly Data'!AG95</f>
        <v>91.706250000000011</v>
      </c>
      <c r="F95" s="98">
        <f>'Monthly Data'!AB95</f>
        <v>0</v>
      </c>
      <c r="G95">
        <f>'Monthly Data'!BO95</f>
        <v>31</v>
      </c>
      <c r="H95">
        <f>'Monthly Data'!BS95</f>
        <v>0.75</v>
      </c>
      <c r="I95">
        <f>'Monthly Data'!BK95</f>
        <v>1</v>
      </c>
      <c r="K95" s="17">
        <f>'Res Predicted Monthly'!$V$7</f>
        <v>-1956373.74241439</v>
      </c>
      <c r="L95" s="17">
        <f>E95*'Res Predicted Monthly'!$V$8</f>
        <v>2289835.7943894789</v>
      </c>
      <c r="M95" s="17">
        <f>F95*'Res Predicted Monthly'!$V$9</f>
        <v>0</v>
      </c>
      <c r="N95" s="17">
        <f>G95*'Res Predicted Monthly'!$V$10</f>
        <v>27425350.500205077</v>
      </c>
      <c r="O95" s="17">
        <f>H95*'Res Predicted Monthly'!$V$11</f>
        <v>1577889.5239785374</v>
      </c>
      <c r="P95" s="17">
        <f>I95*'Res Predicted Monthly'!$V$12</f>
        <v>-1149094.2112539201</v>
      </c>
      <c r="Q95" s="17">
        <f t="shared" si="7"/>
        <v>28187607.864904787</v>
      </c>
      <c r="R95" s="17">
        <f t="shared" si="5"/>
        <v>833529.71244822443</v>
      </c>
      <c r="S95" s="29">
        <f t="shared" si="6"/>
        <v>3.0471862652529869E-2</v>
      </c>
    </row>
    <row r="96" spans="1:19" x14ac:dyDescent="0.2">
      <c r="A96" s="206">
        <f>'Monthly Data'!A96</f>
        <v>44501</v>
      </c>
      <c r="B96">
        <f>'Monthly Data'!C96</f>
        <v>11</v>
      </c>
      <c r="C96">
        <f>'Monthly Data'!B96</f>
        <v>2021</v>
      </c>
      <c r="D96" s="18">
        <f>'Monthly Data'!F96</f>
        <v>32953447.321020301</v>
      </c>
      <c r="E96" s="10">
        <f>'Monthly Data'!AG96</f>
        <v>376.3104166666667</v>
      </c>
      <c r="F96" s="98">
        <f>'Monthly Data'!AB96</f>
        <v>0</v>
      </c>
      <c r="G96">
        <f>'Monthly Data'!BO96</f>
        <v>30</v>
      </c>
      <c r="H96">
        <f>'Monthly Data'!BS96</f>
        <v>0.75</v>
      </c>
      <c r="I96">
        <f>'Monthly Data'!BK96</f>
        <v>1</v>
      </c>
      <c r="K96" s="17">
        <f>'Res Predicted Monthly'!$V$7</f>
        <v>-1956373.74241439</v>
      </c>
      <c r="L96" s="17">
        <f>E96*'Res Predicted Monthly'!$V$8</f>
        <v>9396186.8671432137</v>
      </c>
      <c r="M96" s="17">
        <f>F96*'Res Predicted Monthly'!$V$9</f>
        <v>0</v>
      </c>
      <c r="N96" s="17">
        <f>G96*'Res Predicted Monthly'!$V$10</f>
        <v>26540661.774392013</v>
      </c>
      <c r="O96" s="17">
        <f>H96*'Res Predicted Monthly'!$V$11</f>
        <v>1577889.5239785374</v>
      </c>
      <c r="P96" s="17">
        <f>I96*'Res Predicted Monthly'!$V$12</f>
        <v>-1149094.2112539201</v>
      </c>
      <c r="Q96" s="17">
        <f t="shared" si="7"/>
        <v>34409270.211845458</v>
      </c>
      <c r="R96" s="17">
        <f t="shared" si="5"/>
        <v>1455822.8908251561</v>
      </c>
      <c r="S96" s="29">
        <f t="shared" si="6"/>
        <v>4.4178166752724464E-2</v>
      </c>
    </row>
    <row r="97" spans="1:19" x14ac:dyDescent="0.2">
      <c r="A97" s="206">
        <f>'Monthly Data'!A97</f>
        <v>44531</v>
      </c>
      <c r="B97">
        <f>'Monthly Data'!C97</f>
        <v>12</v>
      </c>
      <c r="C97">
        <f>'Monthly Data'!B97</f>
        <v>2021</v>
      </c>
      <c r="D97" s="18">
        <f>'Monthly Data'!F97</f>
        <v>41398567.21958404</v>
      </c>
      <c r="E97" s="10">
        <f>'Monthly Data'!AG97</f>
        <v>571.20416666666665</v>
      </c>
      <c r="F97" s="98">
        <f>'Monthly Data'!AB97</f>
        <v>0</v>
      </c>
      <c r="G97">
        <f>'Monthly Data'!BO97</f>
        <v>31</v>
      </c>
      <c r="H97">
        <f>'Monthly Data'!BS97</f>
        <v>0.75</v>
      </c>
      <c r="I97">
        <f>'Monthly Data'!BK97</f>
        <v>0</v>
      </c>
      <c r="K97" s="17">
        <f>'Res Predicted Monthly'!$V$7</f>
        <v>-1956373.74241439</v>
      </c>
      <c r="L97" s="17">
        <f>E97*'Res Predicted Monthly'!$V$8</f>
        <v>14262536.596336093</v>
      </c>
      <c r="M97" s="17">
        <f>F97*'Res Predicted Monthly'!$V$9</f>
        <v>0</v>
      </c>
      <c r="N97" s="17">
        <f>G97*'Res Predicted Monthly'!$V$10</f>
        <v>27425350.500205077</v>
      </c>
      <c r="O97" s="17">
        <f>H97*'Res Predicted Monthly'!$V$11</f>
        <v>1577889.5239785374</v>
      </c>
      <c r="P97" s="17">
        <f>I97*'Res Predicted Monthly'!$V$12</f>
        <v>0</v>
      </c>
      <c r="Q97" s="17">
        <f t="shared" si="7"/>
        <v>41309402.87810532</v>
      </c>
      <c r="R97" s="17">
        <f t="shared" si="5"/>
        <v>-89164.341478720307</v>
      </c>
      <c r="S97" s="29">
        <f t="shared" si="6"/>
        <v>2.1538025943211906E-3</v>
      </c>
    </row>
    <row r="98" spans="1:19" x14ac:dyDescent="0.2">
      <c r="A98" s="206">
        <f>'Monthly Data'!A98</f>
        <v>44562</v>
      </c>
      <c r="B98">
        <f>'Monthly Data'!C98</f>
        <v>1</v>
      </c>
      <c r="C98">
        <f>'Monthly Data'!B98</f>
        <v>2022</v>
      </c>
      <c r="D98" s="18">
        <f>'Monthly Data'!F98</f>
        <v>48603336.169453375</v>
      </c>
      <c r="E98" s="10">
        <f>'Monthly Data'!AG98</f>
        <v>879.08333333333314</v>
      </c>
      <c r="F98" s="98">
        <f>'Monthly Data'!AB98</f>
        <v>0</v>
      </c>
      <c r="G98">
        <f>'Monthly Data'!BO98</f>
        <v>31</v>
      </c>
      <c r="H98">
        <f>'Monthly Data'!BS98</f>
        <v>0.5</v>
      </c>
      <c r="I98">
        <f>'Monthly Data'!BK98</f>
        <v>0</v>
      </c>
      <c r="K98" s="17">
        <f>'Res Predicted Monthly'!$V$7</f>
        <v>-1956373.74241439</v>
      </c>
      <c r="L98" s="17">
        <f>E98*'Res Predicted Monthly'!$V$8</f>
        <v>21950046.838878307</v>
      </c>
      <c r="M98" s="17">
        <f>F98*'Res Predicted Monthly'!$V$9</f>
        <v>0</v>
      </c>
      <c r="N98" s="17">
        <f>G98*'Res Predicted Monthly'!$V$10</f>
        <v>27425350.500205077</v>
      </c>
      <c r="O98" s="17">
        <f>H98*'Res Predicted Monthly'!$V$11</f>
        <v>1051926.3493190249</v>
      </c>
      <c r="P98" s="17">
        <f>I98*'Res Predicted Monthly'!$V$12</f>
        <v>0</v>
      </c>
      <c r="Q98" s="17">
        <f t="shared" si="7"/>
        <v>48470949.945988022</v>
      </c>
      <c r="R98" s="17">
        <f t="shared" ref="R98:R121" si="8">Q98-D98</f>
        <v>-132386.22346535325</v>
      </c>
      <c r="S98" s="29">
        <f t="shared" ref="S98:S121" si="9">ABS(R98/D98)</f>
        <v>2.7238093904458443E-3</v>
      </c>
    </row>
    <row r="99" spans="1:19" x14ac:dyDescent="0.2">
      <c r="A99" s="206">
        <f>'Monthly Data'!A99</f>
        <v>44593</v>
      </c>
      <c r="B99">
        <f>'Monthly Data'!C99</f>
        <v>2</v>
      </c>
      <c r="C99">
        <f>'Monthly Data'!B99</f>
        <v>2022</v>
      </c>
      <c r="D99" s="18">
        <f>'Monthly Data'!F99</f>
        <v>41341771.798382699</v>
      </c>
      <c r="E99" s="10">
        <f>'Monthly Data'!AG99</f>
        <v>683.50000000000023</v>
      </c>
      <c r="F99" s="98">
        <f>'Monthly Data'!AB99</f>
        <v>0</v>
      </c>
      <c r="G99">
        <f>'Monthly Data'!BO99</f>
        <v>28</v>
      </c>
      <c r="H99">
        <f>'Monthly Data'!BS99</f>
        <v>0.5</v>
      </c>
      <c r="I99">
        <f>'Monthly Data'!BK99</f>
        <v>0</v>
      </c>
      <c r="K99" s="17">
        <f>'Res Predicted Monthly'!$V$7</f>
        <v>-1956373.74241439</v>
      </c>
      <c r="L99" s="17">
        <f>E99*'Res Predicted Monthly'!$V$8</f>
        <v>17066478.734712292</v>
      </c>
      <c r="M99" s="17">
        <f>F99*'Res Predicted Monthly'!$V$9</f>
        <v>0</v>
      </c>
      <c r="N99" s="17">
        <f>G99*'Res Predicted Monthly'!$V$10</f>
        <v>24771284.322765879</v>
      </c>
      <c r="O99" s="17">
        <f>H99*'Res Predicted Monthly'!$V$11</f>
        <v>1051926.3493190249</v>
      </c>
      <c r="P99" s="17">
        <f>I99*'Res Predicted Monthly'!$V$12</f>
        <v>0</v>
      </c>
      <c r="Q99" s="17">
        <f t="shared" si="7"/>
        <v>40933315.664382808</v>
      </c>
      <c r="R99" s="17">
        <f t="shared" si="8"/>
        <v>-408456.13399989158</v>
      </c>
      <c r="S99" s="29">
        <f t="shared" si="9"/>
        <v>9.8799861793990758E-3</v>
      </c>
    </row>
    <row r="100" spans="1:19" x14ac:dyDescent="0.2">
      <c r="A100" s="206">
        <f>'Monthly Data'!A100</f>
        <v>44621</v>
      </c>
      <c r="B100">
        <f>'Monthly Data'!C100</f>
        <v>3</v>
      </c>
      <c r="C100">
        <f>'Monthly Data'!B100</f>
        <v>2022</v>
      </c>
      <c r="D100" s="18">
        <f>'Monthly Data'!F100</f>
        <v>39077708.027312025</v>
      </c>
      <c r="E100" s="10">
        <f>'Monthly Data'!AG100</f>
        <v>521.7680422550452</v>
      </c>
      <c r="F100" s="98">
        <f>'Monthly Data'!AB100</f>
        <v>0</v>
      </c>
      <c r="G100">
        <f>'Monthly Data'!BO100</f>
        <v>31</v>
      </c>
      <c r="H100">
        <f>'Monthly Data'!BS100</f>
        <v>0.5</v>
      </c>
      <c r="I100">
        <f>'Monthly Data'!BK100</f>
        <v>1</v>
      </c>
      <c r="K100" s="17">
        <f>'Res Predicted Monthly'!$V$7</f>
        <v>-1956373.74241439</v>
      </c>
      <c r="L100" s="17">
        <f>E100*'Res Predicted Monthly'!$V$8</f>
        <v>13028153.910165604</v>
      </c>
      <c r="M100" s="17">
        <f>F100*'Res Predicted Monthly'!$V$9</f>
        <v>0</v>
      </c>
      <c r="N100" s="17">
        <f>G100*'Res Predicted Monthly'!$V$10</f>
        <v>27425350.500205077</v>
      </c>
      <c r="O100" s="17">
        <f>H100*'Res Predicted Monthly'!$V$11</f>
        <v>1051926.3493190249</v>
      </c>
      <c r="P100" s="17">
        <f>I100*'Res Predicted Monthly'!$V$12</f>
        <v>-1149094.2112539201</v>
      </c>
      <c r="Q100" s="17">
        <f t="shared" si="7"/>
        <v>38399962.8060214</v>
      </c>
      <c r="R100" s="17">
        <f t="shared" si="8"/>
        <v>-677745.22129062563</v>
      </c>
      <c r="S100" s="29">
        <f t="shared" si="9"/>
        <v>1.7343525388360516E-2</v>
      </c>
    </row>
    <row r="101" spans="1:19" x14ac:dyDescent="0.2">
      <c r="A101" s="206">
        <f>'Monthly Data'!A101</f>
        <v>44652</v>
      </c>
      <c r="B101">
        <f>'Monthly Data'!C101</f>
        <v>4</v>
      </c>
      <c r="C101">
        <f>'Monthly Data'!B101</f>
        <v>2022</v>
      </c>
      <c r="D101" s="18">
        <f>'Monthly Data'!F101</f>
        <v>31812872.776241343</v>
      </c>
      <c r="E101" s="10">
        <f>'Monthly Data'!AG101</f>
        <v>280.62291666666664</v>
      </c>
      <c r="F101" s="98">
        <f>'Monthly Data'!AB101</f>
        <v>0</v>
      </c>
      <c r="G101">
        <f>'Monthly Data'!BO101</f>
        <v>30</v>
      </c>
      <c r="H101">
        <f>'Monthly Data'!BS101</f>
        <v>0.5</v>
      </c>
      <c r="I101">
        <f>'Monthly Data'!BK101</f>
        <v>1</v>
      </c>
      <c r="K101" s="17">
        <f>'Res Predicted Monthly'!$V$7</f>
        <v>-1956373.74241439</v>
      </c>
      <c r="L101" s="17">
        <f>E101*'Res Predicted Monthly'!$V$8</f>
        <v>7006942.2673951779</v>
      </c>
      <c r="M101" s="17">
        <f>F101*'Res Predicted Monthly'!$V$9</f>
        <v>0</v>
      </c>
      <c r="N101" s="17">
        <f>G101*'Res Predicted Monthly'!$V$10</f>
        <v>26540661.774392013</v>
      </c>
      <c r="O101" s="17">
        <f>H101*'Res Predicted Monthly'!$V$11</f>
        <v>1051926.3493190249</v>
      </c>
      <c r="P101" s="17">
        <f>I101*'Res Predicted Monthly'!$V$12</f>
        <v>-1149094.2112539201</v>
      </c>
      <c r="Q101" s="17">
        <f t="shared" si="7"/>
        <v>31494062.437437907</v>
      </c>
      <c r="R101" s="17">
        <f t="shared" si="8"/>
        <v>-318810.33880343661</v>
      </c>
      <c r="S101" s="29">
        <f t="shared" si="9"/>
        <v>1.0021425636276778E-2</v>
      </c>
    </row>
    <row r="102" spans="1:19" x14ac:dyDescent="0.2">
      <c r="A102" s="206">
        <f>'Monthly Data'!A102</f>
        <v>44682</v>
      </c>
      <c r="B102">
        <f>'Monthly Data'!C102</f>
        <v>5</v>
      </c>
      <c r="C102">
        <f>'Monthly Data'!B102</f>
        <v>2022</v>
      </c>
      <c r="D102" s="18">
        <f>'Monthly Data'!F102</f>
        <v>27326711.455170669</v>
      </c>
      <c r="E102" s="10">
        <f>'Monthly Data'!AG102</f>
        <v>38.105542255045179</v>
      </c>
      <c r="F102" s="98">
        <f>'Monthly Data'!AB102</f>
        <v>18.550000000000004</v>
      </c>
      <c r="G102">
        <f>'Monthly Data'!BO102</f>
        <v>31</v>
      </c>
      <c r="H102">
        <f>'Monthly Data'!BS102</f>
        <v>0.5</v>
      </c>
      <c r="I102">
        <f>'Monthly Data'!BK102</f>
        <v>1</v>
      </c>
      <c r="K102" s="17">
        <f>'Res Predicted Monthly'!$V$7</f>
        <v>-1956373.74241439</v>
      </c>
      <c r="L102" s="17">
        <f>E102*'Res Predicted Monthly'!$V$8</f>
        <v>951466.60800352448</v>
      </c>
      <c r="M102" s="17">
        <f>F102*'Res Predicted Monthly'!$V$9</f>
        <v>976877.82456421875</v>
      </c>
      <c r="N102" s="17">
        <f>G102*'Res Predicted Monthly'!$V$10</f>
        <v>27425350.500205077</v>
      </c>
      <c r="O102" s="17">
        <f>H102*'Res Predicted Monthly'!$V$11</f>
        <v>1051926.3493190249</v>
      </c>
      <c r="P102" s="17">
        <f>I102*'Res Predicted Monthly'!$V$12</f>
        <v>-1149094.2112539201</v>
      </c>
      <c r="Q102" s="17">
        <f t="shared" si="7"/>
        <v>27300153.328423537</v>
      </c>
      <c r="R102" s="17">
        <f t="shared" si="8"/>
        <v>-26558.126747131348</v>
      </c>
      <c r="S102" s="29">
        <f t="shared" si="9"/>
        <v>9.7187423341077168E-4</v>
      </c>
    </row>
    <row r="103" spans="1:19" x14ac:dyDescent="0.2">
      <c r="A103" s="206">
        <f>'Monthly Data'!A103</f>
        <v>44713</v>
      </c>
      <c r="B103">
        <f>'Monthly Data'!C103</f>
        <v>6</v>
      </c>
      <c r="C103">
        <f>'Monthly Data'!B103</f>
        <v>2022</v>
      </c>
      <c r="D103" s="18">
        <f>'Monthly Data'!F103</f>
        <v>26661606.264099989</v>
      </c>
      <c r="E103" s="10">
        <f>'Monthly Data'!AG103</f>
        <v>0.94999999999999929</v>
      </c>
      <c r="F103" s="98">
        <f>'Monthly Data'!AB103</f>
        <v>24.42499999999999</v>
      </c>
      <c r="G103">
        <f>'Monthly Data'!BO103</f>
        <v>30</v>
      </c>
      <c r="H103">
        <f>'Monthly Data'!BS103</f>
        <v>0.5</v>
      </c>
      <c r="I103">
        <f>'Monthly Data'!BK103</f>
        <v>0</v>
      </c>
      <c r="K103" s="17">
        <f>'Res Predicted Monthly'!$V$7</f>
        <v>-1956373.74241439</v>
      </c>
      <c r="L103" s="17">
        <f>E103*'Res Predicted Monthly'!$V$8</f>
        <v>23720.782440346247</v>
      </c>
      <c r="M103" s="17">
        <f>F103*'Res Predicted Monthly'!$V$9</f>
        <v>1286266.353907333</v>
      </c>
      <c r="N103" s="17">
        <f>G103*'Res Predicted Monthly'!$V$10</f>
        <v>26540661.774392013</v>
      </c>
      <c r="O103" s="17">
        <f>H103*'Res Predicted Monthly'!$V$11</f>
        <v>1051926.3493190249</v>
      </c>
      <c r="P103" s="17">
        <f>I103*'Res Predicted Monthly'!$V$12</f>
        <v>0</v>
      </c>
      <c r="Q103" s="17">
        <f t="shared" si="7"/>
        <v>26946201.517644327</v>
      </c>
      <c r="R103" s="17">
        <f t="shared" si="8"/>
        <v>284595.25354433805</v>
      </c>
      <c r="S103" s="29">
        <f t="shared" si="9"/>
        <v>1.0674347626517432E-2</v>
      </c>
    </row>
    <row r="104" spans="1:19" x14ac:dyDescent="0.2">
      <c r="A104" s="206">
        <f>'Monthly Data'!A104</f>
        <v>44743</v>
      </c>
      <c r="B104">
        <f>'Monthly Data'!C104</f>
        <v>7</v>
      </c>
      <c r="C104">
        <f>'Monthly Data'!B104</f>
        <v>2022</v>
      </c>
      <c r="D104" s="18">
        <f>'Monthly Data'!F104</f>
        <v>29470184.383029308</v>
      </c>
      <c r="E104" s="10">
        <f>'Monthly Data'!AG104</f>
        <v>0</v>
      </c>
      <c r="F104" s="98">
        <f>'Monthly Data'!AB104</f>
        <v>40.464583333333323</v>
      </c>
      <c r="G104">
        <f>'Monthly Data'!BO104</f>
        <v>31</v>
      </c>
      <c r="H104">
        <f>'Monthly Data'!BS104</f>
        <v>0.5</v>
      </c>
      <c r="I104">
        <f>'Monthly Data'!BK104</f>
        <v>0</v>
      </c>
      <c r="K104" s="17">
        <f>'Res Predicted Monthly'!$V$7</f>
        <v>-1956373.74241439</v>
      </c>
      <c r="L104" s="17">
        <f>E104*'Res Predicted Monthly'!$V$8</f>
        <v>0</v>
      </c>
      <c r="M104" s="17">
        <f>F104*'Res Predicted Monthly'!$V$9</f>
        <v>2130940.923911816</v>
      </c>
      <c r="N104" s="17">
        <f>G104*'Res Predicted Monthly'!$V$10</f>
        <v>27425350.500205077</v>
      </c>
      <c r="O104" s="17">
        <f>H104*'Res Predicted Monthly'!$V$11</f>
        <v>1051926.3493190249</v>
      </c>
      <c r="P104" s="17">
        <f>I104*'Res Predicted Monthly'!$V$12</f>
        <v>0</v>
      </c>
      <c r="Q104" s="17">
        <f t="shared" si="7"/>
        <v>28651844.031021528</v>
      </c>
      <c r="R104" s="17">
        <f t="shared" si="8"/>
        <v>-818340.35200778022</v>
      </c>
      <c r="S104" s="29">
        <f t="shared" si="9"/>
        <v>2.7768416422906044E-2</v>
      </c>
    </row>
    <row r="105" spans="1:19" x14ac:dyDescent="0.2">
      <c r="A105" s="206">
        <f>'Monthly Data'!A105</f>
        <v>44774</v>
      </c>
      <c r="B105">
        <f>'Monthly Data'!C105</f>
        <v>8</v>
      </c>
      <c r="C105">
        <f>'Monthly Data'!B105</f>
        <v>2022</v>
      </c>
      <c r="D105" s="18">
        <f>'Monthly Data'!F105</f>
        <v>29185319.021958631</v>
      </c>
      <c r="E105" s="10">
        <f>'Monthly Data'!AG105</f>
        <v>0</v>
      </c>
      <c r="F105" s="98">
        <f>'Monthly Data'!AB105</f>
        <v>36.270833333333314</v>
      </c>
      <c r="G105">
        <f>'Monthly Data'!BO105</f>
        <v>31</v>
      </c>
      <c r="H105">
        <f>'Monthly Data'!BS105</f>
        <v>0.5</v>
      </c>
      <c r="I105">
        <f>'Monthly Data'!BK105</f>
        <v>0</v>
      </c>
      <c r="K105" s="17">
        <f>'Res Predicted Monthly'!$V$7</f>
        <v>-1956373.74241439</v>
      </c>
      <c r="L105" s="17">
        <f>E105*'Res Predicted Monthly'!$V$8</f>
        <v>0</v>
      </c>
      <c r="M105" s="17">
        <f>F105*'Res Predicted Monthly'!$V$9</f>
        <v>1910090.1758381666</v>
      </c>
      <c r="N105" s="17">
        <f>G105*'Res Predicted Monthly'!$V$10</f>
        <v>27425350.500205077</v>
      </c>
      <c r="O105" s="17">
        <f>H105*'Res Predicted Monthly'!$V$11</f>
        <v>1051926.3493190249</v>
      </c>
      <c r="P105" s="17">
        <f>I105*'Res Predicted Monthly'!$V$12</f>
        <v>0</v>
      </c>
      <c r="Q105" s="17">
        <f t="shared" si="7"/>
        <v>28430993.282947879</v>
      </c>
      <c r="R105" s="17">
        <f t="shared" si="8"/>
        <v>-754325.73901075125</v>
      </c>
      <c r="S105" s="29">
        <f t="shared" si="9"/>
        <v>2.5846067964623139E-2</v>
      </c>
    </row>
    <row r="106" spans="1:19" x14ac:dyDescent="0.2">
      <c r="A106" s="206">
        <f>'Monthly Data'!A106</f>
        <v>44805</v>
      </c>
      <c r="B106">
        <f>'Monthly Data'!C106</f>
        <v>9</v>
      </c>
      <c r="C106">
        <f>'Monthly Data'!B106</f>
        <v>2022</v>
      </c>
      <c r="D106" s="18">
        <f>'Monthly Data'!F106</f>
        <v>26321435.78088795</v>
      </c>
      <c r="E106" s="10">
        <f>'Monthly Data'!AG106</f>
        <v>33.615958921711837</v>
      </c>
      <c r="F106" s="98">
        <f>'Monthly Data'!AB106</f>
        <v>8.2083333333333393</v>
      </c>
      <c r="G106">
        <f>'Monthly Data'!BO106</f>
        <v>30</v>
      </c>
      <c r="H106">
        <f>'Monthly Data'!BS106</f>
        <v>0.5</v>
      </c>
      <c r="I106">
        <f>'Monthly Data'!BK106</f>
        <v>1</v>
      </c>
      <c r="K106" s="17">
        <f>'Res Predicted Monthly'!$V$7</f>
        <v>-1956373.74241439</v>
      </c>
      <c r="L106" s="17">
        <f>E106*'Res Predicted Monthly'!$V$8</f>
        <v>839365.10326899309</v>
      </c>
      <c r="M106" s="17">
        <f>F106*'Res Predicted Monthly'!$V$9</f>
        <v>432266.24312477803</v>
      </c>
      <c r="N106" s="17">
        <f>G106*'Res Predicted Monthly'!$V$10</f>
        <v>26540661.774392013</v>
      </c>
      <c r="O106" s="17">
        <f>H106*'Res Predicted Monthly'!$V$11</f>
        <v>1051926.3493190249</v>
      </c>
      <c r="P106" s="17">
        <f>I106*'Res Predicted Monthly'!$V$12</f>
        <v>-1149094.2112539201</v>
      </c>
      <c r="Q106" s="17">
        <f t="shared" si="7"/>
        <v>25758751.516436502</v>
      </c>
      <c r="R106" s="17">
        <f t="shared" si="8"/>
        <v>-562684.26445144787</v>
      </c>
      <c r="S106" s="29">
        <f t="shared" si="9"/>
        <v>2.1377415317898961E-2</v>
      </c>
    </row>
    <row r="107" spans="1:19" x14ac:dyDescent="0.2">
      <c r="A107" s="206">
        <f>'Monthly Data'!A107</f>
        <v>44835</v>
      </c>
      <c r="B107">
        <f>'Monthly Data'!C107</f>
        <v>10</v>
      </c>
      <c r="C107">
        <f>'Monthly Data'!B107</f>
        <v>2022</v>
      </c>
      <c r="D107" s="18">
        <f>'Monthly Data'!F107</f>
        <v>27718622.209817275</v>
      </c>
      <c r="E107" s="10">
        <f>'Monthly Data'!AG107</f>
        <v>162.45900117675706</v>
      </c>
      <c r="F107" s="98">
        <f>'Monthly Data'!AB107</f>
        <v>0</v>
      </c>
      <c r="G107">
        <f>'Monthly Data'!BO107</f>
        <v>31</v>
      </c>
      <c r="H107">
        <f>'Monthly Data'!BS107</f>
        <v>0.5</v>
      </c>
      <c r="I107">
        <f>'Monthly Data'!BK107</f>
        <v>1</v>
      </c>
      <c r="K107" s="17">
        <f>'Res Predicted Monthly'!$V$7</f>
        <v>-1956373.74241439</v>
      </c>
      <c r="L107" s="17">
        <f>E107*'Res Predicted Monthly'!$V$8</f>
        <v>4056478.5498840124</v>
      </c>
      <c r="M107" s="17">
        <f>F107*'Res Predicted Monthly'!$V$9</f>
        <v>0</v>
      </c>
      <c r="N107" s="17">
        <f>G107*'Res Predicted Monthly'!$V$10</f>
        <v>27425350.500205077</v>
      </c>
      <c r="O107" s="17">
        <f>H107*'Res Predicted Monthly'!$V$11</f>
        <v>1051926.3493190249</v>
      </c>
      <c r="P107" s="17">
        <f>I107*'Res Predicted Monthly'!$V$12</f>
        <v>-1149094.2112539201</v>
      </c>
      <c r="Q107" s="17">
        <f t="shared" si="7"/>
        <v>29428287.445739806</v>
      </c>
      <c r="R107" s="17">
        <f t="shared" si="8"/>
        <v>1709665.2359225303</v>
      </c>
      <c r="S107" s="29">
        <f t="shared" si="9"/>
        <v>6.1679300759653471E-2</v>
      </c>
    </row>
    <row r="108" spans="1:19" x14ac:dyDescent="0.2">
      <c r="A108" s="206">
        <f>'Monthly Data'!A108</f>
        <v>44866</v>
      </c>
      <c r="B108">
        <f>'Monthly Data'!C108</f>
        <v>11</v>
      </c>
      <c r="C108">
        <f>'Monthly Data'!B108</f>
        <v>2022</v>
      </c>
      <c r="D108" s="18">
        <f>'Monthly Data'!F108</f>
        <v>32699792.778746594</v>
      </c>
      <c r="E108" s="10">
        <f>'Monthly Data'!AG108</f>
        <v>337.18470892171183</v>
      </c>
      <c r="F108" s="98">
        <f>'Monthly Data'!AB108</f>
        <v>0</v>
      </c>
      <c r="G108">
        <f>'Monthly Data'!BO108</f>
        <v>30</v>
      </c>
      <c r="H108">
        <f>'Monthly Data'!BS108</f>
        <v>0.5</v>
      </c>
      <c r="I108">
        <f>'Monthly Data'!BK108</f>
        <v>1</v>
      </c>
      <c r="K108" s="17">
        <f>'Res Predicted Monthly'!$V$7</f>
        <v>-1956373.74241439</v>
      </c>
      <c r="L108" s="17">
        <f>E108*'Res Predicted Monthly'!$V$8</f>
        <v>8419247.497414114</v>
      </c>
      <c r="M108" s="17">
        <f>F108*'Res Predicted Monthly'!$V$9</f>
        <v>0</v>
      </c>
      <c r="N108" s="17">
        <f>G108*'Res Predicted Monthly'!$V$10</f>
        <v>26540661.774392013</v>
      </c>
      <c r="O108" s="17">
        <f>H108*'Res Predicted Monthly'!$V$11</f>
        <v>1051926.3493190249</v>
      </c>
      <c r="P108" s="17">
        <f>I108*'Res Predicted Monthly'!$V$12</f>
        <v>-1149094.2112539201</v>
      </c>
      <c r="Q108" s="17">
        <f t="shared" si="7"/>
        <v>32906367.667456843</v>
      </c>
      <c r="R108" s="17">
        <f t="shared" si="8"/>
        <v>206574.88871024922</v>
      </c>
      <c r="S108" s="29">
        <f t="shared" si="9"/>
        <v>6.3173149171915754E-3</v>
      </c>
    </row>
    <row r="109" spans="1:19" x14ac:dyDescent="0.2">
      <c r="A109" s="206">
        <f>'Monthly Data'!A109</f>
        <v>44896</v>
      </c>
      <c r="B109">
        <f>'Monthly Data'!C109</f>
        <v>12</v>
      </c>
      <c r="C109">
        <f>'Monthly Data'!B109</f>
        <v>2022</v>
      </c>
      <c r="D109" s="18">
        <f>'Monthly Data'!F109</f>
        <v>39727803.907675914</v>
      </c>
      <c r="E109" s="10">
        <f>'Monthly Data'!AG109</f>
        <v>542.52218897094622</v>
      </c>
      <c r="F109" s="98">
        <f>'Monthly Data'!AB109</f>
        <v>0</v>
      </c>
      <c r="G109">
        <f>'Monthly Data'!BO109</f>
        <v>31</v>
      </c>
      <c r="H109">
        <f>'Monthly Data'!BS109</f>
        <v>0.5</v>
      </c>
      <c r="I109">
        <f>'Monthly Data'!BK109</f>
        <v>0</v>
      </c>
      <c r="K109" s="17">
        <f>'Res Predicted Monthly'!$V$7</f>
        <v>-1956373.74241439</v>
      </c>
      <c r="L109" s="17">
        <f>E109*'Res Predicted Monthly'!$V$8</f>
        <v>13546369.277516041</v>
      </c>
      <c r="M109" s="17">
        <f>F109*'Res Predicted Monthly'!$V$9</f>
        <v>0</v>
      </c>
      <c r="N109" s="17">
        <f>G109*'Res Predicted Monthly'!$V$10</f>
        <v>27425350.500205077</v>
      </c>
      <c r="O109" s="17">
        <f>H109*'Res Predicted Monthly'!$V$11</f>
        <v>1051926.3493190249</v>
      </c>
      <c r="P109" s="17">
        <f>I109*'Res Predicted Monthly'!$V$12</f>
        <v>0</v>
      </c>
      <c r="Q109" s="17">
        <f t="shared" si="7"/>
        <v>40067272.384625755</v>
      </c>
      <c r="R109" s="17">
        <f t="shared" si="8"/>
        <v>339468.47694984078</v>
      </c>
      <c r="S109" s="29">
        <f t="shared" si="9"/>
        <v>8.5448588534804762E-3</v>
      </c>
    </row>
    <row r="110" spans="1:19" x14ac:dyDescent="0.2">
      <c r="A110" s="206">
        <f>'Monthly Data'!A110</f>
        <v>44927</v>
      </c>
      <c r="B110">
        <f>'Monthly Data'!C110</f>
        <v>1</v>
      </c>
      <c r="C110">
        <f>'Monthly Data'!B110</f>
        <v>2023</v>
      </c>
      <c r="D110" s="18">
        <f>'Monthly Data'!F110</f>
        <v>41500301.622316256</v>
      </c>
      <c r="E110" s="10">
        <f>'Monthly Data'!AG110</f>
        <v>614.82150117675712</v>
      </c>
      <c r="F110" s="98">
        <f>'Monthly Data'!AB110</f>
        <v>0</v>
      </c>
      <c r="G110">
        <f>'Monthly Data'!BO110</f>
        <v>31</v>
      </c>
      <c r="H110">
        <f>'Monthly Data'!BS110</f>
        <v>0.25</v>
      </c>
      <c r="I110">
        <f>'Monthly Data'!BK110</f>
        <v>0</v>
      </c>
      <c r="K110" s="17">
        <f>'Res Predicted Monthly'!$V$7</f>
        <v>-1956373.74241439</v>
      </c>
      <c r="L110" s="17">
        <f>E110*'Res Predicted Monthly'!$V$8</f>
        <v>15351628.493748369</v>
      </c>
      <c r="M110" s="17">
        <f>F110*'Res Predicted Monthly'!$V$9</f>
        <v>0</v>
      </c>
      <c r="N110" s="17">
        <f>G110*'Res Predicted Monthly'!$V$10</f>
        <v>27425350.500205077</v>
      </c>
      <c r="O110" s="17">
        <f>H110*'Res Predicted Monthly'!$V$11</f>
        <v>525963.17465951247</v>
      </c>
      <c r="P110" s="17">
        <f>I110*'Res Predicted Monthly'!$V$12</f>
        <v>0</v>
      </c>
      <c r="Q110" s="17">
        <f t="shared" si="7"/>
        <v>41346568.426198564</v>
      </c>
      <c r="R110" s="17">
        <f t="shared" si="8"/>
        <v>-153733.1961176917</v>
      </c>
      <c r="S110" s="29">
        <f t="shared" si="9"/>
        <v>3.7043874407655785E-3</v>
      </c>
    </row>
    <row r="111" spans="1:19" x14ac:dyDescent="0.2">
      <c r="A111" s="206">
        <f>'Monthly Data'!A111</f>
        <v>44958</v>
      </c>
      <c r="B111">
        <f>'Monthly Data'!C111</f>
        <v>2</v>
      </c>
      <c r="C111">
        <f>'Monthly Data'!B111</f>
        <v>2023</v>
      </c>
      <c r="D111" s="18">
        <f>'Monthly Data'!F111</f>
        <v>37620293.28281647</v>
      </c>
      <c r="E111" s="10">
        <f>'Monthly Data'!AG111</f>
        <v>587.82499999999993</v>
      </c>
      <c r="F111" s="98">
        <f>'Monthly Data'!AB111</f>
        <v>0</v>
      </c>
      <c r="G111">
        <f>'Monthly Data'!BO111</f>
        <v>28</v>
      </c>
      <c r="H111">
        <f>'Monthly Data'!BS111</f>
        <v>0.25</v>
      </c>
      <c r="I111">
        <f>'Monthly Data'!BK111</f>
        <v>0</v>
      </c>
      <c r="K111" s="17">
        <f>'Res Predicted Monthly'!$V$7</f>
        <v>-1956373.74241439</v>
      </c>
      <c r="L111" s="17">
        <f>E111*'Res Predicted Monthly'!$V$8</f>
        <v>14677546.250522675</v>
      </c>
      <c r="M111" s="17">
        <f>F111*'Res Predicted Monthly'!$V$9</f>
        <v>0</v>
      </c>
      <c r="N111" s="17">
        <f>G111*'Res Predicted Monthly'!$V$10</f>
        <v>24771284.322765879</v>
      </c>
      <c r="O111" s="17">
        <f>H111*'Res Predicted Monthly'!$V$11</f>
        <v>525963.17465951247</v>
      </c>
      <c r="P111" s="17">
        <f>I111*'Res Predicted Monthly'!$V$12</f>
        <v>0</v>
      </c>
      <c r="Q111" s="17">
        <f t="shared" si="7"/>
        <v>38018420.005533673</v>
      </c>
      <c r="R111" s="17">
        <f t="shared" si="8"/>
        <v>398126.7227172032</v>
      </c>
      <c r="S111" s="29">
        <f t="shared" si="9"/>
        <v>1.0582764991336537E-2</v>
      </c>
    </row>
    <row r="112" spans="1:19" x14ac:dyDescent="0.2">
      <c r="A112" s="206">
        <f>'Monthly Data'!A112</f>
        <v>44986</v>
      </c>
      <c r="B112">
        <f>'Monthly Data'!C112</f>
        <v>3</v>
      </c>
      <c r="C112">
        <f>'Monthly Data'!B112</f>
        <v>2023</v>
      </c>
      <c r="D112" s="18">
        <f>'Monthly Data'!F112</f>
        <v>37731390.093316682</v>
      </c>
      <c r="E112" s="10">
        <f>'Monthly Data'!AG112</f>
        <v>509.93333333333345</v>
      </c>
      <c r="F112" s="98">
        <f>'Monthly Data'!AB112</f>
        <v>0</v>
      </c>
      <c r="G112">
        <f>'Monthly Data'!BO112</f>
        <v>31</v>
      </c>
      <c r="H112">
        <f>'Monthly Data'!BS112</f>
        <v>0.25</v>
      </c>
      <c r="I112">
        <f>'Monthly Data'!BK112</f>
        <v>1</v>
      </c>
      <c r="K112" s="17">
        <f>'Res Predicted Monthly'!$V$7</f>
        <v>-1956373.74241439</v>
      </c>
      <c r="L112" s="17">
        <f>E112*'Res Predicted Monthly'!$V$8</f>
        <v>12732650.167453237</v>
      </c>
      <c r="M112" s="17">
        <f>F112*'Res Predicted Monthly'!$V$9</f>
        <v>0</v>
      </c>
      <c r="N112" s="17">
        <f>G112*'Res Predicted Monthly'!$V$10</f>
        <v>27425350.500205077</v>
      </c>
      <c r="O112" s="17">
        <f>H112*'Res Predicted Monthly'!$V$11</f>
        <v>525963.17465951247</v>
      </c>
      <c r="P112" s="17">
        <f>I112*'Res Predicted Monthly'!$V$12</f>
        <v>-1149094.2112539201</v>
      </c>
      <c r="Q112" s="17">
        <f t="shared" si="7"/>
        <v>37578495.888649516</v>
      </c>
      <c r="R112" s="17">
        <f t="shared" si="8"/>
        <v>-152894.20466716588</v>
      </c>
      <c r="S112" s="29">
        <f t="shared" si="9"/>
        <v>4.0521752389464137E-3</v>
      </c>
    </row>
    <row r="113" spans="1:19" x14ac:dyDescent="0.2">
      <c r="A113" s="206">
        <f>'Monthly Data'!A113</f>
        <v>45017</v>
      </c>
      <c r="B113">
        <f>'Monthly Data'!C113</f>
        <v>4</v>
      </c>
      <c r="C113">
        <f>'Monthly Data'!B113</f>
        <v>2023</v>
      </c>
      <c r="D113" s="18">
        <f>'Monthly Data'!F113</f>
        <v>31188523.153816897</v>
      </c>
      <c r="E113" s="10">
        <f>'Monthly Data'!AG113</f>
        <v>257.67291666666665</v>
      </c>
      <c r="F113" s="98">
        <f>'Monthly Data'!AB113</f>
        <v>0</v>
      </c>
      <c r="G113">
        <f>'Monthly Data'!BO113</f>
        <v>30</v>
      </c>
      <c r="H113">
        <f>'Monthly Data'!BS113</f>
        <v>0.25</v>
      </c>
      <c r="I113">
        <f>'Monthly Data'!BK113</f>
        <v>1</v>
      </c>
      <c r="K113" s="17">
        <f>'Res Predicted Monthly'!$V$7</f>
        <v>-1956373.74241439</v>
      </c>
      <c r="L113" s="17">
        <f>E113*'Res Predicted Monthly'!$V$8</f>
        <v>6433898.1021257602</v>
      </c>
      <c r="M113" s="17">
        <f>F113*'Res Predicted Monthly'!$V$9</f>
        <v>0</v>
      </c>
      <c r="N113" s="17">
        <f>G113*'Res Predicted Monthly'!$V$10</f>
        <v>26540661.774392013</v>
      </c>
      <c r="O113" s="17">
        <f>H113*'Res Predicted Monthly'!$V$11</f>
        <v>525963.17465951247</v>
      </c>
      <c r="P113" s="17">
        <f>I113*'Res Predicted Monthly'!$V$12</f>
        <v>-1149094.2112539201</v>
      </c>
      <c r="Q113" s="17">
        <f t="shared" si="7"/>
        <v>30395055.097508978</v>
      </c>
      <c r="R113" s="17">
        <f t="shared" si="8"/>
        <v>-793468.05630791932</v>
      </c>
      <c r="S113" s="29">
        <f t="shared" si="9"/>
        <v>2.5441026892958653E-2</v>
      </c>
    </row>
    <row r="114" spans="1:19" x14ac:dyDescent="0.2">
      <c r="A114" s="206">
        <f>'Monthly Data'!A114</f>
        <v>45047</v>
      </c>
      <c r="B114">
        <f>'Monthly Data'!C114</f>
        <v>5</v>
      </c>
      <c r="C114">
        <f>'Monthly Data'!B114</f>
        <v>2023</v>
      </c>
      <c r="D114" s="18">
        <f>'Monthly Data'!F114</f>
        <v>28061532.914317109</v>
      </c>
      <c r="E114" s="10">
        <f>'Monthly Data'!AG114</f>
        <v>70.770833333333329</v>
      </c>
      <c r="F114" s="98">
        <f>'Monthly Data'!AB114</f>
        <v>13.347916666666674</v>
      </c>
      <c r="G114">
        <f>'Monthly Data'!BO114</f>
        <v>31</v>
      </c>
      <c r="H114">
        <f>'Monthly Data'!BS114</f>
        <v>0.25</v>
      </c>
      <c r="I114">
        <f>'Monthly Data'!BK114</f>
        <v>1</v>
      </c>
      <c r="K114" s="17">
        <f>'Res Predicted Monthly'!$V$7</f>
        <v>-1956373.74241439</v>
      </c>
      <c r="L114" s="17">
        <f>E114*'Res Predicted Monthly'!$V$8</f>
        <v>1767094.2532863214</v>
      </c>
      <c r="M114" s="17">
        <f>F114*'Res Predicted Monthly'!$V$9</f>
        <v>702926.35017777979</v>
      </c>
      <c r="N114" s="17">
        <f>G114*'Res Predicted Monthly'!$V$10</f>
        <v>27425350.500205077</v>
      </c>
      <c r="O114" s="17">
        <f>H114*'Res Predicted Monthly'!$V$11</f>
        <v>525963.17465951247</v>
      </c>
      <c r="P114" s="17">
        <f>I114*'Res Predicted Monthly'!$V$12</f>
        <v>-1149094.2112539201</v>
      </c>
      <c r="Q114" s="17">
        <f t="shared" si="7"/>
        <v>27315866.324660383</v>
      </c>
      <c r="R114" s="17">
        <f t="shared" si="8"/>
        <v>-745666.58965672553</v>
      </c>
      <c r="S114" s="29">
        <f t="shared" si="9"/>
        <v>2.6572553678145053E-2</v>
      </c>
    </row>
    <row r="115" spans="1:19" x14ac:dyDescent="0.2">
      <c r="A115" s="206">
        <f>'Monthly Data'!A115</f>
        <v>45078</v>
      </c>
      <c r="B115">
        <f>'Monthly Data'!C115</f>
        <v>6</v>
      </c>
      <c r="C115">
        <f>'Monthly Data'!B115</f>
        <v>2023</v>
      </c>
      <c r="D115" s="18">
        <f>'Monthly Data'!F115</f>
        <v>28907676.224817328</v>
      </c>
      <c r="E115" s="10">
        <f>'Monthly Data'!AG115</f>
        <v>3.9875000000000025</v>
      </c>
      <c r="F115" s="98">
        <f>'Monthly Data'!AB115</f>
        <v>45.019457744954835</v>
      </c>
      <c r="G115">
        <f>'Monthly Data'!BO115</f>
        <v>30</v>
      </c>
      <c r="H115">
        <f>'Monthly Data'!BS115</f>
        <v>0.25</v>
      </c>
      <c r="I115">
        <f>'Monthly Data'!BK115</f>
        <v>0</v>
      </c>
      <c r="K115" s="17">
        <f>'Res Predicted Monthly'!$V$7</f>
        <v>-1956373.74241439</v>
      </c>
      <c r="L115" s="17">
        <f>E115*'Res Predicted Monthly'!$V$8</f>
        <v>99564.863137769251</v>
      </c>
      <c r="M115" s="17">
        <f>F115*'Res Predicted Monthly'!$V$9</f>
        <v>2370809.1614529509</v>
      </c>
      <c r="N115" s="17">
        <f>G115*'Res Predicted Monthly'!$V$10</f>
        <v>26540661.774392013</v>
      </c>
      <c r="O115" s="17">
        <f>H115*'Res Predicted Monthly'!$V$11</f>
        <v>525963.17465951247</v>
      </c>
      <c r="P115" s="17">
        <f>I115*'Res Predicted Monthly'!$V$12</f>
        <v>0</v>
      </c>
      <c r="Q115" s="17">
        <f t="shared" si="7"/>
        <v>27580625.231227856</v>
      </c>
      <c r="R115" s="17">
        <f t="shared" si="8"/>
        <v>-1327050.993589472</v>
      </c>
      <c r="S115" s="29">
        <f t="shared" si="9"/>
        <v>4.5906526116761839E-2</v>
      </c>
    </row>
    <row r="116" spans="1:19" x14ac:dyDescent="0.2">
      <c r="A116" s="206">
        <f>'Monthly Data'!A116</f>
        <v>45108</v>
      </c>
      <c r="B116">
        <f>'Monthly Data'!C116</f>
        <v>7</v>
      </c>
      <c r="C116">
        <f>'Monthly Data'!B116</f>
        <v>2023</v>
      </c>
      <c r="D116" s="18">
        <f>'Monthly Data'!F116</f>
        <v>30778974.405317537</v>
      </c>
      <c r="E116" s="10">
        <f>'Monthly Data'!AG116</f>
        <v>0</v>
      </c>
      <c r="F116" s="98">
        <f>'Monthly Data'!AB116</f>
        <v>50.0625</v>
      </c>
      <c r="G116">
        <f>'Monthly Data'!BO116</f>
        <v>31</v>
      </c>
      <c r="H116">
        <f>'Monthly Data'!BS116</f>
        <v>0.25</v>
      </c>
      <c r="I116">
        <f>'Monthly Data'!BK116</f>
        <v>0</v>
      </c>
      <c r="K116" s="17">
        <f>'Res Predicted Monthly'!$V$7</f>
        <v>-1956373.74241439</v>
      </c>
      <c r="L116" s="17">
        <f>E116*'Res Predicted Monthly'!$V$8</f>
        <v>0</v>
      </c>
      <c r="M116" s="17">
        <f>F116*'Res Predicted Monthly'!$V$9</f>
        <v>2636385.2340833526</v>
      </c>
      <c r="N116" s="17">
        <f>G116*'Res Predicted Monthly'!$V$10</f>
        <v>27425350.500205077</v>
      </c>
      <c r="O116" s="17">
        <f>H116*'Res Predicted Monthly'!$V$11</f>
        <v>525963.17465951247</v>
      </c>
      <c r="P116" s="17">
        <f>I116*'Res Predicted Monthly'!$V$12</f>
        <v>0</v>
      </c>
      <c r="Q116" s="17">
        <f t="shared" si="7"/>
        <v>28631325.166533552</v>
      </c>
      <c r="R116" s="17">
        <f t="shared" si="8"/>
        <v>-2147649.2387839854</v>
      </c>
      <c r="S116" s="29">
        <f t="shared" si="9"/>
        <v>6.9776504262368991E-2</v>
      </c>
    </row>
    <row r="117" spans="1:19" x14ac:dyDescent="0.2">
      <c r="A117" s="206">
        <f>'Monthly Data'!A117</f>
        <v>45139</v>
      </c>
      <c r="B117">
        <f>'Monthly Data'!C117</f>
        <v>8</v>
      </c>
      <c r="C117">
        <f>'Monthly Data'!B117</f>
        <v>2023</v>
      </c>
      <c r="D117" s="18">
        <f>'Monthly Data'!F117</f>
        <v>27909829.945817754</v>
      </c>
      <c r="E117" s="10">
        <f>'Monthly Data'!AG117</f>
        <v>0.57083333333333286</v>
      </c>
      <c r="F117" s="98">
        <f>'Monthly Data'!AB117</f>
        <v>6.2541666666666629</v>
      </c>
      <c r="G117">
        <f>'Monthly Data'!BO117</f>
        <v>31</v>
      </c>
      <c r="H117">
        <f>'Monthly Data'!BS117</f>
        <v>0.25</v>
      </c>
      <c r="I117">
        <f>'Monthly Data'!BK117</f>
        <v>0</v>
      </c>
      <c r="K117" s="17">
        <f>'Res Predicted Monthly'!$V$7</f>
        <v>-1956373.74241439</v>
      </c>
      <c r="L117" s="17">
        <f>E117*'Res Predicted Monthly'!$V$8</f>
        <v>14253.277168102788</v>
      </c>
      <c r="M117" s="17">
        <f>F117*'Res Predicted Monthly'!$V$9</f>
        <v>329356.15783263504</v>
      </c>
      <c r="N117" s="17">
        <f>G117*'Res Predicted Monthly'!$V$10</f>
        <v>27425350.500205077</v>
      </c>
      <c r="O117" s="17">
        <f>H117*'Res Predicted Monthly'!$V$11</f>
        <v>525963.17465951247</v>
      </c>
      <c r="P117" s="17">
        <f>I117*'Res Predicted Monthly'!$V$12</f>
        <v>0</v>
      </c>
      <c r="Q117" s="17">
        <f t="shared" si="7"/>
        <v>26338549.367450938</v>
      </c>
      <c r="R117" s="17">
        <f t="shared" si="8"/>
        <v>-1571280.578366816</v>
      </c>
      <c r="S117" s="29">
        <f t="shared" si="9"/>
        <v>5.6298464785245673E-2</v>
      </c>
    </row>
    <row r="118" spans="1:19" x14ac:dyDescent="0.2">
      <c r="A118" s="206">
        <f>'Monthly Data'!A118</f>
        <v>45170</v>
      </c>
      <c r="B118">
        <f>'Monthly Data'!C118</f>
        <v>9</v>
      </c>
      <c r="C118">
        <f>'Monthly Data'!B118</f>
        <v>2023</v>
      </c>
      <c r="D118" s="18">
        <f>'Monthly Data'!F118</f>
        <v>25812443.776317969</v>
      </c>
      <c r="E118" s="10">
        <f>'Monthly Data'!AG118</f>
        <v>7.8166666666666664</v>
      </c>
      <c r="F118" s="98">
        <f>'Monthly Data'!AB118</f>
        <v>17.991666666666671</v>
      </c>
      <c r="G118">
        <f>'Monthly Data'!BO118</f>
        <v>30</v>
      </c>
      <c r="H118">
        <f>'Monthly Data'!BS118</f>
        <v>0.25</v>
      </c>
      <c r="I118">
        <f>'Monthly Data'!BK118</f>
        <v>1</v>
      </c>
      <c r="K118" s="17">
        <f>'Res Predicted Monthly'!$V$7</f>
        <v>-1956373.74241439</v>
      </c>
      <c r="L118" s="17">
        <f>E118*'Res Predicted Monthly'!$V$8</f>
        <v>195176.26253548067</v>
      </c>
      <c r="M118" s="17">
        <f>F118*'Res Predicted Monthly'!$V$9</f>
        <v>947474.94305217802</v>
      </c>
      <c r="N118" s="17">
        <f>G118*'Res Predicted Monthly'!$V$10</f>
        <v>26540661.774392013</v>
      </c>
      <c r="O118" s="17">
        <f>H118*'Res Predicted Monthly'!$V$11</f>
        <v>525963.17465951247</v>
      </c>
      <c r="P118" s="17">
        <f>I118*'Res Predicted Monthly'!$V$12</f>
        <v>-1149094.2112539201</v>
      </c>
      <c r="Q118" s="17">
        <f t="shared" si="7"/>
        <v>25103808.200970877</v>
      </c>
      <c r="R118" s="17">
        <f t="shared" si="8"/>
        <v>-708635.575347092</v>
      </c>
      <c r="S118" s="29">
        <f t="shared" si="9"/>
        <v>2.7453253999810773E-2</v>
      </c>
    </row>
    <row r="119" spans="1:19" x14ac:dyDescent="0.2">
      <c r="A119" s="206">
        <f>'Monthly Data'!A119</f>
        <v>45200</v>
      </c>
      <c r="B119">
        <f>'Monthly Data'!C119</f>
        <v>10</v>
      </c>
      <c r="C119">
        <f>'Monthly Data'!B119</f>
        <v>2023</v>
      </c>
      <c r="D119" s="18">
        <f>'Monthly Data'!F119</f>
        <v>28372607.836818181</v>
      </c>
      <c r="E119" s="10">
        <f>'Monthly Data'!AG119</f>
        <v>160.86595892171184</v>
      </c>
      <c r="F119" s="98">
        <f>'Monthly Data'!AB119</f>
        <v>4.4687499999999964</v>
      </c>
      <c r="G119">
        <f>'Monthly Data'!BO119</f>
        <v>31</v>
      </c>
      <c r="H119">
        <f>'Monthly Data'!BS119</f>
        <v>0.25</v>
      </c>
      <c r="I119">
        <f>'Monthly Data'!BK119</f>
        <v>1</v>
      </c>
      <c r="K119" s="17">
        <f>'Res Predicted Monthly'!$V$7</f>
        <v>-1956373.74241439</v>
      </c>
      <c r="L119" s="17">
        <f>E119*'Res Predicted Monthly'!$V$8</f>
        <v>4016701.4880416901</v>
      </c>
      <c r="M119" s="17">
        <f>F119*'Res Predicted Monthly'!$V$9</f>
        <v>235332.76434077349</v>
      </c>
      <c r="N119" s="17">
        <f>G119*'Res Predicted Monthly'!$V$10</f>
        <v>27425350.500205077</v>
      </c>
      <c r="O119" s="17">
        <f>H119*'Res Predicted Monthly'!$V$11</f>
        <v>525963.17465951247</v>
      </c>
      <c r="P119" s="17">
        <f>I119*'Res Predicted Monthly'!$V$12</f>
        <v>-1149094.2112539201</v>
      </c>
      <c r="Q119" s="17">
        <f t="shared" si="7"/>
        <v>29097879.973578744</v>
      </c>
      <c r="R119" s="17">
        <f t="shared" si="8"/>
        <v>725272.13676056266</v>
      </c>
      <c r="S119" s="29">
        <f t="shared" si="9"/>
        <v>2.5562406562409865E-2</v>
      </c>
    </row>
    <row r="120" spans="1:19" x14ac:dyDescent="0.2">
      <c r="A120" s="206">
        <f>'Monthly Data'!A120</f>
        <v>45231</v>
      </c>
      <c r="B120">
        <f>'Monthly Data'!C120</f>
        <v>11</v>
      </c>
      <c r="C120">
        <f>'Monthly Data'!B120</f>
        <v>2023</v>
      </c>
      <c r="D120" s="18">
        <f>'Monthly Data'!F120</f>
        <v>34902785.917318396</v>
      </c>
      <c r="E120" s="10">
        <f>'Monthly Data'!AG120</f>
        <v>399.48679225504515</v>
      </c>
      <c r="F120" s="98">
        <f>'Monthly Data'!AB120</f>
        <v>0</v>
      </c>
      <c r="G120">
        <f>'Monthly Data'!BO120</f>
        <v>30</v>
      </c>
      <c r="H120">
        <f>'Monthly Data'!BS120</f>
        <v>0.25</v>
      </c>
      <c r="I120">
        <f>'Monthly Data'!BK120</f>
        <v>1</v>
      </c>
      <c r="K120" s="17">
        <f>'Res Predicted Monthly'!$V$7</f>
        <v>-1956373.74241439</v>
      </c>
      <c r="L120" s="17">
        <f>E120*'Res Predicted Monthly'!$V$8</f>
        <v>9974883.4598670844</v>
      </c>
      <c r="M120" s="17">
        <f>F120*'Res Predicted Monthly'!$V$9</f>
        <v>0</v>
      </c>
      <c r="N120" s="17">
        <f>G120*'Res Predicted Monthly'!$V$10</f>
        <v>26540661.774392013</v>
      </c>
      <c r="O120" s="17">
        <f>H120*'Res Predicted Monthly'!$V$11</f>
        <v>525963.17465951247</v>
      </c>
      <c r="P120" s="17">
        <f>I120*'Res Predicted Monthly'!$V$12</f>
        <v>-1149094.2112539201</v>
      </c>
      <c r="Q120" s="17">
        <f t="shared" si="7"/>
        <v>33936040.4552503</v>
      </c>
      <c r="R120" s="17">
        <f t="shared" si="8"/>
        <v>-966745.4620680958</v>
      </c>
      <c r="S120" s="29">
        <f t="shared" si="9"/>
        <v>2.7698232008133393E-2</v>
      </c>
    </row>
    <row r="121" spans="1:19" x14ac:dyDescent="0.2">
      <c r="A121" s="206">
        <f>'Monthly Data'!A121</f>
        <v>45261</v>
      </c>
      <c r="B121">
        <f>'Monthly Data'!C121</f>
        <v>12</v>
      </c>
      <c r="C121">
        <f>'Monthly Data'!B121</f>
        <v>2023</v>
      </c>
      <c r="D121" s="18">
        <f>'Monthly Data'!F121</f>
        <v>38937199.157818608</v>
      </c>
      <c r="E121" s="10">
        <f>'Monthly Data'!AG121</f>
        <v>463.47216902018073</v>
      </c>
      <c r="F121" s="98">
        <f>'Monthly Data'!AB121</f>
        <v>0</v>
      </c>
      <c r="G121">
        <f>'Monthly Data'!BO121</f>
        <v>31</v>
      </c>
      <c r="H121">
        <f>'Monthly Data'!BS121</f>
        <v>0.25</v>
      </c>
      <c r="I121">
        <f>'Monthly Data'!BK121</f>
        <v>0</v>
      </c>
      <c r="K121" s="17">
        <f>'Res Predicted Monthly'!$V$7</f>
        <v>-1956373.74241439</v>
      </c>
      <c r="L121" s="17">
        <f>E121*'Res Predicted Monthly'!$V$8</f>
        <v>11572549.987876946</v>
      </c>
      <c r="M121" s="17">
        <f>F121*'Res Predicted Monthly'!$V$9</f>
        <v>0</v>
      </c>
      <c r="N121" s="17">
        <f>G121*'Res Predicted Monthly'!$V$10</f>
        <v>27425350.500205077</v>
      </c>
      <c r="O121" s="17">
        <f>H121*'Res Predicted Monthly'!$V$11</f>
        <v>525963.17465951247</v>
      </c>
      <c r="P121" s="17">
        <f>I121*'Res Predicted Monthly'!$V$12</f>
        <v>0</v>
      </c>
      <c r="Q121" s="17">
        <f t="shared" si="7"/>
        <v>37567489.920327149</v>
      </c>
      <c r="R121" s="17">
        <f t="shared" si="8"/>
        <v>-1369709.2374914587</v>
      </c>
      <c r="S121" s="29">
        <f t="shared" si="9"/>
        <v>3.5177395064801942E-2</v>
      </c>
    </row>
    <row r="122" spans="1:19" x14ac:dyDescent="0.2">
      <c r="A122" s="206">
        <f>'Monthly Data'!A122</f>
        <v>45292</v>
      </c>
      <c r="B122">
        <f>'Monthly Data'!C122</f>
        <v>1</v>
      </c>
      <c r="C122">
        <f>'Monthly Data'!B122</f>
        <v>2024</v>
      </c>
      <c r="D122" s="18">
        <f>'Monthly Data'!F122</f>
        <v>42550291.360408448</v>
      </c>
      <c r="E122" s="10">
        <f>'Monthly Data'!AG122</f>
        <v>625.51250000000005</v>
      </c>
      <c r="F122" s="98">
        <f>'Monthly Data'!AB122</f>
        <v>0</v>
      </c>
      <c r="G122">
        <f>'Monthly Data'!BO122</f>
        <v>31</v>
      </c>
      <c r="H122">
        <f>'Monthly Data'!BS122</f>
        <v>0.25</v>
      </c>
      <c r="I122">
        <f>'Monthly Data'!BK122</f>
        <v>0</v>
      </c>
      <c r="K122" s="17">
        <f>'Res Predicted Monthly'!$V$7</f>
        <v>-1956373.74241439</v>
      </c>
      <c r="L122" s="17">
        <f>E122*'Res Predicted Monthly'!$V$8</f>
        <v>15618574.659175888</v>
      </c>
      <c r="M122" s="17">
        <f>F122*'Res Predicted Monthly'!$V$9</f>
        <v>0</v>
      </c>
      <c r="N122" s="17">
        <f>G122*'Res Predicted Monthly'!$V$10</f>
        <v>27425350.500205077</v>
      </c>
      <c r="O122" s="17">
        <f>H122*'Res Predicted Monthly'!$V$11</f>
        <v>525963.17465951247</v>
      </c>
      <c r="P122" s="17">
        <f>I122*'Res Predicted Monthly'!$V$12</f>
        <v>0</v>
      </c>
      <c r="Q122" s="17">
        <f t="shared" ref="Q122:Q132" si="10">SUM(K122:P122)</f>
        <v>41613514.591626085</v>
      </c>
      <c r="R122" s="17">
        <f t="shared" ref="R122:R132" si="11">Q122-D122</f>
        <v>-936776.76878236234</v>
      </c>
      <c r="S122" s="29">
        <f t="shared" ref="S122:S132" si="12">ABS(R122/D122)</f>
        <v>2.2015754506771727E-2</v>
      </c>
    </row>
    <row r="123" spans="1:19" x14ac:dyDescent="0.2">
      <c r="A123" s="206">
        <f>'Monthly Data'!A123</f>
        <v>45323</v>
      </c>
      <c r="B123">
        <f>'Monthly Data'!C123</f>
        <v>2</v>
      </c>
      <c r="C123">
        <f>'Monthly Data'!B123</f>
        <v>2024</v>
      </c>
      <c r="D123" s="18">
        <f>'Monthly Data'!F123</f>
        <v>37056034.478453927</v>
      </c>
      <c r="E123" s="10">
        <f>'Monthly Data'!AG123</f>
        <v>515.39166666666665</v>
      </c>
      <c r="F123" s="98">
        <f>'Monthly Data'!AB123</f>
        <v>0</v>
      </c>
      <c r="G123">
        <f>'Monthly Data'!BO123</f>
        <v>29</v>
      </c>
      <c r="H123">
        <f>'Monthly Data'!BS123</f>
        <v>0.25</v>
      </c>
      <c r="I123">
        <f>'Monthly Data'!BK123</f>
        <v>0</v>
      </c>
      <c r="K123" s="17">
        <f>'Res Predicted Monthly'!$V$7</f>
        <v>-1956373.74241439</v>
      </c>
      <c r="L123" s="17">
        <f>E123*'Res Predicted Monthly'!$V$8</f>
        <v>12868940.627965748</v>
      </c>
      <c r="M123" s="17">
        <f>F123*'Res Predicted Monthly'!$V$9</f>
        <v>0</v>
      </c>
      <c r="N123" s="17">
        <f>G123*'Res Predicted Monthly'!$V$10</f>
        <v>25655973.048578944</v>
      </c>
      <c r="O123" s="17">
        <f>H123*'Res Predicted Monthly'!$V$11</f>
        <v>525963.17465951247</v>
      </c>
      <c r="P123" s="17">
        <f>I123*'Res Predicted Monthly'!$V$12</f>
        <v>0</v>
      </c>
      <c r="Q123" s="17">
        <f t="shared" si="10"/>
        <v>37094503.108789816</v>
      </c>
      <c r="R123" s="17">
        <f t="shared" si="11"/>
        <v>38468.630335889757</v>
      </c>
      <c r="S123" s="29">
        <f t="shared" si="12"/>
        <v>1.0381205349497711E-3</v>
      </c>
    </row>
    <row r="124" spans="1:19" x14ac:dyDescent="0.2">
      <c r="A124" s="206">
        <f>'Monthly Data'!A124</f>
        <v>45352</v>
      </c>
      <c r="B124">
        <f>'Monthly Data'!C124</f>
        <v>3</v>
      </c>
      <c r="C124">
        <f>'Monthly Data'!B124</f>
        <v>2024</v>
      </c>
      <c r="D124" s="18">
        <f>'Monthly Data'!F124</f>
        <v>36272899.446499392</v>
      </c>
      <c r="E124" s="10">
        <f>'Monthly Data'!AG124</f>
        <v>403.45416666666671</v>
      </c>
      <c r="F124" s="98">
        <f>'Monthly Data'!AB124</f>
        <v>0</v>
      </c>
      <c r="G124">
        <f>'Monthly Data'!BO124</f>
        <v>31</v>
      </c>
      <c r="H124">
        <f>'Monthly Data'!BS124</f>
        <v>0.25</v>
      </c>
      <c r="I124">
        <f>'Monthly Data'!BK124</f>
        <v>1</v>
      </c>
      <c r="K124" s="17">
        <f>'Res Predicted Monthly'!$V$7</f>
        <v>-1956373.74241439</v>
      </c>
      <c r="L124" s="17">
        <f>E124*'Res Predicted Monthly'!$V$8</f>
        <v>10073945.802264424</v>
      </c>
      <c r="M124" s="17">
        <f>F124*'Res Predicted Monthly'!$V$9</f>
        <v>0</v>
      </c>
      <c r="N124" s="17">
        <f>G124*'Res Predicted Monthly'!$V$10</f>
        <v>27425350.500205077</v>
      </c>
      <c r="O124" s="17">
        <f>H124*'Res Predicted Monthly'!$V$11</f>
        <v>525963.17465951247</v>
      </c>
      <c r="P124" s="17">
        <f>I124*'Res Predicted Monthly'!$V$12</f>
        <v>-1149094.2112539201</v>
      </c>
      <c r="Q124" s="17">
        <f t="shared" si="10"/>
        <v>34919791.523460709</v>
      </c>
      <c r="R124" s="17">
        <f t="shared" si="11"/>
        <v>-1353107.9230386838</v>
      </c>
      <c r="S124" s="29">
        <f t="shared" si="12"/>
        <v>3.7303550134845063E-2</v>
      </c>
    </row>
    <row r="125" spans="1:19" x14ac:dyDescent="0.2">
      <c r="A125" s="206">
        <f>'Monthly Data'!A125</f>
        <v>45383</v>
      </c>
      <c r="B125">
        <f>'Monthly Data'!C125</f>
        <v>4</v>
      </c>
      <c r="C125">
        <f>'Monthly Data'!B125</f>
        <v>2024</v>
      </c>
      <c r="D125" s="18">
        <f>'Monthly Data'!F125</f>
        <v>30671220.704544861</v>
      </c>
      <c r="E125" s="10">
        <f>'Monthly Data'!AG125</f>
        <v>223.87916666666672</v>
      </c>
      <c r="F125" s="98">
        <f>'Monthly Data'!AB125</f>
        <v>0</v>
      </c>
      <c r="G125">
        <f>'Monthly Data'!BO125</f>
        <v>30</v>
      </c>
      <c r="H125">
        <f>'Monthly Data'!BS125</f>
        <v>0.25</v>
      </c>
      <c r="I125">
        <f>'Monthly Data'!BK125</f>
        <v>1</v>
      </c>
      <c r="K125" s="17">
        <f>'Res Predicted Monthly'!$V$7</f>
        <v>-1956373.74241439</v>
      </c>
      <c r="L125" s="17">
        <f>E125*'Res Predicted Monthly'!$V$8</f>
        <v>5590093.6899221288</v>
      </c>
      <c r="M125" s="17">
        <f>F125*'Res Predicted Monthly'!$V$9</f>
        <v>0</v>
      </c>
      <c r="N125" s="17">
        <f>G125*'Res Predicted Monthly'!$V$10</f>
        <v>26540661.774392013</v>
      </c>
      <c r="O125" s="17">
        <f>H125*'Res Predicted Monthly'!$V$11</f>
        <v>525963.17465951247</v>
      </c>
      <c r="P125" s="17">
        <f>I125*'Res Predicted Monthly'!$V$12</f>
        <v>-1149094.2112539201</v>
      </c>
      <c r="Q125" s="17">
        <f t="shared" si="10"/>
        <v>29551250.685305346</v>
      </c>
      <c r="R125" s="17">
        <f t="shared" si="11"/>
        <v>-1119970.0192395151</v>
      </c>
      <c r="S125" s="29">
        <f t="shared" si="12"/>
        <v>3.651533892400826E-2</v>
      </c>
    </row>
    <row r="126" spans="1:19" x14ac:dyDescent="0.2">
      <c r="A126" s="206">
        <f>'Monthly Data'!A126</f>
        <v>45413</v>
      </c>
      <c r="B126">
        <f>'Monthly Data'!C126</f>
        <v>5</v>
      </c>
      <c r="C126">
        <f>'Monthly Data'!B126</f>
        <v>2024</v>
      </c>
      <c r="D126" s="18">
        <f>'Monthly Data'!F126</f>
        <v>27229430.51259033</v>
      </c>
      <c r="E126" s="10">
        <f>'Monthly Data'!AG126</f>
        <v>20.881250000000001</v>
      </c>
      <c r="F126" s="98">
        <f>'Monthly Data'!AB126</f>
        <v>4.3416666666666721</v>
      </c>
      <c r="G126">
        <f>'Monthly Data'!BO126</f>
        <v>31</v>
      </c>
      <c r="H126">
        <f>'Monthly Data'!BS126</f>
        <v>0.25</v>
      </c>
      <c r="I126">
        <f>'Monthly Data'!BK126</f>
        <v>1</v>
      </c>
      <c r="K126" s="17">
        <f>'Res Predicted Monthly'!$V$7</f>
        <v>-1956373.74241439</v>
      </c>
      <c r="L126" s="17">
        <f>E126*'Res Predicted Monthly'!$V$8</f>
        <v>521389.04034997942</v>
      </c>
      <c r="M126" s="17">
        <f>F126*'Res Predicted Monthly'!$V$9</f>
        <v>228640.31742945124</v>
      </c>
      <c r="N126" s="17">
        <f>G126*'Res Predicted Monthly'!$V$10</f>
        <v>27425350.500205077</v>
      </c>
      <c r="O126" s="17">
        <f>H126*'Res Predicted Monthly'!$V$11</f>
        <v>525963.17465951247</v>
      </c>
      <c r="P126" s="17">
        <f>I126*'Res Predicted Monthly'!$V$12</f>
        <v>-1149094.2112539201</v>
      </c>
      <c r="Q126" s="17">
        <f t="shared" si="10"/>
        <v>25595875.078975711</v>
      </c>
      <c r="R126" s="17">
        <f t="shared" si="11"/>
        <v>-1633555.4336146191</v>
      </c>
      <c r="S126" s="29">
        <f t="shared" si="12"/>
        <v>5.9992273171460435E-2</v>
      </c>
    </row>
    <row r="127" spans="1:19" x14ac:dyDescent="0.2">
      <c r="A127" s="206">
        <f>'Monthly Data'!A127</f>
        <v>45444</v>
      </c>
      <c r="B127">
        <f>'Monthly Data'!C127</f>
        <v>6</v>
      </c>
      <c r="C127">
        <f>'Monthly Data'!B127</f>
        <v>2024</v>
      </c>
      <c r="D127" s="18">
        <f>'Monthly Data'!F127</f>
        <v>27919240.450635798</v>
      </c>
      <c r="E127" s="10">
        <f>'Monthly Data'!AG127</f>
        <v>1.4000000000000004</v>
      </c>
      <c r="F127" s="98">
        <f>'Monthly Data'!AB127</f>
        <v>33.293750000000003</v>
      </c>
      <c r="G127">
        <f>'Monthly Data'!BO127</f>
        <v>30</v>
      </c>
      <c r="H127">
        <f>'Monthly Data'!BS127</f>
        <v>0.25</v>
      </c>
      <c r="I127">
        <f>'Monthly Data'!BK127</f>
        <v>0</v>
      </c>
      <c r="K127" s="17">
        <f>'Res Predicted Monthly'!$V$7</f>
        <v>-1956373.74241439</v>
      </c>
      <c r="L127" s="17">
        <f>E127*'Res Predicted Monthly'!$V$8</f>
        <v>34956.942543668185</v>
      </c>
      <c r="M127" s="17">
        <f>F127*'Res Predicted Monthly'!$V$9</f>
        <v>1753311.3785220999</v>
      </c>
      <c r="N127" s="17">
        <f>G127*'Res Predicted Monthly'!$V$10</f>
        <v>26540661.774392013</v>
      </c>
      <c r="O127" s="17">
        <f>H127*'Res Predicted Monthly'!$V$11</f>
        <v>525963.17465951247</v>
      </c>
      <c r="P127" s="17">
        <f>I127*'Res Predicted Monthly'!$V$12</f>
        <v>0</v>
      </c>
      <c r="Q127" s="17">
        <f t="shared" si="10"/>
        <v>26898519.527702905</v>
      </c>
      <c r="R127" s="17">
        <f t="shared" si="11"/>
        <v>-1020720.922932893</v>
      </c>
      <c r="S127" s="29">
        <f t="shared" si="12"/>
        <v>3.6559766901167558E-2</v>
      </c>
    </row>
    <row r="128" spans="1:19" x14ac:dyDescent="0.2">
      <c r="A128" s="206">
        <f>'Monthly Data'!A128</f>
        <v>45474</v>
      </c>
      <c r="B128">
        <f>'Monthly Data'!C128</f>
        <v>7</v>
      </c>
      <c r="C128">
        <f>'Monthly Data'!B128</f>
        <v>2024</v>
      </c>
      <c r="D128" s="18">
        <f>'Monthly Data'!F128</f>
        <v>32147068.698681269</v>
      </c>
      <c r="E128" s="10">
        <f>'Monthly Data'!AG128</f>
        <v>0</v>
      </c>
      <c r="F128" s="98">
        <f>'Monthly Data'!AB128</f>
        <v>62.587499999999991</v>
      </c>
      <c r="G128">
        <f>'Monthly Data'!BO128</f>
        <v>31</v>
      </c>
      <c r="H128">
        <f>'Monthly Data'!BS128</f>
        <v>0.25</v>
      </c>
      <c r="I128">
        <f>'Monthly Data'!BK128</f>
        <v>0</v>
      </c>
      <c r="K128" s="17">
        <f>'Res Predicted Monthly'!$V$7</f>
        <v>-1956373.74241439</v>
      </c>
      <c r="L128" s="17">
        <f>E128*'Res Predicted Monthly'!$V$8</f>
        <v>0</v>
      </c>
      <c r="M128" s="17">
        <f>F128*'Res Predicted Monthly'!$V$9</f>
        <v>3295975.2477042056</v>
      </c>
      <c r="N128" s="17">
        <f>G128*'Res Predicted Monthly'!$V$10</f>
        <v>27425350.500205077</v>
      </c>
      <c r="O128" s="17">
        <f>H128*'Res Predicted Monthly'!$V$11</f>
        <v>525963.17465951247</v>
      </c>
      <c r="P128" s="17">
        <f>I128*'Res Predicted Monthly'!$V$12</f>
        <v>0</v>
      </c>
      <c r="Q128" s="17">
        <f t="shared" si="10"/>
        <v>29290915.180154406</v>
      </c>
      <c r="R128" s="17">
        <f t="shared" si="11"/>
        <v>-2856153.5185268633</v>
      </c>
      <c r="S128" s="29">
        <f t="shared" si="12"/>
        <v>8.8846468251832483E-2</v>
      </c>
    </row>
    <row r="129" spans="1:22" x14ac:dyDescent="0.2">
      <c r="A129" s="206">
        <f>'Monthly Data'!A129</f>
        <v>45505</v>
      </c>
      <c r="B129">
        <f>'Monthly Data'!C129</f>
        <v>8</v>
      </c>
      <c r="C129">
        <f>'Monthly Data'!B129</f>
        <v>2024</v>
      </c>
      <c r="D129" s="18">
        <f>'Monthly Data'!F129</f>
        <v>30396598.476726737</v>
      </c>
      <c r="E129" s="10">
        <f>'Monthly Data'!AG129</f>
        <v>0</v>
      </c>
      <c r="F129" s="98">
        <f>'Monthly Data'!AB129</f>
        <v>53.500000000000007</v>
      </c>
      <c r="G129">
        <f>'Monthly Data'!BO129</f>
        <v>31</v>
      </c>
      <c r="H129">
        <f>'Monthly Data'!BS129</f>
        <v>0.25</v>
      </c>
      <c r="I129">
        <f>'Monthly Data'!BK129</f>
        <v>0</v>
      </c>
      <c r="K129" s="17">
        <f>'Res Predicted Monthly'!$V$7</f>
        <v>-1956373.74241439</v>
      </c>
      <c r="L129" s="17">
        <f>E129*'Res Predicted Monthly'!$V$8</f>
        <v>0</v>
      </c>
      <c r="M129" s="17">
        <f>F129*'Res Predicted Monthly'!$V$9</f>
        <v>2817410.4374224097</v>
      </c>
      <c r="N129" s="17">
        <f>G129*'Res Predicted Monthly'!$V$10</f>
        <v>27425350.500205077</v>
      </c>
      <c r="O129" s="17">
        <f>H129*'Res Predicted Monthly'!$V$11</f>
        <v>525963.17465951247</v>
      </c>
      <c r="P129" s="17">
        <f>I129*'Res Predicted Monthly'!$V$12</f>
        <v>0</v>
      </c>
      <c r="Q129" s="17">
        <f t="shared" si="10"/>
        <v>28812350.369872611</v>
      </c>
      <c r="R129" s="17">
        <f t="shared" si="11"/>
        <v>-1584248.1068541259</v>
      </c>
      <c r="S129" s="29">
        <f t="shared" si="12"/>
        <v>5.2119256306494659E-2</v>
      </c>
    </row>
    <row r="130" spans="1:22" x14ac:dyDescent="0.2">
      <c r="A130" s="206">
        <f>'Monthly Data'!A130</f>
        <v>45536</v>
      </c>
      <c r="B130">
        <f>'Monthly Data'!C130</f>
        <v>9</v>
      </c>
      <c r="C130">
        <f>'Monthly Data'!B130</f>
        <v>2024</v>
      </c>
      <c r="D130" s="18">
        <f>'Monthly Data'!F130</f>
        <v>26738120.154772207</v>
      </c>
      <c r="E130" s="10">
        <f>'Monthly Data'!AG130</f>
        <v>7.5</v>
      </c>
      <c r="F130" s="98">
        <f>'Monthly Data'!AB130</f>
        <v>20.20000000000001</v>
      </c>
      <c r="G130">
        <f>'Monthly Data'!BO130</f>
        <v>30</v>
      </c>
      <c r="H130">
        <f>'Monthly Data'!BS130</f>
        <v>0.25</v>
      </c>
      <c r="I130">
        <f>'Monthly Data'!BK130</f>
        <v>1</v>
      </c>
      <c r="K130" s="17">
        <f>'Res Predicted Monthly'!$V$7</f>
        <v>-1956373.74241439</v>
      </c>
      <c r="L130" s="17">
        <f>E130*'Res Predicted Monthly'!$V$8</f>
        <v>187269.33505536526</v>
      </c>
      <c r="M130" s="17">
        <f>F130*'Res Predicted Monthly'!$V$9</f>
        <v>1063769.9221669661</v>
      </c>
      <c r="N130" s="17">
        <f>G130*'Res Predicted Monthly'!$V$10</f>
        <v>26540661.774392013</v>
      </c>
      <c r="O130" s="17">
        <f>H130*'Res Predicted Monthly'!$V$11</f>
        <v>525963.17465951247</v>
      </c>
      <c r="P130" s="17">
        <f>I130*'Res Predicted Monthly'!$V$12</f>
        <v>-1149094.2112539201</v>
      </c>
      <c r="Q130" s="17">
        <f t="shared" si="10"/>
        <v>25212196.25260555</v>
      </c>
      <c r="R130" s="17">
        <f t="shared" si="11"/>
        <v>-1525923.9021666571</v>
      </c>
      <c r="S130" s="29">
        <f t="shared" si="12"/>
        <v>5.7069229000914296E-2</v>
      </c>
    </row>
    <row r="131" spans="1:22" x14ac:dyDescent="0.2">
      <c r="A131" s="206">
        <f>'Monthly Data'!A131</f>
        <v>45566</v>
      </c>
      <c r="B131">
        <f>'Monthly Data'!C131</f>
        <v>10</v>
      </c>
      <c r="C131">
        <f>'Monthly Data'!B131</f>
        <v>2024</v>
      </c>
      <c r="D131" s="18">
        <f>'Monthly Data'!F131</f>
        <v>27670076.812817674</v>
      </c>
      <c r="E131" s="10">
        <f>'Monthly Data'!AG131</f>
        <v>141.66041666666669</v>
      </c>
      <c r="F131" s="98">
        <f>'Monthly Data'!AB131</f>
        <v>0</v>
      </c>
      <c r="G131">
        <f>'Monthly Data'!BO131</f>
        <v>31</v>
      </c>
      <c r="H131">
        <f>'Monthly Data'!BS131</f>
        <v>0.25</v>
      </c>
      <c r="I131">
        <f>'Monthly Data'!BK131</f>
        <v>1</v>
      </c>
      <c r="K131" s="17">
        <f>'Res Predicted Monthly'!$V$7</f>
        <v>-1956373.74241439</v>
      </c>
      <c r="L131" s="17">
        <f>E131*'Res Predicted Monthly'!$V$8</f>
        <v>3537153.604377687</v>
      </c>
      <c r="M131" s="17">
        <f>F131*'Res Predicted Monthly'!$V$9</f>
        <v>0</v>
      </c>
      <c r="N131" s="17">
        <f>G131*'Res Predicted Monthly'!$V$10</f>
        <v>27425350.500205077</v>
      </c>
      <c r="O131" s="17">
        <f>H131*'Res Predicted Monthly'!$V$11</f>
        <v>525963.17465951247</v>
      </c>
      <c r="P131" s="17">
        <f>I131*'Res Predicted Monthly'!$V$12</f>
        <v>-1149094.2112539201</v>
      </c>
      <c r="Q131" s="17">
        <f t="shared" si="10"/>
        <v>28382999.32557397</v>
      </c>
      <c r="R131" s="17">
        <f t="shared" si="11"/>
        <v>712922.5127562955</v>
      </c>
      <c r="S131" s="29">
        <f t="shared" si="12"/>
        <v>2.5765107830349309E-2</v>
      </c>
    </row>
    <row r="132" spans="1:22" x14ac:dyDescent="0.2">
      <c r="A132" s="206">
        <f>'Monthly Data'!A132</f>
        <v>45597</v>
      </c>
      <c r="B132">
        <f>'Monthly Data'!C132</f>
        <v>11</v>
      </c>
      <c r="C132">
        <f>'Monthly Data'!B132</f>
        <v>2024</v>
      </c>
      <c r="D132" s="18">
        <f>'Monthly Data'!F132</f>
        <v>33170432.200863145</v>
      </c>
      <c r="E132" s="10">
        <f>'Monthly Data'!AG132</f>
        <v>321.02291666666667</v>
      </c>
      <c r="F132" s="98">
        <f>'Monthly Data'!AB132</f>
        <v>0</v>
      </c>
      <c r="G132">
        <f>'Monthly Data'!BO132</f>
        <v>30</v>
      </c>
      <c r="H132">
        <f>'Monthly Data'!BS132</f>
        <v>0.25</v>
      </c>
      <c r="I132">
        <f>'Monthly Data'!BK132</f>
        <v>1</v>
      </c>
      <c r="K132" s="17">
        <f>'Res Predicted Monthly'!$V$7</f>
        <v>-1956373.74241439</v>
      </c>
      <c r="L132" s="17">
        <f>E132*'Res Predicted Monthly'!$V$8</f>
        <v>8015699.7522267466</v>
      </c>
      <c r="M132" s="17">
        <f>F132*'Res Predicted Monthly'!$V$9</f>
        <v>0</v>
      </c>
      <c r="N132" s="17">
        <f>G132*'Res Predicted Monthly'!$V$10</f>
        <v>26540661.774392013</v>
      </c>
      <c r="O132" s="17">
        <f>H132*'Res Predicted Monthly'!$V$11</f>
        <v>525963.17465951247</v>
      </c>
      <c r="P132" s="17">
        <f>I132*'Res Predicted Monthly'!$V$12</f>
        <v>-1149094.2112539201</v>
      </c>
      <c r="Q132" s="17">
        <f t="shared" si="10"/>
        <v>31976856.747609966</v>
      </c>
      <c r="R132" s="17">
        <f t="shared" si="11"/>
        <v>-1193575.4532531798</v>
      </c>
      <c r="S132" s="29">
        <f t="shared" si="12"/>
        <v>3.598311429967202E-2</v>
      </c>
    </row>
    <row r="133" spans="1:22" x14ac:dyDescent="0.2">
      <c r="S133" s="32">
        <f>AVERAGE(S2:S121)</f>
        <v>2.7277371935068691E-2</v>
      </c>
    </row>
    <row r="135" spans="1:22" x14ac:dyDescent="0.2">
      <c r="T135">
        <v>1</v>
      </c>
      <c r="U135" s="17">
        <f t="shared" ref="U135:U146" si="13">SUMIF($B:$B,$T135,R:R)</f>
        <v>-5604344.3452654928</v>
      </c>
      <c r="V135" s="30">
        <f t="shared" ref="V135:V146" si="14">SUMIF($B:$B,$T135,S:S)</f>
        <v>0.2273542387959985</v>
      </c>
    </row>
    <row r="136" spans="1:22" x14ac:dyDescent="0.2">
      <c r="T136">
        <v>2</v>
      </c>
      <c r="U136" s="17">
        <f t="shared" si="13"/>
        <v>3373754.3131016865</v>
      </c>
      <c r="V136" s="30">
        <f t="shared" si="14"/>
        <v>0.26156408507978463</v>
      </c>
    </row>
    <row r="137" spans="1:22" x14ac:dyDescent="0.2">
      <c r="T137">
        <v>3</v>
      </c>
      <c r="U137" s="17">
        <f t="shared" si="13"/>
        <v>169493.34450390935</v>
      </c>
      <c r="V137" s="30">
        <f t="shared" si="14"/>
        <v>0.19426797605781068</v>
      </c>
    </row>
    <row r="138" spans="1:22" x14ac:dyDescent="0.2">
      <c r="T138">
        <v>4</v>
      </c>
      <c r="U138" s="17">
        <f t="shared" si="13"/>
        <v>-2673458.6803657897</v>
      </c>
      <c r="V138" s="30">
        <f t="shared" si="14"/>
        <v>0.34305817950347134</v>
      </c>
    </row>
    <row r="139" spans="1:22" x14ac:dyDescent="0.2">
      <c r="T139">
        <v>5</v>
      </c>
      <c r="U139" s="17">
        <f t="shared" si="13"/>
        <v>403153.05890525505</v>
      </c>
      <c r="V139" s="30">
        <f t="shared" si="14"/>
        <v>0.27856793528301194</v>
      </c>
    </row>
    <row r="140" spans="1:22" x14ac:dyDescent="0.2">
      <c r="T140">
        <v>6</v>
      </c>
      <c r="U140" s="17">
        <f t="shared" si="13"/>
        <v>2145955.1700817272</v>
      </c>
      <c r="V140" s="30">
        <f t="shared" si="14"/>
        <v>0.32805644566720449</v>
      </c>
    </row>
    <row r="141" spans="1:22" x14ac:dyDescent="0.2">
      <c r="T141">
        <v>7</v>
      </c>
      <c r="U141" s="17">
        <f t="shared" si="13"/>
        <v>-197274.36109232903</v>
      </c>
      <c r="V141" s="30">
        <f t="shared" si="14"/>
        <v>0.52861564084847479</v>
      </c>
    </row>
    <row r="142" spans="1:22" x14ac:dyDescent="0.2">
      <c r="T142">
        <v>8</v>
      </c>
      <c r="U142" s="17">
        <f t="shared" si="13"/>
        <v>1025547.2009747736</v>
      </c>
      <c r="V142" s="30">
        <f t="shared" si="14"/>
        <v>0.39948899994331022</v>
      </c>
    </row>
    <row r="143" spans="1:22" x14ac:dyDescent="0.2">
      <c r="T143">
        <v>9</v>
      </c>
      <c r="U143" s="17">
        <f t="shared" si="13"/>
        <v>-2975611.4078920297</v>
      </c>
      <c r="V143" s="30">
        <f t="shared" si="14"/>
        <v>0.26283082301642047</v>
      </c>
    </row>
    <row r="144" spans="1:22" x14ac:dyDescent="0.2">
      <c r="T144">
        <v>10</v>
      </c>
      <c r="U144" s="17">
        <f t="shared" si="13"/>
        <v>11380275.976793375</v>
      </c>
      <c r="V144" s="30">
        <f t="shared" si="14"/>
        <v>0.48026478085757107</v>
      </c>
    </row>
    <row r="145" spans="20:22" x14ac:dyDescent="0.2">
      <c r="T145">
        <v>11</v>
      </c>
      <c r="U145" s="17">
        <f t="shared" si="13"/>
        <v>-1209042.1897928715</v>
      </c>
      <c r="V145" s="30">
        <f t="shared" si="14"/>
        <v>0.21166278620621445</v>
      </c>
    </row>
    <row r="146" spans="20:22" x14ac:dyDescent="0.2">
      <c r="T146">
        <v>12</v>
      </c>
      <c r="U146" s="17">
        <f t="shared" si="13"/>
        <v>-3429189.3306632042</v>
      </c>
      <c r="V146" s="30">
        <f t="shared" si="14"/>
        <v>0.21076072081143468</v>
      </c>
    </row>
    <row r="147" spans="20:22" x14ac:dyDescent="0.2">
      <c r="U147" s="17"/>
      <c r="V147" s="30"/>
    </row>
    <row r="148" spans="20:22" x14ac:dyDescent="0.2">
      <c r="T148">
        <v>2014</v>
      </c>
      <c r="U148" s="17">
        <f t="shared" ref="U148:U157" si="15">SUMIF($C:$C,$T148,R:R)</f>
        <v>-9595457.1140339859</v>
      </c>
      <c r="V148" s="31">
        <f t="shared" ref="V148:V157" si="16">SUMIF($C:$C,$T148,S:S)</f>
        <v>0.51865616469299958</v>
      </c>
    </row>
    <row r="149" spans="20:22" x14ac:dyDescent="0.2">
      <c r="T149">
        <f>T148+1</f>
        <v>2015</v>
      </c>
      <c r="U149" s="17">
        <f t="shared" si="15"/>
        <v>3133368.0854152665</v>
      </c>
      <c r="V149" s="31">
        <f t="shared" si="16"/>
        <v>0.42120391996173473</v>
      </c>
    </row>
    <row r="150" spans="20:22" x14ac:dyDescent="0.2">
      <c r="T150">
        <f t="shared" ref="T150:T157" si="17">T149+1</f>
        <v>2016</v>
      </c>
      <c r="U150" s="17">
        <f t="shared" si="15"/>
        <v>12451054.527753703</v>
      </c>
      <c r="V150" s="31">
        <f t="shared" si="16"/>
        <v>0.4970418171161794</v>
      </c>
    </row>
    <row r="151" spans="20:22" x14ac:dyDescent="0.2">
      <c r="T151">
        <f t="shared" si="17"/>
        <v>2017</v>
      </c>
      <c r="U151" s="17">
        <f t="shared" si="15"/>
        <v>11201346.553665422</v>
      </c>
      <c r="V151" s="31">
        <f t="shared" si="16"/>
        <v>0.39698992902419278</v>
      </c>
    </row>
    <row r="152" spans="20:22" x14ac:dyDescent="0.2">
      <c r="T152">
        <f t="shared" si="17"/>
        <v>2018</v>
      </c>
      <c r="U152" s="17">
        <f t="shared" si="15"/>
        <v>1027272.921071291</v>
      </c>
      <c r="V152" s="31">
        <f t="shared" si="16"/>
        <v>0.21977596057699317</v>
      </c>
    </row>
    <row r="153" spans="20:22" x14ac:dyDescent="0.2">
      <c r="T153">
        <f t="shared" si="17"/>
        <v>2019</v>
      </c>
      <c r="U153" s="17">
        <f t="shared" si="15"/>
        <v>-1194617.9800827689</v>
      </c>
      <c r="V153" s="31">
        <f t="shared" si="16"/>
        <v>0.18682743088900039</v>
      </c>
    </row>
    <row r="154" spans="20:22" x14ac:dyDescent="0.2">
      <c r="T154">
        <f t="shared" si="17"/>
        <v>2020</v>
      </c>
      <c r="U154" s="17">
        <f t="shared" si="15"/>
        <v>5514840.3365216702</v>
      </c>
      <c r="V154" s="31">
        <f t="shared" si="16"/>
        <v>0.29742064199744778</v>
      </c>
    </row>
    <row r="155" spans="20:22" x14ac:dyDescent="0.2">
      <c r="T155">
        <f t="shared" si="17"/>
        <v>2021</v>
      </c>
      <c r="U155" s="17">
        <f t="shared" si="15"/>
        <v>2316529.1418632418</v>
      </c>
      <c r="V155" s="31">
        <f t="shared" si="16"/>
        <v>0.17399473421784517</v>
      </c>
    </row>
    <row r="156" spans="20:22" x14ac:dyDescent="0.2">
      <c r="T156">
        <f t="shared" si="17"/>
        <v>2022</v>
      </c>
      <c r="U156" s="17">
        <f t="shared" si="15"/>
        <v>-1159002.5446494594</v>
      </c>
      <c r="V156" s="31">
        <f t="shared" si="16"/>
        <v>0.20314834269016407</v>
      </c>
    </row>
    <row r="157" spans="20:22" x14ac:dyDescent="0.2">
      <c r="T157">
        <f t="shared" si="17"/>
        <v>2023</v>
      </c>
      <c r="U157" s="17">
        <f t="shared" si="15"/>
        <v>-8813434.2729186565</v>
      </c>
      <c r="V157" s="31">
        <f t="shared" si="16"/>
        <v>0.35822569104168467</v>
      </c>
    </row>
    <row r="158" spans="20:22" x14ac:dyDescent="0.2">
      <c r="U158" s="17"/>
      <c r="V158" s="3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F3D6-9DA6-4386-9ABB-F8B2CA2B6EBA}">
  <sheetPr codeName="Sheet11"/>
  <dimension ref="A1:AA158"/>
  <sheetViews>
    <sheetView topLeftCell="I1" workbookViewId="0">
      <selection activeCell="W3" sqref="W3:AB23"/>
    </sheetView>
  </sheetViews>
  <sheetFormatPr defaultRowHeight="12.75" x14ac:dyDescent="0.2"/>
  <cols>
    <col min="1" max="1" width="13.6640625" style="28" customWidth="1"/>
    <col min="4" max="4" width="19.5" style="18" bestFit="1" customWidth="1"/>
    <col min="8" max="8" width="13.83203125" customWidth="1"/>
    <col min="9" max="9" width="9.33203125" bestFit="1" customWidth="1"/>
    <col min="12" max="12" width="11.33203125" bestFit="1" customWidth="1"/>
    <col min="13" max="13" width="12.83203125" bestFit="1" customWidth="1"/>
    <col min="14" max="14" width="8.83203125" bestFit="1" customWidth="1"/>
    <col min="15" max="15" width="12.83203125" bestFit="1" customWidth="1"/>
    <col min="16" max="16" width="11.33203125" bestFit="1" customWidth="1"/>
    <col min="17" max="17" width="12.83203125" bestFit="1" customWidth="1"/>
    <col min="18" max="18" width="12.83203125" customWidth="1"/>
    <col min="19" max="19" width="14.33203125" bestFit="1" customWidth="1"/>
    <col min="20" max="20" width="13.83203125" bestFit="1" customWidth="1"/>
    <col min="23" max="23" width="14.83203125" bestFit="1" customWidth="1"/>
    <col min="24" max="24" width="10.5" customWidth="1"/>
    <col min="25" max="25" width="10.33203125" customWidth="1"/>
  </cols>
  <sheetData>
    <row r="1" spans="1:27"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s="17" t="str">
        <f>'Monthly Data'!AO1</f>
        <v>OntFTEs</v>
      </c>
      <c r="J1" t="str">
        <f>'Monthly Data'!BM1</f>
        <v>FallA</v>
      </c>
      <c r="L1" t="s">
        <v>134</v>
      </c>
      <c r="M1" t="str">
        <f t="shared" ref="M1:R1" si="0">E1</f>
        <v>HDD10</v>
      </c>
      <c r="N1" t="str">
        <f t="shared" si="0"/>
        <v>CDD18</v>
      </c>
      <c r="O1" t="str">
        <f t="shared" si="0"/>
        <v>MonthDays</v>
      </c>
      <c r="P1" t="str">
        <f t="shared" si="0"/>
        <v>COVID_AM</v>
      </c>
      <c r="Q1" t="str">
        <f t="shared" si="0"/>
        <v>OntFTEs</v>
      </c>
      <c r="R1" t="str">
        <f t="shared" si="0"/>
        <v>FallA</v>
      </c>
      <c r="S1" t="s">
        <v>135</v>
      </c>
      <c r="T1" t="s">
        <v>136</v>
      </c>
      <c r="U1" t="s">
        <v>137</v>
      </c>
    </row>
    <row r="2" spans="1:27" x14ac:dyDescent="0.2">
      <c r="A2" s="206">
        <f>'Monthly Data'!A2</f>
        <v>41640</v>
      </c>
      <c r="B2">
        <f>'Monthly Data'!C2</f>
        <v>1</v>
      </c>
      <c r="C2">
        <f>'Monthly Data'!B2</f>
        <v>2014</v>
      </c>
      <c r="D2" s="18">
        <f>'Monthly Data'!J2</f>
        <v>15157471.269168407</v>
      </c>
      <c r="E2" s="10">
        <f>'Monthly Data'!AI2</f>
        <v>775.07916666666665</v>
      </c>
      <c r="F2" s="214">
        <f>'Monthly Data'!AB2</f>
        <v>0</v>
      </c>
      <c r="G2">
        <f>'Monthly Data'!BO2</f>
        <v>31</v>
      </c>
      <c r="H2">
        <f>'Monthly Data'!BR2</f>
        <v>0</v>
      </c>
      <c r="I2" s="17">
        <f>'Monthly Data'!AO2</f>
        <v>6770.4</v>
      </c>
      <c r="J2">
        <f>'Monthly Data'!BM2</f>
        <v>0</v>
      </c>
      <c r="L2" s="17">
        <f>$X$8</f>
        <v>-2608738.8393219002</v>
      </c>
      <c r="M2" s="17">
        <f>E2*$X$9</f>
        <v>3991915.987778991</v>
      </c>
      <c r="N2" s="17">
        <f>F2*$X$10</f>
        <v>0</v>
      </c>
      <c r="O2" s="17">
        <f>G2*$X$11</f>
        <v>9267266.0882465839</v>
      </c>
      <c r="P2" s="17">
        <f>H2*$X$12</f>
        <v>0</v>
      </c>
      <c r="Q2" s="17">
        <f>I2*$X$13</f>
        <v>3723709.6036237977</v>
      </c>
      <c r="R2" s="17">
        <f>J2*$X$14</f>
        <v>0</v>
      </c>
      <c r="S2" s="17">
        <f>SUM(L2:R2)</f>
        <v>14374152.840327473</v>
      </c>
      <c r="T2" s="17">
        <f t="shared" ref="T2" si="1">S2-D2</f>
        <v>-783318.42884093337</v>
      </c>
      <c r="U2" s="29">
        <f t="shared" ref="U2:U33" si="2">ABS(T2/D2)</f>
        <v>5.1678701211479126E-2</v>
      </c>
    </row>
    <row r="3" spans="1:27" x14ac:dyDescent="0.2">
      <c r="A3" s="206">
        <f>'Monthly Data'!A3</f>
        <v>41671</v>
      </c>
      <c r="B3">
        <f>'Monthly Data'!C3</f>
        <v>2</v>
      </c>
      <c r="C3">
        <f>'Monthly Data'!B3</f>
        <v>2014</v>
      </c>
      <c r="D3" s="18">
        <f>'Monthly Data'!J3</f>
        <v>13487868.740983315</v>
      </c>
      <c r="E3" s="10">
        <f>'Monthly Data'!AI3</f>
        <v>649.85208333333344</v>
      </c>
      <c r="F3" s="214">
        <f>'Monthly Data'!AB3</f>
        <v>0</v>
      </c>
      <c r="G3">
        <f>'Monthly Data'!BO3</f>
        <v>28</v>
      </c>
      <c r="H3">
        <f>'Monthly Data'!BR3</f>
        <v>0</v>
      </c>
      <c r="I3" s="17">
        <f>'Monthly Data'!AO3</f>
        <v>6732.3</v>
      </c>
      <c r="J3">
        <f>'Monthly Data'!BM3</f>
        <v>0</v>
      </c>
      <c r="L3" s="17">
        <f t="shared" ref="L3:L66" si="3">$X$8</f>
        <v>-2608738.8393219002</v>
      </c>
      <c r="M3" s="17">
        <f t="shared" ref="M3:M66" si="4">E3*$X$9</f>
        <v>3346954.7792212442</v>
      </c>
      <c r="N3" s="17">
        <f t="shared" ref="N3:N66" si="5">F3*$X$10</f>
        <v>0</v>
      </c>
      <c r="O3" s="17">
        <f t="shared" ref="O3:O66" si="6">G3*$X$11</f>
        <v>8370433.8861582046</v>
      </c>
      <c r="P3" s="17">
        <f t="shared" ref="P3:P66" si="7">H3*$X$12</f>
        <v>0</v>
      </c>
      <c r="Q3" s="17">
        <f t="shared" ref="Q3:Q66" si="8">I3*$X$13</f>
        <v>3702754.6621287512</v>
      </c>
      <c r="R3" s="17">
        <f t="shared" ref="R3:R66" si="9">J3*$X$14</f>
        <v>0</v>
      </c>
      <c r="S3" s="17">
        <f t="shared" ref="S3:S66" si="10">SUM(L3:R3)</f>
        <v>12811404.4881863</v>
      </c>
      <c r="T3" s="17">
        <f t="shared" ref="T3:T66" si="11">S3-D3</f>
        <v>-676464.25279701501</v>
      </c>
      <c r="U3" s="29">
        <f t="shared" si="2"/>
        <v>5.0153531724516046E-2</v>
      </c>
      <c r="W3" t="s">
        <v>486</v>
      </c>
    </row>
    <row r="4" spans="1:27" x14ac:dyDescent="0.2">
      <c r="A4" s="206">
        <f>'Monthly Data'!A4</f>
        <v>41699</v>
      </c>
      <c r="B4">
        <f>'Monthly Data'!C4</f>
        <v>3</v>
      </c>
      <c r="C4">
        <f>'Monthly Data'!B4</f>
        <v>2014</v>
      </c>
      <c r="D4" s="18">
        <f>'Monthly Data'!J4</f>
        <v>13775543.68756731</v>
      </c>
      <c r="E4" s="10">
        <f>'Monthly Data'!AI4</f>
        <v>617.39791666666656</v>
      </c>
      <c r="F4" s="214">
        <f>'Monthly Data'!AB4</f>
        <v>0</v>
      </c>
      <c r="G4">
        <f>'Monthly Data'!BO4</f>
        <v>31</v>
      </c>
      <c r="H4">
        <f>'Monthly Data'!BR4</f>
        <v>0</v>
      </c>
      <c r="I4" s="17">
        <f>'Monthly Data'!AO4</f>
        <v>6704.5</v>
      </c>
      <c r="J4">
        <f>'Monthly Data'!BM4</f>
        <v>0</v>
      </c>
      <c r="L4" s="17">
        <f t="shared" si="3"/>
        <v>-2608738.8393219002</v>
      </c>
      <c r="M4" s="17">
        <f t="shared" si="4"/>
        <v>3179805.0061936998</v>
      </c>
      <c r="N4" s="17">
        <f t="shared" si="5"/>
        <v>0</v>
      </c>
      <c r="O4" s="17">
        <f t="shared" si="6"/>
        <v>9267266.0882465839</v>
      </c>
      <c r="P4" s="17">
        <f t="shared" si="7"/>
        <v>0</v>
      </c>
      <c r="Q4" s="17">
        <f t="shared" si="8"/>
        <v>3687464.704817404</v>
      </c>
      <c r="R4" s="17">
        <f t="shared" si="9"/>
        <v>0</v>
      </c>
      <c r="S4" s="17">
        <f t="shared" si="10"/>
        <v>13525796.959935788</v>
      </c>
      <c r="T4" s="17">
        <f t="shared" si="11"/>
        <v>-249746.72763152234</v>
      </c>
      <c r="U4" s="29">
        <f t="shared" si="2"/>
        <v>1.8129718383233288E-2</v>
      </c>
      <c r="W4" t="s">
        <v>154</v>
      </c>
    </row>
    <row r="5" spans="1:27" x14ac:dyDescent="0.2">
      <c r="A5" s="206">
        <f>'Monthly Data'!A5</f>
        <v>41730</v>
      </c>
      <c r="B5">
        <f>'Monthly Data'!C5</f>
        <v>4</v>
      </c>
      <c r="C5">
        <f>'Monthly Data'!B5</f>
        <v>2014</v>
      </c>
      <c r="D5" s="18">
        <f>'Monthly Data'!J5</f>
        <v>11881176.66165504</v>
      </c>
      <c r="E5" s="10">
        <f>'Monthly Data'!AI5</f>
        <v>257.06666666666666</v>
      </c>
      <c r="F5" s="214">
        <f>'Monthly Data'!AB5</f>
        <v>0</v>
      </c>
      <c r="G5">
        <f>'Monthly Data'!BO5</f>
        <v>30</v>
      </c>
      <c r="H5">
        <f>'Monthly Data'!BR5</f>
        <v>0</v>
      </c>
      <c r="I5" s="17">
        <f>'Monthly Data'!AO5</f>
        <v>6732.1</v>
      </c>
      <c r="J5">
        <f>'Monthly Data'!BM5</f>
        <v>0</v>
      </c>
      <c r="L5" s="17">
        <f t="shared" si="3"/>
        <v>-2608738.8393219002</v>
      </c>
      <c r="M5" s="17">
        <f t="shared" si="4"/>
        <v>1323978.995597292</v>
      </c>
      <c r="N5" s="17">
        <f t="shared" si="5"/>
        <v>0</v>
      </c>
      <c r="O5" s="17">
        <f t="shared" si="6"/>
        <v>8968322.0208837911</v>
      </c>
      <c r="P5" s="17">
        <f t="shared" si="7"/>
        <v>0</v>
      </c>
      <c r="Q5" s="17">
        <f t="shared" si="8"/>
        <v>3702644.6624358636</v>
      </c>
      <c r="R5" s="17">
        <f t="shared" si="9"/>
        <v>0</v>
      </c>
      <c r="S5" s="17">
        <f t="shared" si="10"/>
        <v>11386206.839595046</v>
      </c>
      <c r="T5" s="17">
        <f t="shared" si="11"/>
        <v>-494969.82205999456</v>
      </c>
      <c r="U5" s="29">
        <f t="shared" si="2"/>
        <v>4.1660000196566856E-2</v>
      </c>
      <c r="W5" t="s">
        <v>491</v>
      </c>
    </row>
    <row r="6" spans="1:27" x14ac:dyDescent="0.2">
      <c r="A6" s="206">
        <f>'Monthly Data'!A6</f>
        <v>41760</v>
      </c>
      <c r="B6">
        <f>'Monthly Data'!C6</f>
        <v>5</v>
      </c>
      <c r="C6">
        <f>'Monthly Data'!B6</f>
        <v>2014</v>
      </c>
      <c r="D6" s="18">
        <f>'Monthly Data'!J6</f>
        <v>11035623.923947429</v>
      </c>
      <c r="E6" s="10">
        <f>'Monthly Data'!AI6</f>
        <v>45.758333333333333</v>
      </c>
      <c r="F6" s="214">
        <f>'Monthly Data'!AB6</f>
        <v>2.4458333333333329</v>
      </c>
      <c r="G6">
        <f>'Monthly Data'!BO6</f>
        <v>31</v>
      </c>
      <c r="H6">
        <f>'Monthly Data'!BR6</f>
        <v>0</v>
      </c>
      <c r="I6" s="17">
        <f>'Monthly Data'!AO6</f>
        <v>6790.3</v>
      </c>
      <c r="J6">
        <f>'Monthly Data'!BM6</f>
        <v>0</v>
      </c>
      <c r="L6" s="17">
        <f t="shared" si="3"/>
        <v>-2608738.8393219002</v>
      </c>
      <c r="M6" s="17">
        <f t="shared" si="4"/>
        <v>235670.6647051585</v>
      </c>
      <c r="N6" s="17">
        <f t="shared" si="5"/>
        <v>30422.507449543482</v>
      </c>
      <c r="O6" s="17">
        <f t="shared" si="6"/>
        <v>9267266.0882465839</v>
      </c>
      <c r="P6" s="17">
        <f t="shared" si="7"/>
        <v>0</v>
      </c>
      <c r="Q6" s="17">
        <f t="shared" si="8"/>
        <v>3734654.573066093</v>
      </c>
      <c r="R6" s="17">
        <f t="shared" si="9"/>
        <v>0</v>
      </c>
      <c r="S6" s="17">
        <f t="shared" si="10"/>
        <v>10659274.994145479</v>
      </c>
      <c r="T6" s="17">
        <f t="shared" si="11"/>
        <v>-376348.92980195023</v>
      </c>
      <c r="U6" s="29">
        <f t="shared" si="2"/>
        <v>3.4103094885760722E-2</v>
      </c>
    </row>
    <row r="7" spans="1:27" x14ac:dyDescent="0.2">
      <c r="A7" s="206">
        <f>'Monthly Data'!A7</f>
        <v>41791</v>
      </c>
      <c r="B7">
        <f>'Monthly Data'!C7</f>
        <v>6</v>
      </c>
      <c r="C7">
        <f>'Monthly Data'!B7</f>
        <v>2014</v>
      </c>
      <c r="D7" s="18">
        <f>'Monthly Data'!J7</f>
        <v>10546392.712288998</v>
      </c>
      <c r="E7" s="10">
        <f>'Monthly Data'!AI7</f>
        <v>0</v>
      </c>
      <c r="F7" s="214">
        <f>'Monthly Data'!AB7</f>
        <v>21.445833333333336</v>
      </c>
      <c r="G7">
        <f>'Monthly Data'!BO7</f>
        <v>30</v>
      </c>
      <c r="H7">
        <f>'Monthly Data'!BR7</f>
        <v>0</v>
      </c>
      <c r="I7" s="17">
        <f>'Monthly Data'!AO7</f>
        <v>6875.4</v>
      </c>
      <c r="J7">
        <f>'Monthly Data'!BM7</f>
        <v>0</v>
      </c>
      <c r="L7" s="17">
        <f t="shared" si="3"/>
        <v>-2608738.8393219002</v>
      </c>
      <c r="M7" s="17">
        <f t="shared" si="4"/>
        <v>0</v>
      </c>
      <c r="N7" s="17">
        <f t="shared" si="5"/>
        <v>266754.08150391886</v>
      </c>
      <c r="O7" s="17">
        <f t="shared" si="6"/>
        <v>8968322.0208837911</v>
      </c>
      <c r="P7" s="17">
        <f t="shared" si="7"/>
        <v>0</v>
      </c>
      <c r="Q7" s="17">
        <f t="shared" si="8"/>
        <v>3781459.4423896754</v>
      </c>
      <c r="R7" s="17">
        <f t="shared" si="9"/>
        <v>0</v>
      </c>
      <c r="S7" s="17">
        <f t="shared" si="10"/>
        <v>10407796.705455486</v>
      </c>
      <c r="T7" s="17">
        <f t="shared" si="11"/>
        <v>-138596.00683351234</v>
      </c>
      <c r="U7" s="29">
        <f t="shared" si="2"/>
        <v>1.3141555659312382E-2</v>
      </c>
      <c r="X7" t="s">
        <v>139</v>
      </c>
      <c r="Y7" t="s">
        <v>140</v>
      </c>
      <c r="Z7" t="s">
        <v>141</v>
      </c>
      <c r="AA7" t="s">
        <v>142</v>
      </c>
    </row>
    <row r="8" spans="1:27" x14ac:dyDescent="0.2">
      <c r="A8" s="206">
        <f>'Monthly Data'!A8</f>
        <v>41821</v>
      </c>
      <c r="B8">
        <f>'Monthly Data'!C8</f>
        <v>7</v>
      </c>
      <c r="C8">
        <f>'Monthly Data'!B8</f>
        <v>2014</v>
      </c>
      <c r="D8" s="18">
        <f>'Monthly Data'!J8</f>
        <v>10827642.939978894</v>
      </c>
      <c r="E8" s="10">
        <f>'Monthly Data'!AI8</f>
        <v>0</v>
      </c>
      <c r="F8" s="214">
        <f>'Monthly Data'!AB8</f>
        <v>15.170833333333327</v>
      </c>
      <c r="G8">
        <f>'Monthly Data'!BO8</f>
        <v>31</v>
      </c>
      <c r="H8">
        <f>'Monthly Data'!BR8</f>
        <v>0</v>
      </c>
      <c r="I8" s="17">
        <f>'Monthly Data'!AO8</f>
        <v>6932</v>
      </c>
      <c r="J8">
        <f>'Monthly Data'!BM8</f>
        <v>0</v>
      </c>
      <c r="L8" s="17">
        <f t="shared" si="3"/>
        <v>-2608738.8393219002</v>
      </c>
      <c r="M8" s="17">
        <f t="shared" si="4"/>
        <v>0</v>
      </c>
      <c r="N8" s="17">
        <f t="shared" si="5"/>
        <v>188702.46954648689</v>
      </c>
      <c r="O8" s="17">
        <f t="shared" si="6"/>
        <v>9267266.0882465839</v>
      </c>
      <c r="P8" s="17">
        <f t="shared" si="7"/>
        <v>0</v>
      </c>
      <c r="Q8" s="17">
        <f t="shared" si="8"/>
        <v>3812589.3554768059</v>
      </c>
      <c r="R8" s="17">
        <f t="shared" si="9"/>
        <v>0</v>
      </c>
      <c r="S8" s="17">
        <f t="shared" si="10"/>
        <v>10659819.073947977</v>
      </c>
      <c r="T8" s="17">
        <f t="shared" si="11"/>
        <v>-167823.86603091657</v>
      </c>
      <c r="U8" s="29">
        <f t="shared" si="2"/>
        <v>1.5499575204060406E-2</v>
      </c>
      <c r="W8" t="s">
        <v>134</v>
      </c>
      <c r="X8" s="105">
        <v>-2608738.8393219002</v>
      </c>
      <c r="Y8" s="105">
        <v>1051118.6724243001</v>
      </c>
      <c r="Z8" s="76">
        <v>-2.48186899135289</v>
      </c>
      <c r="AA8" s="251">
        <v>1.4407810211055199E-2</v>
      </c>
    </row>
    <row r="9" spans="1:27" x14ac:dyDescent="0.2">
      <c r="A9" s="206">
        <f>'Monthly Data'!A9</f>
        <v>41852</v>
      </c>
      <c r="B9">
        <f>'Monthly Data'!C9</f>
        <v>8</v>
      </c>
      <c r="C9">
        <f>'Monthly Data'!B9</f>
        <v>2014</v>
      </c>
      <c r="D9" s="18">
        <f>'Monthly Data'!J9</f>
        <v>10734152.677535055</v>
      </c>
      <c r="E9" s="10">
        <f>'Monthly Data'!AI9</f>
        <v>1.1333333333333346</v>
      </c>
      <c r="F9" s="214">
        <f>'Monthly Data'!AB9</f>
        <v>20.833333333333353</v>
      </c>
      <c r="G9">
        <f>'Monthly Data'!BO9</f>
        <v>31</v>
      </c>
      <c r="H9">
        <f>'Monthly Data'!BR9</f>
        <v>0</v>
      </c>
      <c r="I9" s="17">
        <f>'Monthly Data'!AO9</f>
        <v>6947.8</v>
      </c>
      <c r="J9">
        <f>'Monthly Data'!BM9</f>
        <v>0</v>
      </c>
      <c r="L9" s="17">
        <f t="shared" si="3"/>
        <v>-2608738.8393219002</v>
      </c>
      <c r="M9" s="17">
        <f t="shared" si="4"/>
        <v>5837.0443270627566</v>
      </c>
      <c r="N9" s="17">
        <f t="shared" si="5"/>
        <v>259135.49786663984</v>
      </c>
      <c r="O9" s="17">
        <f t="shared" si="6"/>
        <v>9267266.0882465839</v>
      </c>
      <c r="P9" s="17">
        <f t="shared" si="7"/>
        <v>0</v>
      </c>
      <c r="Q9" s="17">
        <f t="shared" si="8"/>
        <v>3821279.3312149094</v>
      </c>
      <c r="R9" s="17">
        <f t="shared" si="9"/>
        <v>0</v>
      </c>
      <c r="S9" s="17">
        <f t="shared" si="10"/>
        <v>10744779.122333296</v>
      </c>
      <c r="T9" s="17">
        <f t="shared" si="11"/>
        <v>10626.444798240438</v>
      </c>
      <c r="U9" s="29">
        <f t="shared" si="2"/>
        <v>9.899658703830408E-4</v>
      </c>
      <c r="W9" t="s">
        <v>34</v>
      </c>
      <c r="X9" s="105">
        <v>5150.3332297612496</v>
      </c>
      <c r="Y9" s="105">
        <v>162.75791618437401</v>
      </c>
      <c r="Z9" s="76">
        <v>31.6441335113119</v>
      </c>
      <c r="AA9" s="251">
        <v>3.1014345905792298E-61</v>
      </c>
    </row>
    <row r="10" spans="1:27" x14ac:dyDescent="0.2">
      <c r="A10" s="206">
        <f>'Monthly Data'!A10</f>
        <v>41883</v>
      </c>
      <c r="B10">
        <f>'Monthly Data'!C10</f>
        <v>9</v>
      </c>
      <c r="C10">
        <f>'Monthly Data'!B10</f>
        <v>2014</v>
      </c>
      <c r="D10" s="18">
        <f>'Monthly Data'!J10</f>
        <v>10275750.483334154</v>
      </c>
      <c r="E10" s="10">
        <f>'Monthly Data'!AI10</f>
        <v>35.229166666666664</v>
      </c>
      <c r="F10" s="214">
        <f>'Monthly Data'!AB10</f>
        <v>1.2416666666666636</v>
      </c>
      <c r="G10">
        <f>'Monthly Data'!BO10</f>
        <v>30</v>
      </c>
      <c r="H10">
        <f>'Monthly Data'!BR10</f>
        <v>0</v>
      </c>
      <c r="I10" s="17">
        <f>'Monthly Data'!AO10</f>
        <v>6917.2</v>
      </c>
      <c r="J10">
        <f>'Monthly Data'!BM10</f>
        <v>1</v>
      </c>
      <c r="L10" s="17">
        <f t="shared" si="3"/>
        <v>-2608738.8393219002</v>
      </c>
      <c r="M10" s="17">
        <f t="shared" si="4"/>
        <v>181441.94774013068</v>
      </c>
      <c r="N10" s="17">
        <f t="shared" si="5"/>
        <v>15444.475672851682</v>
      </c>
      <c r="O10" s="17">
        <f t="shared" si="6"/>
        <v>8968322.0208837911</v>
      </c>
      <c r="P10" s="17">
        <f t="shared" si="7"/>
        <v>0</v>
      </c>
      <c r="Q10" s="17">
        <f t="shared" si="8"/>
        <v>3804449.3782031392</v>
      </c>
      <c r="R10" s="17">
        <f t="shared" si="9"/>
        <v>-307328.60270320397</v>
      </c>
      <c r="S10" s="17">
        <f t="shared" si="10"/>
        <v>10053590.380474808</v>
      </c>
      <c r="T10" s="17">
        <f t="shared" si="11"/>
        <v>-222160.1028593462</v>
      </c>
      <c r="U10" s="29">
        <f t="shared" si="2"/>
        <v>2.1619842095198707E-2</v>
      </c>
      <c r="W10" t="s">
        <v>27</v>
      </c>
      <c r="X10" s="105">
        <v>12438.503897598701</v>
      </c>
      <c r="Y10" s="105">
        <v>1499.5838294610701</v>
      </c>
      <c r="Z10" s="76">
        <v>8.2946372541700093</v>
      </c>
      <c r="AA10" s="251">
        <v>1.5398242365267599E-13</v>
      </c>
    </row>
    <row r="11" spans="1:27" x14ac:dyDescent="0.2">
      <c r="A11" s="206">
        <f>'Monthly Data'!A11</f>
        <v>41913</v>
      </c>
      <c r="B11">
        <f>'Monthly Data'!C11</f>
        <v>10</v>
      </c>
      <c r="C11">
        <f>'Monthly Data'!B11</f>
        <v>2014</v>
      </c>
      <c r="D11" s="18">
        <f>'Monthly Data'!J11</f>
        <v>11285129.733190259</v>
      </c>
      <c r="E11" s="10">
        <f>'Monthly Data'!AI11</f>
        <v>131.08956338256775</v>
      </c>
      <c r="F11" s="214">
        <f>'Monthly Data'!AB11</f>
        <v>0</v>
      </c>
      <c r="G11">
        <f>'Monthly Data'!BO11</f>
        <v>31</v>
      </c>
      <c r="H11">
        <f>'Monthly Data'!BR11</f>
        <v>0</v>
      </c>
      <c r="I11" s="17">
        <f>'Monthly Data'!AO11</f>
        <v>6898.9</v>
      </c>
      <c r="J11">
        <f>'Monthly Data'!BM11</f>
        <v>1</v>
      </c>
      <c r="L11" s="17">
        <f t="shared" si="3"/>
        <v>-2608738.8393219002</v>
      </c>
      <c r="M11" s="17">
        <f t="shared" si="4"/>
        <v>675154.93436413223</v>
      </c>
      <c r="N11" s="17">
        <f t="shared" si="5"/>
        <v>0</v>
      </c>
      <c r="O11" s="17">
        <f t="shared" si="6"/>
        <v>9267266.0882465839</v>
      </c>
      <c r="P11" s="17">
        <f t="shared" si="7"/>
        <v>0</v>
      </c>
      <c r="Q11" s="17">
        <f t="shared" si="8"/>
        <v>3794384.4063039436</v>
      </c>
      <c r="R11" s="17">
        <f t="shared" si="9"/>
        <v>-307328.60270320397</v>
      </c>
      <c r="S11" s="17">
        <f t="shared" si="10"/>
        <v>10820737.986889556</v>
      </c>
      <c r="T11" s="17">
        <f t="shared" si="11"/>
        <v>-464391.74630070291</v>
      </c>
      <c r="U11" s="29">
        <f t="shared" si="2"/>
        <v>4.1150767184793484E-2</v>
      </c>
      <c r="W11" t="s">
        <v>66</v>
      </c>
      <c r="X11" s="105">
        <v>298944.06736279302</v>
      </c>
      <c r="Y11" s="105">
        <v>21488.626850028701</v>
      </c>
      <c r="Z11" s="76">
        <v>13.9117343071362</v>
      </c>
      <c r="AA11" s="251">
        <v>4.3715773922929804E-27</v>
      </c>
    </row>
    <row r="12" spans="1:27" x14ac:dyDescent="0.2">
      <c r="A12" s="206">
        <f>'Monthly Data'!A12</f>
        <v>41944</v>
      </c>
      <c r="B12">
        <f>'Monthly Data'!C12</f>
        <v>11</v>
      </c>
      <c r="C12">
        <f>'Monthly Data'!B12</f>
        <v>2014</v>
      </c>
      <c r="D12" s="18">
        <f>'Monthly Data'!J12</f>
        <v>12156627.365140678</v>
      </c>
      <c r="E12" s="10">
        <f>'Monthly Data'!AI12</f>
        <v>413.34929225504521</v>
      </c>
      <c r="F12" s="214">
        <f>'Monthly Data'!AB12</f>
        <v>0</v>
      </c>
      <c r="G12">
        <f>'Monthly Data'!BO12</f>
        <v>30</v>
      </c>
      <c r="H12">
        <f>'Monthly Data'!BR12</f>
        <v>0</v>
      </c>
      <c r="I12" s="17">
        <f>'Monthly Data'!AO12</f>
        <v>6871.1</v>
      </c>
      <c r="J12">
        <f>'Monthly Data'!BM12</f>
        <v>0</v>
      </c>
      <c r="L12" s="17">
        <f t="shared" si="3"/>
        <v>-2608738.8393219002</v>
      </c>
      <c r="M12" s="17">
        <f t="shared" si="4"/>
        <v>2128886.5953994538</v>
      </c>
      <c r="N12" s="17">
        <f t="shared" si="5"/>
        <v>0</v>
      </c>
      <c r="O12" s="17">
        <f t="shared" si="6"/>
        <v>8968322.0208837911</v>
      </c>
      <c r="P12" s="17">
        <f t="shared" si="7"/>
        <v>0</v>
      </c>
      <c r="Q12" s="17">
        <f t="shared" si="8"/>
        <v>3779094.4489925969</v>
      </c>
      <c r="R12" s="17">
        <f t="shared" si="9"/>
        <v>0</v>
      </c>
      <c r="S12" s="17">
        <f t="shared" si="10"/>
        <v>12267564.225953942</v>
      </c>
      <c r="T12" s="17">
        <f t="shared" si="11"/>
        <v>110936.8608132638</v>
      </c>
      <c r="U12" s="29">
        <f t="shared" si="2"/>
        <v>9.1256281434912625E-3</v>
      </c>
      <c r="W12" t="s">
        <v>69</v>
      </c>
      <c r="X12" s="105">
        <v>-1187124.61941395</v>
      </c>
      <c r="Y12" s="105">
        <v>198020.08923501501</v>
      </c>
      <c r="Z12" s="76">
        <v>-5.9949706315152804</v>
      </c>
      <c r="AA12" s="251">
        <v>2.06168722112425E-8</v>
      </c>
    </row>
    <row r="13" spans="1:27" x14ac:dyDescent="0.2">
      <c r="A13" s="206">
        <f>'Monthly Data'!A13</f>
        <v>41974</v>
      </c>
      <c r="B13">
        <f>'Monthly Data'!C13</f>
        <v>12</v>
      </c>
      <c r="C13">
        <f>'Monthly Data'!B13</f>
        <v>2014</v>
      </c>
      <c r="D13" s="18">
        <f>'Monthly Data'!J13</f>
        <v>13612135.709697366</v>
      </c>
      <c r="E13" s="10">
        <f>'Monthly Data'!AI13</f>
        <v>514.76666666666665</v>
      </c>
      <c r="F13" s="214">
        <f>'Monthly Data'!AB13</f>
        <v>0</v>
      </c>
      <c r="G13">
        <f>'Monthly Data'!BO13</f>
        <v>31</v>
      </c>
      <c r="H13">
        <f>'Monthly Data'!BR13</f>
        <v>0</v>
      </c>
      <c r="I13" s="17">
        <f>'Monthly Data'!AO13</f>
        <v>6863.1</v>
      </c>
      <c r="J13">
        <f>'Monthly Data'!BM13</f>
        <v>0</v>
      </c>
      <c r="L13" s="17">
        <f t="shared" si="3"/>
        <v>-2608738.8393219002</v>
      </c>
      <c r="M13" s="17">
        <f t="shared" si="4"/>
        <v>2651219.8689067657</v>
      </c>
      <c r="N13" s="17">
        <f t="shared" si="5"/>
        <v>0</v>
      </c>
      <c r="O13" s="17">
        <f t="shared" si="6"/>
        <v>9267266.0882465839</v>
      </c>
      <c r="P13" s="17">
        <f t="shared" si="7"/>
        <v>0</v>
      </c>
      <c r="Q13" s="17">
        <f t="shared" si="8"/>
        <v>3774694.4612771017</v>
      </c>
      <c r="R13" s="17">
        <f t="shared" si="9"/>
        <v>0</v>
      </c>
      <c r="S13" s="17">
        <f t="shared" si="10"/>
        <v>13084441.579108551</v>
      </c>
      <c r="T13" s="17">
        <f t="shared" si="11"/>
        <v>-527694.13058881462</v>
      </c>
      <c r="U13" s="29">
        <f t="shared" si="2"/>
        <v>3.8766446488840263E-2</v>
      </c>
      <c r="W13" t="s">
        <v>40</v>
      </c>
      <c r="X13" s="105">
        <v>549.99846443693104</v>
      </c>
      <c r="Y13" s="105">
        <v>112.929474893248</v>
      </c>
      <c r="Z13" s="76">
        <v>4.8702826693991303</v>
      </c>
      <c r="AA13" s="251">
        <v>3.3267379268060099E-6</v>
      </c>
    </row>
    <row r="14" spans="1:27" x14ac:dyDescent="0.2">
      <c r="A14" s="206">
        <f>'Monthly Data'!A14</f>
        <v>42005</v>
      </c>
      <c r="B14">
        <f>'Monthly Data'!C14</f>
        <v>1</v>
      </c>
      <c r="C14">
        <f>'Monthly Data'!B14</f>
        <v>2015</v>
      </c>
      <c r="D14" s="18">
        <f>'Monthly Data'!J14</f>
        <v>14774362.688897101</v>
      </c>
      <c r="E14" s="10">
        <f>'Monthly Data'!AI14</f>
        <v>763.31875000000002</v>
      </c>
      <c r="F14" s="214">
        <f>'Monthly Data'!AB14</f>
        <v>0</v>
      </c>
      <c r="G14">
        <f>'Monthly Data'!BO14</f>
        <v>31</v>
      </c>
      <c r="H14">
        <f>'Monthly Data'!BR14</f>
        <v>0</v>
      </c>
      <c r="I14" s="17">
        <f>'Monthly Data'!AO14</f>
        <v>6809.7</v>
      </c>
      <c r="J14">
        <f>'Monthly Data'!BM14</f>
        <v>0</v>
      </c>
      <c r="L14" s="17">
        <f t="shared" si="3"/>
        <v>-2608738.8393219002</v>
      </c>
      <c r="M14" s="17">
        <f t="shared" si="4"/>
        <v>3931345.9230248202</v>
      </c>
      <c r="N14" s="17">
        <f t="shared" si="5"/>
        <v>0</v>
      </c>
      <c r="O14" s="17">
        <f t="shared" si="6"/>
        <v>9267266.0882465839</v>
      </c>
      <c r="P14" s="17">
        <f t="shared" si="7"/>
        <v>0</v>
      </c>
      <c r="Q14" s="17">
        <f t="shared" si="8"/>
        <v>3745324.5432761693</v>
      </c>
      <c r="R14" s="17">
        <f t="shared" si="9"/>
        <v>0</v>
      </c>
      <c r="S14" s="17">
        <f t="shared" si="10"/>
        <v>14335197.715225674</v>
      </c>
      <c r="T14" s="17">
        <f t="shared" si="11"/>
        <v>-439164.973671427</v>
      </c>
      <c r="U14" s="29">
        <f t="shared" si="2"/>
        <v>2.9724799838673138E-2</v>
      </c>
      <c r="W14" t="s">
        <v>64</v>
      </c>
      <c r="X14" s="105">
        <v>-307328.60270320397</v>
      </c>
      <c r="Y14" s="105">
        <v>73222.724810860105</v>
      </c>
      <c r="Z14" s="76">
        <v>-4.1971751733776204</v>
      </c>
      <c r="AA14" s="251">
        <v>5.1108120246938802E-5</v>
      </c>
    </row>
    <row r="15" spans="1:27" x14ac:dyDescent="0.2">
      <c r="A15" s="206">
        <f>'Monthly Data'!A15</f>
        <v>42036</v>
      </c>
      <c r="B15">
        <f>'Monthly Data'!C15</f>
        <v>2</v>
      </c>
      <c r="C15">
        <f>'Monthly Data'!B15</f>
        <v>2015</v>
      </c>
      <c r="D15" s="18">
        <f>'Monthly Data'!J15</f>
        <v>13398276.584565323</v>
      </c>
      <c r="E15" s="10">
        <f>'Monthly Data'!AI15</f>
        <v>805.05624999999998</v>
      </c>
      <c r="F15" s="214">
        <f>'Monthly Data'!AB15</f>
        <v>0</v>
      </c>
      <c r="G15">
        <f>'Monthly Data'!BO15</f>
        <v>28</v>
      </c>
      <c r="H15">
        <f>'Monthly Data'!BR15</f>
        <v>0</v>
      </c>
      <c r="I15" s="17">
        <f>'Monthly Data'!AO15</f>
        <v>6782.7</v>
      </c>
      <c r="J15">
        <f>'Monthly Data'!BM15</f>
        <v>0</v>
      </c>
      <c r="L15" s="17">
        <f t="shared" si="3"/>
        <v>-2608738.8393219002</v>
      </c>
      <c r="M15" s="17">
        <f t="shared" si="4"/>
        <v>4146307.9562019799</v>
      </c>
      <c r="N15" s="17">
        <f t="shared" si="5"/>
        <v>0</v>
      </c>
      <c r="O15" s="17">
        <f t="shared" si="6"/>
        <v>8370433.8861582046</v>
      </c>
      <c r="P15" s="17">
        <f t="shared" si="7"/>
        <v>0</v>
      </c>
      <c r="Q15" s="17">
        <f t="shared" si="8"/>
        <v>3730474.5847363719</v>
      </c>
      <c r="R15" s="17">
        <f t="shared" si="9"/>
        <v>0</v>
      </c>
      <c r="S15" s="17">
        <f t="shared" si="10"/>
        <v>13638477.587774655</v>
      </c>
      <c r="T15" s="17">
        <f t="shared" si="11"/>
        <v>240201.003209332</v>
      </c>
      <c r="U15" s="29">
        <f t="shared" si="2"/>
        <v>1.7927753744540628E-2</v>
      </c>
    </row>
    <row r="16" spans="1:27" x14ac:dyDescent="0.2">
      <c r="A16" s="206">
        <f>'Monthly Data'!A16</f>
        <v>42064</v>
      </c>
      <c r="B16">
        <f>'Monthly Data'!C16</f>
        <v>3</v>
      </c>
      <c r="C16">
        <f>'Monthly Data'!B16</f>
        <v>2015</v>
      </c>
      <c r="D16" s="18">
        <f>'Monthly Data'!J16</f>
        <v>13367811.181566991</v>
      </c>
      <c r="E16" s="10">
        <f>'Monthly Data'!AI16</f>
        <v>514.78333333333342</v>
      </c>
      <c r="F16" s="214">
        <f>'Monthly Data'!AB16</f>
        <v>0</v>
      </c>
      <c r="G16">
        <f>'Monthly Data'!BO16</f>
        <v>31</v>
      </c>
      <c r="H16">
        <f>'Monthly Data'!BR16</f>
        <v>0</v>
      </c>
      <c r="I16" s="17">
        <f>'Monthly Data'!AO16</f>
        <v>6761.8</v>
      </c>
      <c r="J16">
        <f>'Monthly Data'!BM16</f>
        <v>0</v>
      </c>
      <c r="L16" s="17">
        <f t="shared" si="3"/>
        <v>-2608738.8393219002</v>
      </c>
      <c r="M16" s="17">
        <f t="shared" si="4"/>
        <v>2651305.7077939291</v>
      </c>
      <c r="N16" s="17">
        <f t="shared" si="5"/>
        <v>0</v>
      </c>
      <c r="O16" s="17">
        <f t="shared" si="6"/>
        <v>9267266.0882465839</v>
      </c>
      <c r="P16" s="17">
        <f t="shared" si="7"/>
        <v>0</v>
      </c>
      <c r="Q16" s="17">
        <f t="shared" si="8"/>
        <v>3718979.6168296402</v>
      </c>
      <c r="R16" s="17">
        <f t="shared" si="9"/>
        <v>0</v>
      </c>
      <c r="S16" s="17">
        <f t="shared" si="10"/>
        <v>13028812.573548254</v>
      </c>
      <c r="T16" s="17">
        <f t="shared" si="11"/>
        <v>-338998.60801873729</v>
      </c>
      <c r="U16" s="29">
        <f t="shared" si="2"/>
        <v>2.5359320491165065E-2</v>
      </c>
      <c r="W16" t="s">
        <v>143</v>
      </c>
    </row>
    <row r="17" spans="1:26" x14ac:dyDescent="0.2">
      <c r="A17" s="206">
        <f>'Monthly Data'!A17</f>
        <v>42095</v>
      </c>
      <c r="B17">
        <f>'Monthly Data'!C17</f>
        <v>4</v>
      </c>
      <c r="C17">
        <f>'Monthly Data'!B17</f>
        <v>2015</v>
      </c>
      <c r="D17" s="18">
        <f>'Monthly Data'!J17</f>
        <v>11459682.663342522</v>
      </c>
      <c r="E17" s="10">
        <f>'Monthly Data'!AI17</f>
        <v>206.76874999999998</v>
      </c>
      <c r="F17" s="214">
        <f>'Monthly Data'!AB17</f>
        <v>0</v>
      </c>
      <c r="G17">
        <f>'Monthly Data'!BO17</f>
        <v>30</v>
      </c>
      <c r="H17">
        <f>'Monthly Data'!BR17</f>
        <v>0</v>
      </c>
      <c r="I17" s="17">
        <f>'Monthly Data'!AO17</f>
        <v>6786.4</v>
      </c>
      <c r="J17">
        <f>'Monthly Data'!BM17</f>
        <v>0</v>
      </c>
      <c r="L17" s="17">
        <f t="shared" si="3"/>
        <v>-2608738.8393219002</v>
      </c>
      <c r="M17" s="17">
        <f t="shared" si="4"/>
        <v>1064927.9640011962</v>
      </c>
      <c r="N17" s="17">
        <f t="shared" si="5"/>
        <v>0</v>
      </c>
      <c r="O17" s="17">
        <f t="shared" si="6"/>
        <v>8968322.0208837911</v>
      </c>
      <c r="P17" s="17">
        <f t="shared" si="7"/>
        <v>0</v>
      </c>
      <c r="Q17" s="17">
        <f t="shared" si="8"/>
        <v>3732509.5790547887</v>
      </c>
      <c r="R17" s="17">
        <f t="shared" si="9"/>
        <v>0</v>
      </c>
      <c r="S17" s="17">
        <f t="shared" si="10"/>
        <v>11157020.724617876</v>
      </c>
      <c r="T17" s="17">
        <f t="shared" si="11"/>
        <v>-302661.93872464634</v>
      </c>
      <c r="U17" s="29">
        <f t="shared" si="2"/>
        <v>2.6411022679782209E-2</v>
      </c>
      <c r="W17" t="s">
        <v>144</v>
      </c>
      <c r="X17">
        <v>8621438025103.5</v>
      </c>
      <c r="Y17" t="s">
        <v>145</v>
      </c>
      <c r="Z17" s="105">
        <v>263681.10665897001</v>
      </c>
    </row>
    <row r="18" spans="1:26" x14ac:dyDescent="0.2">
      <c r="A18" s="206">
        <f>'Monthly Data'!A18</f>
        <v>42125</v>
      </c>
      <c r="B18">
        <f>'Monthly Data'!C18</f>
        <v>5</v>
      </c>
      <c r="C18">
        <f>'Monthly Data'!B18</f>
        <v>2015</v>
      </c>
      <c r="D18" s="18">
        <f>'Monthly Data'!J18</f>
        <v>10674881.061633488</v>
      </c>
      <c r="E18" s="10">
        <f>'Monthly Data'!AI18</f>
        <v>22.945833333333329</v>
      </c>
      <c r="F18" s="214">
        <f>'Monthly Data'!AB18</f>
        <v>3.587499999999995</v>
      </c>
      <c r="G18">
        <f>'Monthly Data'!BO18</f>
        <v>31</v>
      </c>
      <c r="H18">
        <f>'Monthly Data'!BR18</f>
        <v>0</v>
      </c>
      <c r="I18" s="17">
        <f>'Monthly Data'!AO18</f>
        <v>6848.1</v>
      </c>
      <c r="J18">
        <f>'Monthly Data'!BM18</f>
        <v>0</v>
      </c>
      <c r="L18" s="17">
        <f t="shared" si="3"/>
        <v>-2608738.8393219002</v>
      </c>
      <c r="M18" s="17">
        <f t="shared" si="4"/>
        <v>118178.68790122999</v>
      </c>
      <c r="N18" s="17">
        <f t="shared" si="5"/>
        <v>44623.132732635277</v>
      </c>
      <c r="O18" s="17">
        <f t="shared" si="6"/>
        <v>9267266.0882465839</v>
      </c>
      <c r="P18" s="17">
        <f t="shared" si="7"/>
        <v>0</v>
      </c>
      <c r="Q18" s="17">
        <f t="shared" si="8"/>
        <v>3766444.4843105478</v>
      </c>
      <c r="R18" s="17">
        <f t="shared" si="9"/>
        <v>0</v>
      </c>
      <c r="S18" s="17">
        <f t="shared" si="10"/>
        <v>10587773.553869098</v>
      </c>
      <c r="T18" s="17">
        <f t="shared" si="11"/>
        <v>-87107.507764389738</v>
      </c>
      <c r="U18" s="29">
        <f t="shared" si="2"/>
        <v>8.160044806256643E-3</v>
      </c>
      <c r="W18" t="s">
        <v>146</v>
      </c>
      <c r="X18" s="252">
        <v>0.96046580848456398</v>
      </c>
      <c r="Y18" t="s">
        <v>147</v>
      </c>
      <c r="Z18" s="252">
        <v>0.95855286373381698</v>
      </c>
    </row>
    <row r="19" spans="1:26" x14ac:dyDescent="0.2">
      <c r="A19" s="206">
        <f>'Monthly Data'!A19</f>
        <v>42156</v>
      </c>
      <c r="B19">
        <f>'Monthly Data'!C19</f>
        <v>6</v>
      </c>
      <c r="C19">
        <f>'Monthly Data'!B19</f>
        <v>2015</v>
      </c>
      <c r="D19" s="18">
        <f>'Monthly Data'!J19</f>
        <v>10334828.398293173</v>
      </c>
      <c r="E19" s="10">
        <f>'Monthly Data'!AI19</f>
        <v>0</v>
      </c>
      <c r="F19" s="214">
        <f>'Monthly Data'!AB19</f>
        <v>4.09791666666667</v>
      </c>
      <c r="G19">
        <f>'Monthly Data'!BO19</f>
        <v>30</v>
      </c>
      <c r="H19">
        <f>'Monthly Data'!BR19</f>
        <v>0</v>
      </c>
      <c r="I19" s="17">
        <f>'Monthly Data'!AO19</f>
        <v>6930.1</v>
      </c>
      <c r="J19">
        <f>'Monthly Data'!BM19</f>
        <v>0</v>
      </c>
      <c r="L19" s="17">
        <f t="shared" si="3"/>
        <v>-2608738.8393219002</v>
      </c>
      <c r="M19" s="17">
        <f t="shared" si="4"/>
        <v>0</v>
      </c>
      <c r="N19" s="17">
        <f t="shared" si="5"/>
        <v>50971.952430368052</v>
      </c>
      <c r="O19" s="17">
        <f t="shared" si="6"/>
        <v>8968322.0208837911</v>
      </c>
      <c r="P19" s="17">
        <f t="shared" si="7"/>
        <v>0</v>
      </c>
      <c r="Q19" s="17">
        <f t="shared" si="8"/>
        <v>3811544.358394376</v>
      </c>
      <c r="R19" s="17">
        <f t="shared" si="9"/>
        <v>0</v>
      </c>
      <c r="S19" s="17">
        <f t="shared" si="10"/>
        <v>10222099.492386635</v>
      </c>
      <c r="T19" s="17">
        <f t="shared" si="11"/>
        <v>-112728.90590653755</v>
      </c>
      <c r="U19" s="29">
        <f t="shared" si="2"/>
        <v>1.0907670796464802E-2</v>
      </c>
      <c r="W19" t="s">
        <v>487</v>
      </c>
      <c r="X19" s="76">
        <v>367.616847658094</v>
      </c>
      <c r="Y19" t="s">
        <v>148</v>
      </c>
      <c r="Z19" s="252">
        <v>1.8936096537482201E-76</v>
      </c>
    </row>
    <row r="20" spans="1:26" x14ac:dyDescent="0.2">
      <c r="A20" s="206">
        <f>'Monthly Data'!A20</f>
        <v>42186</v>
      </c>
      <c r="B20">
        <f>'Monthly Data'!C20</f>
        <v>7</v>
      </c>
      <c r="C20">
        <f>'Monthly Data'!B20</f>
        <v>2015</v>
      </c>
      <c r="D20" s="18">
        <f>'Monthly Data'!J20</f>
        <v>10941225.565238366</v>
      </c>
      <c r="E20" s="10">
        <f>'Monthly Data'!AI20</f>
        <v>0</v>
      </c>
      <c r="F20" s="214">
        <f>'Monthly Data'!AB20</f>
        <v>54.720833333333339</v>
      </c>
      <c r="G20">
        <f>'Monthly Data'!BO20</f>
        <v>31</v>
      </c>
      <c r="H20">
        <f>'Monthly Data'!BR20</f>
        <v>0</v>
      </c>
      <c r="I20" s="17">
        <f>'Monthly Data'!AO20</f>
        <v>6986.1</v>
      </c>
      <c r="J20">
        <f>'Monthly Data'!BM20</f>
        <v>0</v>
      </c>
      <c r="L20" s="17">
        <f t="shared" si="3"/>
        <v>-2608738.8393219002</v>
      </c>
      <c r="M20" s="17">
        <f t="shared" si="4"/>
        <v>0</v>
      </c>
      <c r="N20" s="17">
        <f t="shared" si="5"/>
        <v>680645.29869651562</v>
      </c>
      <c r="O20" s="17">
        <f t="shared" si="6"/>
        <v>9267266.0882465839</v>
      </c>
      <c r="P20" s="17">
        <f t="shared" si="7"/>
        <v>0</v>
      </c>
      <c r="Q20" s="17">
        <f t="shared" si="8"/>
        <v>3842344.2724028444</v>
      </c>
      <c r="R20" s="17">
        <f t="shared" si="9"/>
        <v>0</v>
      </c>
      <c r="S20" s="17">
        <f t="shared" si="10"/>
        <v>11181516.820024043</v>
      </c>
      <c r="T20" s="17">
        <f t="shared" si="11"/>
        <v>240291.25478567742</v>
      </c>
      <c r="U20" s="29">
        <f t="shared" si="2"/>
        <v>2.1962005385311918E-2</v>
      </c>
      <c r="W20" t="s">
        <v>149</v>
      </c>
      <c r="X20" s="252">
        <v>-8.1167203975215596E-2</v>
      </c>
      <c r="Y20" t="s">
        <v>150</v>
      </c>
      <c r="Z20" s="252">
        <v>2.10756922853502</v>
      </c>
    </row>
    <row r="21" spans="1:26" x14ac:dyDescent="0.2">
      <c r="A21" s="206">
        <f>'Monthly Data'!A21</f>
        <v>42217</v>
      </c>
      <c r="B21">
        <f>'Monthly Data'!C21</f>
        <v>8</v>
      </c>
      <c r="C21">
        <f>'Monthly Data'!B21</f>
        <v>2015</v>
      </c>
      <c r="D21" s="18">
        <f>'Monthly Data'!J21</f>
        <v>10861005.481768513</v>
      </c>
      <c r="E21" s="10">
        <f>'Monthly Data'!AI21</f>
        <v>0</v>
      </c>
      <c r="F21" s="214">
        <f>'Monthly Data'!AB21</f>
        <v>28.762500000000021</v>
      </c>
      <c r="G21">
        <f>'Monthly Data'!BO21</f>
        <v>31</v>
      </c>
      <c r="H21">
        <f>'Monthly Data'!BR21</f>
        <v>0</v>
      </c>
      <c r="I21" s="17">
        <f>'Monthly Data'!AO21</f>
        <v>7000.2</v>
      </c>
      <c r="J21">
        <f>'Monthly Data'!BM21</f>
        <v>0</v>
      </c>
      <c r="L21" s="17">
        <f t="shared" si="3"/>
        <v>-2608738.8393219002</v>
      </c>
      <c r="M21" s="17">
        <f t="shared" si="4"/>
        <v>0</v>
      </c>
      <c r="N21" s="17">
        <f t="shared" si="5"/>
        <v>357762.4683546829</v>
      </c>
      <c r="O21" s="17">
        <f t="shared" si="6"/>
        <v>9267266.0882465839</v>
      </c>
      <c r="P21" s="17">
        <f t="shared" si="7"/>
        <v>0</v>
      </c>
      <c r="Q21" s="17">
        <f t="shared" si="8"/>
        <v>3850099.2507514046</v>
      </c>
      <c r="R21" s="17">
        <f t="shared" si="9"/>
        <v>0</v>
      </c>
      <c r="S21" s="17">
        <f t="shared" si="10"/>
        <v>10866388.968030771</v>
      </c>
      <c r="T21" s="17">
        <f t="shared" si="11"/>
        <v>5383.4862622581422</v>
      </c>
      <c r="U21" s="29">
        <f t="shared" si="2"/>
        <v>4.9567107495663849E-4</v>
      </c>
    </row>
    <row r="22" spans="1:26" x14ac:dyDescent="0.2">
      <c r="A22" s="206">
        <f>'Monthly Data'!A22</f>
        <v>42248</v>
      </c>
      <c r="B22">
        <f>'Monthly Data'!C22</f>
        <v>9</v>
      </c>
      <c r="C22">
        <f>'Monthly Data'!B22</f>
        <v>2015</v>
      </c>
      <c r="D22" s="18">
        <f>'Monthly Data'!J22</f>
        <v>10256857.476304401</v>
      </c>
      <c r="E22" s="10">
        <f>'Monthly Data'!AI22</f>
        <v>5.0249999999999986</v>
      </c>
      <c r="F22" s="214">
        <f>'Monthly Data'!AB22</f>
        <v>27.039583333333312</v>
      </c>
      <c r="G22">
        <f>'Monthly Data'!BO22</f>
        <v>30</v>
      </c>
      <c r="H22">
        <f>'Monthly Data'!BR22</f>
        <v>0</v>
      </c>
      <c r="I22" s="17">
        <f>'Monthly Data'!AO22</f>
        <v>6953.7</v>
      </c>
      <c r="J22">
        <f>'Monthly Data'!BM22</f>
        <v>1</v>
      </c>
      <c r="L22" s="17">
        <f t="shared" si="3"/>
        <v>-2608738.8393219002</v>
      </c>
      <c r="M22" s="17">
        <f t="shared" si="4"/>
        <v>25880.424479550271</v>
      </c>
      <c r="N22" s="17">
        <f t="shared" si="5"/>
        <v>336331.96268111124</v>
      </c>
      <c r="O22" s="17">
        <f t="shared" si="6"/>
        <v>8968322.0208837911</v>
      </c>
      <c r="P22" s="17">
        <f t="shared" si="7"/>
        <v>0</v>
      </c>
      <c r="Q22" s="17">
        <f t="shared" si="8"/>
        <v>3824524.3221550873</v>
      </c>
      <c r="R22" s="17">
        <f t="shared" si="9"/>
        <v>-307328.60270320397</v>
      </c>
      <c r="S22" s="17">
        <f t="shared" si="10"/>
        <v>10238991.288174435</v>
      </c>
      <c r="T22" s="17">
        <f t="shared" si="11"/>
        <v>-17866.188129965216</v>
      </c>
      <c r="U22" s="29">
        <f t="shared" si="2"/>
        <v>1.7418773899549687E-3</v>
      </c>
      <c r="W22" t="s">
        <v>151</v>
      </c>
    </row>
    <row r="23" spans="1:26" x14ac:dyDescent="0.2">
      <c r="A23" s="206">
        <f>'Monthly Data'!A23</f>
        <v>42278</v>
      </c>
      <c r="B23">
        <f>'Monthly Data'!C23</f>
        <v>10</v>
      </c>
      <c r="C23">
        <f>'Monthly Data'!B23</f>
        <v>2015</v>
      </c>
      <c r="D23" s="18">
        <f>'Monthly Data'!J23</f>
        <v>10748501.67210874</v>
      </c>
      <c r="E23" s="10">
        <f>'Monthly Data'!AI23</f>
        <v>151.64166666666668</v>
      </c>
      <c r="F23" s="214">
        <f>'Monthly Data'!AB23</f>
        <v>0</v>
      </c>
      <c r="G23">
        <f>'Monthly Data'!BO23</f>
        <v>31</v>
      </c>
      <c r="H23">
        <f>'Monthly Data'!BR23</f>
        <v>0</v>
      </c>
      <c r="I23" s="17">
        <f>'Monthly Data'!AO23</f>
        <v>6932.8</v>
      </c>
      <c r="J23">
        <f>'Monthly Data'!BM23</f>
        <v>1</v>
      </c>
      <c r="L23" s="17">
        <f t="shared" si="3"/>
        <v>-2608738.8393219002</v>
      </c>
      <c r="M23" s="17">
        <f t="shared" si="4"/>
        <v>781005.11484971223</v>
      </c>
      <c r="N23" s="17">
        <f t="shared" si="5"/>
        <v>0</v>
      </c>
      <c r="O23" s="17">
        <f t="shared" si="6"/>
        <v>9267266.0882465839</v>
      </c>
      <c r="P23" s="17">
        <f t="shared" si="7"/>
        <v>0</v>
      </c>
      <c r="Q23" s="17">
        <f t="shared" si="8"/>
        <v>3813029.3542483556</v>
      </c>
      <c r="R23" s="17">
        <f t="shared" si="9"/>
        <v>-307328.60270320397</v>
      </c>
      <c r="S23" s="17">
        <f t="shared" si="10"/>
        <v>10945233.115319548</v>
      </c>
      <c r="T23" s="17">
        <f t="shared" si="11"/>
        <v>196731.44321080856</v>
      </c>
      <c r="U23" s="29">
        <f t="shared" si="2"/>
        <v>1.8303150449453479E-2</v>
      </c>
      <c r="W23" t="s">
        <v>152</v>
      </c>
      <c r="X23">
        <v>11715552.110043401</v>
      </c>
      <c r="Y23" t="s">
        <v>153</v>
      </c>
      <c r="Z23">
        <v>1289848.4384339601</v>
      </c>
    </row>
    <row r="24" spans="1:26" x14ac:dyDescent="0.2">
      <c r="A24" s="206">
        <f>'Monthly Data'!A24</f>
        <v>42309</v>
      </c>
      <c r="B24">
        <f>'Monthly Data'!C24</f>
        <v>11</v>
      </c>
      <c r="C24">
        <f>'Monthly Data'!B24</f>
        <v>2015</v>
      </c>
      <c r="D24" s="18">
        <f>'Monthly Data'!J24</f>
        <v>11062002.298106223</v>
      </c>
      <c r="E24" s="10">
        <f>'Monthly Data'!AI24</f>
        <v>246.22083333333336</v>
      </c>
      <c r="F24" s="214">
        <f>'Monthly Data'!AB24</f>
        <v>0</v>
      </c>
      <c r="G24">
        <f>'Monthly Data'!BO24</f>
        <v>30</v>
      </c>
      <c r="H24">
        <f>'Monthly Data'!BR24</f>
        <v>0</v>
      </c>
      <c r="I24" s="17">
        <f>'Monthly Data'!AO24</f>
        <v>6898.2</v>
      </c>
      <c r="J24">
        <f>'Monthly Data'!BM24</f>
        <v>0</v>
      </c>
      <c r="L24" s="17">
        <f t="shared" si="3"/>
        <v>-2608738.8393219002</v>
      </c>
      <c r="M24" s="17">
        <f t="shared" si="4"/>
        <v>1268119.3397761732</v>
      </c>
      <c r="N24" s="17">
        <f t="shared" si="5"/>
        <v>0</v>
      </c>
      <c r="O24" s="17">
        <f t="shared" si="6"/>
        <v>8968322.0208837911</v>
      </c>
      <c r="P24" s="17">
        <f t="shared" si="7"/>
        <v>0</v>
      </c>
      <c r="Q24" s="17">
        <f t="shared" si="8"/>
        <v>3793999.4073788375</v>
      </c>
      <c r="R24" s="17">
        <f t="shared" si="9"/>
        <v>0</v>
      </c>
      <c r="S24" s="17">
        <f t="shared" si="10"/>
        <v>11421701.928716902</v>
      </c>
      <c r="T24" s="17">
        <f t="shared" si="11"/>
        <v>359699.63061067834</v>
      </c>
      <c r="U24" s="29">
        <f t="shared" si="2"/>
        <v>3.2516683771821098E-2</v>
      </c>
    </row>
    <row r="25" spans="1:26" x14ac:dyDescent="0.2">
      <c r="A25" s="206">
        <f>'Monthly Data'!A25</f>
        <v>42339</v>
      </c>
      <c r="B25">
        <f>'Monthly Data'!C25</f>
        <v>12</v>
      </c>
      <c r="C25">
        <f>'Monthly Data'!B25</f>
        <v>2015</v>
      </c>
      <c r="D25" s="18">
        <f>'Monthly Data'!J25</f>
        <v>12342831.61718449</v>
      </c>
      <c r="E25" s="10">
        <f>'Monthly Data'!AI25</f>
        <v>352.51249999999993</v>
      </c>
      <c r="F25" s="214">
        <f>'Monthly Data'!AB25</f>
        <v>0</v>
      </c>
      <c r="G25">
        <f>'Monthly Data'!BO25</f>
        <v>31</v>
      </c>
      <c r="H25">
        <f>'Monthly Data'!BR25</f>
        <v>0</v>
      </c>
      <c r="I25" s="17">
        <f>'Monthly Data'!AO25</f>
        <v>6902.3</v>
      </c>
      <c r="J25">
        <f>'Monthly Data'!BM25</f>
        <v>0</v>
      </c>
      <c r="L25" s="17">
        <f t="shared" si="3"/>
        <v>-2608738.8393219002</v>
      </c>
      <c r="M25" s="17">
        <f t="shared" si="4"/>
        <v>1815556.8426562122</v>
      </c>
      <c r="N25" s="17">
        <f t="shared" si="5"/>
        <v>0</v>
      </c>
      <c r="O25" s="17">
        <f t="shared" si="6"/>
        <v>9267266.0882465839</v>
      </c>
      <c r="P25" s="17">
        <f t="shared" si="7"/>
        <v>0</v>
      </c>
      <c r="Q25" s="17">
        <f t="shared" si="8"/>
        <v>3796254.4010830293</v>
      </c>
      <c r="R25" s="17">
        <f t="shared" si="9"/>
        <v>0</v>
      </c>
      <c r="S25" s="17">
        <f t="shared" si="10"/>
        <v>12270338.492663926</v>
      </c>
      <c r="T25" s="17">
        <f t="shared" si="11"/>
        <v>-72493.124520564452</v>
      </c>
      <c r="U25" s="29">
        <f t="shared" si="2"/>
        <v>5.8732976977207427E-3</v>
      </c>
    </row>
    <row r="26" spans="1:26" x14ac:dyDescent="0.2">
      <c r="A26" s="206">
        <f>'Monthly Data'!A26</f>
        <v>42370</v>
      </c>
      <c r="B26">
        <f>'Monthly Data'!C26</f>
        <v>1</v>
      </c>
      <c r="C26">
        <f>'Monthly Data'!B26</f>
        <v>2016</v>
      </c>
      <c r="D26" s="18">
        <f>'Monthly Data'!J26</f>
        <v>13471487.177465362</v>
      </c>
      <c r="E26" s="10">
        <f>'Monthly Data'!AI26</f>
        <v>615.80416666666679</v>
      </c>
      <c r="F26" s="214">
        <f>'Monthly Data'!AB26</f>
        <v>0</v>
      </c>
      <c r="G26">
        <f>'Monthly Data'!BO26</f>
        <v>31</v>
      </c>
      <c r="H26">
        <f>'Monthly Data'!BR26</f>
        <v>0</v>
      </c>
      <c r="I26" s="17">
        <f>'Monthly Data'!AO26</f>
        <v>6871.2</v>
      </c>
      <c r="J26">
        <f>'Monthly Data'!BM26</f>
        <v>0</v>
      </c>
      <c r="L26" s="17">
        <f t="shared" si="3"/>
        <v>-2608738.8393219002</v>
      </c>
      <c r="M26" s="17">
        <f t="shared" si="4"/>
        <v>3171596.6626087688</v>
      </c>
      <c r="N26" s="17">
        <f t="shared" si="5"/>
        <v>0</v>
      </c>
      <c r="O26" s="17">
        <f t="shared" si="6"/>
        <v>9267266.0882465839</v>
      </c>
      <c r="P26" s="17">
        <f t="shared" si="7"/>
        <v>0</v>
      </c>
      <c r="Q26" s="17">
        <f t="shared" si="8"/>
        <v>3779149.4488390405</v>
      </c>
      <c r="R26" s="17">
        <f t="shared" si="9"/>
        <v>0</v>
      </c>
      <c r="S26" s="17">
        <f t="shared" si="10"/>
        <v>13609273.360372493</v>
      </c>
      <c r="T26" s="17">
        <f t="shared" si="11"/>
        <v>137786.18290713057</v>
      </c>
      <c r="U26" s="29">
        <f t="shared" si="2"/>
        <v>1.0227986048757447E-2</v>
      </c>
    </row>
    <row r="27" spans="1:26" x14ac:dyDescent="0.2">
      <c r="A27" s="206">
        <f>'Monthly Data'!A27</f>
        <v>42401</v>
      </c>
      <c r="B27">
        <f>'Monthly Data'!C27</f>
        <v>2</v>
      </c>
      <c r="C27">
        <f>'Monthly Data'!B27</f>
        <v>2016</v>
      </c>
      <c r="D27" s="18">
        <f>'Monthly Data'!J27</f>
        <v>12695119.535019068</v>
      </c>
      <c r="E27" s="10">
        <f>'Monthly Data'!AI27</f>
        <v>607.26874999999995</v>
      </c>
      <c r="F27" s="214">
        <f>'Monthly Data'!AB27</f>
        <v>0</v>
      </c>
      <c r="G27">
        <f>'Monthly Data'!BO27</f>
        <v>29</v>
      </c>
      <c r="H27">
        <f>'Monthly Data'!BR27</f>
        <v>0</v>
      </c>
      <c r="I27" s="17">
        <f>'Monthly Data'!AO27</f>
        <v>6850.4</v>
      </c>
      <c r="J27">
        <f>'Monthly Data'!BM27</f>
        <v>0</v>
      </c>
      <c r="L27" s="17">
        <f t="shared" si="3"/>
        <v>-2608738.8393219002</v>
      </c>
      <c r="M27" s="17">
        <f t="shared" si="4"/>
        <v>3127636.4225205765</v>
      </c>
      <c r="N27" s="17">
        <f t="shared" si="5"/>
        <v>0</v>
      </c>
      <c r="O27" s="17">
        <f t="shared" si="6"/>
        <v>8669377.9535209984</v>
      </c>
      <c r="P27" s="17">
        <f t="shared" si="7"/>
        <v>0</v>
      </c>
      <c r="Q27" s="17">
        <f t="shared" si="8"/>
        <v>3767709.4807787524</v>
      </c>
      <c r="R27" s="17">
        <f t="shared" si="9"/>
        <v>0</v>
      </c>
      <c r="S27" s="17">
        <f t="shared" si="10"/>
        <v>12955985.017498426</v>
      </c>
      <c r="T27" s="17">
        <f t="shared" si="11"/>
        <v>260865.48247935809</v>
      </c>
      <c r="U27" s="29">
        <f t="shared" si="2"/>
        <v>2.0548485720025659E-2</v>
      </c>
    </row>
    <row r="28" spans="1:26" x14ac:dyDescent="0.2">
      <c r="A28" s="206">
        <f>'Monthly Data'!A28</f>
        <v>42430</v>
      </c>
      <c r="B28">
        <f>'Monthly Data'!C28</f>
        <v>3</v>
      </c>
      <c r="C28">
        <f>'Monthly Data'!B28</f>
        <v>2016</v>
      </c>
      <c r="D28" s="18">
        <f>'Monthly Data'!J28</f>
        <v>12739482.624929575</v>
      </c>
      <c r="E28" s="10">
        <f>'Monthly Data'!AI28</f>
        <v>401.50208333333336</v>
      </c>
      <c r="F28" s="214">
        <f>'Monthly Data'!AB28</f>
        <v>0</v>
      </c>
      <c r="G28">
        <f>'Monthly Data'!BO28</f>
        <v>31</v>
      </c>
      <c r="H28">
        <f>'Monthly Data'!BR28</f>
        <v>0</v>
      </c>
      <c r="I28" s="17">
        <f>'Monthly Data'!AO28</f>
        <v>6827.3</v>
      </c>
      <c r="J28">
        <f>'Monthly Data'!BM28</f>
        <v>0</v>
      </c>
      <c r="L28" s="17">
        <f t="shared" si="3"/>
        <v>-2608738.8393219002</v>
      </c>
      <c r="M28" s="17">
        <f t="shared" si="4"/>
        <v>2067869.5216100372</v>
      </c>
      <c r="N28" s="17">
        <f t="shared" si="5"/>
        <v>0</v>
      </c>
      <c r="O28" s="17">
        <f t="shared" si="6"/>
        <v>9267266.0882465839</v>
      </c>
      <c r="P28" s="17">
        <f t="shared" si="7"/>
        <v>0</v>
      </c>
      <c r="Q28" s="17">
        <f t="shared" si="8"/>
        <v>3755004.5162502592</v>
      </c>
      <c r="R28" s="17">
        <f t="shared" si="9"/>
        <v>0</v>
      </c>
      <c r="S28" s="17">
        <f t="shared" si="10"/>
        <v>12481401.28678498</v>
      </c>
      <c r="T28" s="17">
        <f t="shared" si="11"/>
        <v>-258081.3381445948</v>
      </c>
      <c r="U28" s="29">
        <f t="shared" si="2"/>
        <v>2.0258384562616531E-2</v>
      </c>
    </row>
    <row r="29" spans="1:26" x14ac:dyDescent="0.2">
      <c r="A29" s="206">
        <f>'Monthly Data'!A29</f>
        <v>42461</v>
      </c>
      <c r="B29">
        <f>'Monthly Data'!C29</f>
        <v>4</v>
      </c>
      <c r="C29">
        <f>'Monthly Data'!B29</f>
        <v>2016</v>
      </c>
      <c r="D29" s="18">
        <f>'Monthly Data'!J29</f>
        <v>11306329.364432665</v>
      </c>
      <c r="E29" s="10">
        <f>'Monthly Data'!AI29</f>
        <v>293.09999999999997</v>
      </c>
      <c r="F29" s="214">
        <f>'Monthly Data'!AB29</f>
        <v>0</v>
      </c>
      <c r="G29">
        <f>'Monthly Data'!BO29</f>
        <v>30</v>
      </c>
      <c r="H29">
        <f>'Monthly Data'!BR29</f>
        <v>0</v>
      </c>
      <c r="I29" s="17">
        <f>'Monthly Data'!AO29</f>
        <v>6843.7</v>
      </c>
      <c r="J29">
        <f>'Monthly Data'!BM29</f>
        <v>0</v>
      </c>
      <c r="L29" s="17">
        <f t="shared" si="3"/>
        <v>-2608738.8393219002</v>
      </c>
      <c r="M29" s="17">
        <f t="shared" si="4"/>
        <v>1509562.6696430221</v>
      </c>
      <c r="N29" s="17">
        <f t="shared" si="5"/>
        <v>0</v>
      </c>
      <c r="O29" s="17">
        <f t="shared" si="6"/>
        <v>8968322.0208837911</v>
      </c>
      <c r="P29" s="17">
        <f t="shared" si="7"/>
        <v>0</v>
      </c>
      <c r="Q29" s="17">
        <f t="shared" si="8"/>
        <v>3764024.4910670249</v>
      </c>
      <c r="R29" s="17">
        <f t="shared" si="9"/>
        <v>0</v>
      </c>
      <c r="S29" s="17">
        <f t="shared" si="10"/>
        <v>11633170.342271939</v>
      </c>
      <c r="T29" s="17">
        <f t="shared" si="11"/>
        <v>326840.97783927433</v>
      </c>
      <c r="U29" s="29">
        <f t="shared" si="2"/>
        <v>2.8907788487698521E-2</v>
      </c>
    </row>
    <row r="30" spans="1:26" x14ac:dyDescent="0.2">
      <c r="A30" s="206">
        <f>'Monthly Data'!A30</f>
        <v>42491</v>
      </c>
      <c r="B30">
        <f>'Monthly Data'!C30</f>
        <v>5</v>
      </c>
      <c r="C30">
        <f>'Monthly Data'!B30</f>
        <v>2016</v>
      </c>
      <c r="D30" s="18">
        <f>'Monthly Data'!J30</f>
        <v>10692228.025868321</v>
      </c>
      <c r="E30" s="10">
        <f>'Monthly Data'!AI30</f>
        <v>34.1875</v>
      </c>
      <c r="F30" s="214">
        <f>'Monthly Data'!AB30</f>
        <v>10.241666666666671</v>
      </c>
      <c r="G30">
        <f>'Monthly Data'!BO30</f>
        <v>31</v>
      </c>
      <c r="H30">
        <f>'Monthly Data'!BR30</f>
        <v>0</v>
      </c>
      <c r="I30" s="17">
        <f>'Monthly Data'!AO30</f>
        <v>6913.7</v>
      </c>
      <c r="J30">
        <f>'Monthly Data'!BM30</f>
        <v>0</v>
      </c>
      <c r="L30" s="17">
        <f t="shared" si="3"/>
        <v>-2608738.8393219002</v>
      </c>
      <c r="M30" s="17">
        <f t="shared" si="4"/>
        <v>176077.01729246273</v>
      </c>
      <c r="N30" s="17">
        <f t="shared" si="5"/>
        <v>127391.01075124007</v>
      </c>
      <c r="O30" s="17">
        <f t="shared" si="6"/>
        <v>9267266.0882465839</v>
      </c>
      <c r="P30" s="17">
        <f t="shared" si="7"/>
        <v>0</v>
      </c>
      <c r="Q30" s="17">
        <f t="shared" si="8"/>
        <v>3802524.3835776099</v>
      </c>
      <c r="R30" s="17">
        <f t="shared" si="9"/>
        <v>0</v>
      </c>
      <c r="S30" s="17">
        <f t="shared" si="10"/>
        <v>10764519.660545995</v>
      </c>
      <c r="T30" s="17">
        <f t="shared" si="11"/>
        <v>72291.634677674621</v>
      </c>
      <c r="U30" s="29">
        <f t="shared" si="2"/>
        <v>6.7611385113350861E-3</v>
      </c>
    </row>
    <row r="31" spans="1:26" x14ac:dyDescent="0.2">
      <c r="A31" s="206">
        <f>'Monthly Data'!A31</f>
        <v>42522</v>
      </c>
      <c r="B31">
        <f>'Monthly Data'!C31</f>
        <v>6</v>
      </c>
      <c r="C31">
        <f>'Monthly Data'!B31</f>
        <v>2016</v>
      </c>
      <c r="D31" s="18">
        <f>'Monthly Data'!J31</f>
        <v>10467768.008548845</v>
      </c>
      <c r="E31" s="10">
        <f>'Monthly Data'!AI31</f>
        <v>2.2375000000000016</v>
      </c>
      <c r="F31" s="214">
        <f>'Monthly Data'!AB31</f>
        <v>36.485416666666666</v>
      </c>
      <c r="G31">
        <f>'Monthly Data'!BO31</f>
        <v>30</v>
      </c>
      <c r="H31">
        <f>'Monthly Data'!BR31</f>
        <v>0</v>
      </c>
      <c r="I31" s="17">
        <f>'Monthly Data'!AO31</f>
        <v>7000.2</v>
      </c>
      <c r="J31">
        <f>'Monthly Data'!BM31</f>
        <v>0</v>
      </c>
      <c r="L31" s="17">
        <f t="shared" si="3"/>
        <v>-2608738.8393219002</v>
      </c>
      <c r="M31" s="17">
        <f t="shared" si="4"/>
        <v>11523.870601590805</v>
      </c>
      <c r="N31" s="17">
        <f t="shared" si="5"/>
        <v>453823.99741384591</v>
      </c>
      <c r="O31" s="17">
        <f t="shared" si="6"/>
        <v>8968322.0208837911</v>
      </c>
      <c r="P31" s="17">
        <f t="shared" si="7"/>
        <v>0</v>
      </c>
      <c r="Q31" s="17">
        <f t="shared" si="8"/>
        <v>3850099.2507514046</v>
      </c>
      <c r="R31" s="17">
        <f t="shared" si="9"/>
        <v>0</v>
      </c>
      <c r="S31" s="17">
        <f t="shared" si="10"/>
        <v>10675030.300328732</v>
      </c>
      <c r="T31" s="17">
        <f t="shared" si="11"/>
        <v>207262.29177988693</v>
      </c>
      <c r="U31" s="29">
        <f t="shared" si="2"/>
        <v>1.9800046352825111E-2</v>
      </c>
    </row>
    <row r="32" spans="1:26" x14ac:dyDescent="0.2">
      <c r="A32" s="206">
        <f>'Monthly Data'!A32</f>
        <v>42552</v>
      </c>
      <c r="B32">
        <f>'Monthly Data'!C32</f>
        <v>7</v>
      </c>
      <c r="C32">
        <f>'Monthly Data'!B32</f>
        <v>2016</v>
      </c>
      <c r="D32" s="18">
        <f>'Monthly Data'!J32</f>
        <v>11133217.218561364</v>
      </c>
      <c r="E32" s="10">
        <f>'Monthly Data'!AI32</f>
        <v>0</v>
      </c>
      <c r="F32" s="214">
        <f>'Monthly Data'!AB32</f>
        <v>69.933333333333337</v>
      </c>
      <c r="G32">
        <f>'Monthly Data'!BO32</f>
        <v>31</v>
      </c>
      <c r="H32">
        <f>'Monthly Data'!BR32</f>
        <v>0</v>
      </c>
      <c r="I32" s="17">
        <f>'Monthly Data'!AO32</f>
        <v>7049.5</v>
      </c>
      <c r="J32">
        <f>'Monthly Data'!BM32</f>
        <v>0</v>
      </c>
      <c r="L32" s="17">
        <f t="shared" si="3"/>
        <v>-2608738.8393219002</v>
      </c>
      <c r="M32" s="17">
        <f t="shared" si="4"/>
        <v>0</v>
      </c>
      <c r="N32" s="17">
        <f t="shared" si="5"/>
        <v>869866.03923873592</v>
      </c>
      <c r="O32" s="17">
        <f t="shared" si="6"/>
        <v>9267266.0882465839</v>
      </c>
      <c r="P32" s="17">
        <f t="shared" si="7"/>
        <v>0</v>
      </c>
      <c r="Q32" s="17">
        <f t="shared" si="8"/>
        <v>3877214.1750481455</v>
      </c>
      <c r="R32" s="17">
        <f t="shared" si="9"/>
        <v>0</v>
      </c>
      <c r="S32" s="17">
        <f t="shared" si="10"/>
        <v>11405607.463211566</v>
      </c>
      <c r="T32" s="17">
        <f t="shared" si="11"/>
        <v>272390.24465020187</v>
      </c>
      <c r="U32" s="29">
        <f t="shared" si="2"/>
        <v>2.4466444811304972E-2</v>
      </c>
    </row>
    <row r="33" spans="1:21" x14ac:dyDescent="0.2">
      <c r="A33" s="206">
        <f>'Monthly Data'!A33</f>
        <v>42583</v>
      </c>
      <c r="B33">
        <f>'Monthly Data'!C33</f>
        <v>8</v>
      </c>
      <c r="C33">
        <f>'Monthly Data'!B33</f>
        <v>2016</v>
      </c>
      <c r="D33" s="18">
        <f>'Monthly Data'!J33</f>
        <v>11008415.885954833</v>
      </c>
      <c r="E33" s="10">
        <f>'Monthly Data'!AI33</f>
        <v>0</v>
      </c>
      <c r="F33" s="214">
        <f>'Monthly Data'!AB33</f>
        <v>64.395833333333357</v>
      </c>
      <c r="G33">
        <f>'Monthly Data'!BO33</f>
        <v>31</v>
      </c>
      <c r="H33">
        <f>'Monthly Data'!BR33</f>
        <v>0</v>
      </c>
      <c r="I33" s="17">
        <f>'Monthly Data'!AO33</f>
        <v>7045.6</v>
      </c>
      <c r="J33">
        <f>'Monthly Data'!BM33</f>
        <v>0</v>
      </c>
      <c r="L33" s="17">
        <f t="shared" si="3"/>
        <v>-2608738.8393219002</v>
      </c>
      <c r="M33" s="17">
        <f t="shared" si="4"/>
        <v>0</v>
      </c>
      <c r="N33" s="17">
        <f t="shared" si="5"/>
        <v>800987.82390578336</v>
      </c>
      <c r="O33" s="17">
        <f t="shared" si="6"/>
        <v>9267266.0882465839</v>
      </c>
      <c r="P33" s="17">
        <f t="shared" si="7"/>
        <v>0</v>
      </c>
      <c r="Q33" s="17">
        <f t="shared" si="8"/>
        <v>3875069.1810368416</v>
      </c>
      <c r="R33" s="17">
        <f t="shared" si="9"/>
        <v>0</v>
      </c>
      <c r="S33" s="17">
        <f t="shared" si="10"/>
        <v>11334584.253867308</v>
      </c>
      <c r="T33" s="17">
        <f t="shared" si="11"/>
        <v>326168.36791247502</v>
      </c>
      <c r="U33" s="29">
        <f t="shared" si="2"/>
        <v>2.9629001237918281E-2</v>
      </c>
    </row>
    <row r="34" spans="1:21" x14ac:dyDescent="0.2">
      <c r="A34" s="206">
        <f>'Monthly Data'!A34</f>
        <v>42614</v>
      </c>
      <c r="B34">
        <f>'Monthly Data'!C34</f>
        <v>9</v>
      </c>
      <c r="C34">
        <f>'Monthly Data'!B34</f>
        <v>2016</v>
      </c>
      <c r="D34" s="18">
        <f>'Monthly Data'!J34</f>
        <v>10163034.278752638</v>
      </c>
      <c r="E34" s="10">
        <f>'Monthly Data'!AI34</f>
        <v>1.0041666666666682</v>
      </c>
      <c r="F34" s="214">
        <f>'Monthly Data'!AB34</f>
        <v>7.9291666666666671</v>
      </c>
      <c r="G34">
        <f>'Monthly Data'!BO34</f>
        <v>30</v>
      </c>
      <c r="H34">
        <f>'Monthly Data'!BR34</f>
        <v>0</v>
      </c>
      <c r="I34" s="17">
        <f>'Monthly Data'!AO34</f>
        <v>6998.1</v>
      </c>
      <c r="J34">
        <f>'Monthly Data'!BM34</f>
        <v>1</v>
      </c>
      <c r="L34" s="17">
        <f t="shared" si="3"/>
        <v>-2608738.8393219002</v>
      </c>
      <c r="M34" s="17">
        <f t="shared" si="4"/>
        <v>5171.792951551929</v>
      </c>
      <c r="N34" s="17">
        <f t="shared" si="5"/>
        <v>98626.970488043036</v>
      </c>
      <c r="O34" s="17">
        <f t="shared" si="6"/>
        <v>8968322.0208837911</v>
      </c>
      <c r="P34" s="17">
        <f t="shared" si="7"/>
        <v>0</v>
      </c>
      <c r="Q34" s="17">
        <f t="shared" si="8"/>
        <v>3848944.2539760876</v>
      </c>
      <c r="R34" s="17">
        <f t="shared" si="9"/>
        <v>-307328.60270320397</v>
      </c>
      <c r="S34" s="17">
        <f t="shared" si="10"/>
        <v>10004997.596274368</v>
      </c>
      <c r="T34" s="17">
        <f t="shared" si="11"/>
        <v>-158036.68247826956</v>
      </c>
      <c r="U34" s="29">
        <f t="shared" ref="U34:U65" si="12">ABS(T34/D34)</f>
        <v>1.5550147538975557E-2</v>
      </c>
    </row>
    <row r="35" spans="1:21" x14ac:dyDescent="0.2">
      <c r="A35" s="206">
        <f>'Monthly Data'!A35</f>
        <v>42644</v>
      </c>
      <c r="B35">
        <f>'Monthly Data'!C35</f>
        <v>10</v>
      </c>
      <c r="C35">
        <f>'Monthly Data'!B35</f>
        <v>2016</v>
      </c>
      <c r="D35" s="18">
        <f>'Monthly Data'!J35</f>
        <v>10408644.305427104</v>
      </c>
      <c r="E35" s="10">
        <f>'Monthly Data'!AI35</f>
        <v>121.99583333333332</v>
      </c>
      <c r="F35" s="214">
        <f>'Monthly Data'!AB35</f>
        <v>0</v>
      </c>
      <c r="G35">
        <f>'Monthly Data'!BO35</f>
        <v>31</v>
      </c>
      <c r="H35">
        <f>'Monthly Data'!BR35</f>
        <v>0</v>
      </c>
      <c r="I35" s="17">
        <f>'Monthly Data'!AO35</f>
        <v>6990.5</v>
      </c>
      <c r="J35">
        <f>'Monthly Data'!BM35</f>
        <v>1</v>
      </c>
      <c r="L35" s="17">
        <f t="shared" si="3"/>
        <v>-2608738.8393219002</v>
      </c>
      <c r="M35" s="17">
        <f t="shared" si="4"/>
        <v>628319.19430908177</v>
      </c>
      <c r="N35" s="17">
        <f t="shared" si="5"/>
        <v>0</v>
      </c>
      <c r="O35" s="17">
        <f t="shared" si="6"/>
        <v>9267266.0882465839</v>
      </c>
      <c r="P35" s="17">
        <f t="shared" si="7"/>
        <v>0</v>
      </c>
      <c r="Q35" s="17">
        <f t="shared" si="8"/>
        <v>3844764.2656463664</v>
      </c>
      <c r="R35" s="17">
        <f t="shared" si="9"/>
        <v>-307328.60270320397</v>
      </c>
      <c r="S35" s="17">
        <f t="shared" si="10"/>
        <v>10824282.106176928</v>
      </c>
      <c r="T35" s="17">
        <f t="shared" si="11"/>
        <v>415637.80074982345</v>
      </c>
      <c r="U35" s="29">
        <f t="shared" si="12"/>
        <v>3.9931982355580008E-2</v>
      </c>
    </row>
    <row r="36" spans="1:21" x14ac:dyDescent="0.2">
      <c r="A36" s="206">
        <f>'Monthly Data'!A36</f>
        <v>42675</v>
      </c>
      <c r="B36">
        <f>'Monthly Data'!C36</f>
        <v>11</v>
      </c>
      <c r="C36">
        <f>'Monthly Data'!B36</f>
        <v>2016</v>
      </c>
      <c r="D36" s="18">
        <f>'Monthly Data'!J36</f>
        <v>11035358.439422198</v>
      </c>
      <c r="E36" s="10">
        <f>'Monthly Data'!AI36</f>
        <v>223.76250000000002</v>
      </c>
      <c r="F36" s="214">
        <f>'Monthly Data'!AB36</f>
        <v>0</v>
      </c>
      <c r="G36">
        <f>'Monthly Data'!BO36</f>
        <v>30</v>
      </c>
      <c r="H36">
        <f>'Monthly Data'!BR36</f>
        <v>0</v>
      </c>
      <c r="I36" s="17">
        <f>'Monthly Data'!AO36</f>
        <v>6983.4</v>
      </c>
      <c r="J36">
        <f>'Monthly Data'!BM36</f>
        <v>0</v>
      </c>
      <c r="L36" s="17">
        <f t="shared" si="3"/>
        <v>-2608738.8393219002</v>
      </c>
      <c r="M36" s="17">
        <f t="shared" si="4"/>
        <v>1152451.4393244516</v>
      </c>
      <c r="N36" s="17">
        <f t="shared" si="5"/>
        <v>0</v>
      </c>
      <c r="O36" s="17">
        <f t="shared" si="6"/>
        <v>8968322.0208837911</v>
      </c>
      <c r="P36" s="17">
        <f t="shared" si="7"/>
        <v>0</v>
      </c>
      <c r="Q36" s="17">
        <f t="shared" si="8"/>
        <v>3840859.2765488639</v>
      </c>
      <c r="R36" s="17">
        <f t="shared" si="9"/>
        <v>0</v>
      </c>
      <c r="S36" s="17">
        <f t="shared" si="10"/>
        <v>11352893.897435207</v>
      </c>
      <c r="T36" s="17">
        <f t="shared" si="11"/>
        <v>317535.45801300928</v>
      </c>
      <c r="U36" s="29">
        <f t="shared" si="12"/>
        <v>2.8774367389704396E-2</v>
      </c>
    </row>
    <row r="37" spans="1:21" x14ac:dyDescent="0.2">
      <c r="A37" s="206">
        <f>'Monthly Data'!A37</f>
        <v>42705</v>
      </c>
      <c r="B37">
        <f>'Monthly Data'!C37</f>
        <v>12</v>
      </c>
      <c r="C37">
        <f>'Monthly Data'!B37</f>
        <v>2016</v>
      </c>
      <c r="D37" s="18">
        <f>'Monthly Data'!J37</f>
        <v>12855220.796200017</v>
      </c>
      <c r="E37" s="10">
        <f>'Monthly Data'!AI37</f>
        <v>534.79583333333335</v>
      </c>
      <c r="F37" s="214">
        <f>'Monthly Data'!AB37</f>
        <v>0</v>
      </c>
      <c r="G37">
        <f>'Monthly Data'!BO37</f>
        <v>31</v>
      </c>
      <c r="H37">
        <f>'Monthly Data'!BR37</f>
        <v>0</v>
      </c>
      <c r="I37" s="17">
        <f>'Monthly Data'!AO37</f>
        <v>6999.9</v>
      </c>
      <c r="J37">
        <f>'Monthly Data'!BM37</f>
        <v>0</v>
      </c>
      <c r="L37" s="17">
        <f t="shared" si="3"/>
        <v>-2608738.8393219002</v>
      </c>
      <c r="M37" s="17">
        <f t="shared" si="4"/>
        <v>2754376.7515545259</v>
      </c>
      <c r="N37" s="17">
        <f t="shared" si="5"/>
        <v>0</v>
      </c>
      <c r="O37" s="17">
        <f t="shared" si="6"/>
        <v>9267266.0882465839</v>
      </c>
      <c r="P37" s="17">
        <f t="shared" si="7"/>
        <v>0</v>
      </c>
      <c r="Q37" s="17">
        <f t="shared" si="8"/>
        <v>3849934.2512120735</v>
      </c>
      <c r="R37" s="17">
        <f t="shared" si="9"/>
        <v>0</v>
      </c>
      <c r="S37" s="17">
        <f t="shared" si="10"/>
        <v>13262838.251691284</v>
      </c>
      <c r="T37" s="17">
        <f t="shared" si="11"/>
        <v>407617.45549126714</v>
      </c>
      <c r="U37" s="29">
        <f t="shared" si="12"/>
        <v>3.1708320063375206E-2</v>
      </c>
    </row>
    <row r="38" spans="1:21" x14ac:dyDescent="0.2">
      <c r="A38" s="206">
        <f>'Monthly Data'!A38</f>
        <v>42736</v>
      </c>
      <c r="B38">
        <f>'Monthly Data'!C38</f>
        <v>1</v>
      </c>
      <c r="C38">
        <f>'Monthly Data'!B38</f>
        <v>2017</v>
      </c>
      <c r="D38" s="18">
        <f>'Monthly Data'!J38</f>
        <v>13238747.565795455</v>
      </c>
      <c r="E38" s="10">
        <f>'Monthly Data'!AI38</f>
        <v>540.22916666666674</v>
      </c>
      <c r="F38" s="214">
        <f>'Monthly Data'!AB38</f>
        <v>0</v>
      </c>
      <c r="G38">
        <f>'Monthly Data'!BO38</f>
        <v>31</v>
      </c>
      <c r="H38">
        <f>'Monthly Data'!BR38</f>
        <v>0</v>
      </c>
      <c r="I38" s="17">
        <f>'Monthly Data'!AO38</f>
        <v>6982.5</v>
      </c>
      <c r="J38">
        <f>'Monthly Data'!BM38</f>
        <v>0</v>
      </c>
      <c r="L38" s="17">
        <f t="shared" si="3"/>
        <v>-2608738.8393219002</v>
      </c>
      <c r="M38" s="17">
        <f t="shared" si="4"/>
        <v>2782360.2287695622</v>
      </c>
      <c r="N38" s="17">
        <f t="shared" si="5"/>
        <v>0</v>
      </c>
      <c r="O38" s="17">
        <f t="shared" si="6"/>
        <v>9267266.0882465839</v>
      </c>
      <c r="P38" s="17">
        <f t="shared" si="7"/>
        <v>0</v>
      </c>
      <c r="Q38" s="17">
        <f t="shared" si="8"/>
        <v>3840364.2779308711</v>
      </c>
      <c r="R38" s="17">
        <f t="shared" si="9"/>
        <v>0</v>
      </c>
      <c r="S38" s="17">
        <f t="shared" si="10"/>
        <v>13281251.755625118</v>
      </c>
      <c r="T38" s="17">
        <f t="shared" si="11"/>
        <v>42504.189829662442</v>
      </c>
      <c r="U38" s="29">
        <f t="shared" si="12"/>
        <v>3.2105899457951152E-3</v>
      </c>
    </row>
    <row r="39" spans="1:21" x14ac:dyDescent="0.2">
      <c r="A39" s="206">
        <f>'Monthly Data'!A39</f>
        <v>42767</v>
      </c>
      <c r="B39">
        <f>'Monthly Data'!C39</f>
        <v>2</v>
      </c>
      <c r="C39">
        <f>'Monthly Data'!B39</f>
        <v>2017</v>
      </c>
      <c r="D39" s="18">
        <f>'Monthly Data'!J39</f>
        <v>11972000.088172954</v>
      </c>
      <c r="E39" s="10">
        <f>'Monthly Data'!AI39</f>
        <v>475.37916666666683</v>
      </c>
      <c r="F39" s="214">
        <f>'Monthly Data'!AB39</f>
        <v>0</v>
      </c>
      <c r="G39">
        <f>'Monthly Data'!BO39</f>
        <v>28</v>
      </c>
      <c r="H39">
        <f>'Monthly Data'!BR39</f>
        <v>0</v>
      </c>
      <c r="I39" s="17">
        <f>'Monthly Data'!AO39</f>
        <v>6962.5</v>
      </c>
      <c r="J39">
        <f>'Monthly Data'!BM39</f>
        <v>0</v>
      </c>
      <c r="L39" s="17">
        <f t="shared" si="3"/>
        <v>-2608738.8393219002</v>
      </c>
      <c r="M39" s="17">
        <f t="shared" si="4"/>
        <v>2448361.1188195455</v>
      </c>
      <c r="N39" s="17">
        <f t="shared" si="5"/>
        <v>0</v>
      </c>
      <c r="O39" s="17">
        <f t="shared" si="6"/>
        <v>8370433.8861582046</v>
      </c>
      <c r="P39" s="17">
        <f t="shared" si="7"/>
        <v>0</v>
      </c>
      <c r="Q39" s="17">
        <f t="shared" si="8"/>
        <v>3829364.3086421322</v>
      </c>
      <c r="R39" s="17">
        <f t="shared" si="9"/>
        <v>0</v>
      </c>
      <c r="S39" s="17">
        <f t="shared" si="10"/>
        <v>12039420.474297982</v>
      </c>
      <c r="T39" s="17">
        <f t="shared" si="11"/>
        <v>67420.386125028133</v>
      </c>
      <c r="U39" s="29">
        <f t="shared" si="12"/>
        <v>5.6315056488875411E-3</v>
      </c>
    </row>
    <row r="40" spans="1:21" x14ac:dyDescent="0.2">
      <c r="A40" s="206">
        <f>'Monthly Data'!A40</f>
        <v>42795</v>
      </c>
      <c r="B40">
        <f>'Monthly Data'!C40</f>
        <v>3</v>
      </c>
      <c r="C40">
        <f>'Monthly Data'!B40</f>
        <v>2017</v>
      </c>
      <c r="D40" s="18">
        <f>'Monthly Data'!J40</f>
        <v>12634058.046692308</v>
      </c>
      <c r="E40" s="10">
        <f>'Monthly Data'!AI40</f>
        <v>517.80416666666656</v>
      </c>
      <c r="F40" s="214">
        <f>'Monthly Data'!AB40</f>
        <v>0</v>
      </c>
      <c r="G40">
        <f>'Monthly Data'!BO40</f>
        <v>31</v>
      </c>
      <c r="H40">
        <f>'Monthly Data'!BR40</f>
        <v>0</v>
      </c>
      <c r="I40" s="17">
        <f>'Monthly Data'!AO40</f>
        <v>6946</v>
      </c>
      <c r="J40">
        <f>'Monthly Data'!BM40</f>
        <v>0</v>
      </c>
      <c r="L40" s="17">
        <f t="shared" si="3"/>
        <v>-2608738.8393219002</v>
      </c>
      <c r="M40" s="17">
        <f t="shared" si="4"/>
        <v>2666864.0060921651</v>
      </c>
      <c r="N40" s="17">
        <f t="shared" si="5"/>
        <v>0</v>
      </c>
      <c r="O40" s="17">
        <f t="shared" si="6"/>
        <v>9267266.0882465839</v>
      </c>
      <c r="P40" s="17">
        <f t="shared" si="7"/>
        <v>0</v>
      </c>
      <c r="Q40" s="17">
        <f t="shared" si="8"/>
        <v>3820289.333978923</v>
      </c>
      <c r="R40" s="17">
        <f t="shared" si="9"/>
        <v>0</v>
      </c>
      <c r="S40" s="17">
        <f t="shared" si="10"/>
        <v>13145680.588995771</v>
      </c>
      <c r="T40" s="17">
        <f t="shared" si="11"/>
        <v>511622.54230346344</v>
      </c>
      <c r="U40" s="29">
        <f t="shared" si="12"/>
        <v>4.0495503535968799E-2</v>
      </c>
    </row>
    <row r="41" spans="1:21" x14ac:dyDescent="0.2">
      <c r="A41" s="206">
        <f>'Monthly Data'!A41</f>
        <v>42826</v>
      </c>
      <c r="B41">
        <f>'Monthly Data'!C41</f>
        <v>4</v>
      </c>
      <c r="C41">
        <f>'Monthly Data'!B41</f>
        <v>2017</v>
      </c>
      <c r="D41" s="18">
        <f>'Monthly Data'!J41</f>
        <v>10680362.785959138</v>
      </c>
      <c r="E41" s="10">
        <f>'Monthly Data'!AI41</f>
        <v>178.72500000000002</v>
      </c>
      <c r="F41" s="214">
        <f>'Monthly Data'!AB41</f>
        <v>0</v>
      </c>
      <c r="G41">
        <f>'Monthly Data'!BO41</f>
        <v>30</v>
      </c>
      <c r="H41">
        <f>'Monthly Data'!BR41</f>
        <v>0</v>
      </c>
      <c r="I41" s="17">
        <f>'Monthly Data'!AO41</f>
        <v>6963.6</v>
      </c>
      <c r="J41">
        <f>'Monthly Data'!BM41</f>
        <v>0</v>
      </c>
      <c r="L41" s="17">
        <f t="shared" si="3"/>
        <v>-2608738.8393219002</v>
      </c>
      <c r="M41" s="17">
        <f t="shared" si="4"/>
        <v>920493.30648907949</v>
      </c>
      <c r="N41" s="17">
        <f t="shared" si="5"/>
        <v>0</v>
      </c>
      <c r="O41" s="17">
        <f t="shared" si="6"/>
        <v>8968322.0208837911</v>
      </c>
      <c r="P41" s="17">
        <f t="shared" si="7"/>
        <v>0</v>
      </c>
      <c r="Q41" s="17">
        <f t="shared" si="8"/>
        <v>3829969.3069530134</v>
      </c>
      <c r="R41" s="17">
        <f t="shared" si="9"/>
        <v>0</v>
      </c>
      <c r="S41" s="17">
        <f t="shared" si="10"/>
        <v>11110045.795003984</v>
      </c>
      <c r="T41" s="17">
        <f t="shared" si="11"/>
        <v>429683.00904484652</v>
      </c>
      <c r="U41" s="29">
        <f t="shared" si="12"/>
        <v>4.0231124883672136E-2</v>
      </c>
    </row>
    <row r="42" spans="1:21" x14ac:dyDescent="0.2">
      <c r="A42" s="206">
        <f>'Monthly Data'!A42</f>
        <v>42856</v>
      </c>
      <c r="B42">
        <f>'Monthly Data'!C42</f>
        <v>5</v>
      </c>
      <c r="C42">
        <f>'Monthly Data'!B42</f>
        <v>2017</v>
      </c>
      <c r="D42" s="18">
        <f>'Monthly Data'!J42</f>
        <v>10162413.65849488</v>
      </c>
      <c r="E42" s="10">
        <f>'Monthly Data'!AI42</f>
        <v>56.574999999999996</v>
      </c>
      <c r="F42" s="214">
        <f>'Monthly Data'!AB42</f>
        <v>1.9583333333333321</v>
      </c>
      <c r="G42">
        <f>'Monthly Data'!BO42</f>
        <v>31</v>
      </c>
      <c r="H42">
        <f>'Monthly Data'!BR42</f>
        <v>0</v>
      </c>
      <c r="I42" s="17">
        <f>'Monthly Data'!AO42</f>
        <v>7033.4</v>
      </c>
      <c r="J42">
        <f>'Monthly Data'!BM42</f>
        <v>0</v>
      </c>
      <c r="L42" s="17">
        <f t="shared" si="3"/>
        <v>-2608738.8393219002</v>
      </c>
      <c r="M42" s="17">
        <f t="shared" si="4"/>
        <v>291380.10247374268</v>
      </c>
      <c r="N42" s="17">
        <f t="shared" si="5"/>
        <v>24358.736799464106</v>
      </c>
      <c r="O42" s="17">
        <f t="shared" si="6"/>
        <v>9267266.0882465839</v>
      </c>
      <c r="P42" s="17">
        <f t="shared" si="7"/>
        <v>0</v>
      </c>
      <c r="Q42" s="17">
        <f t="shared" si="8"/>
        <v>3868359.1997707104</v>
      </c>
      <c r="R42" s="17">
        <f t="shared" si="9"/>
        <v>0</v>
      </c>
      <c r="S42" s="17">
        <f t="shared" si="10"/>
        <v>10842625.287968602</v>
      </c>
      <c r="T42" s="17">
        <f t="shared" si="11"/>
        <v>680211.62947372161</v>
      </c>
      <c r="U42" s="29">
        <f t="shared" si="12"/>
        <v>6.6934062352906165E-2</v>
      </c>
    </row>
    <row r="43" spans="1:21" x14ac:dyDescent="0.2">
      <c r="A43" s="206">
        <f>'Monthly Data'!A43</f>
        <v>42887</v>
      </c>
      <c r="B43">
        <f>'Monthly Data'!C43</f>
        <v>6</v>
      </c>
      <c r="C43">
        <f>'Monthly Data'!B43</f>
        <v>2017</v>
      </c>
      <c r="D43" s="18">
        <f>'Monthly Data'!J43</f>
        <v>9870806.2378251255</v>
      </c>
      <c r="E43" s="10">
        <f>'Monthly Data'!AI43</f>
        <v>0.59999999999999964</v>
      </c>
      <c r="F43" s="214">
        <f>'Monthly Data'!AB43</f>
        <v>11.541666666666657</v>
      </c>
      <c r="G43">
        <f>'Monthly Data'!BO43</f>
        <v>30</v>
      </c>
      <c r="H43">
        <f>'Monthly Data'!BR43</f>
        <v>0</v>
      </c>
      <c r="I43" s="17">
        <f>'Monthly Data'!AO43</f>
        <v>7123</v>
      </c>
      <c r="J43">
        <f>'Monthly Data'!BM43</f>
        <v>0</v>
      </c>
      <c r="L43" s="17">
        <f t="shared" si="3"/>
        <v>-2608738.8393219002</v>
      </c>
      <c r="M43" s="17">
        <f t="shared" si="4"/>
        <v>3090.199937856748</v>
      </c>
      <c r="N43" s="17">
        <f t="shared" si="5"/>
        <v>143561.06581811822</v>
      </c>
      <c r="O43" s="17">
        <f t="shared" si="6"/>
        <v>8968322.0208837911</v>
      </c>
      <c r="P43" s="17">
        <f t="shared" si="7"/>
        <v>0</v>
      </c>
      <c r="Q43" s="17">
        <f t="shared" si="8"/>
        <v>3917639.0621842598</v>
      </c>
      <c r="R43" s="17">
        <f t="shared" si="9"/>
        <v>0</v>
      </c>
      <c r="S43" s="17">
        <f t="shared" si="10"/>
        <v>10423873.509502126</v>
      </c>
      <c r="T43" s="17">
        <f t="shared" si="11"/>
        <v>553067.27167700045</v>
      </c>
      <c r="U43" s="29">
        <f t="shared" si="12"/>
        <v>5.603060766785551E-2</v>
      </c>
    </row>
    <row r="44" spans="1:21" x14ac:dyDescent="0.2">
      <c r="A44" s="206">
        <f>'Monthly Data'!A44</f>
        <v>42917</v>
      </c>
      <c r="B44">
        <f>'Monthly Data'!C44</f>
        <v>7</v>
      </c>
      <c r="C44">
        <f>'Monthly Data'!B44</f>
        <v>2017</v>
      </c>
      <c r="D44" s="18">
        <f>'Monthly Data'!J44</f>
        <v>10728417.303016009</v>
      </c>
      <c r="E44" s="10">
        <f>'Monthly Data'!AI44</f>
        <v>0</v>
      </c>
      <c r="F44" s="214">
        <f>'Monthly Data'!AB44</f>
        <v>31.645833333333339</v>
      </c>
      <c r="G44">
        <f>'Monthly Data'!BO44</f>
        <v>31</v>
      </c>
      <c r="H44">
        <f>'Monthly Data'!BR44</f>
        <v>0</v>
      </c>
      <c r="I44" s="17">
        <f>'Monthly Data'!AO44</f>
        <v>7196</v>
      </c>
      <c r="J44">
        <f>'Monthly Data'!BM44</f>
        <v>0</v>
      </c>
      <c r="L44" s="17">
        <f t="shared" si="3"/>
        <v>-2608738.8393219002</v>
      </c>
      <c r="M44" s="17">
        <f t="shared" si="4"/>
        <v>0</v>
      </c>
      <c r="N44" s="17">
        <f t="shared" si="5"/>
        <v>393626.8212594256</v>
      </c>
      <c r="O44" s="17">
        <f t="shared" si="6"/>
        <v>9267266.0882465839</v>
      </c>
      <c r="P44" s="17">
        <f t="shared" si="7"/>
        <v>0</v>
      </c>
      <c r="Q44" s="17">
        <f t="shared" si="8"/>
        <v>3957788.9500881559</v>
      </c>
      <c r="R44" s="17">
        <f t="shared" si="9"/>
        <v>0</v>
      </c>
      <c r="S44" s="17">
        <f t="shared" si="10"/>
        <v>11009943.020272266</v>
      </c>
      <c r="T44" s="17">
        <f t="shared" si="11"/>
        <v>281525.71725625731</v>
      </c>
      <c r="U44" s="29">
        <f t="shared" si="12"/>
        <v>2.6241122926595507E-2</v>
      </c>
    </row>
    <row r="45" spans="1:21" x14ac:dyDescent="0.2">
      <c r="A45" s="206">
        <f>'Monthly Data'!A45</f>
        <v>42948</v>
      </c>
      <c r="B45">
        <f>'Monthly Data'!C45</f>
        <v>8</v>
      </c>
      <c r="C45">
        <f>'Monthly Data'!B45</f>
        <v>2017</v>
      </c>
      <c r="D45" s="18">
        <f>'Monthly Data'!J45</f>
        <v>10430002.785010062</v>
      </c>
      <c r="E45" s="10">
        <f>'Monthly Data'!AI45</f>
        <v>2.5000000000000355E-2</v>
      </c>
      <c r="F45" s="214">
        <f>'Monthly Data'!AB45</f>
        <v>10.208333333333339</v>
      </c>
      <c r="G45">
        <f>'Monthly Data'!BO45</f>
        <v>31</v>
      </c>
      <c r="H45">
        <f>'Monthly Data'!BR45</f>
        <v>0</v>
      </c>
      <c r="I45" s="17">
        <f>'Monthly Data'!AO45</f>
        <v>7216.7</v>
      </c>
      <c r="J45">
        <f>'Monthly Data'!BM45</f>
        <v>0</v>
      </c>
      <c r="L45" s="17">
        <f t="shared" si="3"/>
        <v>-2608738.8393219002</v>
      </c>
      <c r="M45" s="17">
        <f t="shared" si="4"/>
        <v>128.75833074403306</v>
      </c>
      <c r="N45" s="17">
        <f t="shared" si="5"/>
        <v>126976.39395465348</v>
      </c>
      <c r="O45" s="17">
        <f t="shared" si="6"/>
        <v>9267266.0882465839</v>
      </c>
      <c r="P45" s="17">
        <f t="shared" si="7"/>
        <v>0</v>
      </c>
      <c r="Q45" s="17">
        <f t="shared" si="8"/>
        <v>3969173.918302</v>
      </c>
      <c r="R45" s="17">
        <f t="shared" si="9"/>
        <v>0</v>
      </c>
      <c r="S45" s="17">
        <f t="shared" si="10"/>
        <v>10754806.31951208</v>
      </c>
      <c r="T45" s="17">
        <f t="shared" si="11"/>
        <v>324803.53450201824</v>
      </c>
      <c r="U45" s="29">
        <f t="shared" si="12"/>
        <v>3.1141270160428332E-2</v>
      </c>
    </row>
    <row r="46" spans="1:21" x14ac:dyDescent="0.2">
      <c r="A46" s="206">
        <f>'Monthly Data'!A46</f>
        <v>42979</v>
      </c>
      <c r="B46">
        <f>'Monthly Data'!C46</f>
        <v>9</v>
      </c>
      <c r="C46">
        <f>'Monthly Data'!B46</f>
        <v>2017</v>
      </c>
      <c r="D46" s="18">
        <f>'Monthly Data'!J46</f>
        <v>10138877.280987848</v>
      </c>
      <c r="E46" s="10">
        <f>'Monthly Data'!AI46</f>
        <v>10.408333333333333</v>
      </c>
      <c r="F46" s="214">
        <f>'Monthly Data'!AB46</f>
        <v>25.850000000000005</v>
      </c>
      <c r="G46">
        <f>'Monthly Data'!BO46</f>
        <v>30</v>
      </c>
      <c r="H46">
        <f>'Monthly Data'!BR46</f>
        <v>0</v>
      </c>
      <c r="I46" s="17">
        <f>'Monthly Data'!AO46</f>
        <v>7193.4</v>
      </c>
      <c r="J46">
        <f>'Monthly Data'!BM46</f>
        <v>1</v>
      </c>
      <c r="L46" s="17">
        <f t="shared" si="3"/>
        <v>-2608738.8393219002</v>
      </c>
      <c r="M46" s="17">
        <f t="shared" si="4"/>
        <v>53606.385033098341</v>
      </c>
      <c r="N46" s="17">
        <f t="shared" si="5"/>
        <v>321535.32575292647</v>
      </c>
      <c r="O46" s="17">
        <f t="shared" si="6"/>
        <v>8968322.0208837911</v>
      </c>
      <c r="P46" s="17">
        <f t="shared" si="7"/>
        <v>0</v>
      </c>
      <c r="Q46" s="17">
        <f t="shared" si="8"/>
        <v>3956358.9540806194</v>
      </c>
      <c r="R46" s="17">
        <f t="shared" si="9"/>
        <v>-307328.60270320397</v>
      </c>
      <c r="S46" s="17">
        <f t="shared" si="10"/>
        <v>10383755.243725332</v>
      </c>
      <c r="T46" s="17">
        <f t="shared" si="11"/>
        <v>244877.9627374839</v>
      </c>
      <c r="U46" s="29">
        <f t="shared" si="12"/>
        <v>2.4152374661509369E-2</v>
      </c>
    </row>
    <row r="47" spans="1:21" x14ac:dyDescent="0.2">
      <c r="A47" s="206">
        <f>'Monthly Data'!A47</f>
        <v>43009</v>
      </c>
      <c r="B47">
        <f>'Monthly Data'!C47</f>
        <v>10</v>
      </c>
      <c r="C47">
        <f>'Monthly Data'!B47</f>
        <v>2017</v>
      </c>
      <c r="D47" s="18">
        <f>'Monthly Data'!J47</f>
        <v>10563594.710277392</v>
      </c>
      <c r="E47" s="10">
        <f>'Monthly Data'!AI47</f>
        <v>68.772916666666674</v>
      </c>
      <c r="F47" s="214">
        <f>'Monthly Data'!AB47</f>
        <v>0</v>
      </c>
      <c r="G47">
        <f>'Monthly Data'!BO47</f>
        <v>31</v>
      </c>
      <c r="H47">
        <f>'Monthly Data'!BR47</f>
        <v>0</v>
      </c>
      <c r="I47" s="17">
        <f>'Monthly Data'!AO47</f>
        <v>7185.2</v>
      </c>
      <c r="J47">
        <f>'Monthly Data'!BM47</f>
        <v>1</v>
      </c>
      <c r="L47" s="17">
        <f t="shared" si="3"/>
        <v>-2608738.8393219002</v>
      </c>
      <c r="M47" s="17">
        <f t="shared" si="4"/>
        <v>354203.43801593466</v>
      </c>
      <c r="N47" s="17">
        <f t="shared" si="5"/>
        <v>0</v>
      </c>
      <c r="O47" s="17">
        <f t="shared" si="6"/>
        <v>9267266.0882465839</v>
      </c>
      <c r="P47" s="17">
        <f t="shared" si="7"/>
        <v>0</v>
      </c>
      <c r="Q47" s="17">
        <f t="shared" si="8"/>
        <v>3951848.966672237</v>
      </c>
      <c r="R47" s="17">
        <f t="shared" si="9"/>
        <v>-307328.60270320397</v>
      </c>
      <c r="S47" s="17">
        <f t="shared" si="10"/>
        <v>10657251.050909651</v>
      </c>
      <c r="T47" s="17">
        <f t="shared" si="11"/>
        <v>93656.340632259846</v>
      </c>
      <c r="U47" s="29">
        <f t="shared" si="12"/>
        <v>8.8659536077374274E-3</v>
      </c>
    </row>
    <row r="48" spans="1:21" x14ac:dyDescent="0.2">
      <c r="A48" s="206">
        <f>'Monthly Data'!A48</f>
        <v>43040</v>
      </c>
      <c r="B48">
        <f>'Monthly Data'!C48</f>
        <v>11</v>
      </c>
      <c r="C48">
        <f>'Monthly Data'!B48</f>
        <v>2017</v>
      </c>
      <c r="D48" s="18">
        <f>'Monthly Data'!J48</f>
        <v>11794734.034078825</v>
      </c>
      <c r="E48" s="10">
        <f>'Monthly Data'!AI48</f>
        <v>368.26250000000005</v>
      </c>
      <c r="F48" s="214">
        <f>'Monthly Data'!AB48</f>
        <v>0</v>
      </c>
      <c r="G48">
        <f>'Monthly Data'!BO48</f>
        <v>30</v>
      </c>
      <c r="H48">
        <f>'Monthly Data'!BR48</f>
        <v>0</v>
      </c>
      <c r="I48" s="17">
        <f>'Monthly Data'!AO48</f>
        <v>7186</v>
      </c>
      <c r="J48">
        <f>'Monthly Data'!BM48</f>
        <v>0</v>
      </c>
      <c r="L48" s="17">
        <f t="shared" si="3"/>
        <v>-2608738.8393219002</v>
      </c>
      <c r="M48" s="17">
        <f t="shared" si="4"/>
        <v>1896674.5910249525</v>
      </c>
      <c r="N48" s="17">
        <f t="shared" si="5"/>
        <v>0</v>
      </c>
      <c r="O48" s="17">
        <f t="shared" si="6"/>
        <v>8968322.0208837911</v>
      </c>
      <c r="P48" s="17">
        <f t="shared" si="7"/>
        <v>0</v>
      </c>
      <c r="Q48" s="17">
        <f t="shared" si="8"/>
        <v>3952288.9654437867</v>
      </c>
      <c r="R48" s="17">
        <f t="shared" si="9"/>
        <v>0</v>
      </c>
      <c r="S48" s="17">
        <f t="shared" si="10"/>
        <v>12208546.738030629</v>
      </c>
      <c r="T48" s="17">
        <f t="shared" si="11"/>
        <v>413812.70395180397</v>
      </c>
      <c r="U48" s="29">
        <f t="shared" si="12"/>
        <v>3.5084530329905224E-2</v>
      </c>
    </row>
    <row r="49" spans="1:21" x14ac:dyDescent="0.2">
      <c r="A49" s="206">
        <f>'Monthly Data'!A49</f>
        <v>43070</v>
      </c>
      <c r="B49">
        <f>'Monthly Data'!C49</f>
        <v>12</v>
      </c>
      <c r="C49">
        <f>'Monthly Data'!B49</f>
        <v>2017</v>
      </c>
      <c r="D49" s="18">
        <f>'Monthly Data'!J49</f>
        <v>13979384.236354139</v>
      </c>
      <c r="E49" s="10">
        <f>'Monthly Data'!AI49</f>
        <v>709.36250000000007</v>
      </c>
      <c r="F49" s="214">
        <f>'Monthly Data'!AB49</f>
        <v>0</v>
      </c>
      <c r="G49">
        <f>'Monthly Data'!BO49</f>
        <v>31</v>
      </c>
      <c r="H49">
        <f>'Monthly Data'!BR49</f>
        <v>0</v>
      </c>
      <c r="I49" s="17">
        <f>'Monthly Data'!AO49</f>
        <v>7206.8</v>
      </c>
      <c r="J49">
        <f>'Monthly Data'!BM49</f>
        <v>0</v>
      </c>
      <c r="L49" s="17">
        <f t="shared" si="3"/>
        <v>-2608738.8393219002</v>
      </c>
      <c r="M49" s="17">
        <f t="shared" si="4"/>
        <v>3653453.2556965146</v>
      </c>
      <c r="N49" s="17">
        <f t="shared" si="5"/>
        <v>0</v>
      </c>
      <c r="O49" s="17">
        <f t="shared" si="6"/>
        <v>9267266.0882465839</v>
      </c>
      <c r="P49" s="17">
        <f t="shared" si="7"/>
        <v>0</v>
      </c>
      <c r="Q49" s="17">
        <f t="shared" si="8"/>
        <v>3963728.9335040748</v>
      </c>
      <c r="R49" s="17">
        <f t="shared" si="9"/>
        <v>0</v>
      </c>
      <c r="S49" s="17">
        <f t="shared" si="10"/>
        <v>14275709.438125273</v>
      </c>
      <c r="T49" s="17">
        <f t="shared" si="11"/>
        <v>296325.20177113451</v>
      </c>
      <c r="U49" s="29">
        <f t="shared" si="12"/>
        <v>2.1197300021307444E-2</v>
      </c>
    </row>
    <row r="50" spans="1:21" x14ac:dyDescent="0.2">
      <c r="A50" s="206">
        <f>'Monthly Data'!A50</f>
        <v>43101</v>
      </c>
      <c r="B50">
        <f>'Monthly Data'!C50</f>
        <v>1</v>
      </c>
      <c r="C50">
        <f>'Monthly Data'!B50</f>
        <v>2018</v>
      </c>
      <c r="D50" s="18">
        <f>'Monthly Data'!J50</f>
        <v>14589181.282457083</v>
      </c>
      <c r="E50" s="10">
        <f>'Monthly Data'!AI50</f>
        <v>667.31041666666681</v>
      </c>
      <c r="F50" s="214">
        <f>'Monthly Data'!AB50</f>
        <v>0</v>
      </c>
      <c r="G50">
        <f>'Monthly Data'!BO50</f>
        <v>31</v>
      </c>
      <c r="H50">
        <f>'Monthly Data'!BR50</f>
        <v>0</v>
      </c>
      <c r="I50" s="17">
        <f>'Monthly Data'!AO50</f>
        <v>7167.3</v>
      </c>
      <c r="J50">
        <f>'Monthly Data'!BM50</f>
        <v>0</v>
      </c>
      <c r="L50" s="17">
        <f t="shared" si="3"/>
        <v>-2608738.8393219002</v>
      </c>
      <c r="M50" s="17">
        <f t="shared" si="4"/>
        <v>3436871.0135241593</v>
      </c>
      <c r="N50" s="17">
        <f t="shared" si="5"/>
        <v>0</v>
      </c>
      <c r="O50" s="17">
        <f t="shared" si="6"/>
        <v>9267266.0882465839</v>
      </c>
      <c r="P50" s="17">
        <f t="shared" si="7"/>
        <v>0</v>
      </c>
      <c r="Q50" s="17">
        <f t="shared" si="8"/>
        <v>3942003.9941588161</v>
      </c>
      <c r="R50" s="17">
        <f t="shared" si="9"/>
        <v>0</v>
      </c>
      <c r="S50" s="17">
        <f t="shared" si="10"/>
        <v>14037402.256607659</v>
      </c>
      <c r="T50" s="17">
        <f t="shared" si="11"/>
        <v>-551779.0258494243</v>
      </c>
      <c r="U50" s="29">
        <f t="shared" si="12"/>
        <v>3.7821109709077157E-2</v>
      </c>
    </row>
    <row r="51" spans="1:21" x14ac:dyDescent="0.2">
      <c r="A51" s="206">
        <f>'Monthly Data'!A51</f>
        <v>43132</v>
      </c>
      <c r="B51">
        <f>'Monthly Data'!C51</f>
        <v>2</v>
      </c>
      <c r="C51">
        <f>'Monthly Data'!B51</f>
        <v>2018</v>
      </c>
      <c r="D51" s="18">
        <f>'Monthly Data'!J51</f>
        <v>12602065.043304538</v>
      </c>
      <c r="E51" s="10">
        <f>'Monthly Data'!AI51</f>
        <v>537.08958333333339</v>
      </c>
      <c r="F51" s="214">
        <f>'Monthly Data'!AB51</f>
        <v>0</v>
      </c>
      <c r="G51">
        <f>'Monthly Data'!BO51</f>
        <v>28</v>
      </c>
      <c r="H51">
        <f>'Monthly Data'!BR51</f>
        <v>0</v>
      </c>
      <c r="I51" s="17">
        <f>'Monthly Data'!AO51</f>
        <v>7120.1</v>
      </c>
      <c r="J51">
        <f>'Monthly Data'!BM51</f>
        <v>0</v>
      </c>
      <c r="L51" s="17">
        <f t="shared" si="3"/>
        <v>-2608738.8393219002</v>
      </c>
      <c r="M51" s="17">
        <f t="shared" si="4"/>
        <v>2766190.328400291</v>
      </c>
      <c r="N51" s="17">
        <f t="shared" si="5"/>
        <v>0</v>
      </c>
      <c r="O51" s="17">
        <f t="shared" si="6"/>
        <v>8370433.8861582046</v>
      </c>
      <c r="P51" s="17">
        <f t="shared" si="7"/>
        <v>0</v>
      </c>
      <c r="Q51" s="17">
        <f t="shared" si="8"/>
        <v>3916044.0666373931</v>
      </c>
      <c r="R51" s="17">
        <f t="shared" si="9"/>
        <v>0</v>
      </c>
      <c r="S51" s="17">
        <f t="shared" si="10"/>
        <v>12443929.441873988</v>
      </c>
      <c r="T51" s="17">
        <f t="shared" si="11"/>
        <v>-158135.60143055022</v>
      </c>
      <c r="U51" s="29">
        <f t="shared" si="12"/>
        <v>1.2548387973490699E-2</v>
      </c>
    </row>
    <row r="52" spans="1:21" x14ac:dyDescent="0.2">
      <c r="A52" s="206">
        <f>'Monthly Data'!A52</f>
        <v>43160</v>
      </c>
      <c r="B52">
        <f>'Monthly Data'!C52</f>
        <v>3</v>
      </c>
      <c r="C52">
        <f>'Monthly Data'!B52</f>
        <v>2018</v>
      </c>
      <c r="D52" s="18">
        <f>'Monthly Data'!J52</f>
        <v>12838873.521702431</v>
      </c>
      <c r="E52" s="10">
        <f>'Monthly Data'!AI52</f>
        <v>468.80624999999998</v>
      </c>
      <c r="F52" s="214">
        <f>'Monthly Data'!AB52</f>
        <v>0</v>
      </c>
      <c r="G52">
        <f>'Monthly Data'!BO52</f>
        <v>31</v>
      </c>
      <c r="H52">
        <f>'Monthly Data'!BR52</f>
        <v>0</v>
      </c>
      <c r="I52" s="17">
        <f>'Monthly Data'!AO52</f>
        <v>7084.1</v>
      </c>
      <c r="J52">
        <f>'Monthly Data'!BM52</f>
        <v>0</v>
      </c>
      <c r="L52" s="17">
        <f t="shared" si="3"/>
        <v>-2608738.8393219002</v>
      </c>
      <c r="M52" s="17">
        <f t="shared" si="4"/>
        <v>2414508.4076947598</v>
      </c>
      <c r="N52" s="17">
        <f t="shared" si="5"/>
        <v>0</v>
      </c>
      <c r="O52" s="17">
        <f t="shared" si="6"/>
        <v>9267266.0882465839</v>
      </c>
      <c r="P52" s="17">
        <f t="shared" si="7"/>
        <v>0</v>
      </c>
      <c r="Q52" s="17">
        <f t="shared" si="8"/>
        <v>3896244.1219176636</v>
      </c>
      <c r="R52" s="17">
        <f t="shared" si="9"/>
        <v>0</v>
      </c>
      <c r="S52" s="17">
        <f t="shared" si="10"/>
        <v>12969279.778537108</v>
      </c>
      <c r="T52" s="17">
        <f t="shared" si="11"/>
        <v>130406.25683467649</v>
      </c>
      <c r="U52" s="29">
        <f t="shared" si="12"/>
        <v>1.0157141638185143E-2</v>
      </c>
    </row>
    <row r="53" spans="1:21" x14ac:dyDescent="0.2">
      <c r="A53" s="206">
        <f>'Monthly Data'!A53</f>
        <v>43191</v>
      </c>
      <c r="B53">
        <f>'Monthly Data'!C53</f>
        <v>4</v>
      </c>
      <c r="C53">
        <f>'Monthly Data'!B53</f>
        <v>2018</v>
      </c>
      <c r="D53" s="18">
        <f>'Monthly Data'!J53</f>
        <v>11595715.426247839</v>
      </c>
      <c r="E53" s="10">
        <f>'Monthly Data'!AI53</f>
        <v>336.60624999999999</v>
      </c>
      <c r="F53" s="214">
        <f>'Monthly Data'!AB53</f>
        <v>0</v>
      </c>
      <c r="G53">
        <f>'Monthly Data'!BO53</f>
        <v>30</v>
      </c>
      <c r="H53">
        <f>'Monthly Data'!BR53</f>
        <v>0</v>
      </c>
      <c r="I53" s="17">
        <f>'Monthly Data'!AO53</f>
        <v>7111.6</v>
      </c>
      <c r="J53">
        <f>'Monthly Data'!BM53</f>
        <v>0</v>
      </c>
      <c r="L53" s="17">
        <f t="shared" si="3"/>
        <v>-2608738.8393219002</v>
      </c>
      <c r="M53" s="17">
        <f t="shared" si="4"/>
        <v>1733634.3547203226</v>
      </c>
      <c r="N53" s="17">
        <f t="shared" si="5"/>
        <v>0</v>
      </c>
      <c r="O53" s="17">
        <f t="shared" si="6"/>
        <v>8968322.0208837911</v>
      </c>
      <c r="P53" s="17">
        <f t="shared" si="7"/>
        <v>0</v>
      </c>
      <c r="Q53" s="17">
        <f t="shared" si="8"/>
        <v>3911369.0796896792</v>
      </c>
      <c r="R53" s="17">
        <f t="shared" si="9"/>
        <v>0</v>
      </c>
      <c r="S53" s="17">
        <f t="shared" si="10"/>
        <v>12004586.615971893</v>
      </c>
      <c r="T53" s="17">
        <f t="shared" si="11"/>
        <v>408871.18972405419</v>
      </c>
      <c r="U53" s="29">
        <f t="shared" si="12"/>
        <v>3.5260540181810705E-2</v>
      </c>
    </row>
    <row r="54" spans="1:21" x14ac:dyDescent="0.2">
      <c r="A54" s="206">
        <f>'Monthly Data'!A54</f>
        <v>43221</v>
      </c>
      <c r="B54">
        <f>'Monthly Data'!C54</f>
        <v>5</v>
      </c>
      <c r="C54">
        <f>'Monthly Data'!B54</f>
        <v>2018</v>
      </c>
      <c r="D54" s="18">
        <f>'Monthly Data'!J54</f>
        <v>10804557.02921702</v>
      </c>
      <c r="E54" s="10">
        <f>'Monthly Data'!AI54</f>
        <v>20.166666666666668</v>
      </c>
      <c r="F54" s="214">
        <f>'Monthly Data'!AB54</f>
        <v>14.637499999999996</v>
      </c>
      <c r="G54">
        <f>'Monthly Data'!BO54</f>
        <v>31</v>
      </c>
      <c r="H54">
        <f>'Monthly Data'!BR54</f>
        <v>0</v>
      </c>
      <c r="I54" s="17">
        <f>'Monthly Data'!AO54</f>
        <v>7176</v>
      </c>
      <c r="J54">
        <f>'Monthly Data'!BM54</f>
        <v>0</v>
      </c>
      <c r="L54" s="17">
        <f t="shared" si="3"/>
        <v>-2608738.8393219002</v>
      </c>
      <c r="M54" s="17">
        <f t="shared" si="4"/>
        <v>103865.05346685187</v>
      </c>
      <c r="N54" s="17">
        <f t="shared" si="5"/>
        <v>182068.60080110093</v>
      </c>
      <c r="O54" s="17">
        <f t="shared" si="6"/>
        <v>9267266.0882465839</v>
      </c>
      <c r="P54" s="17">
        <f t="shared" si="7"/>
        <v>0</v>
      </c>
      <c r="Q54" s="17">
        <f t="shared" si="8"/>
        <v>3946788.980799417</v>
      </c>
      <c r="R54" s="17">
        <f t="shared" si="9"/>
        <v>0</v>
      </c>
      <c r="S54" s="17">
        <f t="shared" si="10"/>
        <v>10891249.883992054</v>
      </c>
      <c r="T54" s="17">
        <f t="shared" si="11"/>
        <v>86692.854775033891</v>
      </c>
      <c r="U54" s="29">
        <f t="shared" si="12"/>
        <v>8.0237305926197985E-3</v>
      </c>
    </row>
    <row r="55" spans="1:21" x14ac:dyDescent="0.2">
      <c r="A55" s="206">
        <f>'Monthly Data'!A55</f>
        <v>43252</v>
      </c>
      <c r="B55">
        <f>'Monthly Data'!C55</f>
        <v>6</v>
      </c>
      <c r="C55">
        <f>'Monthly Data'!B55</f>
        <v>2018</v>
      </c>
      <c r="D55" s="18">
        <f>'Monthly Data'!J55</f>
        <v>10810056.585985513</v>
      </c>
      <c r="E55" s="10">
        <f>'Monthly Data'!AI55</f>
        <v>1.0624999999999982</v>
      </c>
      <c r="F55" s="214">
        <f>'Monthly Data'!AB55</f>
        <v>24.545833333333317</v>
      </c>
      <c r="G55">
        <f>'Monthly Data'!BO55</f>
        <v>30</v>
      </c>
      <c r="H55">
        <f>'Monthly Data'!BR55</f>
        <v>0</v>
      </c>
      <c r="I55" s="17">
        <f>'Monthly Data'!AO55</f>
        <v>7264.3</v>
      </c>
      <c r="J55">
        <f>'Monthly Data'!BM55</f>
        <v>0</v>
      </c>
      <c r="L55" s="17">
        <f t="shared" si="3"/>
        <v>-2608738.8393219002</v>
      </c>
      <c r="M55" s="17">
        <f t="shared" si="4"/>
        <v>5472.2290566213187</v>
      </c>
      <c r="N55" s="17">
        <f t="shared" si="5"/>
        <v>305313.44358647458</v>
      </c>
      <c r="O55" s="17">
        <f t="shared" si="6"/>
        <v>8968322.0208837911</v>
      </c>
      <c r="P55" s="17">
        <f t="shared" si="7"/>
        <v>0</v>
      </c>
      <c r="Q55" s="17">
        <f t="shared" si="8"/>
        <v>3995353.8452091981</v>
      </c>
      <c r="R55" s="17">
        <f t="shared" si="9"/>
        <v>0</v>
      </c>
      <c r="S55" s="17">
        <f t="shared" si="10"/>
        <v>10665722.699414186</v>
      </c>
      <c r="T55" s="17">
        <f t="shared" si="11"/>
        <v>-144333.88657132722</v>
      </c>
      <c r="U55" s="29">
        <f t="shared" si="12"/>
        <v>1.3351816007924146E-2</v>
      </c>
    </row>
    <row r="56" spans="1:21" x14ac:dyDescent="0.2">
      <c r="A56" s="206">
        <f>'Monthly Data'!A56</f>
        <v>43282</v>
      </c>
      <c r="B56">
        <f>'Monthly Data'!C56</f>
        <v>7</v>
      </c>
      <c r="C56">
        <f>'Monthly Data'!B56</f>
        <v>2018</v>
      </c>
      <c r="D56" s="18">
        <f>'Monthly Data'!J56</f>
        <v>11738903.733938437</v>
      </c>
      <c r="E56" s="10">
        <f>'Monthly Data'!AI56</f>
        <v>0</v>
      </c>
      <c r="F56" s="214">
        <f>'Monthly Data'!AB56</f>
        <v>91.926415489909644</v>
      </c>
      <c r="G56">
        <f>'Monthly Data'!BO56</f>
        <v>31</v>
      </c>
      <c r="H56">
        <f>'Monthly Data'!BR56</f>
        <v>0</v>
      </c>
      <c r="I56" s="17">
        <f>'Monthly Data'!AO56</f>
        <v>7345.7</v>
      </c>
      <c r="J56">
        <f>'Monthly Data'!BM56</f>
        <v>0</v>
      </c>
      <c r="L56" s="17">
        <f t="shared" si="3"/>
        <v>-2608738.8393219002</v>
      </c>
      <c r="M56" s="17">
        <f t="shared" si="4"/>
        <v>0</v>
      </c>
      <c r="N56" s="17">
        <f t="shared" si="5"/>
        <v>1143427.0773635188</v>
      </c>
      <c r="O56" s="17">
        <f t="shared" si="6"/>
        <v>9267266.0882465839</v>
      </c>
      <c r="P56" s="17">
        <f t="shared" si="7"/>
        <v>0</v>
      </c>
      <c r="Q56" s="17">
        <f t="shared" si="8"/>
        <v>4040123.7202143641</v>
      </c>
      <c r="R56" s="17">
        <f t="shared" si="9"/>
        <v>0</v>
      </c>
      <c r="S56" s="17">
        <f t="shared" si="10"/>
        <v>11842078.046502568</v>
      </c>
      <c r="T56" s="17">
        <f t="shared" si="11"/>
        <v>103174.31256413087</v>
      </c>
      <c r="U56" s="29">
        <f t="shared" si="12"/>
        <v>8.7890926531617088E-3</v>
      </c>
    </row>
    <row r="57" spans="1:21" x14ac:dyDescent="0.2">
      <c r="A57" s="206">
        <f>'Monthly Data'!A57</f>
        <v>43313</v>
      </c>
      <c r="B57">
        <f>'Monthly Data'!C57</f>
        <v>8</v>
      </c>
      <c r="C57">
        <f>'Monthly Data'!B57</f>
        <v>2018</v>
      </c>
      <c r="D57" s="18">
        <f>'Monthly Data'!J57</f>
        <v>11370146.661835445</v>
      </c>
      <c r="E57" s="10">
        <f>'Monthly Data'!AI57</f>
        <v>0</v>
      </c>
      <c r="F57" s="214">
        <f>'Monthly Data'!AB57</f>
        <v>56.750000000000014</v>
      </c>
      <c r="G57">
        <f>'Monthly Data'!BO57</f>
        <v>31</v>
      </c>
      <c r="H57">
        <f>'Monthly Data'!BR57</f>
        <v>0</v>
      </c>
      <c r="I57" s="17">
        <f>'Monthly Data'!AO57</f>
        <v>7359.5</v>
      </c>
      <c r="J57">
        <f>'Monthly Data'!BM57</f>
        <v>0</v>
      </c>
      <c r="L57" s="17">
        <f t="shared" si="3"/>
        <v>-2608738.8393219002</v>
      </c>
      <c r="M57" s="17">
        <f t="shared" si="4"/>
        <v>0</v>
      </c>
      <c r="N57" s="17">
        <f t="shared" si="5"/>
        <v>705885.09618872649</v>
      </c>
      <c r="O57" s="17">
        <f t="shared" si="6"/>
        <v>9267266.0882465839</v>
      </c>
      <c r="P57" s="17">
        <f t="shared" si="7"/>
        <v>0</v>
      </c>
      <c r="Q57" s="17">
        <f t="shared" si="8"/>
        <v>4047713.6990235941</v>
      </c>
      <c r="R57" s="17">
        <f t="shared" si="9"/>
        <v>0</v>
      </c>
      <c r="S57" s="17">
        <f t="shared" si="10"/>
        <v>11412126.044137005</v>
      </c>
      <c r="T57" s="17">
        <f t="shared" si="11"/>
        <v>41979.382301559672</v>
      </c>
      <c r="U57" s="29">
        <f t="shared" si="12"/>
        <v>3.692070432342434E-3</v>
      </c>
    </row>
    <row r="58" spans="1:21" x14ac:dyDescent="0.2">
      <c r="A58" s="206">
        <f>'Monthly Data'!A58</f>
        <v>43344</v>
      </c>
      <c r="B58">
        <f>'Monthly Data'!C58</f>
        <v>9</v>
      </c>
      <c r="C58">
        <f>'Monthly Data'!B58</f>
        <v>2018</v>
      </c>
      <c r="D58" s="18">
        <f>'Monthly Data'!J58</f>
        <v>10317381.425097212</v>
      </c>
      <c r="E58" s="10">
        <f>'Monthly Data'!AI58</f>
        <v>19.612499999999997</v>
      </c>
      <c r="F58" s="214">
        <f>'Monthly Data'!AB58</f>
        <v>20.450000000000006</v>
      </c>
      <c r="G58">
        <f>'Monthly Data'!BO58</f>
        <v>30</v>
      </c>
      <c r="H58">
        <f>'Monthly Data'!BR58</f>
        <v>0</v>
      </c>
      <c r="I58" s="17">
        <f>'Monthly Data'!AO58</f>
        <v>7324.4</v>
      </c>
      <c r="J58">
        <f>'Monthly Data'!BM58</f>
        <v>1</v>
      </c>
      <c r="L58" s="17">
        <f t="shared" si="3"/>
        <v>-2608738.8393219002</v>
      </c>
      <c r="M58" s="17">
        <f t="shared" si="4"/>
        <v>101010.9104686925</v>
      </c>
      <c r="N58" s="17">
        <f t="shared" si="5"/>
        <v>254367.40470589351</v>
      </c>
      <c r="O58" s="17">
        <f t="shared" si="6"/>
        <v>8968322.0208837911</v>
      </c>
      <c r="P58" s="17">
        <f t="shared" si="7"/>
        <v>0</v>
      </c>
      <c r="Q58" s="17">
        <f t="shared" si="8"/>
        <v>4028408.7529218574</v>
      </c>
      <c r="R58" s="17">
        <f t="shared" si="9"/>
        <v>-307328.60270320397</v>
      </c>
      <c r="S58" s="17">
        <f t="shared" si="10"/>
        <v>10436041.646955131</v>
      </c>
      <c r="T58" s="17">
        <f t="shared" si="11"/>
        <v>118660.22185791843</v>
      </c>
      <c r="U58" s="29">
        <f t="shared" si="12"/>
        <v>1.1501001753145943E-2</v>
      </c>
    </row>
    <row r="59" spans="1:21" x14ac:dyDescent="0.2">
      <c r="A59" s="206">
        <f>'Monthly Data'!A59</f>
        <v>43374</v>
      </c>
      <c r="B59">
        <f>'Monthly Data'!C59</f>
        <v>10</v>
      </c>
      <c r="C59">
        <f>'Monthly Data'!B59</f>
        <v>2018</v>
      </c>
      <c r="D59" s="18">
        <f>'Monthly Data'!J59</f>
        <v>11056318.15399784</v>
      </c>
      <c r="E59" s="10">
        <f>'Monthly Data'!AI59</f>
        <v>200.22916666666666</v>
      </c>
      <c r="F59" s="214">
        <f>'Monthly Data'!AB59</f>
        <v>0</v>
      </c>
      <c r="G59">
        <f>'Monthly Data'!BO59</f>
        <v>31</v>
      </c>
      <c r="H59">
        <f>'Monthly Data'!BR59</f>
        <v>0</v>
      </c>
      <c r="I59" s="17">
        <f>'Monthly Data'!AO59</f>
        <v>7290.6</v>
      </c>
      <c r="J59">
        <f>'Monthly Data'!BM59</f>
        <v>1</v>
      </c>
      <c r="L59" s="17">
        <f t="shared" si="3"/>
        <v>-2608738.8393219002</v>
      </c>
      <c r="M59" s="17">
        <f t="shared" si="4"/>
        <v>1031246.9306507368</v>
      </c>
      <c r="N59" s="17">
        <f t="shared" si="5"/>
        <v>0</v>
      </c>
      <c r="O59" s="17">
        <f t="shared" si="6"/>
        <v>9267266.0882465839</v>
      </c>
      <c r="P59" s="17">
        <f t="shared" si="7"/>
        <v>0</v>
      </c>
      <c r="Q59" s="17">
        <f t="shared" si="8"/>
        <v>4009818.8048238899</v>
      </c>
      <c r="R59" s="17">
        <f t="shared" si="9"/>
        <v>-307328.60270320397</v>
      </c>
      <c r="S59" s="17">
        <f t="shared" si="10"/>
        <v>11392264.381696107</v>
      </c>
      <c r="T59" s="17">
        <f t="shared" si="11"/>
        <v>335946.22769826651</v>
      </c>
      <c r="U59" s="29">
        <f t="shared" si="12"/>
        <v>3.0385000053276517E-2</v>
      </c>
    </row>
    <row r="60" spans="1:21" x14ac:dyDescent="0.2">
      <c r="A60" s="206">
        <f>'Monthly Data'!A60</f>
        <v>43405</v>
      </c>
      <c r="B60">
        <f>'Monthly Data'!C60</f>
        <v>11</v>
      </c>
      <c r="C60">
        <f>'Monthly Data'!B60</f>
        <v>2018</v>
      </c>
      <c r="D60" s="18">
        <f>'Monthly Data'!J60</f>
        <v>12321410.335647583</v>
      </c>
      <c r="E60" s="10">
        <f>'Monthly Data'!AI60</f>
        <v>436.37708333333336</v>
      </c>
      <c r="F60" s="214">
        <f>'Monthly Data'!AB60</f>
        <v>0</v>
      </c>
      <c r="G60">
        <f>'Monthly Data'!BO60</f>
        <v>30</v>
      </c>
      <c r="H60">
        <f>'Monthly Data'!BR60</f>
        <v>0</v>
      </c>
      <c r="I60" s="17">
        <f>'Monthly Data'!AO60</f>
        <v>7288.9</v>
      </c>
      <c r="J60">
        <f>'Monthly Data'!BM60</f>
        <v>0</v>
      </c>
      <c r="L60" s="17">
        <f t="shared" si="3"/>
        <v>-2608738.8393219002</v>
      </c>
      <c r="M60" s="17">
        <f t="shared" si="4"/>
        <v>2247487.3929979606</v>
      </c>
      <c r="N60" s="17">
        <f t="shared" si="5"/>
        <v>0</v>
      </c>
      <c r="O60" s="17">
        <f t="shared" si="6"/>
        <v>8968322.0208837911</v>
      </c>
      <c r="P60" s="17">
        <f t="shared" si="7"/>
        <v>0</v>
      </c>
      <c r="Q60" s="17">
        <f t="shared" si="8"/>
        <v>4008883.8074343465</v>
      </c>
      <c r="R60" s="17">
        <f t="shared" si="9"/>
        <v>0</v>
      </c>
      <c r="S60" s="17">
        <f t="shared" si="10"/>
        <v>12615954.381994199</v>
      </c>
      <c r="T60" s="17">
        <f t="shared" si="11"/>
        <v>294544.046346616</v>
      </c>
      <c r="U60" s="29">
        <f t="shared" si="12"/>
        <v>2.3905059430936928E-2</v>
      </c>
    </row>
    <row r="61" spans="1:21" x14ac:dyDescent="0.2">
      <c r="A61" s="206">
        <f>'Monthly Data'!A61</f>
        <v>43435</v>
      </c>
      <c r="B61">
        <f>'Monthly Data'!C61</f>
        <v>12</v>
      </c>
      <c r="C61">
        <f>'Monthly Data'!B61</f>
        <v>2018</v>
      </c>
      <c r="D61" s="18">
        <f>'Monthly Data'!J61</f>
        <v>13389120.972104926</v>
      </c>
      <c r="E61" s="10">
        <f>'Monthly Data'!AI61</f>
        <v>536.44791666666663</v>
      </c>
      <c r="F61" s="214">
        <f>'Monthly Data'!AB61</f>
        <v>0</v>
      </c>
      <c r="G61">
        <f>'Monthly Data'!BO61</f>
        <v>31</v>
      </c>
      <c r="H61">
        <f>'Monthly Data'!BR61</f>
        <v>0</v>
      </c>
      <c r="I61" s="17">
        <f>'Monthly Data'!AO61</f>
        <v>7310.7</v>
      </c>
      <c r="J61">
        <f>'Monthly Data'!BM61</f>
        <v>0</v>
      </c>
      <c r="L61" s="17">
        <f t="shared" si="3"/>
        <v>-2608738.8393219002</v>
      </c>
      <c r="M61" s="17">
        <f t="shared" si="4"/>
        <v>2762885.5312445266</v>
      </c>
      <c r="N61" s="17">
        <f t="shared" si="5"/>
        <v>0</v>
      </c>
      <c r="O61" s="17">
        <f t="shared" si="6"/>
        <v>9267266.0882465839</v>
      </c>
      <c r="P61" s="17">
        <f t="shared" si="7"/>
        <v>0</v>
      </c>
      <c r="Q61" s="17">
        <f t="shared" si="8"/>
        <v>4020873.7739590718</v>
      </c>
      <c r="R61" s="17">
        <f t="shared" si="9"/>
        <v>0</v>
      </c>
      <c r="S61" s="17">
        <f t="shared" si="10"/>
        <v>13442286.554128284</v>
      </c>
      <c r="T61" s="17">
        <f t="shared" si="11"/>
        <v>53165.582023357973</v>
      </c>
      <c r="U61" s="29">
        <f t="shared" si="12"/>
        <v>3.9708045161533654E-3</v>
      </c>
    </row>
    <row r="62" spans="1:21" x14ac:dyDescent="0.2">
      <c r="A62" s="206">
        <f>'Monthly Data'!A62</f>
        <v>43466</v>
      </c>
      <c r="B62">
        <f>'Monthly Data'!C62</f>
        <v>1</v>
      </c>
      <c r="C62">
        <f>'Monthly Data'!B62</f>
        <v>2019</v>
      </c>
      <c r="D62" s="18">
        <f>'Monthly Data'!J62</f>
        <v>14598104.020437693</v>
      </c>
      <c r="E62" s="10">
        <f>'Monthly Data'!AI62</f>
        <v>799.23958333333326</v>
      </c>
      <c r="F62" s="214">
        <f>'Monthly Data'!AB62</f>
        <v>0</v>
      </c>
      <c r="G62">
        <f>'Monthly Data'!BO62</f>
        <v>31</v>
      </c>
      <c r="H62">
        <f>'Monthly Data'!BR62</f>
        <v>0</v>
      </c>
      <c r="I62" s="17">
        <f>'Monthly Data'!AO62</f>
        <v>7289.4</v>
      </c>
      <c r="J62">
        <f>'Monthly Data'!BM62</f>
        <v>0</v>
      </c>
      <c r="L62" s="17">
        <f t="shared" si="3"/>
        <v>-2608738.8393219002</v>
      </c>
      <c r="M62" s="17">
        <f t="shared" si="4"/>
        <v>4116350.1845822018</v>
      </c>
      <c r="N62" s="17">
        <f t="shared" si="5"/>
        <v>0</v>
      </c>
      <c r="O62" s="17">
        <f t="shared" si="6"/>
        <v>9267266.0882465839</v>
      </c>
      <c r="P62" s="17">
        <f t="shared" si="7"/>
        <v>0</v>
      </c>
      <c r="Q62" s="17">
        <f t="shared" si="8"/>
        <v>4009158.8066665651</v>
      </c>
      <c r="R62" s="17">
        <f t="shared" si="9"/>
        <v>0</v>
      </c>
      <c r="S62" s="17">
        <f t="shared" si="10"/>
        <v>14784036.240173452</v>
      </c>
      <c r="T62" s="17">
        <f t="shared" si="11"/>
        <v>185932.21973575838</v>
      </c>
      <c r="U62" s="29">
        <f t="shared" si="12"/>
        <v>1.2736737556839494E-2</v>
      </c>
    </row>
    <row r="63" spans="1:21" x14ac:dyDescent="0.2">
      <c r="A63" s="206">
        <f>'Monthly Data'!A63</f>
        <v>43497</v>
      </c>
      <c r="B63">
        <f>'Monthly Data'!C63</f>
        <v>2</v>
      </c>
      <c r="C63">
        <f>'Monthly Data'!B63</f>
        <v>2019</v>
      </c>
      <c r="D63" s="18">
        <f>'Monthly Data'!J63</f>
        <v>13158513.120282056</v>
      </c>
      <c r="E63" s="10">
        <f>'Monthly Data'!AI63</f>
        <v>614.45833333333326</v>
      </c>
      <c r="F63" s="214">
        <f>'Monthly Data'!AB63</f>
        <v>0</v>
      </c>
      <c r="G63">
        <f>'Monthly Data'!BO63</f>
        <v>28</v>
      </c>
      <c r="H63">
        <f>'Monthly Data'!BR63</f>
        <v>0</v>
      </c>
      <c r="I63" s="17">
        <f>'Monthly Data'!AO63</f>
        <v>7278.4</v>
      </c>
      <c r="J63">
        <f>'Monthly Data'!BM63</f>
        <v>0</v>
      </c>
      <c r="L63" s="17">
        <f t="shared" si="3"/>
        <v>-2608738.8393219002</v>
      </c>
      <c r="M63" s="17">
        <f t="shared" si="4"/>
        <v>3164665.172470381</v>
      </c>
      <c r="N63" s="17">
        <f t="shared" si="5"/>
        <v>0</v>
      </c>
      <c r="O63" s="17">
        <f t="shared" si="6"/>
        <v>8370433.8861582046</v>
      </c>
      <c r="P63" s="17">
        <f t="shared" si="7"/>
        <v>0</v>
      </c>
      <c r="Q63" s="17">
        <f t="shared" si="8"/>
        <v>4003108.8235577587</v>
      </c>
      <c r="R63" s="17">
        <f t="shared" si="9"/>
        <v>0</v>
      </c>
      <c r="S63" s="17">
        <f t="shared" si="10"/>
        <v>12929469.042864444</v>
      </c>
      <c r="T63" s="17">
        <f t="shared" si="11"/>
        <v>-229044.07741761208</v>
      </c>
      <c r="U63" s="29">
        <f t="shared" si="12"/>
        <v>1.7406531826500354E-2</v>
      </c>
    </row>
    <row r="64" spans="1:21" x14ac:dyDescent="0.2">
      <c r="A64" s="206">
        <f>'Monthly Data'!A64</f>
        <v>43525</v>
      </c>
      <c r="B64">
        <f>'Monthly Data'!C64</f>
        <v>3</v>
      </c>
      <c r="C64">
        <f>'Monthly Data'!B64</f>
        <v>2019</v>
      </c>
      <c r="D64" s="18">
        <f>'Monthly Data'!J64</f>
        <v>13238045.840126414</v>
      </c>
      <c r="E64" s="10">
        <f>'Monthly Data'!AI64</f>
        <v>493.16666666666669</v>
      </c>
      <c r="F64" s="214">
        <f>'Monthly Data'!AB64</f>
        <v>0</v>
      </c>
      <c r="G64">
        <f>'Monthly Data'!BO64</f>
        <v>31</v>
      </c>
      <c r="H64">
        <f>'Monthly Data'!BR64</f>
        <v>0</v>
      </c>
      <c r="I64" s="17">
        <f>'Monthly Data'!AO64</f>
        <v>7256.9</v>
      </c>
      <c r="J64">
        <f>'Monthly Data'!BM64</f>
        <v>0</v>
      </c>
      <c r="L64" s="17">
        <f t="shared" si="3"/>
        <v>-2608738.8393219002</v>
      </c>
      <c r="M64" s="17">
        <f t="shared" si="4"/>
        <v>2539972.671143923</v>
      </c>
      <c r="N64" s="17">
        <f t="shared" si="5"/>
        <v>0</v>
      </c>
      <c r="O64" s="17">
        <f t="shared" si="6"/>
        <v>9267266.0882465839</v>
      </c>
      <c r="P64" s="17">
        <f t="shared" si="7"/>
        <v>0</v>
      </c>
      <c r="Q64" s="17">
        <f t="shared" si="8"/>
        <v>3991283.8565723649</v>
      </c>
      <c r="R64" s="17">
        <f t="shared" si="9"/>
        <v>0</v>
      </c>
      <c r="S64" s="17">
        <f t="shared" si="10"/>
        <v>13189783.776640972</v>
      </c>
      <c r="T64" s="17">
        <f t="shared" si="11"/>
        <v>-48262.063485441729</v>
      </c>
      <c r="U64" s="29">
        <f t="shared" si="12"/>
        <v>3.6457090471127165E-3</v>
      </c>
    </row>
    <row r="65" spans="1:21" x14ac:dyDescent="0.2">
      <c r="A65" s="206">
        <f>'Monthly Data'!A65</f>
        <v>43556</v>
      </c>
      <c r="B65">
        <f>'Monthly Data'!C65</f>
        <v>4</v>
      </c>
      <c r="C65">
        <f>'Monthly Data'!B65</f>
        <v>2019</v>
      </c>
      <c r="D65" s="18">
        <f>'Monthly Data'!J65</f>
        <v>11407805.629970776</v>
      </c>
      <c r="E65" s="10">
        <f>'Monthly Data'!AI65</f>
        <v>247.67708333333331</v>
      </c>
      <c r="F65" s="214">
        <f>'Monthly Data'!AB65</f>
        <v>0</v>
      </c>
      <c r="G65">
        <f>'Monthly Data'!BO65</f>
        <v>30</v>
      </c>
      <c r="H65">
        <f>'Monthly Data'!BR65</f>
        <v>0</v>
      </c>
      <c r="I65" s="17">
        <f>'Monthly Data'!AO65</f>
        <v>7294</v>
      </c>
      <c r="J65">
        <f>'Monthly Data'!BM65</f>
        <v>0</v>
      </c>
      <c r="L65" s="17">
        <f t="shared" si="3"/>
        <v>-2608738.8393219002</v>
      </c>
      <c r="M65" s="17">
        <f t="shared" si="4"/>
        <v>1275619.5125420128</v>
      </c>
      <c r="N65" s="17">
        <f t="shared" si="5"/>
        <v>0</v>
      </c>
      <c r="O65" s="17">
        <f t="shared" si="6"/>
        <v>8968322.0208837911</v>
      </c>
      <c r="P65" s="17">
        <f t="shared" si="7"/>
        <v>0</v>
      </c>
      <c r="Q65" s="17">
        <f t="shared" si="8"/>
        <v>4011688.7996029751</v>
      </c>
      <c r="R65" s="17">
        <f t="shared" si="9"/>
        <v>0</v>
      </c>
      <c r="S65" s="17">
        <f t="shared" si="10"/>
        <v>11646891.493706878</v>
      </c>
      <c r="T65" s="17">
        <f t="shared" si="11"/>
        <v>239085.86373610236</v>
      </c>
      <c r="U65" s="29">
        <f t="shared" si="12"/>
        <v>2.0958094088487273E-2</v>
      </c>
    </row>
    <row r="66" spans="1:21" x14ac:dyDescent="0.2">
      <c r="A66" s="206">
        <f>'Monthly Data'!A66</f>
        <v>43586</v>
      </c>
      <c r="B66">
        <f>'Monthly Data'!C66</f>
        <v>5</v>
      </c>
      <c r="C66">
        <f>'Monthly Data'!B66</f>
        <v>2019</v>
      </c>
      <c r="D66" s="18">
        <f>'Monthly Data'!J66</f>
        <v>10585959.389815135</v>
      </c>
      <c r="E66" s="10">
        <f>'Monthly Data'!AI66</f>
        <v>65.560416666666669</v>
      </c>
      <c r="F66" s="214">
        <f>'Monthly Data'!AB66</f>
        <v>0</v>
      </c>
      <c r="G66">
        <f>'Monthly Data'!BO66</f>
        <v>31</v>
      </c>
      <c r="H66">
        <f>'Monthly Data'!BR66</f>
        <v>0</v>
      </c>
      <c r="I66" s="17">
        <f>'Monthly Data'!AO66</f>
        <v>7366.8</v>
      </c>
      <c r="J66">
        <f>'Monthly Data'!BM66</f>
        <v>0</v>
      </c>
      <c r="L66" s="17">
        <f t="shared" si="3"/>
        <v>-2608738.8393219002</v>
      </c>
      <c r="M66" s="17">
        <f t="shared" si="4"/>
        <v>337657.99251532659</v>
      </c>
      <c r="N66" s="17">
        <f t="shared" si="5"/>
        <v>0</v>
      </c>
      <c r="O66" s="17">
        <f t="shared" si="6"/>
        <v>9267266.0882465839</v>
      </c>
      <c r="P66" s="17">
        <f t="shared" si="7"/>
        <v>0</v>
      </c>
      <c r="Q66" s="17">
        <f t="shared" si="8"/>
        <v>4051728.6878139838</v>
      </c>
      <c r="R66" s="17">
        <f t="shared" si="9"/>
        <v>0</v>
      </c>
      <c r="S66" s="17">
        <f t="shared" si="10"/>
        <v>11047913.929253994</v>
      </c>
      <c r="T66" s="17">
        <f t="shared" si="11"/>
        <v>461954.53943885863</v>
      </c>
      <c r="U66" s="29">
        <f t="shared" ref="U66:U97" si="13">ABS(T66/D66)</f>
        <v>4.3638419762247534E-2</v>
      </c>
    </row>
    <row r="67" spans="1:21" x14ac:dyDescent="0.2">
      <c r="A67" s="206">
        <f>'Monthly Data'!A67</f>
        <v>43617</v>
      </c>
      <c r="B67">
        <f>'Monthly Data'!C67</f>
        <v>6</v>
      </c>
      <c r="C67">
        <f>'Monthly Data'!B67</f>
        <v>2019</v>
      </c>
      <c r="D67" s="18">
        <f>'Monthly Data'!J67</f>
        <v>10472059.739659496</v>
      </c>
      <c r="E67" s="10">
        <f>'Monthly Data'!AI67</f>
        <v>3.5374999999999988</v>
      </c>
      <c r="F67" s="214">
        <f>'Monthly Data'!AB67</f>
        <v>13.45</v>
      </c>
      <c r="G67">
        <f>'Monthly Data'!BO67</f>
        <v>30</v>
      </c>
      <c r="H67">
        <f>'Monthly Data'!BR67</f>
        <v>0</v>
      </c>
      <c r="I67" s="17">
        <f>'Monthly Data'!AO67</f>
        <v>7460.9</v>
      </c>
      <c r="J67">
        <f>'Monthly Data'!BM67</f>
        <v>0</v>
      </c>
      <c r="L67" s="17">
        <f t="shared" ref="L67:L130" si="14">$X$8</f>
        <v>-2608738.8393219002</v>
      </c>
      <c r="M67" s="17">
        <f t="shared" ref="M67:M121" si="15">E67*$X$9</f>
        <v>18219.303800280413</v>
      </c>
      <c r="N67" s="17">
        <f t="shared" ref="N67:N121" si="16">F67*$X$10</f>
        <v>167297.87742270253</v>
      </c>
      <c r="O67" s="17">
        <f t="shared" ref="O67:O121" si="17">G67*$X$11</f>
        <v>8968322.0208837911</v>
      </c>
      <c r="P67" s="17">
        <f t="shared" ref="P67:P121" si="18">H67*$X$12</f>
        <v>0</v>
      </c>
      <c r="Q67" s="17">
        <f t="shared" ref="Q67:Q121" si="19">I67*$X$13</f>
        <v>4103483.5433174986</v>
      </c>
      <c r="R67" s="17">
        <f t="shared" ref="R67:R121" si="20">J67*$X$14</f>
        <v>0</v>
      </c>
      <c r="S67" s="17">
        <f t="shared" ref="S67:S121" si="21">SUM(L67:R67)</f>
        <v>10648583.906102372</v>
      </c>
      <c r="T67" s="17">
        <f t="shared" ref="T67:T121" si="22">S67-D67</f>
        <v>176524.16644287668</v>
      </c>
      <c r="U67" s="29">
        <f t="shared" si="13"/>
        <v>1.6856680617887351E-2</v>
      </c>
    </row>
    <row r="68" spans="1:21" x14ac:dyDescent="0.2">
      <c r="A68" s="206">
        <f>'Monthly Data'!A68</f>
        <v>43647</v>
      </c>
      <c r="B68">
        <f>'Monthly Data'!C68</f>
        <v>7</v>
      </c>
      <c r="C68">
        <f>'Monthly Data'!B68</f>
        <v>2019</v>
      </c>
      <c r="D68" s="18">
        <f>'Monthly Data'!J68</f>
        <v>11553369.669503855</v>
      </c>
      <c r="E68" s="10">
        <f>'Monthly Data'!AI68</f>
        <v>0</v>
      </c>
      <c r="F68" s="214">
        <f>'Monthly Data'!AB68</f>
        <v>75.160416666666691</v>
      </c>
      <c r="G68">
        <f>'Monthly Data'!BO68</f>
        <v>31</v>
      </c>
      <c r="H68">
        <f>'Monthly Data'!BR68</f>
        <v>0</v>
      </c>
      <c r="I68" s="17">
        <f>'Monthly Data'!AO68</f>
        <v>7509.9</v>
      </c>
      <c r="J68">
        <f>'Monthly Data'!BM68</f>
        <v>0</v>
      </c>
      <c r="L68" s="17">
        <f t="shared" si="14"/>
        <v>-2608738.8393219002</v>
      </c>
      <c r="M68" s="17">
        <f t="shared" si="15"/>
        <v>0</v>
      </c>
      <c r="N68" s="17">
        <f t="shared" si="16"/>
        <v>934883.135653476</v>
      </c>
      <c r="O68" s="17">
        <f t="shared" si="17"/>
        <v>9267266.0882465839</v>
      </c>
      <c r="P68" s="17">
        <f t="shared" si="18"/>
        <v>0</v>
      </c>
      <c r="Q68" s="17">
        <f t="shared" si="19"/>
        <v>4130433.4680749085</v>
      </c>
      <c r="R68" s="17">
        <f t="shared" si="20"/>
        <v>0</v>
      </c>
      <c r="S68" s="17">
        <f t="shared" si="21"/>
        <v>11723843.852653068</v>
      </c>
      <c r="T68" s="17">
        <f t="shared" si="22"/>
        <v>170474.18314921297</v>
      </c>
      <c r="U68" s="29">
        <f t="shared" si="13"/>
        <v>1.4755364714001554E-2</v>
      </c>
    </row>
    <row r="69" spans="1:21" x14ac:dyDescent="0.2">
      <c r="A69" s="206">
        <f>'Monthly Data'!A69</f>
        <v>43678</v>
      </c>
      <c r="B69">
        <f>'Monthly Data'!C69</f>
        <v>8</v>
      </c>
      <c r="C69">
        <f>'Monthly Data'!B69</f>
        <v>2019</v>
      </c>
      <c r="D69" s="18">
        <f>'Monthly Data'!J69</f>
        <v>10886899.519348213</v>
      </c>
      <c r="E69" s="10">
        <f>'Monthly Data'!AI69</f>
        <v>0</v>
      </c>
      <c r="F69" s="214">
        <f>'Monthly Data'!AB69</f>
        <v>22.158333333333331</v>
      </c>
      <c r="G69">
        <f>'Monthly Data'!BO69</f>
        <v>31</v>
      </c>
      <c r="H69">
        <f>'Monthly Data'!BR69</f>
        <v>0</v>
      </c>
      <c r="I69" s="17">
        <f>'Monthly Data'!AO69</f>
        <v>7523.3</v>
      </c>
      <c r="J69">
        <f>'Monthly Data'!BM69</f>
        <v>0</v>
      </c>
      <c r="L69" s="17">
        <f t="shared" si="14"/>
        <v>-2608738.8393219002</v>
      </c>
      <c r="M69" s="17">
        <f t="shared" si="15"/>
        <v>0</v>
      </c>
      <c r="N69" s="17">
        <f t="shared" si="16"/>
        <v>275616.51553095784</v>
      </c>
      <c r="O69" s="17">
        <f t="shared" si="17"/>
        <v>9267266.0882465839</v>
      </c>
      <c r="P69" s="17">
        <f t="shared" si="18"/>
        <v>0</v>
      </c>
      <c r="Q69" s="17">
        <f t="shared" si="19"/>
        <v>4137803.4474983634</v>
      </c>
      <c r="R69" s="17">
        <f t="shared" si="20"/>
        <v>0</v>
      </c>
      <c r="S69" s="17">
        <f t="shared" si="21"/>
        <v>11071947.211954005</v>
      </c>
      <c r="T69" s="17">
        <f t="shared" si="22"/>
        <v>185047.69260579161</v>
      </c>
      <c r="U69" s="29">
        <f t="shared" si="13"/>
        <v>1.6997281207282625E-2</v>
      </c>
    </row>
    <row r="70" spans="1:21" x14ac:dyDescent="0.2">
      <c r="A70" s="206">
        <f>'Monthly Data'!A70</f>
        <v>43709</v>
      </c>
      <c r="B70">
        <f>'Monthly Data'!C70</f>
        <v>9</v>
      </c>
      <c r="C70">
        <f>'Monthly Data'!B70</f>
        <v>2019</v>
      </c>
      <c r="D70" s="18">
        <f>'Monthly Data'!J70</f>
        <v>9932795.2991925739</v>
      </c>
      <c r="E70" s="10">
        <f>'Monthly Data'!AI70</f>
        <v>2.8083333333333336</v>
      </c>
      <c r="F70" s="214">
        <f>'Monthly Data'!AB70</f>
        <v>2.3249999999999993</v>
      </c>
      <c r="G70">
        <f>'Monthly Data'!BO70</f>
        <v>30</v>
      </c>
      <c r="H70">
        <f>'Monthly Data'!BR70</f>
        <v>0</v>
      </c>
      <c r="I70" s="17">
        <f>'Monthly Data'!AO70</f>
        <v>7505.1</v>
      </c>
      <c r="J70">
        <f>'Monthly Data'!BM70</f>
        <v>1</v>
      </c>
      <c r="L70" s="17">
        <f t="shared" si="14"/>
        <v>-2608738.8393219002</v>
      </c>
      <c r="M70" s="17">
        <f t="shared" si="15"/>
        <v>14463.852486912843</v>
      </c>
      <c r="N70" s="17">
        <f t="shared" si="16"/>
        <v>28919.521561916972</v>
      </c>
      <c r="O70" s="17">
        <f t="shared" si="17"/>
        <v>8968322.0208837911</v>
      </c>
      <c r="P70" s="17">
        <f t="shared" si="18"/>
        <v>0</v>
      </c>
      <c r="Q70" s="17">
        <f t="shared" si="19"/>
        <v>4127793.4754456114</v>
      </c>
      <c r="R70" s="17">
        <f t="shared" si="20"/>
        <v>-307328.60270320397</v>
      </c>
      <c r="S70" s="17">
        <f t="shared" si="21"/>
        <v>10223431.428353127</v>
      </c>
      <c r="T70" s="17">
        <f t="shared" si="22"/>
        <v>290636.12916055322</v>
      </c>
      <c r="U70" s="29">
        <f t="shared" si="13"/>
        <v>2.9260255588291314E-2</v>
      </c>
    </row>
    <row r="71" spans="1:21" x14ac:dyDescent="0.2">
      <c r="A71" s="206">
        <f>'Monthly Data'!A71</f>
        <v>43739</v>
      </c>
      <c r="B71">
        <f>'Monthly Data'!C71</f>
        <v>10</v>
      </c>
      <c r="C71">
        <f>'Monthly Data'!B71</f>
        <v>2019</v>
      </c>
      <c r="D71" s="18">
        <f>'Monthly Data'!J71</f>
        <v>10612642.599036934</v>
      </c>
      <c r="E71" s="10">
        <f>'Monthly Data'!AI71</f>
        <v>124.45762558837849</v>
      </c>
      <c r="F71" s="214">
        <f>'Monthly Data'!AB71</f>
        <v>0</v>
      </c>
      <c r="G71">
        <f>'Monthly Data'!BO71</f>
        <v>31</v>
      </c>
      <c r="H71">
        <f>'Monthly Data'!BR71</f>
        <v>0</v>
      </c>
      <c r="I71" s="17">
        <f>'Monthly Data'!AO71</f>
        <v>7501.2</v>
      </c>
      <c r="J71">
        <f>'Monthly Data'!BM71</f>
        <v>1</v>
      </c>
      <c r="L71" s="17">
        <f t="shared" si="14"/>
        <v>-2608738.8393219002</v>
      </c>
      <c r="M71" s="17">
        <f t="shared" si="15"/>
        <v>640998.24476500973</v>
      </c>
      <c r="N71" s="17">
        <f t="shared" si="16"/>
        <v>0</v>
      </c>
      <c r="O71" s="17">
        <f t="shared" si="17"/>
        <v>9267266.0882465839</v>
      </c>
      <c r="P71" s="17">
        <f t="shared" si="18"/>
        <v>0</v>
      </c>
      <c r="Q71" s="17">
        <f t="shared" si="19"/>
        <v>4125648.4814343071</v>
      </c>
      <c r="R71" s="17">
        <f t="shared" si="20"/>
        <v>-307328.60270320397</v>
      </c>
      <c r="S71" s="17">
        <f t="shared" si="21"/>
        <v>11117845.372420797</v>
      </c>
      <c r="T71" s="17">
        <f t="shared" si="22"/>
        <v>505202.77338386327</v>
      </c>
      <c r="U71" s="29">
        <f t="shared" si="13"/>
        <v>4.7603861966453949E-2</v>
      </c>
    </row>
    <row r="72" spans="1:21" x14ac:dyDescent="0.2">
      <c r="A72" s="206">
        <f>'Monthly Data'!A72</f>
        <v>43770</v>
      </c>
      <c r="B72">
        <f>'Monthly Data'!C72</f>
        <v>11</v>
      </c>
      <c r="C72">
        <f>'Monthly Data'!B72</f>
        <v>2019</v>
      </c>
      <c r="D72" s="18">
        <f>'Monthly Data'!J72</f>
        <v>12470141.758881295</v>
      </c>
      <c r="E72" s="10">
        <f>'Monthly Data'!AI72</f>
        <v>431.92083333333318</v>
      </c>
      <c r="F72" s="214">
        <f>'Monthly Data'!AB72</f>
        <v>0</v>
      </c>
      <c r="G72">
        <f>'Monthly Data'!BO72</f>
        <v>30</v>
      </c>
      <c r="H72">
        <f>'Monthly Data'!BR72</f>
        <v>0</v>
      </c>
      <c r="I72" s="17">
        <f>'Monthly Data'!AO72</f>
        <v>7488.3</v>
      </c>
      <c r="J72">
        <f>'Monthly Data'!BM72</f>
        <v>0</v>
      </c>
      <c r="L72" s="17">
        <f t="shared" si="14"/>
        <v>-2608738.8393219002</v>
      </c>
      <c r="M72" s="17">
        <f t="shared" si="15"/>
        <v>2224536.2205428365</v>
      </c>
      <c r="N72" s="17">
        <f t="shared" si="16"/>
        <v>0</v>
      </c>
      <c r="O72" s="17">
        <f t="shared" si="17"/>
        <v>8968322.0208837911</v>
      </c>
      <c r="P72" s="17">
        <f t="shared" si="18"/>
        <v>0</v>
      </c>
      <c r="Q72" s="17">
        <f t="shared" si="19"/>
        <v>4118553.5012430707</v>
      </c>
      <c r="R72" s="17">
        <f t="shared" si="20"/>
        <v>0</v>
      </c>
      <c r="S72" s="17">
        <f t="shared" si="21"/>
        <v>12702672.903347798</v>
      </c>
      <c r="T72" s="17">
        <f t="shared" si="22"/>
        <v>232531.14446650259</v>
      </c>
      <c r="U72" s="29">
        <f t="shared" si="13"/>
        <v>1.8647032965835596E-2</v>
      </c>
    </row>
    <row r="73" spans="1:21" x14ac:dyDescent="0.2">
      <c r="A73" s="206">
        <f>'Monthly Data'!A73</f>
        <v>43800</v>
      </c>
      <c r="B73">
        <f>'Monthly Data'!C73</f>
        <v>12</v>
      </c>
      <c r="C73">
        <f>'Monthly Data'!B73</f>
        <v>2019</v>
      </c>
      <c r="D73" s="18">
        <f>'Monthly Data'!J73</f>
        <v>13238227.838725653</v>
      </c>
      <c r="E73" s="10">
        <f>'Monthly Data'!AI73</f>
        <v>542.69583333333344</v>
      </c>
      <c r="F73" s="214">
        <f>'Monthly Data'!AB73</f>
        <v>0</v>
      </c>
      <c r="G73">
        <f>'Monthly Data'!BO73</f>
        <v>31</v>
      </c>
      <c r="H73">
        <f>'Monthly Data'!BR73</f>
        <v>0</v>
      </c>
      <c r="I73" s="17">
        <f>'Monthly Data'!AO73</f>
        <v>7493.8</v>
      </c>
      <c r="J73">
        <f>'Monthly Data'!BM73</f>
        <v>0</v>
      </c>
      <c r="L73" s="17">
        <f t="shared" si="14"/>
        <v>-2608738.8393219002</v>
      </c>
      <c r="M73" s="17">
        <f t="shared" si="15"/>
        <v>2795064.3840696402</v>
      </c>
      <c r="N73" s="17">
        <f t="shared" si="16"/>
        <v>0</v>
      </c>
      <c r="O73" s="17">
        <f t="shared" si="17"/>
        <v>9267266.0882465839</v>
      </c>
      <c r="P73" s="17">
        <f t="shared" si="18"/>
        <v>0</v>
      </c>
      <c r="Q73" s="17">
        <f t="shared" si="19"/>
        <v>4121578.4927974739</v>
      </c>
      <c r="R73" s="17">
        <f t="shared" si="20"/>
        <v>0</v>
      </c>
      <c r="S73" s="17">
        <f t="shared" si="21"/>
        <v>13575170.125791797</v>
      </c>
      <c r="T73" s="17">
        <f t="shared" si="22"/>
        <v>336942.28706614487</v>
      </c>
      <c r="U73" s="29">
        <f t="shared" si="13"/>
        <v>2.5452219977699059E-2</v>
      </c>
    </row>
    <row r="74" spans="1:21" x14ac:dyDescent="0.2">
      <c r="A74" s="206">
        <f>'Monthly Data'!A74</f>
        <v>43831</v>
      </c>
      <c r="B74">
        <f>'Monthly Data'!C74</f>
        <v>1</v>
      </c>
      <c r="C74">
        <f>'Monthly Data'!B74</f>
        <v>2020</v>
      </c>
      <c r="D74" s="18">
        <f>'Monthly Data'!J74</f>
        <v>13652816.710556209</v>
      </c>
      <c r="E74" s="10">
        <f>'Monthly Data'!AI74</f>
        <v>560.02637558837853</v>
      </c>
      <c r="F74" s="214">
        <f>'Monthly Data'!AB74</f>
        <v>0</v>
      </c>
      <c r="G74">
        <f>'Monthly Data'!BO74</f>
        <v>31</v>
      </c>
      <c r="H74">
        <f>'Monthly Data'!BR74</f>
        <v>0</v>
      </c>
      <c r="I74" s="17">
        <f>'Monthly Data'!AO74</f>
        <v>7471.6</v>
      </c>
      <c r="J74">
        <f>'Monthly Data'!BM74</f>
        <v>0</v>
      </c>
      <c r="L74" s="17">
        <f t="shared" si="14"/>
        <v>-2608738.8393219002</v>
      </c>
      <c r="M74" s="17">
        <f t="shared" si="15"/>
        <v>2884322.4517355803</v>
      </c>
      <c r="N74" s="17">
        <f t="shared" si="16"/>
        <v>0</v>
      </c>
      <c r="O74" s="17">
        <f t="shared" si="17"/>
        <v>9267266.0882465839</v>
      </c>
      <c r="P74" s="17">
        <f t="shared" si="18"/>
        <v>0</v>
      </c>
      <c r="Q74" s="17">
        <f t="shared" si="19"/>
        <v>4109368.526886974</v>
      </c>
      <c r="R74" s="17">
        <f t="shared" si="20"/>
        <v>0</v>
      </c>
      <c r="S74" s="17">
        <f t="shared" si="21"/>
        <v>13652218.227547238</v>
      </c>
      <c r="T74" s="17">
        <f t="shared" si="22"/>
        <v>-598.48300897143781</v>
      </c>
      <c r="U74" s="29">
        <f t="shared" si="13"/>
        <v>4.3835863445577295E-5</v>
      </c>
    </row>
    <row r="75" spans="1:21" x14ac:dyDescent="0.2">
      <c r="A75" s="206">
        <f>'Monthly Data'!A75</f>
        <v>43862</v>
      </c>
      <c r="B75">
        <f>'Monthly Data'!C75</f>
        <v>2</v>
      </c>
      <c r="C75">
        <f>'Monthly Data'!B75</f>
        <v>2020</v>
      </c>
      <c r="D75" s="18">
        <f>'Monthly Data'!J75</f>
        <v>12733582.995352812</v>
      </c>
      <c r="E75" s="10">
        <f>'Monthly Data'!AI75</f>
        <v>561.2166666666667</v>
      </c>
      <c r="F75" s="214">
        <f>'Monthly Data'!AB75</f>
        <v>0</v>
      </c>
      <c r="G75">
        <f>'Monthly Data'!BO75</f>
        <v>29</v>
      </c>
      <c r="H75">
        <f>'Monthly Data'!BR75</f>
        <v>0</v>
      </c>
      <c r="I75" s="17">
        <f>'Monthly Data'!AO75</f>
        <v>7442.1</v>
      </c>
      <c r="J75">
        <f>'Monthly Data'!BM75</f>
        <v>0</v>
      </c>
      <c r="L75" s="17">
        <f t="shared" si="14"/>
        <v>-2608738.8393219002</v>
      </c>
      <c r="M75" s="17">
        <f t="shared" si="15"/>
        <v>2890452.8474291763</v>
      </c>
      <c r="N75" s="17">
        <f t="shared" si="16"/>
        <v>0</v>
      </c>
      <c r="O75" s="17">
        <f t="shared" si="17"/>
        <v>8669377.9535209984</v>
      </c>
      <c r="P75" s="17">
        <f t="shared" si="18"/>
        <v>0</v>
      </c>
      <c r="Q75" s="17">
        <f t="shared" si="19"/>
        <v>4093143.5721860849</v>
      </c>
      <c r="R75" s="17">
        <f t="shared" si="20"/>
        <v>0</v>
      </c>
      <c r="S75" s="17">
        <f t="shared" si="21"/>
        <v>13044235.533814359</v>
      </c>
      <c r="T75" s="17">
        <f t="shared" si="22"/>
        <v>310652.53846154734</v>
      </c>
      <c r="U75" s="29">
        <f t="shared" si="13"/>
        <v>2.4396317876509827E-2</v>
      </c>
    </row>
    <row r="76" spans="1:21" x14ac:dyDescent="0.2">
      <c r="A76" s="206">
        <f>'Monthly Data'!A76</f>
        <v>43891</v>
      </c>
      <c r="B76">
        <f>'Monthly Data'!C76</f>
        <v>3</v>
      </c>
      <c r="C76">
        <f>'Monthly Data'!B76</f>
        <v>2020</v>
      </c>
      <c r="D76" s="18">
        <f>'Monthly Data'!J76</f>
        <v>12050222.340149418</v>
      </c>
      <c r="E76" s="10">
        <f>'Monthly Data'!AI76</f>
        <v>389.14720892171187</v>
      </c>
      <c r="F76" s="214">
        <f>'Monthly Data'!AB76</f>
        <v>0</v>
      </c>
      <c r="G76">
        <f>'Monthly Data'!BO76</f>
        <v>31</v>
      </c>
      <c r="H76">
        <f>'Monthly Data'!BR76</f>
        <v>0.5</v>
      </c>
      <c r="I76" s="17">
        <f>'Monthly Data'!AO76</f>
        <v>7256.2</v>
      </c>
      <c r="J76">
        <f>'Monthly Data'!BM76</f>
        <v>0</v>
      </c>
      <c r="L76" s="17">
        <f t="shared" si="14"/>
        <v>-2608738.8393219002</v>
      </c>
      <c r="M76" s="17">
        <f t="shared" si="15"/>
        <v>2004237.801378336</v>
      </c>
      <c r="N76" s="17">
        <f t="shared" si="16"/>
        <v>0</v>
      </c>
      <c r="O76" s="17">
        <f t="shared" si="17"/>
        <v>9267266.0882465839</v>
      </c>
      <c r="P76" s="17">
        <f t="shared" si="18"/>
        <v>-593562.30970697501</v>
      </c>
      <c r="Q76" s="17">
        <f t="shared" si="19"/>
        <v>3990898.8576472588</v>
      </c>
      <c r="R76" s="17">
        <f t="shared" si="20"/>
        <v>0</v>
      </c>
      <c r="S76" s="17">
        <f t="shared" si="21"/>
        <v>12060101.598243304</v>
      </c>
      <c r="T76" s="17">
        <f t="shared" si="22"/>
        <v>9879.2580938860774</v>
      </c>
      <c r="U76" s="29">
        <f t="shared" si="13"/>
        <v>8.1984031622138345E-4</v>
      </c>
    </row>
    <row r="77" spans="1:21" x14ac:dyDescent="0.2">
      <c r="A77" s="206">
        <f>'Monthly Data'!A77</f>
        <v>43922</v>
      </c>
      <c r="B77">
        <f>'Monthly Data'!C77</f>
        <v>4</v>
      </c>
      <c r="C77">
        <f>'Monthly Data'!B77</f>
        <v>2020</v>
      </c>
      <c r="D77" s="18">
        <f>'Monthly Data'!J77</f>
        <v>9716740.3149460237</v>
      </c>
      <c r="E77" s="10">
        <f>'Monthly Data'!AI77</f>
        <v>239.53541666666663</v>
      </c>
      <c r="F77" s="214">
        <f>'Monthly Data'!AB77</f>
        <v>0</v>
      </c>
      <c r="G77">
        <f>'Monthly Data'!BO77</f>
        <v>30</v>
      </c>
      <c r="H77">
        <f>'Monthly Data'!BR77</f>
        <v>1</v>
      </c>
      <c r="I77" s="17">
        <f>'Monthly Data'!AO77</f>
        <v>6885.2</v>
      </c>
      <c r="J77">
        <f>'Monthly Data'!BM77</f>
        <v>0</v>
      </c>
      <c r="L77" s="17">
        <f t="shared" si="14"/>
        <v>-2608738.8393219002</v>
      </c>
      <c r="M77" s="17">
        <f t="shared" si="15"/>
        <v>1233687.2161630399</v>
      </c>
      <c r="N77" s="17">
        <f t="shared" si="16"/>
        <v>0</v>
      </c>
      <c r="O77" s="17">
        <f t="shared" si="17"/>
        <v>8968322.0208837911</v>
      </c>
      <c r="P77" s="17">
        <f t="shared" si="18"/>
        <v>-1187124.61941395</v>
      </c>
      <c r="Q77" s="17">
        <f t="shared" si="19"/>
        <v>3786849.4273411576</v>
      </c>
      <c r="R77" s="17">
        <f t="shared" si="20"/>
        <v>0</v>
      </c>
      <c r="S77" s="17">
        <f t="shared" si="21"/>
        <v>10192995.205652138</v>
      </c>
      <c r="T77" s="17">
        <f t="shared" si="22"/>
        <v>476254.89070611447</v>
      </c>
      <c r="U77" s="29">
        <f t="shared" si="13"/>
        <v>4.9013853954041793E-2</v>
      </c>
    </row>
    <row r="78" spans="1:21" x14ac:dyDescent="0.2">
      <c r="A78" s="206">
        <f>'Monthly Data'!A78</f>
        <v>43952</v>
      </c>
      <c r="B78">
        <f>'Monthly Data'!C78</f>
        <v>5</v>
      </c>
      <c r="C78">
        <f>'Monthly Data'!B78</f>
        <v>2020</v>
      </c>
      <c r="D78" s="18">
        <f>'Monthly Data'!J78</f>
        <v>9694699.8497426268</v>
      </c>
      <c r="E78" s="10">
        <f>'Monthly Data'!AI78</f>
        <v>104.33541666666667</v>
      </c>
      <c r="F78" s="214">
        <f>'Monthly Data'!AB78</f>
        <v>18.945833333333326</v>
      </c>
      <c r="G78">
        <f>'Monthly Data'!BO78</f>
        <v>31</v>
      </c>
      <c r="H78">
        <f>'Monthly Data'!BR78</f>
        <v>1</v>
      </c>
      <c r="I78" s="17">
        <f>'Monthly Data'!AO78</f>
        <v>6536.7</v>
      </c>
      <c r="J78">
        <f>'Monthly Data'!BM78</f>
        <v>0</v>
      </c>
      <c r="L78" s="17">
        <f t="shared" si="14"/>
        <v>-2608738.8393219002</v>
      </c>
      <c r="M78" s="17">
        <f t="shared" si="15"/>
        <v>537362.16349931911</v>
      </c>
      <c r="N78" s="17">
        <f t="shared" si="16"/>
        <v>235657.82175992196</v>
      </c>
      <c r="O78" s="17">
        <f t="shared" si="17"/>
        <v>9267266.0882465839</v>
      </c>
      <c r="P78" s="17">
        <f t="shared" si="18"/>
        <v>-1187124.61941395</v>
      </c>
      <c r="Q78" s="17">
        <f t="shared" si="19"/>
        <v>3595174.9624848869</v>
      </c>
      <c r="R78" s="17">
        <f t="shared" si="20"/>
        <v>0</v>
      </c>
      <c r="S78" s="17">
        <f t="shared" si="21"/>
        <v>9839597.5772548616</v>
      </c>
      <c r="T78" s="17">
        <f t="shared" si="22"/>
        <v>144897.72751223482</v>
      </c>
      <c r="U78" s="29">
        <f t="shared" si="13"/>
        <v>1.4946076697370012E-2</v>
      </c>
    </row>
    <row r="79" spans="1:21" x14ac:dyDescent="0.2">
      <c r="A79" s="206">
        <f>'Monthly Data'!A79</f>
        <v>43983</v>
      </c>
      <c r="B79">
        <f>'Monthly Data'!C79</f>
        <v>6</v>
      </c>
      <c r="C79">
        <f>'Monthly Data'!B79</f>
        <v>2020</v>
      </c>
      <c r="D79" s="18">
        <f>'Monthly Data'!J79</f>
        <v>10225668.464539232</v>
      </c>
      <c r="E79" s="10">
        <f>'Monthly Data'!AI79</f>
        <v>1.7916666666666679</v>
      </c>
      <c r="F79" s="214">
        <f>'Monthly Data'!AB79</f>
        <v>43.943750000000009</v>
      </c>
      <c r="G79">
        <f>'Monthly Data'!BO79</f>
        <v>30</v>
      </c>
      <c r="H79">
        <f>'Monthly Data'!BR79</f>
        <v>0.5</v>
      </c>
      <c r="I79" s="17">
        <f>'Monthly Data'!AO79</f>
        <v>6498.5</v>
      </c>
      <c r="J79">
        <f>'Monthly Data'!BM79</f>
        <v>0</v>
      </c>
      <c r="L79" s="17">
        <f t="shared" si="14"/>
        <v>-2608738.8393219002</v>
      </c>
      <c r="M79" s="17">
        <f t="shared" si="15"/>
        <v>9227.6803699889115</v>
      </c>
      <c r="N79" s="17">
        <f t="shared" si="16"/>
        <v>546594.50565010298</v>
      </c>
      <c r="O79" s="17">
        <f t="shared" si="17"/>
        <v>8968322.0208837911</v>
      </c>
      <c r="P79" s="17">
        <f t="shared" si="18"/>
        <v>-593562.30970697501</v>
      </c>
      <c r="Q79" s="17">
        <f t="shared" si="19"/>
        <v>3574165.0211433964</v>
      </c>
      <c r="R79" s="17">
        <f t="shared" si="20"/>
        <v>0</v>
      </c>
      <c r="S79" s="17">
        <f t="shared" si="21"/>
        <v>9896008.0790184047</v>
      </c>
      <c r="T79" s="17">
        <f t="shared" si="22"/>
        <v>-329660.38552082703</v>
      </c>
      <c r="U79" s="29">
        <f t="shared" si="13"/>
        <v>3.2238516891490231E-2</v>
      </c>
    </row>
    <row r="80" spans="1:21" x14ac:dyDescent="0.2">
      <c r="A80" s="206">
        <f>'Monthly Data'!A80</f>
        <v>44013</v>
      </c>
      <c r="B80">
        <f>'Monthly Data'!C80</f>
        <v>7</v>
      </c>
      <c r="C80">
        <f>'Monthly Data'!B80</f>
        <v>2020</v>
      </c>
      <c r="D80" s="18">
        <f>'Monthly Data'!J80</f>
        <v>11343101.809335835</v>
      </c>
      <c r="E80" s="10">
        <f>'Monthly Data'!AI80</f>
        <v>0</v>
      </c>
      <c r="F80" s="214">
        <f>'Monthly Data'!AB80</f>
        <v>94.325000000000017</v>
      </c>
      <c r="G80">
        <f>'Monthly Data'!BO80</f>
        <v>31</v>
      </c>
      <c r="H80">
        <f>'Monthly Data'!BR80</f>
        <v>0.5</v>
      </c>
      <c r="I80" s="17">
        <f>'Monthly Data'!AO80</f>
        <v>6711.9</v>
      </c>
      <c r="J80">
        <f>'Monthly Data'!BM80</f>
        <v>0</v>
      </c>
      <c r="L80" s="17">
        <f t="shared" si="14"/>
        <v>-2608738.8393219002</v>
      </c>
      <c r="M80" s="17">
        <f t="shared" si="15"/>
        <v>0</v>
      </c>
      <c r="N80" s="17">
        <f t="shared" si="16"/>
        <v>1173261.8801409977</v>
      </c>
      <c r="O80" s="17">
        <f t="shared" si="17"/>
        <v>9267266.0882465839</v>
      </c>
      <c r="P80" s="17">
        <f t="shared" si="18"/>
        <v>-593562.30970697501</v>
      </c>
      <c r="Q80" s="17">
        <f t="shared" si="19"/>
        <v>3691534.6934542372</v>
      </c>
      <c r="R80" s="17">
        <f t="shared" si="20"/>
        <v>0</v>
      </c>
      <c r="S80" s="17">
        <f t="shared" si="21"/>
        <v>10929761.512812944</v>
      </c>
      <c r="T80" s="17">
        <f t="shared" si="22"/>
        <v>-413340.29652289115</v>
      </c>
      <c r="U80" s="29">
        <f t="shared" si="13"/>
        <v>3.6439794288251497E-2</v>
      </c>
    </row>
    <row r="81" spans="1:21" x14ac:dyDescent="0.2">
      <c r="A81" s="206">
        <f>'Monthly Data'!A81</f>
        <v>44044</v>
      </c>
      <c r="B81">
        <f>'Monthly Data'!C81</f>
        <v>8</v>
      </c>
      <c r="C81">
        <f>'Monthly Data'!B81</f>
        <v>2020</v>
      </c>
      <c r="D81" s="18">
        <f>'Monthly Data'!J81</f>
        <v>10780735.944132442</v>
      </c>
      <c r="E81" s="10">
        <f>'Monthly Data'!AI81</f>
        <v>0</v>
      </c>
      <c r="F81" s="214">
        <f>'Monthly Data'!AB81</f>
        <v>37.895833333333343</v>
      </c>
      <c r="G81">
        <f>'Monthly Data'!BO81</f>
        <v>31</v>
      </c>
      <c r="H81">
        <f>'Monthly Data'!BR81</f>
        <v>0.5</v>
      </c>
      <c r="I81" s="17">
        <f>'Monthly Data'!AO81</f>
        <v>6950.9</v>
      </c>
      <c r="J81">
        <f>'Monthly Data'!BM81</f>
        <v>0</v>
      </c>
      <c r="L81" s="17">
        <f t="shared" si="14"/>
        <v>-2608738.8393219002</v>
      </c>
      <c r="M81" s="17">
        <f t="shared" si="15"/>
        <v>0</v>
      </c>
      <c r="N81" s="17">
        <f t="shared" si="16"/>
        <v>471367.47061941755</v>
      </c>
      <c r="O81" s="17">
        <f t="shared" si="17"/>
        <v>9267266.0882465839</v>
      </c>
      <c r="P81" s="17">
        <f t="shared" si="18"/>
        <v>-593562.30970697501</v>
      </c>
      <c r="Q81" s="17">
        <f t="shared" si="19"/>
        <v>3822984.3264546636</v>
      </c>
      <c r="R81" s="17">
        <f t="shared" si="20"/>
        <v>0</v>
      </c>
      <c r="S81" s="17">
        <f t="shared" si="21"/>
        <v>10359316.73629179</v>
      </c>
      <c r="T81" s="17">
        <f t="shared" si="22"/>
        <v>-421419.20784065127</v>
      </c>
      <c r="U81" s="29">
        <f t="shared" si="13"/>
        <v>3.9090022241942975E-2</v>
      </c>
    </row>
    <row r="82" spans="1:21" x14ac:dyDescent="0.2">
      <c r="A82" s="206">
        <f>'Monthly Data'!A82</f>
        <v>44075</v>
      </c>
      <c r="B82">
        <f>'Monthly Data'!C82</f>
        <v>9</v>
      </c>
      <c r="C82">
        <f>'Monthly Data'!B82</f>
        <v>2020</v>
      </c>
      <c r="D82" s="18">
        <f>'Monthly Data'!J82</f>
        <v>9813085.9189290442</v>
      </c>
      <c r="E82" s="10">
        <f>'Monthly Data'!AI82</f>
        <v>19.81666666666667</v>
      </c>
      <c r="F82" s="214">
        <f>'Monthly Data'!AB82</f>
        <v>0</v>
      </c>
      <c r="G82">
        <f>'Monthly Data'!BO82</f>
        <v>30</v>
      </c>
      <c r="H82">
        <f>'Monthly Data'!BR82</f>
        <v>0.5</v>
      </c>
      <c r="I82" s="17">
        <f>'Monthly Data'!AO82</f>
        <v>7075.5</v>
      </c>
      <c r="J82">
        <f>'Monthly Data'!BM82</f>
        <v>1</v>
      </c>
      <c r="L82" s="17">
        <f t="shared" si="14"/>
        <v>-2608738.8393219002</v>
      </c>
      <c r="M82" s="17">
        <f t="shared" si="15"/>
        <v>102062.43683643545</v>
      </c>
      <c r="N82" s="17">
        <f t="shared" si="16"/>
        <v>0</v>
      </c>
      <c r="O82" s="17">
        <f t="shared" si="17"/>
        <v>8968322.0208837911</v>
      </c>
      <c r="P82" s="17">
        <f t="shared" si="18"/>
        <v>-593562.30970697501</v>
      </c>
      <c r="Q82" s="17">
        <f t="shared" si="19"/>
        <v>3891514.1351235057</v>
      </c>
      <c r="R82" s="17">
        <f t="shared" si="20"/>
        <v>-307328.60270320397</v>
      </c>
      <c r="S82" s="17">
        <f t="shared" si="21"/>
        <v>9452268.8411116526</v>
      </c>
      <c r="T82" s="17">
        <f t="shared" si="22"/>
        <v>-360817.0778173916</v>
      </c>
      <c r="U82" s="29">
        <f t="shared" si="13"/>
        <v>3.6768971636270922E-2</v>
      </c>
    </row>
    <row r="83" spans="1:21" x14ac:dyDescent="0.2">
      <c r="A83" s="206">
        <f>'Monthly Data'!A83</f>
        <v>44105</v>
      </c>
      <c r="B83">
        <f>'Monthly Data'!C83</f>
        <v>10</v>
      </c>
      <c r="C83">
        <f>'Monthly Data'!B83</f>
        <v>2020</v>
      </c>
      <c r="D83" s="18">
        <f>'Monthly Data'!J83</f>
        <v>10753151.84372565</v>
      </c>
      <c r="E83" s="10">
        <f>'Monthly Data'!AI83</f>
        <v>197.31041666666664</v>
      </c>
      <c r="F83" s="214">
        <f>'Monthly Data'!AB83</f>
        <v>0</v>
      </c>
      <c r="G83">
        <f>'Monthly Data'!BO83</f>
        <v>31</v>
      </c>
      <c r="H83">
        <f>'Monthly Data'!BR83</f>
        <v>0.5</v>
      </c>
      <c r="I83" s="17">
        <f>'Monthly Data'!AO83</f>
        <v>7184.1</v>
      </c>
      <c r="J83">
        <f>'Monthly Data'!BM83</f>
        <v>1</v>
      </c>
      <c r="L83" s="17">
        <f t="shared" si="14"/>
        <v>-2608738.8393219002</v>
      </c>
      <c r="M83" s="17">
        <f t="shared" si="15"/>
        <v>1016214.395536371</v>
      </c>
      <c r="N83" s="17">
        <f t="shared" si="16"/>
        <v>0</v>
      </c>
      <c r="O83" s="17">
        <f t="shared" si="17"/>
        <v>9267266.0882465839</v>
      </c>
      <c r="P83" s="17">
        <f t="shared" si="18"/>
        <v>-593562.30970697501</v>
      </c>
      <c r="Q83" s="17">
        <f t="shared" si="19"/>
        <v>3951243.9683613563</v>
      </c>
      <c r="R83" s="17">
        <f t="shared" si="20"/>
        <v>-307328.60270320397</v>
      </c>
      <c r="S83" s="17">
        <f t="shared" si="21"/>
        <v>10725094.700412231</v>
      </c>
      <c r="T83" s="17">
        <f t="shared" si="22"/>
        <v>-28057.143313419074</v>
      </c>
      <c r="U83" s="29">
        <f t="shared" si="13"/>
        <v>2.6092018155393316E-3</v>
      </c>
    </row>
    <row r="84" spans="1:21" x14ac:dyDescent="0.2">
      <c r="A84" s="206">
        <f>'Monthly Data'!A84</f>
        <v>44136</v>
      </c>
      <c r="B84">
        <f>'Monthly Data'!C84</f>
        <v>11</v>
      </c>
      <c r="C84">
        <f>'Monthly Data'!B84</f>
        <v>2020</v>
      </c>
      <c r="D84" s="18">
        <f>'Monthly Data'!J84</f>
        <v>11644677.878522255</v>
      </c>
      <c r="E84" s="10">
        <f>'Monthly Data'!AI84</f>
        <v>261.77916666666664</v>
      </c>
      <c r="F84" s="214">
        <f>'Monthly Data'!AB84</f>
        <v>0</v>
      </c>
      <c r="G84">
        <f>'Monthly Data'!BO84</f>
        <v>30</v>
      </c>
      <c r="H84">
        <f>'Monthly Data'!BR84</f>
        <v>0.5</v>
      </c>
      <c r="I84" s="17">
        <f>'Monthly Data'!AO84</f>
        <v>7255.2</v>
      </c>
      <c r="J84">
        <f>'Monthly Data'!BM84</f>
        <v>0</v>
      </c>
      <c r="L84" s="17">
        <f t="shared" si="14"/>
        <v>-2608738.8393219002</v>
      </c>
      <c r="M84" s="17">
        <f t="shared" si="15"/>
        <v>1348249.9409425417</v>
      </c>
      <c r="N84" s="17">
        <f t="shared" si="16"/>
        <v>0</v>
      </c>
      <c r="O84" s="17">
        <f t="shared" si="17"/>
        <v>8968322.0208837911</v>
      </c>
      <c r="P84" s="17">
        <f t="shared" si="18"/>
        <v>-593562.30970697501</v>
      </c>
      <c r="Q84" s="17">
        <f t="shared" si="19"/>
        <v>3990348.8591828221</v>
      </c>
      <c r="R84" s="17">
        <f t="shared" si="20"/>
        <v>0</v>
      </c>
      <c r="S84" s="17">
        <f t="shared" si="21"/>
        <v>11104619.67198028</v>
      </c>
      <c r="T84" s="17">
        <f t="shared" si="22"/>
        <v>-540058.2065419741</v>
      </c>
      <c r="U84" s="29">
        <f t="shared" si="13"/>
        <v>4.6378114721238567E-2</v>
      </c>
    </row>
    <row r="85" spans="1:21" x14ac:dyDescent="0.2">
      <c r="A85" s="206">
        <f>'Monthly Data'!A85</f>
        <v>44166</v>
      </c>
      <c r="B85">
        <f>'Monthly Data'!C85</f>
        <v>12</v>
      </c>
      <c r="C85">
        <f>'Monthly Data'!B85</f>
        <v>2020</v>
      </c>
      <c r="D85" s="18">
        <f>'Monthly Data'!J85</f>
        <v>12844408.32331886</v>
      </c>
      <c r="E85" s="10">
        <f>'Monthly Data'!AI85</f>
        <v>504.51387558837848</v>
      </c>
      <c r="F85" s="214">
        <f>'Monthly Data'!AB85</f>
        <v>0</v>
      </c>
      <c r="G85">
        <f>'Monthly Data'!BO85</f>
        <v>31</v>
      </c>
      <c r="H85">
        <f>'Monthly Data'!BR85</f>
        <v>0.5</v>
      </c>
      <c r="I85" s="17">
        <f>'Monthly Data'!AO85</f>
        <v>7273.3</v>
      </c>
      <c r="J85">
        <f>'Monthly Data'!BM85</f>
        <v>0</v>
      </c>
      <c r="L85" s="17">
        <f t="shared" si="14"/>
        <v>-2608738.8393219002</v>
      </c>
      <c r="M85" s="17">
        <f t="shared" si="15"/>
        <v>2598414.5783184585</v>
      </c>
      <c r="N85" s="17">
        <f t="shared" si="16"/>
        <v>0</v>
      </c>
      <c r="O85" s="17">
        <f t="shared" si="17"/>
        <v>9267266.0882465839</v>
      </c>
      <c r="P85" s="17">
        <f t="shared" si="18"/>
        <v>-593562.30970697501</v>
      </c>
      <c r="Q85" s="17">
        <f t="shared" si="19"/>
        <v>4000303.8313891306</v>
      </c>
      <c r="R85" s="17">
        <f t="shared" si="20"/>
        <v>0</v>
      </c>
      <c r="S85" s="17">
        <f t="shared" si="21"/>
        <v>12663683.348925298</v>
      </c>
      <c r="T85" s="17">
        <f t="shared" si="22"/>
        <v>-180724.97439356148</v>
      </c>
      <c r="U85" s="29">
        <f t="shared" si="13"/>
        <v>1.407032304208654E-2</v>
      </c>
    </row>
    <row r="86" spans="1:21" x14ac:dyDescent="0.2">
      <c r="A86" s="206">
        <f>'Monthly Data'!A86</f>
        <v>44197</v>
      </c>
      <c r="B86">
        <f>'Monthly Data'!C86</f>
        <v>1</v>
      </c>
      <c r="C86">
        <f>'Monthly Data'!B86</f>
        <v>2021</v>
      </c>
      <c r="D86" s="18">
        <f>'Monthly Data'!J86</f>
        <v>13020901.047661725</v>
      </c>
      <c r="E86" s="10">
        <f>'Monthly Data'!AI86</f>
        <v>575.9242922550452</v>
      </c>
      <c r="F86" s="214">
        <f>'Monthly Data'!AB86</f>
        <v>0</v>
      </c>
      <c r="G86">
        <f>'Monthly Data'!BO86</f>
        <v>31</v>
      </c>
      <c r="H86">
        <f>'Monthly Data'!BR86</f>
        <v>0.5</v>
      </c>
      <c r="I86" s="17">
        <f>'Monthly Data'!AO86</f>
        <v>7180.4</v>
      </c>
      <c r="J86">
        <f>'Monthly Data'!BM86</f>
        <v>0</v>
      </c>
      <c r="L86" s="17">
        <f t="shared" si="14"/>
        <v>-2608738.8393219002</v>
      </c>
      <c r="M86" s="17">
        <f t="shared" si="15"/>
        <v>2966202.0202278886</v>
      </c>
      <c r="N86" s="17">
        <f t="shared" si="16"/>
        <v>0</v>
      </c>
      <c r="O86" s="17">
        <f t="shared" si="17"/>
        <v>9267266.0882465839</v>
      </c>
      <c r="P86" s="17">
        <f t="shared" si="18"/>
        <v>-593562.30970697501</v>
      </c>
      <c r="Q86" s="17">
        <f t="shared" si="19"/>
        <v>3949208.9740429395</v>
      </c>
      <c r="R86" s="17">
        <f t="shared" si="20"/>
        <v>0</v>
      </c>
      <c r="S86" s="17">
        <f t="shared" si="21"/>
        <v>12980375.933488537</v>
      </c>
      <c r="T86" s="17">
        <f t="shared" si="22"/>
        <v>-40525.114173188806</v>
      </c>
      <c r="U86" s="29">
        <f t="shared" si="13"/>
        <v>3.1123125830424957E-3</v>
      </c>
    </row>
    <row r="87" spans="1:21" x14ac:dyDescent="0.2">
      <c r="A87" s="206">
        <f>'Monthly Data'!A87</f>
        <v>44228</v>
      </c>
      <c r="B87">
        <f>'Monthly Data'!C87</f>
        <v>2</v>
      </c>
      <c r="C87">
        <f>'Monthly Data'!B87</f>
        <v>2021</v>
      </c>
      <c r="D87" s="18">
        <f>'Monthly Data'!J87</f>
        <v>12441382.271758284</v>
      </c>
      <c r="E87" s="10">
        <f>'Monthly Data'!AI87</f>
        <v>583.86250000000018</v>
      </c>
      <c r="F87" s="214">
        <f>'Monthly Data'!AB87</f>
        <v>0</v>
      </c>
      <c r="G87">
        <f>'Monthly Data'!BO87</f>
        <v>28</v>
      </c>
      <c r="H87">
        <f>'Monthly Data'!BR87</f>
        <v>0.5</v>
      </c>
      <c r="I87" s="17">
        <f>'Monthly Data'!AO87</f>
        <v>7124.8</v>
      </c>
      <c r="J87">
        <f>'Monthly Data'!BM87</f>
        <v>0</v>
      </c>
      <c r="L87" s="17">
        <f t="shared" si="14"/>
        <v>-2608738.8393219002</v>
      </c>
      <c r="M87" s="17">
        <f t="shared" si="15"/>
        <v>3007086.4353614785</v>
      </c>
      <c r="N87" s="17">
        <f t="shared" si="16"/>
        <v>0</v>
      </c>
      <c r="O87" s="17">
        <f t="shared" si="17"/>
        <v>8370433.8861582046</v>
      </c>
      <c r="P87" s="17">
        <f t="shared" si="18"/>
        <v>-593562.30970697501</v>
      </c>
      <c r="Q87" s="17">
        <f t="shared" si="19"/>
        <v>3918629.0594202466</v>
      </c>
      <c r="R87" s="17">
        <f t="shared" si="20"/>
        <v>0</v>
      </c>
      <c r="S87" s="17">
        <f t="shared" si="21"/>
        <v>12093848.231911056</v>
      </c>
      <c r="T87" s="17">
        <f t="shared" si="22"/>
        <v>-347534.03984722868</v>
      </c>
      <c r="U87" s="29">
        <f t="shared" si="13"/>
        <v>2.7933716065949098E-2</v>
      </c>
    </row>
    <row r="88" spans="1:21" x14ac:dyDescent="0.2">
      <c r="A88" s="206">
        <f>'Monthly Data'!A88</f>
        <v>44256</v>
      </c>
      <c r="B88">
        <f>'Monthly Data'!C88</f>
        <v>3</v>
      </c>
      <c r="C88">
        <f>'Monthly Data'!B88</f>
        <v>2021</v>
      </c>
      <c r="D88" s="18">
        <f>'Monthly Data'!J88</f>
        <v>12206975.695854843</v>
      </c>
      <c r="E88" s="10">
        <f>'Monthly Data'!AI88</f>
        <v>380.87637558837855</v>
      </c>
      <c r="F88" s="214">
        <f>'Monthly Data'!AB88</f>
        <v>0</v>
      </c>
      <c r="G88">
        <f>'Monthly Data'!BO88</f>
        <v>31</v>
      </c>
      <c r="H88">
        <f>'Monthly Data'!BR88</f>
        <v>0.5</v>
      </c>
      <c r="I88" s="17">
        <f>'Monthly Data'!AO88</f>
        <v>7129.5</v>
      </c>
      <c r="J88">
        <f>'Monthly Data'!BM88</f>
        <v>0</v>
      </c>
      <c r="L88" s="17">
        <f t="shared" si="14"/>
        <v>-2608738.8393219002</v>
      </c>
      <c r="M88" s="17">
        <f t="shared" si="15"/>
        <v>1961640.2536238525</v>
      </c>
      <c r="N88" s="17">
        <f t="shared" si="16"/>
        <v>0</v>
      </c>
      <c r="O88" s="17">
        <f t="shared" si="17"/>
        <v>9267266.0882465839</v>
      </c>
      <c r="P88" s="17">
        <f t="shared" si="18"/>
        <v>-593562.30970697501</v>
      </c>
      <c r="Q88" s="17">
        <f t="shared" si="19"/>
        <v>3921214.0522030997</v>
      </c>
      <c r="R88" s="17">
        <f t="shared" si="20"/>
        <v>0</v>
      </c>
      <c r="S88" s="17">
        <f t="shared" si="21"/>
        <v>11947819.245044662</v>
      </c>
      <c r="T88" s="17">
        <f t="shared" si="22"/>
        <v>-259156.45081018098</v>
      </c>
      <c r="U88" s="29">
        <f t="shared" si="13"/>
        <v>2.123019306888466E-2</v>
      </c>
    </row>
    <row r="89" spans="1:21" x14ac:dyDescent="0.2">
      <c r="A89" s="206">
        <f>'Monthly Data'!A89</f>
        <v>44287</v>
      </c>
      <c r="B89">
        <f>'Monthly Data'!C89</f>
        <v>4</v>
      </c>
      <c r="C89">
        <f>'Monthly Data'!B89</f>
        <v>2021</v>
      </c>
      <c r="D89" s="18">
        <f>'Monthly Data'!J89</f>
        <v>10295742.099951401</v>
      </c>
      <c r="E89" s="10">
        <f>'Monthly Data'!AI89</f>
        <v>152.30624999999998</v>
      </c>
      <c r="F89" s="214">
        <f>'Monthly Data'!AB89</f>
        <v>0</v>
      </c>
      <c r="G89">
        <f>'Monthly Data'!BO89</f>
        <v>30</v>
      </c>
      <c r="H89">
        <f>'Monthly Data'!BR89</f>
        <v>0.5</v>
      </c>
      <c r="I89" s="17">
        <f>'Monthly Data'!AO89</f>
        <v>7197</v>
      </c>
      <c r="J89">
        <f>'Monthly Data'!BM89</f>
        <v>0</v>
      </c>
      <c r="L89" s="17">
        <f t="shared" si="14"/>
        <v>-2608738.8393219002</v>
      </c>
      <c r="M89" s="17">
        <f t="shared" si="15"/>
        <v>784427.94047532417</v>
      </c>
      <c r="N89" s="17">
        <f t="shared" si="16"/>
        <v>0</v>
      </c>
      <c r="O89" s="17">
        <f t="shared" si="17"/>
        <v>8968322.0208837911</v>
      </c>
      <c r="P89" s="17">
        <f t="shared" si="18"/>
        <v>-593562.30970697501</v>
      </c>
      <c r="Q89" s="17">
        <f t="shared" si="19"/>
        <v>3958338.9485525927</v>
      </c>
      <c r="R89" s="17">
        <f t="shared" si="20"/>
        <v>0</v>
      </c>
      <c r="S89" s="17">
        <f t="shared" si="21"/>
        <v>10508787.760882832</v>
      </c>
      <c r="T89" s="17">
        <f t="shared" si="22"/>
        <v>213045.66093143076</v>
      </c>
      <c r="U89" s="29">
        <f t="shared" si="13"/>
        <v>2.0692598829999478E-2</v>
      </c>
    </row>
    <row r="90" spans="1:21" x14ac:dyDescent="0.2">
      <c r="A90" s="206">
        <f>'Monthly Data'!A90</f>
        <v>44317</v>
      </c>
      <c r="B90">
        <f>'Monthly Data'!C90</f>
        <v>5</v>
      </c>
      <c r="C90">
        <f>'Monthly Data'!B90</f>
        <v>2021</v>
      </c>
      <c r="D90" s="18">
        <f>'Monthly Data'!J90</f>
        <v>9972226.6940479614</v>
      </c>
      <c r="E90" s="10">
        <f>'Monthly Data'!AI90</f>
        <v>61.727083333333333</v>
      </c>
      <c r="F90" s="214">
        <f>'Monthly Data'!AB90</f>
        <v>12.579166666666673</v>
      </c>
      <c r="G90">
        <f>'Monthly Data'!BO90</f>
        <v>31</v>
      </c>
      <c r="H90">
        <f>'Monthly Data'!BR90</f>
        <v>0.5</v>
      </c>
      <c r="I90" s="17">
        <f>'Monthly Data'!AO90</f>
        <v>7237.7</v>
      </c>
      <c r="J90">
        <f>'Monthly Data'!BM90</f>
        <v>0</v>
      </c>
      <c r="L90" s="17">
        <f t="shared" si="14"/>
        <v>-2608738.8393219002</v>
      </c>
      <c r="M90" s="17">
        <f t="shared" si="15"/>
        <v>317915.04846790846</v>
      </c>
      <c r="N90" s="17">
        <f t="shared" si="16"/>
        <v>156466.01361187708</v>
      </c>
      <c r="O90" s="17">
        <f t="shared" si="17"/>
        <v>9267266.0882465839</v>
      </c>
      <c r="P90" s="17">
        <f t="shared" si="18"/>
        <v>-593562.30970697501</v>
      </c>
      <c r="Q90" s="17">
        <f t="shared" si="19"/>
        <v>3980723.8860551757</v>
      </c>
      <c r="R90" s="17">
        <f t="shared" si="20"/>
        <v>0</v>
      </c>
      <c r="S90" s="17">
        <f t="shared" si="21"/>
        <v>10520069.88735267</v>
      </c>
      <c r="T90" s="17">
        <f t="shared" si="22"/>
        <v>547843.19330470823</v>
      </c>
      <c r="U90" s="29">
        <f t="shared" si="13"/>
        <v>5.4936897256025553E-2</v>
      </c>
    </row>
    <row r="91" spans="1:21" x14ac:dyDescent="0.2">
      <c r="A91" s="206">
        <f>'Monthly Data'!A91</f>
        <v>44348</v>
      </c>
      <c r="B91">
        <f>'Monthly Data'!C91</f>
        <v>6</v>
      </c>
      <c r="C91">
        <f>'Monthly Data'!B91</f>
        <v>2021</v>
      </c>
      <c r="D91" s="18">
        <f>'Monthly Data'!J91</f>
        <v>9973847.388144521</v>
      </c>
      <c r="E91" s="10">
        <f>'Monthly Data'!AI91</f>
        <v>1.3708333333333318</v>
      </c>
      <c r="F91" s="214">
        <f>'Monthly Data'!AB91</f>
        <v>25.816666666666659</v>
      </c>
      <c r="G91">
        <f>'Monthly Data'!BO91</f>
        <v>30</v>
      </c>
      <c r="H91">
        <f>'Monthly Data'!BR91</f>
        <v>0.5</v>
      </c>
      <c r="I91" s="17">
        <f>'Monthly Data'!AO91</f>
        <v>7293</v>
      </c>
      <c r="J91">
        <f>'Monthly Data'!BM91</f>
        <v>0</v>
      </c>
      <c r="L91" s="17">
        <f t="shared" si="14"/>
        <v>-2608738.8393219002</v>
      </c>
      <c r="M91" s="17">
        <f t="shared" si="15"/>
        <v>7060.2484691310383</v>
      </c>
      <c r="N91" s="17">
        <f t="shared" si="16"/>
        <v>321120.70895633969</v>
      </c>
      <c r="O91" s="17">
        <f t="shared" si="17"/>
        <v>8968322.0208837911</v>
      </c>
      <c r="P91" s="17">
        <f t="shared" si="18"/>
        <v>-593562.30970697501</v>
      </c>
      <c r="Q91" s="17">
        <f t="shared" si="19"/>
        <v>4011138.8011385379</v>
      </c>
      <c r="R91" s="17">
        <f t="shared" si="20"/>
        <v>0</v>
      </c>
      <c r="S91" s="17">
        <f t="shared" si="21"/>
        <v>10105340.630418926</v>
      </c>
      <c r="T91" s="17">
        <f t="shared" si="22"/>
        <v>131493.24227440543</v>
      </c>
      <c r="U91" s="29">
        <f t="shared" si="13"/>
        <v>1.3183803316532168E-2</v>
      </c>
    </row>
    <row r="92" spans="1:21" x14ac:dyDescent="0.2">
      <c r="A92" s="206">
        <f>'Monthly Data'!A92</f>
        <v>44378</v>
      </c>
      <c r="B92">
        <f>'Monthly Data'!C92</f>
        <v>7</v>
      </c>
      <c r="C92">
        <f>'Monthly Data'!B92</f>
        <v>2021</v>
      </c>
      <c r="D92" s="18">
        <f>'Monthly Data'!J92</f>
        <v>10877601.992241079</v>
      </c>
      <c r="E92" s="10">
        <f>'Monthly Data'!AI92</f>
        <v>0</v>
      </c>
      <c r="F92" s="214">
        <f>'Monthly Data'!AB92</f>
        <v>41.341666666666697</v>
      </c>
      <c r="G92">
        <f>'Monthly Data'!BO92</f>
        <v>31</v>
      </c>
      <c r="H92">
        <f>'Monthly Data'!BR92</f>
        <v>0.5</v>
      </c>
      <c r="I92" s="17">
        <f>'Monthly Data'!AO92</f>
        <v>7391.8</v>
      </c>
      <c r="J92">
        <f>'Monthly Data'!BM92</f>
        <v>0</v>
      </c>
      <c r="L92" s="17">
        <f t="shared" si="14"/>
        <v>-2608738.8393219002</v>
      </c>
      <c r="M92" s="17">
        <f t="shared" si="15"/>
        <v>0</v>
      </c>
      <c r="N92" s="17">
        <f t="shared" si="16"/>
        <v>514228.48196656001</v>
      </c>
      <c r="O92" s="17">
        <f t="shared" si="17"/>
        <v>9267266.0882465839</v>
      </c>
      <c r="P92" s="17">
        <f t="shared" si="18"/>
        <v>-593562.30970697501</v>
      </c>
      <c r="Q92" s="17">
        <f t="shared" si="19"/>
        <v>4065478.6494249068</v>
      </c>
      <c r="R92" s="17">
        <f t="shared" si="20"/>
        <v>0</v>
      </c>
      <c r="S92" s="17">
        <f t="shared" si="21"/>
        <v>10644672.070609175</v>
      </c>
      <c r="T92" s="17">
        <f t="shared" si="22"/>
        <v>-232929.92163190432</v>
      </c>
      <c r="U92" s="29">
        <f t="shared" si="13"/>
        <v>2.1413719843587923E-2</v>
      </c>
    </row>
    <row r="93" spans="1:21" x14ac:dyDescent="0.2">
      <c r="A93" s="206">
        <f>'Monthly Data'!A93</f>
        <v>44409</v>
      </c>
      <c r="B93">
        <f>'Monthly Data'!C93</f>
        <v>8</v>
      </c>
      <c r="C93">
        <f>'Monthly Data'!B93</f>
        <v>2021</v>
      </c>
      <c r="D93" s="18">
        <f>'Monthly Data'!J93</f>
        <v>11280808.316337638</v>
      </c>
      <c r="E93" s="10">
        <f>'Monthly Data'!AI93</f>
        <v>0</v>
      </c>
      <c r="F93" s="214">
        <f>'Monthly Data'!AB93</f>
        <v>69.433333333333337</v>
      </c>
      <c r="G93">
        <f>'Monthly Data'!BO93</f>
        <v>31</v>
      </c>
      <c r="H93">
        <f>'Monthly Data'!BR93</f>
        <v>0.5</v>
      </c>
      <c r="I93" s="17">
        <f>'Monthly Data'!AO93</f>
        <v>7475.2</v>
      </c>
      <c r="J93">
        <f>'Monthly Data'!BM93</f>
        <v>0</v>
      </c>
      <c r="L93" s="17">
        <f t="shared" si="14"/>
        <v>-2608738.8393219002</v>
      </c>
      <c r="M93" s="17">
        <f t="shared" si="15"/>
        <v>0</v>
      </c>
      <c r="N93" s="17">
        <f t="shared" si="16"/>
        <v>863646.78728993656</v>
      </c>
      <c r="O93" s="17">
        <f t="shared" si="17"/>
        <v>9267266.0882465839</v>
      </c>
      <c r="P93" s="17">
        <f t="shared" si="18"/>
        <v>-593562.30970697501</v>
      </c>
      <c r="Q93" s="17">
        <f t="shared" si="19"/>
        <v>4111348.5213589468</v>
      </c>
      <c r="R93" s="17">
        <f t="shared" si="20"/>
        <v>0</v>
      </c>
      <c r="S93" s="17">
        <f t="shared" si="21"/>
        <v>11039960.247866591</v>
      </c>
      <c r="T93" s="17">
        <f t="shared" si="22"/>
        <v>-240848.06847104616</v>
      </c>
      <c r="U93" s="29">
        <f t="shared" si="13"/>
        <v>2.1350249176934736E-2</v>
      </c>
    </row>
    <row r="94" spans="1:21" x14ac:dyDescent="0.2">
      <c r="A94" s="206">
        <f>'Monthly Data'!A94</f>
        <v>44440</v>
      </c>
      <c r="B94">
        <f>'Monthly Data'!C94</f>
        <v>9</v>
      </c>
      <c r="C94">
        <f>'Monthly Data'!B94</f>
        <v>2021</v>
      </c>
      <c r="D94" s="18">
        <f>'Monthly Data'!J94</f>
        <v>10087037.710434197</v>
      </c>
      <c r="E94" s="10">
        <f>'Monthly Data'!AI94</f>
        <v>5.2583333333333302</v>
      </c>
      <c r="F94" s="214">
        <f>'Monthly Data'!AB94</f>
        <v>0.25416666666666288</v>
      </c>
      <c r="G94">
        <f>'Monthly Data'!BO94</f>
        <v>30</v>
      </c>
      <c r="H94">
        <f>'Monthly Data'!BR94</f>
        <v>0.5</v>
      </c>
      <c r="I94" s="17">
        <f>'Monthly Data'!AO94</f>
        <v>7503.2</v>
      </c>
      <c r="J94">
        <f>'Monthly Data'!BM94</f>
        <v>1</v>
      </c>
      <c r="L94" s="17">
        <f t="shared" si="14"/>
        <v>-2608738.8393219002</v>
      </c>
      <c r="M94" s="17">
        <f t="shared" si="15"/>
        <v>27082.168899827888</v>
      </c>
      <c r="N94" s="17">
        <f t="shared" si="16"/>
        <v>3161.4530739729562</v>
      </c>
      <c r="O94" s="17">
        <f t="shared" si="17"/>
        <v>8968322.0208837911</v>
      </c>
      <c r="P94" s="17">
        <f t="shared" si="18"/>
        <v>-593562.30970697501</v>
      </c>
      <c r="Q94" s="17">
        <f t="shared" si="19"/>
        <v>4126748.478363181</v>
      </c>
      <c r="R94" s="17">
        <f t="shared" si="20"/>
        <v>-307328.60270320397</v>
      </c>
      <c r="S94" s="17">
        <f t="shared" si="21"/>
        <v>9615684.3694886938</v>
      </c>
      <c r="T94" s="17">
        <f t="shared" si="22"/>
        <v>-471353.34094550274</v>
      </c>
      <c r="U94" s="29">
        <f t="shared" si="13"/>
        <v>4.6728618894517182E-2</v>
      </c>
    </row>
    <row r="95" spans="1:21" x14ac:dyDescent="0.2">
      <c r="A95" s="206">
        <f>'Monthly Data'!A95</f>
        <v>44470</v>
      </c>
      <c r="B95">
        <f>'Monthly Data'!C95</f>
        <v>10</v>
      </c>
      <c r="C95">
        <f>'Monthly Data'!B95</f>
        <v>2021</v>
      </c>
      <c r="D95" s="18">
        <f>'Monthly Data'!J95</f>
        <v>10403500.194530755</v>
      </c>
      <c r="E95" s="10">
        <f>'Monthly Data'!AI95</f>
        <v>60.793750000000003</v>
      </c>
      <c r="F95" s="214">
        <f>'Monthly Data'!AB95</f>
        <v>0</v>
      </c>
      <c r="G95">
        <f>'Monthly Data'!BO95</f>
        <v>31</v>
      </c>
      <c r="H95">
        <f>'Monthly Data'!BR95</f>
        <v>0.5</v>
      </c>
      <c r="I95" s="17">
        <f>'Monthly Data'!AO95</f>
        <v>7538.5</v>
      </c>
      <c r="J95">
        <f>'Monthly Data'!BM95</f>
        <v>1</v>
      </c>
      <c r="L95" s="17">
        <f t="shared" si="14"/>
        <v>-2608738.8393219002</v>
      </c>
      <c r="M95" s="17">
        <f t="shared" si="15"/>
        <v>313108.07078679797</v>
      </c>
      <c r="N95" s="17">
        <f t="shared" si="16"/>
        <v>0</v>
      </c>
      <c r="O95" s="17">
        <f t="shared" si="17"/>
        <v>9267266.0882465839</v>
      </c>
      <c r="P95" s="17">
        <f t="shared" si="18"/>
        <v>-593562.30970697501</v>
      </c>
      <c r="Q95" s="17">
        <f t="shared" si="19"/>
        <v>4146163.4241578048</v>
      </c>
      <c r="R95" s="17">
        <f t="shared" si="20"/>
        <v>-307328.60270320397</v>
      </c>
      <c r="S95" s="17">
        <f t="shared" si="21"/>
        <v>10216907.831459107</v>
      </c>
      <c r="T95" s="17">
        <f t="shared" si="22"/>
        <v>-186592.3630716484</v>
      </c>
      <c r="U95" s="29">
        <f t="shared" si="13"/>
        <v>1.7935537038749925E-2</v>
      </c>
    </row>
    <row r="96" spans="1:21" x14ac:dyDescent="0.2">
      <c r="A96" s="206">
        <f>'Monthly Data'!A96</f>
        <v>44501</v>
      </c>
      <c r="B96">
        <f>'Monthly Data'!C96</f>
        <v>11</v>
      </c>
      <c r="C96">
        <f>'Monthly Data'!B96</f>
        <v>2021</v>
      </c>
      <c r="D96" s="18">
        <f>'Monthly Data'!J96</f>
        <v>11423218.038627313</v>
      </c>
      <c r="E96" s="10">
        <f>'Monthly Data'!AI96</f>
        <v>316.31041666666664</v>
      </c>
      <c r="F96" s="214">
        <f>'Monthly Data'!AB96</f>
        <v>0</v>
      </c>
      <c r="G96">
        <f>'Monthly Data'!BO96</f>
        <v>30</v>
      </c>
      <c r="H96">
        <f>'Monthly Data'!BR96</f>
        <v>0.5</v>
      </c>
      <c r="I96" s="17">
        <f>'Monthly Data'!AO96</f>
        <v>7590.1</v>
      </c>
      <c r="J96">
        <f>'Monthly Data'!BM96</f>
        <v>0</v>
      </c>
      <c r="L96" s="17">
        <f t="shared" si="14"/>
        <v>-2608738.8393219002</v>
      </c>
      <c r="M96" s="17">
        <f t="shared" si="15"/>
        <v>1629104.0498779598</v>
      </c>
      <c r="N96" s="17">
        <f t="shared" si="16"/>
        <v>0</v>
      </c>
      <c r="O96" s="17">
        <f t="shared" si="17"/>
        <v>8968322.0208837911</v>
      </c>
      <c r="P96" s="17">
        <f t="shared" si="18"/>
        <v>-593562.30970697501</v>
      </c>
      <c r="Q96" s="17">
        <f t="shared" si="19"/>
        <v>4174543.3449227507</v>
      </c>
      <c r="R96" s="17">
        <f t="shared" si="20"/>
        <v>0</v>
      </c>
      <c r="S96" s="17">
        <f t="shared" si="21"/>
        <v>11569668.266655628</v>
      </c>
      <c r="T96" s="17">
        <f t="shared" si="22"/>
        <v>146450.22802831419</v>
      </c>
      <c r="U96" s="29">
        <f t="shared" si="13"/>
        <v>1.2820400305158894E-2</v>
      </c>
    </row>
    <row r="97" spans="1:21" x14ac:dyDescent="0.2">
      <c r="A97" s="206">
        <f>'Monthly Data'!A97</f>
        <v>44531</v>
      </c>
      <c r="B97">
        <f>'Monthly Data'!C97</f>
        <v>12</v>
      </c>
      <c r="C97">
        <f>'Monthly Data'!B97</f>
        <v>2021</v>
      </c>
      <c r="D97" s="18">
        <f>'Monthly Data'!J97</f>
        <v>13132583.892723873</v>
      </c>
      <c r="E97" s="10">
        <f>'Monthly Data'!AI97</f>
        <v>509.20416666666665</v>
      </c>
      <c r="F97" s="214">
        <f>'Monthly Data'!AB97</f>
        <v>0</v>
      </c>
      <c r="G97">
        <f>'Monthly Data'!BO97</f>
        <v>31</v>
      </c>
      <c r="H97">
        <f>'Monthly Data'!BR97</f>
        <v>0.5</v>
      </c>
      <c r="I97" s="17">
        <f>'Monthly Data'!AO97</f>
        <v>7647.5</v>
      </c>
      <c r="J97">
        <f>'Monthly Data'!BM97</f>
        <v>0</v>
      </c>
      <c r="L97" s="17">
        <f t="shared" si="14"/>
        <v>-2608738.8393219002</v>
      </c>
      <c r="M97" s="17">
        <f t="shared" si="15"/>
        <v>2622571.1403162191</v>
      </c>
      <c r="N97" s="17">
        <f t="shared" si="16"/>
        <v>0</v>
      </c>
      <c r="O97" s="17">
        <f t="shared" si="17"/>
        <v>9267266.0882465839</v>
      </c>
      <c r="P97" s="17">
        <f t="shared" si="18"/>
        <v>-593562.30970697501</v>
      </c>
      <c r="Q97" s="17">
        <f t="shared" si="19"/>
        <v>4206113.25678143</v>
      </c>
      <c r="R97" s="17">
        <f t="shared" si="20"/>
        <v>0</v>
      </c>
      <c r="S97" s="17">
        <f t="shared" si="21"/>
        <v>12893649.336315356</v>
      </c>
      <c r="T97" s="17">
        <f t="shared" si="22"/>
        <v>-238934.55640851706</v>
      </c>
      <c r="U97" s="29">
        <f t="shared" si="13"/>
        <v>1.8194024752501228E-2</v>
      </c>
    </row>
    <row r="98" spans="1:21" x14ac:dyDescent="0.2">
      <c r="A98" s="206">
        <f>'Monthly Data'!A98</f>
        <v>44562</v>
      </c>
      <c r="B98">
        <f>'Monthly Data'!C98</f>
        <v>1</v>
      </c>
      <c r="C98">
        <f>'Monthly Data'!B98</f>
        <v>2022</v>
      </c>
      <c r="D98" s="18">
        <f>'Monthly Data'!J98</f>
        <v>14636954.815922895</v>
      </c>
      <c r="E98" s="10">
        <f>'Monthly Data'!AI98</f>
        <v>817.08333333333314</v>
      </c>
      <c r="F98" s="214">
        <f>'Monthly Data'!AB98</f>
        <v>0</v>
      </c>
      <c r="G98">
        <f>'Monthly Data'!BO98</f>
        <v>31</v>
      </c>
      <c r="H98">
        <f>'Monthly Data'!BR98</f>
        <v>0.25</v>
      </c>
      <c r="I98" s="17">
        <f>'Monthly Data'!AO98</f>
        <v>7595.1</v>
      </c>
      <c r="J98">
        <f>'Monthly Data'!BM98</f>
        <v>0</v>
      </c>
      <c r="L98" s="17">
        <f t="shared" si="14"/>
        <v>-2608738.8393219002</v>
      </c>
      <c r="M98" s="17">
        <f t="shared" si="15"/>
        <v>4208251.4431507532</v>
      </c>
      <c r="N98" s="17">
        <f t="shared" si="16"/>
        <v>0</v>
      </c>
      <c r="O98" s="17">
        <f t="shared" si="17"/>
        <v>9267266.0882465839</v>
      </c>
      <c r="P98" s="17">
        <f t="shared" si="18"/>
        <v>-296781.1548534875</v>
      </c>
      <c r="Q98" s="17">
        <f t="shared" si="19"/>
        <v>4177293.3372449353</v>
      </c>
      <c r="R98" s="17">
        <f t="shared" si="20"/>
        <v>0</v>
      </c>
      <c r="S98" s="17">
        <f t="shared" si="21"/>
        <v>14747290.874466885</v>
      </c>
      <c r="T98" s="17">
        <f t="shared" si="22"/>
        <v>110336.05854398943</v>
      </c>
      <c r="U98" s="29">
        <f t="shared" ref="U98:U121" si="23">ABS(T98/D98)</f>
        <v>7.5381839960289906E-3</v>
      </c>
    </row>
    <row r="99" spans="1:21" x14ac:dyDescent="0.2">
      <c r="A99" s="206">
        <f>'Monthly Data'!A99</f>
        <v>44593</v>
      </c>
      <c r="B99">
        <f>'Monthly Data'!C99</f>
        <v>2</v>
      </c>
      <c r="C99">
        <f>'Monthly Data'!B99</f>
        <v>2022</v>
      </c>
      <c r="D99" s="18">
        <f>'Monthly Data'!J99</f>
        <v>13076799.903353576</v>
      </c>
      <c r="E99" s="10">
        <f>'Monthly Data'!AI99</f>
        <v>627.50000000000011</v>
      </c>
      <c r="F99" s="214">
        <f>'Monthly Data'!AB99</f>
        <v>0</v>
      </c>
      <c r="G99">
        <f>'Monthly Data'!BO99</f>
        <v>28</v>
      </c>
      <c r="H99">
        <f>'Monthly Data'!BR99</f>
        <v>0.25</v>
      </c>
      <c r="I99" s="17">
        <f>'Monthly Data'!AO99</f>
        <v>7588.8</v>
      </c>
      <c r="J99">
        <f>'Monthly Data'!BM99</f>
        <v>0</v>
      </c>
      <c r="L99" s="17">
        <f t="shared" si="14"/>
        <v>-2608738.8393219002</v>
      </c>
      <c r="M99" s="17">
        <f t="shared" si="15"/>
        <v>3231834.1016751849</v>
      </c>
      <c r="N99" s="17">
        <f t="shared" si="16"/>
        <v>0</v>
      </c>
      <c r="O99" s="17">
        <f t="shared" si="17"/>
        <v>8370433.8861582046</v>
      </c>
      <c r="P99" s="17">
        <f t="shared" si="18"/>
        <v>-296781.1548534875</v>
      </c>
      <c r="Q99" s="17">
        <f t="shared" si="19"/>
        <v>4173828.3469189825</v>
      </c>
      <c r="R99" s="17">
        <f t="shared" si="20"/>
        <v>0</v>
      </c>
      <c r="S99" s="17">
        <f t="shared" si="21"/>
        <v>12870576.340576984</v>
      </c>
      <c r="T99" s="17">
        <f t="shared" si="22"/>
        <v>-206223.56277659163</v>
      </c>
      <c r="U99" s="29">
        <f t="shared" si="23"/>
        <v>1.5770185695332475E-2</v>
      </c>
    </row>
    <row r="100" spans="1:21" x14ac:dyDescent="0.2">
      <c r="A100" s="206">
        <f>'Monthly Data'!A100</f>
        <v>44621</v>
      </c>
      <c r="B100">
        <f>'Monthly Data'!C100</f>
        <v>3</v>
      </c>
      <c r="C100">
        <f>'Monthly Data'!B100</f>
        <v>2022</v>
      </c>
      <c r="D100" s="18">
        <f>'Monthly Data'!J100</f>
        <v>13153699.890784256</v>
      </c>
      <c r="E100" s="10">
        <f>'Monthly Data'!AI100</f>
        <v>459.76804225504515</v>
      </c>
      <c r="F100" s="214">
        <f>'Monthly Data'!AB100</f>
        <v>0</v>
      </c>
      <c r="G100">
        <f>'Monthly Data'!BO100</f>
        <v>31</v>
      </c>
      <c r="H100">
        <f>'Monthly Data'!BR100</f>
        <v>0.25</v>
      </c>
      <c r="I100" s="17">
        <f>'Monthly Data'!AO100</f>
        <v>7573.4</v>
      </c>
      <c r="J100">
        <f>'Monthly Data'!BM100</f>
        <v>0</v>
      </c>
      <c r="L100" s="17">
        <f t="shared" si="14"/>
        <v>-2608738.8393219002</v>
      </c>
      <c r="M100" s="17">
        <f t="shared" si="15"/>
        <v>2367958.6260084333</v>
      </c>
      <c r="N100" s="17">
        <f t="shared" si="16"/>
        <v>0</v>
      </c>
      <c r="O100" s="17">
        <f t="shared" si="17"/>
        <v>9267266.0882465839</v>
      </c>
      <c r="P100" s="17">
        <f t="shared" si="18"/>
        <v>-296781.1548534875</v>
      </c>
      <c r="Q100" s="17">
        <f t="shared" si="19"/>
        <v>4165358.3705666536</v>
      </c>
      <c r="R100" s="17">
        <f t="shared" si="20"/>
        <v>0</v>
      </c>
      <c r="S100" s="17">
        <f t="shared" si="21"/>
        <v>12895063.090646282</v>
      </c>
      <c r="T100" s="17">
        <f t="shared" si="22"/>
        <v>-258636.80013797432</v>
      </c>
      <c r="U100" s="29">
        <f t="shared" si="23"/>
        <v>1.966266543143351E-2</v>
      </c>
    </row>
    <row r="101" spans="1:21" x14ac:dyDescent="0.2">
      <c r="A101" s="206">
        <f>'Monthly Data'!A101</f>
        <v>44652</v>
      </c>
      <c r="B101">
        <f>'Monthly Data'!C101</f>
        <v>4</v>
      </c>
      <c r="C101">
        <f>'Monthly Data'!B101</f>
        <v>2022</v>
      </c>
      <c r="D101" s="18">
        <f>'Monthly Data'!J101</f>
        <v>11319018.888214933</v>
      </c>
      <c r="E101" s="10">
        <f>'Monthly Data'!AI101</f>
        <v>221.58125000000004</v>
      </c>
      <c r="F101" s="214">
        <f>'Monthly Data'!AB101</f>
        <v>0</v>
      </c>
      <c r="G101">
        <f>'Monthly Data'!BO101</f>
        <v>30</v>
      </c>
      <c r="H101">
        <f>'Monthly Data'!BR101</f>
        <v>0.25</v>
      </c>
      <c r="I101" s="17">
        <f>'Monthly Data'!AO101</f>
        <v>7670</v>
      </c>
      <c r="J101">
        <f>'Monthly Data'!BM101</f>
        <v>0</v>
      </c>
      <c r="L101" s="17">
        <f t="shared" si="14"/>
        <v>-2608738.8393219002</v>
      </c>
      <c r="M101" s="17">
        <f t="shared" si="15"/>
        <v>1141217.274967035</v>
      </c>
      <c r="N101" s="17">
        <f t="shared" si="16"/>
        <v>0</v>
      </c>
      <c r="O101" s="17">
        <f t="shared" si="17"/>
        <v>8968322.0208837911</v>
      </c>
      <c r="P101" s="17">
        <f t="shared" si="18"/>
        <v>-296781.1548534875</v>
      </c>
      <c r="Q101" s="17">
        <f t="shared" si="19"/>
        <v>4218488.2222312614</v>
      </c>
      <c r="R101" s="17">
        <f t="shared" si="20"/>
        <v>0</v>
      </c>
      <c r="S101" s="17">
        <f t="shared" si="21"/>
        <v>11422507.5239067</v>
      </c>
      <c r="T101" s="17">
        <f t="shared" si="22"/>
        <v>103488.63569176756</v>
      </c>
      <c r="U101" s="29">
        <f t="shared" si="23"/>
        <v>9.1428980474197487E-3</v>
      </c>
    </row>
    <row r="102" spans="1:21" x14ac:dyDescent="0.2">
      <c r="A102" s="206">
        <f>'Monthly Data'!A102</f>
        <v>44682</v>
      </c>
      <c r="B102">
        <f>'Monthly Data'!C102</f>
        <v>5</v>
      </c>
      <c r="C102">
        <f>'Monthly Data'!B102</f>
        <v>2022</v>
      </c>
      <c r="D102" s="18">
        <f>'Monthly Data'!J102</f>
        <v>10617832.325645614</v>
      </c>
      <c r="E102" s="10">
        <f>'Monthly Data'!AI102</f>
        <v>14.455542255045183</v>
      </c>
      <c r="F102" s="214">
        <f>'Monthly Data'!AB102</f>
        <v>18.550000000000004</v>
      </c>
      <c r="G102">
        <f>'Monthly Data'!BO102</f>
        <v>31</v>
      </c>
      <c r="H102">
        <f>'Monthly Data'!BR102</f>
        <v>0.25</v>
      </c>
      <c r="I102" s="17">
        <f>'Monthly Data'!AO102</f>
        <v>7738.6</v>
      </c>
      <c r="J102">
        <f>'Monthly Data'!BM102</f>
        <v>0</v>
      </c>
      <c r="L102" s="17">
        <f t="shared" si="14"/>
        <v>-2608738.8393219002</v>
      </c>
      <c r="M102" s="17">
        <f t="shared" si="15"/>
        <v>74450.859630377076</v>
      </c>
      <c r="N102" s="17">
        <f t="shared" si="16"/>
        <v>230734.24730045596</v>
      </c>
      <c r="O102" s="17">
        <f t="shared" si="17"/>
        <v>9267266.0882465839</v>
      </c>
      <c r="P102" s="17">
        <f t="shared" si="18"/>
        <v>-296781.1548534875</v>
      </c>
      <c r="Q102" s="17">
        <f t="shared" si="19"/>
        <v>4256218.1168916347</v>
      </c>
      <c r="R102" s="17">
        <f t="shared" si="20"/>
        <v>0</v>
      </c>
      <c r="S102" s="17">
        <f t="shared" si="21"/>
        <v>10923149.317893665</v>
      </c>
      <c r="T102" s="17">
        <f t="shared" si="22"/>
        <v>305316.99224805087</v>
      </c>
      <c r="U102" s="29">
        <f t="shared" si="23"/>
        <v>2.8755115251783387E-2</v>
      </c>
    </row>
    <row r="103" spans="1:21" x14ac:dyDescent="0.2">
      <c r="A103" s="206">
        <f>'Monthly Data'!A103</f>
        <v>44713</v>
      </c>
      <c r="B103">
        <f>'Monthly Data'!C103</f>
        <v>6</v>
      </c>
      <c r="C103">
        <f>'Monthly Data'!B103</f>
        <v>2022</v>
      </c>
      <c r="D103" s="18">
        <f>'Monthly Data'!J103</f>
        <v>10329832.053076293</v>
      </c>
      <c r="E103" s="10">
        <f>'Monthly Data'!AI103</f>
        <v>0</v>
      </c>
      <c r="F103" s="214">
        <f>'Monthly Data'!AB103</f>
        <v>24.42499999999999</v>
      </c>
      <c r="G103">
        <f>'Monthly Data'!BO103</f>
        <v>30</v>
      </c>
      <c r="H103">
        <f>'Monthly Data'!BR103</f>
        <v>0.25</v>
      </c>
      <c r="I103" s="17">
        <f>'Monthly Data'!AO103</f>
        <v>7809.2</v>
      </c>
      <c r="J103">
        <f>'Monthly Data'!BM103</f>
        <v>0</v>
      </c>
      <c r="L103" s="17">
        <f t="shared" si="14"/>
        <v>-2608738.8393219002</v>
      </c>
      <c r="M103" s="17">
        <f t="shared" si="15"/>
        <v>0</v>
      </c>
      <c r="N103" s="17">
        <f t="shared" si="16"/>
        <v>303810.45769884816</v>
      </c>
      <c r="O103" s="17">
        <f t="shared" si="17"/>
        <v>8968322.0208837911</v>
      </c>
      <c r="P103" s="17">
        <f t="shared" si="18"/>
        <v>-296781.1548534875</v>
      </c>
      <c r="Q103" s="17">
        <f t="shared" si="19"/>
        <v>4295048.0084808823</v>
      </c>
      <c r="R103" s="17">
        <f t="shared" si="20"/>
        <v>0</v>
      </c>
      <c r="S103" s="17">
        <f t="shared" si="21"/>
        <v>10661660.492888134</v>
      </c>
      <c r="T103" s="17">
        <f t="shared" si="22"/>
        <v>331828.43981184065</v>
      </c>
      <c r="U103" s="29">
        <f t="shared" si="23"/>
        <v>3.2123314116517504E-2</v>
      </c>
    </row>
    <row r="104" spans="1:21" x14ac:dyDescent="0.2">
      <c r="A104" s="206">
        <f>'Monthly Data'!A104</f>
        <v>44743</v>
      </c>
      <c r="B104">
        <f>'Monthly Data'!C104</f>
        <v>7</v>
      </c>
      <c r="C104">
        <f>'Monthly Data'!B104</f>
        <v>2022</v>
      </c>
      <c r="D104" s="18">
        <f>'Monthly Data'!J104</f>
        <v>11056407.640506973</v>
      </c>
      <c r="E104" s="10">
        <f>'Monthly Data'!AI104</f>
        <v>0</v>
      </c>
      <c r="F104" s="214">
        <f>'Monthly Data'!AB104</f>
        <v>40.464583333333323</v>
      </c>
      <c r="G104">
        <f>'Monthly Data'!BO104</f>
        <v>31</v>
      </c>
      <c r="H104">
        <f>'Monthly Data'!BR104</f>
        <v>0.25</v>
      </c>
      <c r="I104" s="17">
        <f>'Monthly Data'!AO104</f>
        <v>7843.6</v>
      </c>
      <c r="J104">
        <f>'Monthly Data'!BM104</f>
        <v>0</v>
      </c>
      <c r="L104" s="17">
        <f t="shared" si="14"/>
        <v>-2608738.8393219002</v>
      </c>
      <c r="M104" s="17">
        <f t="shared" si="15"/>
        <v>0</v>
      </c>
      <c r="N104" s="17">
        <f t="shared" si="16"/>
        <v>503318.87750637397</v>
      </c>
      <c r="O104" s="17">
        <f t="shared" si="17"/>
        <v>9267266.0882465839</v>
      </c>
      <c r="P104" s="17">
        <f t="shared" si="18"/>
        <v>-296781.1548534875</v>
      </c>
      <c r="Q104" s="17">
        <f t="shared" si="19"/>
        <v>4313967.9556575129</v>
      </c>
      <c r="R104" s="17">
        <f t="shared" si="20"/>
        <v>0</v>
      </c>
      <c r="S104" s="17">
        <f t="shared" si="21"/>
        <v>11179032.927235082</v>
      </c>
      <c r="T104" s="17">
        <f t="shared" si="22"/>
        <v>122625.2867281083</v>
      </c>
      <c r="U104" s="29">
        <f t="shared" si="23"/>
        <v>1.1090879670432043E-2</v>
      </c>
    </row>
    <row r="105" spans="1:21" x14ac:dyDescent="0.2">
      <c r="A105" s="206">
        <f>'Monthly Data'!A105</f>
        <v>44774</v>
      </c>
      <c r="B105">
        <f>'Monthly Data'!C105</f>
        <v>8</v>
      </c>
      <c r="C105">
        <f>'Monthly Data'!B105</f>
        <v>2022</v>
      </c>
      <c r="D105" s="18">
        <f>'Monthly Data'!J105</f>
        <v>10980512.797937652</v>
      </c>
      <c r="E105" s="10">
        <f>'Monthly Data'!AI105</f>
        <v>0</v>
      </c>
      <c r="F105" s="214">
        <f>'Monthly Data'!AB105</f>
        <v>36.270833333333314</v>
      </c>
      <c r="G105">
        <f>'Monthly Data'!BO105</f>
        <v>31</v>
      </c>
      <c r="H105">
        <f>'Monthly Data'!BR105</f>
        <v>0.25</v>
      </c>
      <c r="I105" s="17">
        <f>'Monthly Data'!AO105</f>
        <v>7825.4</v>
      </c>
      <c r="J105">
        <f>'Monthly Data'!BM105</f>
        <v>0</v>
      </c>
      <c r="L105" s="17">
        <f t="shared" si="14"/>
        <v>-2608738.8393219002</v>
      </c>
      <c r="M105" s="17">
        <f t="shared" si="15"/>
        <v>0</v>
      </c>
      <c r="N105" s="17">
        <f t="shared" si="16"/>
        <v>451154.90178581933</v>
      </c>
      <c r="O105" s="17">
        <f t="shared" si="17"/>
        <v>9267266.0882465839</v>
      </c>
      <c r="P105" s="17">
        <f t="shared" si="18"/>
        <v>-296781.1548534875</v>
      </c>
      <c r="Q105" s="17">
        <f t="shared" si="19"/>
        <v>4303957.9836047599</v>
      </c>
      <c r="R105" s="17">
        <f t="shared" si="20"/>
        <v>0</v>
      </c>
      <c r="S105" s="17">
        <f t="shared" si="21"/>
        <v>11116858.979461774</v>
      </c>
      <c r="T105" s="17">
        <f t="shared" si="22"/>
        <v>136346.18152412213</v>
      </c>
      <c r="U105" s="29">
        <f t="shared" si="23"/>
        <v>1.2417105105485649E-2</v>
      </c>
    </row>
    <row r="106" spans="1:21" x14ac:dyDescent="0.2">
      <c r="A106" s="206">
        <f>'Monthly Data'!A106</f>
        <v>44805</v>
      </c>
      <c r="B106">
        <f>'Monthly Data'!C106</f>
        <v>9</v>
      </c>
      <c r="C106">
        <f>'Monthly Data'!B106</f>
        <v>2022</v>
      </c>
      <c r="D106" s="18">
        <f>'Monthly Data'!J106</f>
        <v>10141321.345368331</v>
      </c>
      <c r="E106" s="10">
        <f>'Monthly Data'!AI106</f>
        <v>14.699292255045174</v>
      </c>
      <c r="F106" s="214">
        <f>'Monthly Data'!AB106</f>
        <v>8.2083333333333393</v>
      </c>
      <c r="G106">
        <f>'Monthly Data'!BO106</f>
        <v>30</v>
      </c>
      <c r="H106">
        <f>'Monthly Data'!BR106</f>
        <v>0.25</v>
      </c>
      <c r="I106" s="17">
        <f>'Monthly Data'!AO106</f>
        <v>7766.7</v>
      </c>
      <c r="J106">
        <f>'Monthly Data'!BM106</f>
        <v>1</v>
      </c>
      <c r="L106" s="17">
        <f t="shared" si="14"/>
        <v>-2608738.8393219002</v>
      </c>
      <c r="M106" s="17">
        <f t="shared" si="15"/>
        <v>75706.253355131339</v>
      </c>
      <c r="N106" s="17">
        <f t="shared" si="16"/>
        <v>102099.38615945607</v>
      </c>
      <c r="O106" s="17">
        <f t="shared" si="17"/>
        <v>8968322.0208837911</v>
      </c>
      <c r="P106" s="17">
        <f t="shared" si="18"/>
        <v>-296781.1548534875</v>
      </c>
      <c r="Q106" s="17">
        <f t="shared" si="19"/>
        <v>4271673.0737423124</v>
      </c>
      <c r="R106" s="17">
        <f t="shared" si="20"/>
        <v>-307328.60270320397</v>
      </c>
      <c r="S106" s="17">
        <f t="shared" si="21"/>
        <v>10204952.1372621</v>
      </c>
      <c r="T106" s="17">
        <f t="shared" si="22"/>
        <v>63630.791893769056</v>
      </c>
      <c r="U106" s="29">
        <f t="shared" si="23"/>
        <v>6.2744084056492342E-3</v>
      </c>
    </row>
    <row r="107" spans="1:21" x14ac:dyDescent="0.2">
      <c r="A107" s="206">
        <f>'Monthly Data'!A107</f>
        <v>44835</v>
      </c>
      <c r="B107">
        <f>'Monthly Data'!C107</f>
        <v>10</v>
      </c>
      <c r="C107">
        <f>'Monthly Data'!B107</f>
        <v>2022</v>
      </c>
      <c r="D107" s="18">
        <f>'Monthly Data'!J107</f>
        <v>10351131.972799011</v>
      </c>
      <c r="E107" s="10">
        <f>'Monthly Data'!AI107</f>
        <v>113.78608451009033</v>
      </c>
      <c r="F107" s="214">
        <f>'Monthly Data'!AB107</f>
        <v>0</v>
      </c>
      <c r="G107">
        <f>'Monthly Data'!BO107</f>
        <v>31</v>
      </c>
      <c r="H107">
        <f>'Monthly Data'!BR107</f>
        <v>0.25</v>
      </c>
      <c r="I107" s="17">
        <f>'Monthly Data'!AO107</f>
        <v>7743.5</v>
      </c>
      <c r="J107">
        <f>'Monthly Data'!BM107</f>
        <v>1</v>
      </c>
      <c r="L107" s="17">
        <f t="shared" si="14"/>
        <v>-2608738.8393219002</v>
      </c>
      <c r="M107" s="17">
        <f t="shared" si="15"/>
        <v>586036.25213674002</v>
      </c>
      <c r="N107" s="17">
        <f t="shared" si="16"/>
        <v>0</v>
      </c>
      <c r="O107" s="17">
        <f t="shared" si="17"/>
        <v>9267266.0882465839</v>
      </c>
      <c r="P107" s="17">
        <f t="shared" si="18"/>
        <v>-296781.1548534875</v>
      </c>
      <c r="Q107" s="17">
        <f t="shared" si="19"/>
        <v>4258913.1093673753</v>
      </c>
      <c r="R107" s="17">
        <f t="shared" si="20"/>
        <v>-307328.60270320397</v>
      </c>
      <c r="S107" s="17">
        <f t="shared" si="21"/>
        <v>10899366.852872107</v>
      </c>
      <c r="T107" s="17">
        <f t="shared" si="22"/>
        <v>548234.8800730966</v>
      </c>
      <c r="U107" s="29">
        <f t="shared" si="23"/>
        <v>5.2963761017999121E-2</v>
      </c>
    </row>
    <row r="108" spans="1:21" x14ac:dyDescent="0.2">
      <c r="A108" s="206">
        <f>'Monthly Data'!A108</f>
        <v>44866</v>
      </c>
      <c r="B108">
        <f>'Monthly Data'!C108</f>
        <v>11</v>
      </c>
      <c r="C108">
        <f>'Monthly Data'!B108</f>
        <v>2022</v>
      </c>
      <c r="D108" s="18">
        <f>'Monthly Data'!J108</f>
        <v>11539971.930229692</v>
      </c>
      <c r="E108" s="10">
        <f>'Monthly Data'!AI108</f>
        <v>283.5805422550452</v>
      </c>
      <c r="F108" s="214">
        <f>'Monthly Data'!AB108</f>
        <v>0</v>
      </c>
      <c r="G108">
        <f>'Monthly Data'!BO108</f>
        <v>30</v>
      </c>
      <c r="H108">
        <f>'Monthly Data'!BR108</f>
        <v>0.25</v>
      </c>
      <c r="I108" s="17">
        <f>'Monthly Data'!AO108</f>
        <v>7738.9</v>
      </c>
      <c r="J108">
        <f>'Monthly Data'!BM108</f>
        <v>0</v>
      </c>
      <c r="L108" s="17">
        <f t="shared" si="14"/>
        <v>-2608738.8393219002</v>
      </c>
      <c r="M108" s="17">
        <f t="shared" si="15"/>
        <v>1460534.2900898736</v>
      </c>
      <c r="N108" s="17">
        <f t="shared" si="16"/>
        <v>0</v>
      </c>
      <c r="O108" s="17">
        <f t="shared" si="17"/>
        <v>8968322.0208837911</v>
      </c>
      <c r="P108" s="17">
        <f t="shared" si="18"/>
        <v>-296781.1548534875</v>
      </c>
      <c r="Q108" s="17">
        <f t="shared" si="19"/>
        <v>4256383.1164309653</v>
      </c>
      <c r="R108" s="17">
        <f t="shared" si="20"/>
        <v>0</v>
      </c>
      <c r="S108" s="17">
        <f t="shared" si="21"/>
        <v>11779719.433229242</v>
      </c>
      <c r="T108" s="17">
        <f t="shared" si="22"/>
        <v>239747.50299954973</v>
      </c>
      <c r="U108" s="29">
        <f t="shared" si="23"/>
        <v>2.0775397414227313E-2</v>
      </c>
    </row>
    <row r="109" spans="1:21" x14ac:dyDescent="0.2">
      <c r="A109" s="206">
        <f>'Monthly Data'!A109</f>
        <v>44896</v>
      </c>
      <c r="B109">
        <f>'Monthly Data'!C109</f>
        <v>12</v>
      </c>
      <c r="C109">
        <f>'Monthly Data'!B109</f>
        <v>2022</v>
      </c>
      <c r="D109" s="18">
        <f>'Monthly Data'!J109</f>
        <v>12864921.17766037</v>
      </c>
      <c r="E109" s="10">
        <f>'Monthly Data'!AI109</f>
        <v>480.52218897094639</v>
      </c>
      <c r="F109" s="214">
        <f>'Monthly Data'!AB109</f>
        <v>0</v>
      </c>
      <c r="G109">
        <f>'Monthly Data'!BO109</f>
        <v>31</v>
      </c>
      <c r="H109">
        <f>'Monthly Data'!BR109</f>
        <v>0.25</v>
      </c>
      <c r="I109" s="17">
        <f>'Monthly Data'!AO109</f>
        <v>7777.2</v>
      </c>
      <c r="J109">
        <f>'Monthly Data'!BM109</f>
        <v>0</v>
      </c>
      <c r="L109" s="17">
        <f t="shared" si="14"/>
        <v>-2608738.8393219002</v>
      </c>
      <c r="M109" s="17">
        <f t="shared" si="15"/>
        <v>2474849.3974946798</v>
      </c>
      <c r="N109" s="17">
        <f t="shared" si="16"/>
        <v>0</v>
      </c>
      <c r="O109" s="17">
        <f t="shared" si="17"/>
        <v>9267266.0882465839</v>
      </c>
      <c r="P109" s="17">
        <f t="shared" si="18"/>
        <v>-296781.1548534875</v>
      </c>
      <c r="Q109" s="17">
        <f t="shared" si="19"/>
        <v>4277448.0576189002</v>
      </c>
      <c r="R109" s="17">
        <f t="shared" si="20"/>
        <v>0</v>
      </c>
      <c r="S109" s="17">
        <f t="shared" si="21"/>
        <v>13114043.549184777</v>
      </c>
      <c r="T109" s="17">
        <f t="shared" si="22"/>
        <v>249122.3715244066</v>
      </c>
      <c r="U109" s="29">
        <f t="shared" si="23"/>
        <v>1.9364469325859661E-2</v>
      </c>
    </row>
    <row r="110" spans="1:21" x14ac:dyDescent="0.2">
      <c r="A110" s="206">
        <f>'Monthly Data'!A110</f>
        <v>44927</v>
      </c>
      <c r="B110">
        <f>'Monthly Data'!C110</f>
        <v>1</v>
      </c>
      <c r="C110">
        <f>'Monthly Data'!B110</f>
        <v>2023</v>
      </c>
      <c r="D110" s="18">
        <f>'Monthly Data'!J110</f>
        <v>13563555.004914708</v>
      </c>
      <c r="E110" s="10">
        <f>'Monthly Data'!AI110</f>
        <v>552.82150117675701</v>
      </c>
      <c r="F110" s="214">
        <f>'Monthly Data'!AB110</f>
        <v>0</v>
      </c>
      <c r="G110">
        <f>'Monthly Data'!BO110</f>
        <v>31</v>
      </c>
      <c r="H110">
        <f>'Monthly Data'!BR110</f>
        <v>0</v>
      </c>
      <c r="I110" s="17">
        <f>'Monthly Data'!AO110</f>
        <v>7776.6</v>
      </c>
      <c r="J110">
        <f>'Monthly Data'!BM110</f>
        <v>0</v>
      </c>
      <c r="L110" s="17">
        <f t="shared" si="14"/>
        <v>-2608738.8393219002</v>
      </c>
      <c r="M110" s="17">
        <f t="shared" si="15"/>
        <v>2847214.9476371496</v>
      </c>
      <c r="N110" s="17">
        <f t="shared" si="16"/>
        <v>0</v>
      </c>
      <c r="O110" s="17">
        <f t="shared" si="17"/>
        <v>9267266.0882465839</v>
      </c>
      <c r="P110" s="17">
        <f t="shared" si="18"/>
        <v>0</v>
      </c>
      <c r="Q110" s="17">
        <f t="shared" si="19"/>
        <v>4277118.0585402381</v>
      </c>
      <c r="R110" s="17">
        <f t="shared" si="20"/>
        <v>0</v>
      </c>
      <c r="S110" s="17">
        <f t="shared" si="21"/>
        <v>13782860.255102072</v>
      </c>
      <c r="T110" s="17">
        <f t="shared" si="22"/>
        <v>219305.25018736348</v>
      </c>
      <c r="U110" s="29">
        <f t="shared" si="23"/>
        <v>1.6168714625914737E-2</v>
      </c>
    </row>
    <row r="111" spans="1:21" x14ac:dyDescent="0.2">
      <c r="A111" s="206">
        <f>'Monthly Data'!A111</f>
        <v>44958</v>
      </c>
      <c r="B111">
        <f>'Monthly Data'!C111</f>
        <v>2</v>
      </c>
      <c r="C111">
        <f>'Monthly Data'!B111</f>
        <v>2023</v>
      </c>
      <c r="D111" s="18">
        <f>'Monthly Data'!J111</f>
        <v>12492374.263997788</v>
      </c>
      <c r="E111" s="10">
        <f>'Monthly Data'!AI111</f>
        <v>531.82499999999993</v>
      </c>
      <c r="F111" s="214">
        <f>'Monthly Data'!AB111</f>
        <v>0</v>
      </c>
      <c r="G111">
        <f>'Monthly Data'!BO111</f>
        <v>28</v>
      </c>
      <c r="H111">
        <f>'Monthly Data'!BR111</f>
        <v>0</v>
      </c>
      <c r="I111" s="17">
        <f>'Monthly Data'!AO111</f>
        <v>7780.5</v>
      </c>
      <c r="J111">
        <f>'Monthly Data'!BM111</f>
        <v>0</v>
      </c>
      <c r="L111" s="17">
        <f t="shared" si="14"/>
        <v>-2608738.8393219002</v>
      </c>
      <c r="M111" s="17">
        <f t="shared" si="15"/>
        <v>2739075.9699177761</v>
      </c>
      <c r="N111" s="17">
        <f t="shared" si="16"/>
        <v>0</v>
      </c>
      <c r="O111" s="17">
        <f t="shared" si="17"/>
        <v>8370433.8861582046</v>
      </c>
      <c r="P111" s="17">
        <f t="shared" si="18"/>
        <v>0</v>
      </c>
      <c r="Q111" s="17">
        <f t="shared" si="19"/>
        <v>4279263.0525515424</v>
      </c>
      <c r="R111" s="17">
        <f t="shared" si="20"/>
        <v>0</v>
      </c>
      <c r="S111" s="17">
        <f t="shared" si="21"/>
        <v>12780034.069305621</v>
      </c>
      <c r="T111" s="17">
        <f t="shared" si="22"/>
        <v>287659.80530783348</v>
      </c>
      <c r="U111" s="29">
        <f t="shared" si="23"/>
        <v>2.3026832148060949E-2</v>
      </c>
    </row>
    <row r="112" spans="1:21" x14ac:dyDescent="0.2">
      <c r="A112" s="206">
        <f>'Monthly Data'!A112</f>
        <v>44986</v>
      </c>
      <c r="B112">
        <f>'Monthly Data'!C112</f>
        <v>3</v>
      </c>
      <c r="C112">
        <f>'Monthly Data'!B112</f>
        <v>2023</v>
      </c>
      <c r="D112" s="18">
        <f>'Monthly Data'!J112</f>
        <v>12918705.583080864</v>
      </c>
      <c r="E112" s="10">
        <f>'Monthly Data'!AI112</f>
        <v>447.93333333333351</v>
      </c>
      <c r="F112" s="214">
        <f>'Monthly Data'!AB112</f>
        <v>0</v>
      </c>
      <c r="G112">
        <f>'Monthly Data'!BO112</f>
        <v>31</v>
      </c>
      <c r="H112">
        <f>'Monthly Data'!BR112</f>
        <v>0</v>
      </c>
      <c r="I112" s="17">
        <f>'Monthly Data'!AO112</f>
        <v>7781.3</v>
      </c>
      <c r="J112">
        <f>'Monthly Data'!BM112</f>
        <v>0</v>
      </c>
      <c r="L112" s="17">
        <f t="shared" si="14"/>
        <v>-2608738.8393219002</v>
      </c>
      <c r="M112" s="17">
        <f t="shared" si="15"/>
        <v>2307005.9313843898</v>
      </c>
      <c r="N112" s="17">
        <f t="shared" si="16"/>
        <v>0</v>
      </c>
      <c r="O112" s="17">
        <f t="shared" si="17"/>
        <v>9267266.0882465839</v>
      </c>
      <c r="P112" s="17">
        <f t="shared" si="18"/>
        <v>0</v>
      </c>
      <c r="Q112" s="17">
        <f t="shared" si="19"/>
        <v>4279703.0513230916</v>
      </c>
      <c r="R112" s="17">
        <f t="shared" si="20"/>
        <v>0</v>
      </c>
      <c r="S112" s="17">
        <f t="shared" si="21"/>
        <v>13245236.231632166</v>
      </c>
      <c r="T112" s="17">
        <f t="shared" si="22"/>
        <v>326530.64855130203</v>
      </c>
      <c r="U112" s="29">
        <f t="shared" si="23"/>
        <v>2.5275802320237625E-2</v>
      </c>
    </row>
    <row r="113" spans="1:21" x14ac:dyDescent="0.2">
      <c r="A113" s="206">
        <f>'Monthly Data'!A113</f>
        <v>45017</v>
      </c>
      <c r="B113">
        <f>'Monthly Data'!C113</f>
        <v>4</v>
      </c>
      <c r="C113">
        <f>'Monthly Data'!B113</f>
        <v>2023</v>
      </c>
      <c r="D113" s="18">
        <f>'Monthly Data'!J113</f>
        <v>11912469.672163939</v>
      </c>
      <c r="E113" s="10">
        <f>'Monthly Data'!AI113</f>
        <v>205.87291666666664</v>
      </c>
      <c r="F113" s="214">
        <f>'Monthly Data'!AB113</f>
        <v>0</v>
      </c>
      <c r="G113">
        <f>'Monthly Data'!BO113</f>
        <v>30</v>
      </c>
      <c r="H113">
        <f>'Monthly Data'!BR113</f>
        <v>0</v>
      </c>
      <c r="I113" s="17">
        <f>'Monthly Data'!AO113</f>
        <v>7819.6</v>
      </c>
      <c r="J113">
        <f>'Monthly Data'!BM113</f>
        <v>0</v>
      </c>
      <c r="L113" s="17">
        <f t="shared" si="14"/>
        <v>-2608738.8393219002</v>
      </c>
      <c r="M113" s="17">
        <f t="shared" si="15"/>
        <v>1060314.1238162017</v>
      </c>
      <c r="N113" s="17">
        <f t="shared" si="16"/>
        <v>0</v>
      </c>
      <c r="O113" s="17">
        <f t="shared" si="17"/>
        <v>8968322.0208837911</v>
      </c>
      <c r="P113" s="17">
        <f t="shared" si="18"/>
        <v>0</v>
      </c>
      <c r="Q113" s="17">
        <f t="shared" si="19"/>
        <v>4300767.9925110266</v>
      </c>
      <c r="R113" s="17">
        <f t="shared" si="20"/>
        <v>0</v>
      </c>
      <c r="S113" s="17">
        <f t="shared" si="21"/>
        <v>11720665.297889119</v>
      </c>
      <c r="T113" s="17">
        <f t="shared" si="22"/>
        <v>-191804.37427482009</v>
      </c>
      <c r="U113" s="29">
        <f t="shared" si="23"/>
        <v>1.6101142714596998E-2</v>
      </c>
    </row>
    <row r="114" spans="1:21" x14ac:dyDescent="0.2">
      <c r="A114" s="206">
        <f>'Monthly Data'!A114</f>
        <v>45047</v>
      </c>
      <c r="B114">
        <f>'Monthly Data'!C114</f>
        <v>5</v>
      </c>
      <c r="C114">
        <f>'Monthly Data'!B114</f>
        <v>2023</v>
      </c>
      <c r="D114" s="18">
        <f>'Monthly Data'!J114</f>
        <v>11505991.091247017</v>
      </c>
      <c r="E114" s="10">
        <f>'Monthly Data'!AI114</f>
        <v>37.537500000000009</v>
      </c>
      <c r="F114" s="214">
        <f>'Monthly Data'!AB114</f>
        <v>13.347916666666674</v>
      </c>
      <c r="G114">
        <f>'Monthly Data'!BO114</f>
        <v>31</v>
      </c>
      <c r="H114">
        <f>'Monthly Data'!BR114</f>
        <v>0</v>
      </c>
      <c r="I114" s="17">
        <f>'Monthly Data'!AO114</f>
        <v>7882.6</v>
      </c>
      <c r="J114">
        <f>'Monthly Data'!BM114</f>
        <v>0</v>
      </c>
      <c r="L114" s="17">
        <f t="shared" si="14"/>
        <v>-2608738.8393219002</v>
      </c>
      <c r="M114" s="17">
        <f t="shared" si="15"/>
        <v>193330.63361216296</v>
      </c>
      <c r="N114" s="17">
        <f t="shared" si="16"/>
        <v>166028.11348315608</v>
      </c>
      <c r="O114" s="17">
        <f t="shared" si="17"/>
        <v>9267266.0882465839</v>
      </c>
      <c r="P114" s="17">
        <f t="shared" si="18"/>
        <v>0</v>
      </c>
      <c r="Q114" s="17">
        <f t="shared" si="19"/>
        <v>4335417.8957705526</v>
      </c>
      <c r="R114" s="17">
        <f t="shared" si="20"/>
        <v>0</v>
      </c>
      <c r="S114" s="17">
        <f t="shared" si="21"/>
        <v>11353303.891790554</v>
      </c>
      <c r="T114" s="17">
        <f t="shared" si="22"/>
        <v>-152687.19945646264</v>
      </c>
      <c r="U114" s="29">
        <f t="shared" si="23"/>
        <v>1.3270234458343773E-2</v>
      </c>
    </row>
    <row r="115" spans="1:21" x14ac:dyDescent="0.2">
      <c r="A115" s="206">
        <f>'Monthly Data'!A115</f>
        <v>45078</v>
      </c>
      <c r="B115">
        <f>'Monthly Data'!C115</f>
        <v>6</v>
      </c>
      <c r="C115">
        <f>'Monthly Data'!B115</f>
        <v>2023</v>
      </c>
      <c r="D115" s="18">
        <f>'Monthly Data'!J115</f>
        <v>11524708.840330094</v>
      </c>
      <c r="E115" s="10">
        <f>'Monthly Data'!AI115</f>
        <v>1.9875000000000025</v>
      </c>
      <c r="F115" s="214">
        <f>'Monthly Data'!AB115</f>
        <v>45.019457744954835</v>
      </c>
      <c r="G115">
        <f>'Monthly Data'!BO115</f>
        <v>30</v>
      </c>
      <c r="H115">
        <f>'Monthly Data'!BR115</f>
        <v>0</v>
      </c>
      <c r="I115" s="17">
        <f>'Monthly Data'!AO115</f>
        <v>7971.2</v>
      </c>
      <c r="J115">
        <f>'Monthly Data'!BM115</f>
        <v>0</v>
      </c>
      <c r="L115" s="17">
        <f t="shared" si="14"/>
        <v>-2608738.8393219002</v>
      </c>
      <c r="M115" s="17">
        <f t="shared" si="15"/>
        <v>10236.287294150496</v>
      </c>
      <c r="N115" s="17">
        <f t="shared" si="16"/>
        <v>559974.70062840078</v>
      </c>
      <c r="O115" s="17">
        <f t="shared" si="17"/>
        <v>8968322.0208837911</v>
      </c>
      <c r="P115" s="17">
        <f t="shared" si="18"/>
        <v>0</v>
      </c>
      <c r="Q115" s="17">
        <f t="shared" si="19"/>
        <v>4384147.7597196642</v>
      </c>
      <c r="R115" s="17">
        <f t="shared" si="20"/>
        <v>0</v>
      </c>
      <c r="S115" s="17">
        <f t="shared" si="21"/>
        <v>11313941.929204106</v>
      </c>
      <c r="T115" s="17">
        <f t="shared" si="22"/>
        <v>-210766.91112598777</v>
      </c>
      <c r="U115" s="29">
        <f t="shared" si="23"/>
        <v>1.8288263421321359E-2</v>
      </c>
    </row>
    <row r="116" spans="1:21" x14ac:dyDescent="0.2">
      <c r="A116" s="206">
        <f>'Monthly Data'!A116</f>
        <v>45108</v>
      </c>
      <c r="B116">
        <f>'Monthly Data'!C116</f>
        <v>7</v>
      </c>
      <c r="C116">
        <f>'Monthly Data'!B116</f>
        <v>2023</v>
      </c>
      <c r="D116" s="18">
        <f>'Monthly Data'!J116</f>
        <v>12011604.23941317</v>
      </c>
      <c r="E116" s="10">
        <f>'Monthly Data'!AI116</f>
        <v>0</v>
      </c>
      <c r="F116" s="214">
        <f>'Monthly Data'!AB116</f>
        <v>50.0625</v>
      </c>
      <c r="G116">
        <f>'Monthly Data'!BO116</f>
        <v>31</v>
      </c>
      <c r="H116">
        <f>'Monthly Data'!BR116</f>
        <v>0</v>
      </c>
      <c r="I116" s="17">
        <f>'Monthly Data'!AO116</f>
        <v>8016.9</v>
      </c>
      <c r="J116">
        <f>'Monthly Data'!BM116</f>
        <v>0</v>
      </c>
      <c r="L116" s="17">
        <f t="shared" si="14"/>
        <v>-2608738.8393219002</v>
      </c>
      <c r="M116" s="17">
        <f t="shared" si="15"/>
        <v>0</v>
      </c>
      <c r="N116" s="17">
        <f t="shared" si="16"/>
        <v>622702.601373535</v>
      </c>
      <c r="O116" s="17">
        <f t="shared" si="17"/>
        <v>9267266.0882465839</v>
      </c>
      <c r="P116" s="17">
        <f t="shared" si="18"/>
        <v>0</v>
      </c>
      <c r="Q116" s="17">
        <f t="shared" si="19"/>
        <v>4409282.6895444319</v>
      </c>
      <c r="R116" s="17">
        <f t="shared" si="20"/>
        <v>0</v>
      </c>
      <c r="S116" s="17">
        <f t="shared" si="21"/>
        <v>11690512.53984265</v>
      </c>
      <c r="T116" s="17">
        <f t="shared" si="22"/>
        <v>-321091.69957051985</v>
      </c>
      <c r="U116" s="29">
        <f t="shared" si="23"/>
        <v>2.6731791455210888E-2</v>
      </c>
    </row>
    <row r="117" spans="1:21" x14ac:dyDescent="0.2">
      <c r="A117" s="206">
        <f>'Monthly Data'!A117</f>
        <v>45139</v>
      </c>
      <c r="B117">
        <f>'Monthly Data'!C117</f>
        <v>8</v>
      </c>
      <c r="C117">
        <f>'Monthly Data'!B117</f>
        <v>2023</v>
      </c>
      <c r="D117" s="18">
        <f>'Monthly Data'!J117</f>
        <v>11359569.388496248</v>
      </c>
      <c r="E117" s="10">
        <f>'Monthly Data'!AI117</f>
        <v>0</v>
      </c>
      <c r="F117" s="214">
        <f>'Monthly Data'!AB117</f>
        <v>6.2541666666666629</v>
      </c>
      <c r="G117">
        <f>'Monthly Data'!BO117</f>
        <v>31</v>
      </c>
      <c r="H117">
        <f>'Monthly Data'!BR117</f>
        <v>0</v>
      </c>
      <c r="I117" s="17">
        <f>'Monthly Data'!AO117</f>
        <v>8020.3</v>
      </c>
      <c r="J117">
        <f>'Monthly Data'!BM117</f>
        <v>0</v>
      </c>
      <c r="L117" s="17">
        <f t="shared" si="14"/>
        <v>-2608738.8393219002</v>
      </c>
      <c r="M117" s="17">
        <f t="shared" si="15"/>
        <v>0</v>
      </c>
      <c r="N117" s="17">
        <f t="shared" si="16"/>
        <v>77792.476459565165</v>
      </c>
      <c r="O117" s="17">
        <f t="shared" si="17"/>
        <v>9267266.0882465839</v>
      </c>
      <c r="P117" s="17">
        <f t="shared" si="18"/>
        <v>0</v>
      </c>
      <c r="Q117" s="17">
        <f t="shared" si="19"/>
        <v>4411152.6843235185</v>
      </c>
      <c r="R117" s="17">
        <f t="shared" si="20"/>
        <v>0</v>
      </c>
      <c r="S117" s="17">
        <f t="shared" si="21"/>
        <v>11147472.409707766</v>
      </c>
      <c r="T117" s="17">
        <f t="shared" si="22"/>
        <v>-212096.97878848203</v>
      </c>
      <c r="U117" s="29">
        <f t="shared" si="23"/>
        <v>1.86712164462212E-2</v>
      </c>
    </row>
    <row r="118" spans="1:21" x14ac:dyDescent="0.2">
      <c r="A118" s="206">
        <f>'Monthly Data'!A118</f>
        <v>45170</v>
      </c>
      <c r="B118">
        <f>'Monthly Data'!C118</f>
        <v>9</v>
      </c>
      <c r="C118">
        <f>'Monthly Data'!B118</f>
        <v>2023</v>
      </c>
      <c r="D118" s="18">
        <f>'Monthly Data'!J118</f>
        <v>10706905.087579323</v>
      </c>
      <c r="E118" s="10">
        <f>'Monthly Data'!AI118</f>
        <v>2.1166666666666671</v>
      </c>
      <c r="F118" s="214">
        <f>'Monthly Data'!AB118</f>
        <v>17.991666666666671</v>
      </c>
      <c r="G118">
        <f>'Monthly Data'!BO118</f>
        <v>30</v>
      </c>
      <c r="H118">
        <f>'Monthly Data'!BR118</f>
        <v>0</v>
      </c>
      <c r="I118" s="17">
        <f>'Monthly Data'!AO118</f>
        <v>7968.4</v>
      </c>
      <c r="J118">
        <f>'Monthly Data'!BM118</f>
        <v>1</v>
      </c>
      <c r="L118" s="17">
        <f t="shared" si="14"/>
        <v>-2608738.8393219002</v>
      </c>
      <c r="M118" s="17">
        <f t="shared" si="15"/>
        <v>10901.538669661315</v>
      </c>
      <c r="N118" s="17">
        <f t="shared" si="16"/>
        <v>223789.41595763</v>
      </c>
      <c r="O118" s="17">
        <f t="shared" si="17"/>
        <v>8968322.0208837911</v>
      </c>
      <c r="P118" s="17">
        <f t="shared" si="18"/>
        <v>0</v>
      </c>
      <c r="Q118" s="17">
        <f t="shared" si="19"/>
        <v>4382607.7640192416</v>
      </c>
      <c r="R118" s="17">
        <f t="shared" si="20"/>
        <v>-307328.60270320397</v>
      </c>
      <c r="S118" s="17">
        <f t="shared" si="21"/>
        <v>10669553.29750522</v>
      </c>
      <c r="T118" s="17">
        <f t="shared" si="22"/>
        <v>-37351.790074102581</v>
      </c>
      <c r="U118" s="29">
        <f t="shared" si="23"/>
        <v>3.4885702047955003E-3</v>
      </c>
    </row>
    <row r="119" spans="1:21" x14ac:dyDescent="0.2">
      <c r="A119" s="206">
        <f>'Monthly Data'!A119</f>
        <v>45200</v>
      </c>
      <c r="B119">
        <f>'Monthly Data'!C119</f>
        <v>10</v>
      </c>
      <c r="C119">
        <f>'Monthly Data'!B119</f>
        <v>2023</v>
      </c>
      <c r="D119" s="18">
        <f>'Monthly Data'!J119</f>
        <v>11160124.0266624</v>
      </c>
      <c r="E119" s="10">
        <f>'Monthly Data'!AI119</f>
        <v>115.11179225504519</v>
      </c>
      <c r="F119" s="214">
        <f>'Monthly Data'!AB119</f>
        <v>4.4687499999999964</v>
      </c>
      <c r="G119">
        <f>'Monthly Data'!BO119</f>
        <v>31</v>
      </c>
      <c r="H119">
        <f>'Monthly Data'!BR119</f>
        <v>0</v>
      </c>
      <c r="I119" s="17">
        <f>'Monthly Data'!AO119</f>
        <v>7947.2</v>
      </c>
      <c r="J119">
        <f>'Monthly Data'!BM119</f>
        <v>1</v>
      </c>
      <c r="L119" s="17">
        <f t="shared" si="14"/>
        <v>-2608738.8393219002</v>
      </c>
      <c r="M119" s="17">
        <f t="shared" si="15"/>
        <v>592864.08878853288</v>
      </c>
      <c r="N119" s="17">
        <f t="shared" si="16"/>
        <v>55584.564292394149</v>
      </c>
      <c r="O119" s="17">
        <f t="shared" si="17"/>
        <v>9267266.0882465839</v>
      </c>
      <c r="P119" s="17">
        <f t="shared" si="18"/>
        <v>0</v>
      </c>
      <c r="Q119" s="17">
        <f t="shared" si="19"/>
        <v>4370947.7965731779</v>
      </c>
      <c r="R119" s="17">
        <f t="shared" si="20"/>
        <v>-307328.60270320397</v>
      </c>
      <c r="S119" s="17">
        <f t="shared" si="21"/>
        <v>11370595.095875585</v>
      </c>
      <c r="T119" s="17">
        <f t="shared" si="22"/>
        <v>210471.06921318546</v>
      </c>
      <c r="U119" s="29">
        <f t="shared" si="23"/>
        <v>1.8859205212267693E-2</v>
      </c>
    </row>
    <row r="120" spans="1:21" x14ac:dyDescent="0.2">
      <c r="A120" s="206">
        <f>'Monthly Data'!A120</f>
        <v>45231</v>
      </c>
      <c r="B120">
        <f>'Monthly Data'!C120</f>
        <v>11</v>
      </c>
      <c r="C120">
        <f>'Monthly Data'!B120</f>
        <v>2023</v>
      </c>
      <c r="D120" s="18">
        <f>'Monthly Data'!J120</f>
        <v>12633492.375745479</v>
      </c>
      <c r="E120" s="10">
        <f>'Monthly Data'!AI120</f>
        <v>339.48679225504515</v>
      </c>
      <c r="F120" s="214">
        <f>'Monthly Data'!AB120</f>
        <v>0</v>
      </c>
      <c r="G120">
        <f>'Monthly Data'!BO120</f>
        <v>30</v>
      </c>
      <c r="H120">
        <f>'Monthly Data'!BR120</f>
        <v>0</v>
      </c>
      <c r="I120" s="17">
        <f>'Monthly Data'!AO120</f>
        <v>7939.3</v>
      </c>
      <c r="J120">
        <f>'Monthly Data'!BM120</f>
        <v>0</v>
      </c>
      <c r="L120" s="17">
        <f t="shared" si="14"/>
        <v>-2608738.8393219002</v>
      </c>
      <c r="M120" s="17">
        <f t="shared" si="15"/>
        <v>1748470.1072162131</v>
      </c>
      <c r="N120" s="17">
        <f t="shared" si="16"/>
        <v>0</v>
      </c>
      <c r="O120" s="17">
        <f t="shared" si="17"/>
        <v>8968322.0208837911</v>
      </c>
      <c r="P120" s="17">
        <f t="shared" si="18"/>
        <v>0</v>
      </c>
      <c r="Q120" s="17">
        <f t="shared" si="19"/>
        <v>4366602.8087041266</v>
      </c>
      <c r="R120" s="17">
        <f t="shared" si="20"/>
        <v>0</v>
      </c>
      <c r="S120" s="17">
        <f t="shared" si="21"/>
        <v>12474656.097482231</v>
      </c>
      <c r="T120" s="17">
        <f t="shared" si="22"/>
        <v>-158836.2782632485</v>
      </c>
      <c r="U120" s="29">
        <f t="shared" si="23"/>
        <v>1.2572634196399384E-2</v>
      </c>
    </row>
    <row r="121" spans="1:21" x14ac:dyDescent="0.2">
      <c r="A121" s="206">
        <f>'Monthly Data'!A121</f>
        <v>45261</v>
      </c>
      <c r="B121">
        <f>'Monthly Data'!C121</f>
        <v>12</v>
      </c>
      <c r="C121">
        <f>'Monthly Data'!B121</f>
        <v>2023</v>
      </c>
      <c r="D121" s="18">
        <f>'Monthly Data'!J121</f>
        <v>13324894.874828555</v>
      </c>
      <c r="E121" s="10">
        <f>'Monthly Data'!AI121</f>
        <v>401.47216902018062</v>
      </c>
      <c r="F121" s="214">
        <f>'Monthly Data'!AB121</f>
        <v>0</v>
      </c>
      <c r="G121">
        <f>'Monthly Data'!BO121</f>
        <v>31</v>
      </c>
      <c r="H121">
        <f>'Monthly Data'!BR121</f>
        <v>0</v>
      </c>
      <c r="I121" s="17">
        <f>'Monthly Data'!AO121</f>
        <v>7938.2</v>
      </c>
      <c r="J121">
        <f>'Monthly Data'!BM121</f>
        <v>0</v>
      </c>
      <c r="L121" s="17">
        <f t="shared" si="14"/>
        <v>-2608738.8393219002</v>
      </c>
      <c r="M121" s="17">
        <f t="shared" si="15"/>
        <v>2067715.4529289613</v>
      </c>
      <c r="N121" s="17">
        <f t="shared" si="16"/>
        <v>0</v>
      </c>
      <c r="O121" s="17">
        <f t="shared" si="17"/>
        <v>9267266.0882465839</v>
      </c>
      <c r="P121" s="17">
        <f t="shared" si="18"/>
        <v>0</v>
      </c>
      <c r="Q121" s="17">
        <f t="shared" si="19"/>
        <v>4365997.8103932459</v>
      </c>
      <c r="R121" s="17">
        <f t="shared" si="20"/>
        <v>0</v>
      </c>
      <c r="S121" s="17">
        <f t="shared" si="21"/>
        <v>13092240.51224689</v>
      </c>
      <c r="T121" s="17">
        <f t="shared" si="22"/>
        <v>-232654.3625816647</v>
      </c>
      <c r="U121" s="29">
        <f t="shared" si="23"/>
        <v>1.7460127435688918E-2</v>
      </c>
    </row>
    <row r="122" spans="1:21" x14ac:dyDescent="0.2">
      <c r="A122" s="206">
        <f>'Monthly Data'!A122</f>
        <v>45292</v>
      </c>
      <c r="B122">
        <f>'Monthly Data'!C122</f>
        <v>1</v>
      </c>
      <c r="C122">
        <f>'Monthly Data'!B122</f>
        <v>2024</v>
      </c>
      <c r="D122" s="18">
        <f>'Monthly Data'!J122</f>
        <v>14484747.985415813</v>
      </c>
      <c r="E122" s="10">
        <f>'Monthly Data'!AI122</f>
        <v>563.51250000000005</v>
      </c>
      <c r="F122" s="214">
        <f>'Monthly Data'!AB122</f>
        <v>0</v>
      </c>
      <c r="G122">
        <f>'Monthly Data'!BO122</f>
        <v>31</v>
      </c>
      <c r="H122">
        <f>'Monthly Data'!BR122</f>
        <v>0</v>
      </c>
      <c r="I122" s="17">
        <f>'Monthly Data'!AO122</f>
        <v>7904.9</v>
      </c>
      <c r="J122">
        <f>'Monthly Data'!BM122</f>
        <v>0</v>
      </c>
      <c r="L122" s="17">
        <f t="shared" si="14"/>
        <v>-2608738.8393219002</v>
      </c>
      <c r="M122" s="17">
        <f t="shared" ref="M122:M132" si="24">E122*$X$9</f>
        <v>2902277.1541358363</v>
      </c>
      <c r="N122" s="17">
        <f t="shared" ref="N122:N132" si="25">F122*$X$10</f>
        <v>0</v>
      </c>
      <c r="O122" s="17">
        <f t="shared" ref="O122:O132" si="26">G122*$X$11</f>
        <v>9267266.0882465839</v>
      </c>
      <c r="P122" s="17">
        <f t="shared" ref="P122:P132" si="27">H122*$X$12</f>
        <v>0</v>
      </c>
      <c r="Q122" s="17">
        <f t="shared" ref="Q122:Q132" si="28">I122*$X$13</f>
        <v>4347682.861527496</v>
      </c>
      <c r="R122" s="17">
        <f t="shared" ref="R122:R132" si="29">J122*$X$14</f>
        <v>0</v>
      </c>
      <c r="S122" s="17">
        <f t="shared" ref="S122:S132" si="30">SUM(L122:R122)</f>
        <v>13908487.264588017</v>
      </c>
      <c r="T122" s="17">
        <f t="shared" ref="T122:T132" si="31">S122-D122</f>
        <v>-576260.72082779557</v>
      </c>
      <c r="U122" s="29">
        <f t="shared" ref="U122:U132" si="32">ABS(T122/D122)</f>
        <v>3.9783965962542973E-2</v>
      </c>
    </row>
    <row r="123" spans="1:21" x14ac:dyDescent="0.2">
      <c r="A123" s="206">
        <f>'Monthly Data'!A123</f>
        <v>45323</v>
      </c>
      <c r="B123">
        <f>'Monthly Data'!C123</f>
        <v>2</v>
      </c>
      <c r="C123">
        <f>'Monthly Data'!B123</f>
        <v>2024</v>
      </c>
      <c r="D123" s="18">
        <f>'Monthly Data'!J123</f>
        <v>13071633.130821705</v>
      </c>
      <c r="E123" s="10">
        <f>'Monthly Data'!AI123</f>
        <v>457.39166666666665</v>
      </c>
      <c r="F123" s="214">
        <f>'Monthly Data'!AB123</f>
        <v>0</v>
      </c>
      <c r="G123">
        <f>'Monthly Data'!BO123</f>
        <v>29</v>
      </c>
      <c r="H123">
        <f>'Monthly Data'!BR123</f>
        <v>0</v>
      </c>
      <c r="I123" s="17">
        <f>'Monthly Data'!AO123</f>
        <v>7874.1</v>
      </c>
      <c r="J123">
        <f>'Monthly Data'!BM123</f>
        <v>0</v>
      </c>
      <c r="L123" s="17">
        <f t="shared" si="14"/>
        <v>-2608738.8393219002</v>
      </c>
      <c r="M123" s="17">
        <f t="shared" si="24"/>
        <v>2355719.4998492142</v>
      </c>
      <c r="N123" s="17">
        <f t="shared" si="25"/>
        <v>0</v>
      </c>
      <c r="O123" s="17">
        <f t="shared" si="26"/>
        <v>8669377.9535209984</v>
      </c>
      <c r="P123" s="17">
        <f t="shared" si="27"/>
        <v>0</v>
      </c>
      <c r="Q123" s="17">
        <f t="shared" si="28"/>
        <v>4330742.9088228391</v>
      </c>
      <c r="R123" s="17">
        <f t="shared" si="29"/>
        <v>0</v>
      </c>
      <c r="S123" s="17">
        <f t="shared" si="30"/>
        <v>12747101.522871152</v>
      </c>
      <c r="T123" s="17">
        <f t="shared" si="31"/>
        <v>-324531.6079505533</v>
      </c>
      <c r="U123" s="29">
        <f t="shared" si="32"/>
        <v>2.482716617752511E-2</v>
      </c>
    </row>
    <row r="124" spans="1:21" x14ac:dyDescent="0.2">
      <c r="A124" s="206">
        <f>'Monthly Data'!A124</f>
        <v>45352</v>
      </c>
      <c r="B124">
        <f>'Monthly Data'!C124</f>
        <v>3</v>
      </c>
      <c r="C124">
        <f>'Monthly Data'!B124</f>
        <v>2024</v>
      </c>
      <c r="D124" s="18">
        <f>'Monthly Data'!J124</f>
        <v>13279822.796227597</v>
      </c>
      <c r="E124" s="10">
        <f>'Monthly Data'!AI124</f>
        <v>341.45416666666671</v>
      </c>
      <c r="F124" s="214">
        <f>'Monthly Data'!AB124</f>
        <v>0</v>
      </c>
      <c r="G124">
        <f>'Monthly Data'!BO124</f>
        <v>31</v>
      </c>
      <c r="H124">
        <f>'Monthly Data'!BR124</f>
        <v>0</v>
      </c>
      <c r="I124" s="17">
        <f>'Monthly Data'!AO124</f>
        <v>7870.9</v>
      </c>
      <c r="J124">
        <f>'Monthly Data'!BM124</f>
        <v>0</v>
      </c>
      <c r="L124" s="17">
        <f t="shared" si="14"/>
        <v>-2608738.8393219002</v>
      </c>
      <c r="M124" s="17">
        <f t="shared" si="24"/>
        <v>1758602.7410237696</v>
      </c>
      <c r="N124" s="17">
        <f t="shared" si="25"/>
        <v>0</v>
      </c>
      <c r="O124" s="17">
        <f t="shared" si="26"/>
        <v>9267266.0882465839</v>
      </c>
      <c r="P124" s="17">
        <f t="shared" si="27"/>
        <v>0</v>
      </c>
      <c r="Q124" s="17">
        <f t="shared" si="28"/>
        <v>4328982.9137366405</v>
      </c>
      <c r="R124" s="17">
        <f t="shared" si="29"/>
        <v>0</v>
      </c>
      <c r="S124" s="17">
        <f t="shared" si="30"/>
        <v>12746112.903685093</v>
      </c>
      <c r="T124" s="17">
        <f t="shared" si="31"/>
        <v>-533709.89254250377</v>
      </c>
      <c r="U124" s="29">
        <f t="shared" si="32"/>
        <v>4.0189534207799436E-2</v>
      </c>
    </row>
    <row r="125" spans="1:21" x14ac:dyDescent="0.2">
      <c r="A125" s="206">
        <f>'Monthly Data'!A125</f>
        <v>45383</v>
      </c>
      <c r="B125">
        <f>'Monthly Data'!C125</f>
        <v>4</v>
      </c>
      <c r="C125">
        <f>'Monthly Data'!B125</f>
        <v>2024</v>
      </c>
      <c r="D125" s="18">
        <f>'Monthly Data'!J125</f>
        <v>11838242.501633488</v>
      </c>
      <c r="E125" s="10">
        <f>'Monthly Data'!AI125</f>
        <v>165.02083333333334</v>
      </c>
      <c r="F125" s="214">
        <f>'Monthly Data'!AB125</f>
        <v>0</v>
      </c>
      <c r="G125">
        <f>'Monthly Data'!BO125</f>
        <v>30</v>
      </c>
      <c r="H125">
        <f>'Monthly Data'!BR125</f>
        <v>0</v>
      </c>
      <c r="I125" s="17">
        <f>'Monthly Data'!AO125</f>
        <v>7915</v>
      </c>
      <c r="J125">
        <f>'Monthly Data'!BM125</f>
        <v>0</v>
      </c>
      <c r="L125" s="17">
        <f t="shared" si="14"/>
        <v>-2608738.8393219002</v>
      </c>
      <c r="M125" s="17">
        <f t="shared" si="24"/>
        <v>849912.28151955956</v>
      </c>
      <c r="N125" s="17">
        <f t="shared" si="25"/>
        <v>0</v>
      </c>
      <c r="O125" s="17">
        <f t="shared" si="26"/>
        <v>8968322.0208837911</v>
      </c>
      <c r="P125" s="17">
        <f t="shared" si="27"/>
        <v>0</v>
      </c>
      <c r="Q125" s="17">
        <f t="shared" si="28"/>
        <v>4353237.8460183088</v>
      </c>
      <c r="R125" s="17">
        <f t="shared" si="29"/>
        <v>0</v>
      </c>
      <c r="S125" s="17">
        <f t="shared" si="30"/>
        <v>11562733.30909976</v>
      </c>
      <c r="T125" s="17">
        <f t="shared" si="31"/>
        <v>-275509.19253372774</v>
      </c>
      <c r="U125" s="29">
        <f t="shared" si="32"/>
        <v>2.327281203233604E-2</v>
      </c>
    </row>
    <row r="126" spans="1:21" x14ac:dyDescent="0.2">
      <c r="A126" s="206">
        <f>'Monthly Data'!A126</f>
        <v>45413</v>
      </c>
      <c r="B126">
        <f>'Monthly Data'!C126</f>
        <v>5</v>
      </c>
      <c r="C126">
        <f>'Monthly Data'!B126</f>
        <v>2024</v>
      </c>
      <c r="D126" s="18">
        <f>'Monthly Data'!J126</f>
        <v>11390251.437039379</v>
      </c>
      <c r="E126" s="10">
        <f>'Monthly Data'!AI126</f>
        <v>2.6791666666666654</v>
      </c>
      <c r="F126" s="214">
        <f>'Monthly Data'!AB126</f>
        <v>4.3416666666666721</v>
      </c>
      <c r="G126">
        <f>'Monthly Data'!BO126</f>
        <v>31</v>
      </c>
      <c r="H126">
        <f>'Monthly Data'!BR126</f>
        <v>0</v>
      </c>
      <c r="I126" s="17">
        <f>'Monthly Data'!AO126</f>
        <v>7999.8</v>
      </c>
      <c r="J126">
        <f>'Monthly Data'!BM126</f>
        <v>0</v>
      </c>
      <c r="L126" s="17">
        <f t="shared" si="14"/>
        <v>-2608738.8393219002</v>
      </c>
      <c r="M126" s="17">
        <f t="shared" si="24"/>
        <v>13798.601111402008</v>
      </c>
      <c r="N126" s="17">
        <f t="shared" si="25"/>
        <v>54003.83775540776</v>
      </c>
      <c r="O126" s="17">
        <f t="shared" si="26"/>
        <v>9267266.0882465839</v>
      </c>
      <c r="P126" s="17">
        <f t="shared" si="27"/>
        <v>0</v>
      </c>
      <c r="Q126" s="17">
        <f t="shared" si="28"/>
        <v>4399877.7158025615</v>
      </c>
      <c r="R126" s="17">
        <f t="shared" si="29"/>
        <v>0</v>
      </c>
      <c r="S126" s="17">
        <f t="shared" si="30"/>
        <v>11126207.403594054</v>
      </c>
      <c r="T126" s="17">
        <f t="shared" si="31"/>
        <v>-264044.03344532475</v>
      </c>
      <c r="U126" s="29">
        <f t="shared" si="32"/>
        <v>2.3181580749542841E-2</v>
      </c>
    </row>
    <row r="127" spans="1:21" x14ac:dyDescent="0.2">
      <c r="A127" s="206">
        <f>'Monthly Data'!A127</f>
        <v>45444</v>
      </c>
      <c r="B127">
        <f>'Monthly Data'!C127</f>
        <v>6</v>
      </c>
      <c r="C127">
        <f>'Monthly Data'!B127</f>
        <v>2024</v>
      </c>
      <c r="D127" s="18">
        <f>'Monthly Data'!J127</f>
        <v>11344853.062445268</v>
      </c>
      <c r="E127" s="10">
        <f>'Monthly Data'!AI127</f>
        <v>0</v>
      </c>
      <c r="F127" s="214">
        <f>'Monthly Data'!AB127</f>
        <v>33.293750000000003</v>
      </c>
      <c r="G127">
        <f>'Monthly Data'!BO127</f>
        <v>30</v>
      </c>
      <c r="H127">
        <f>'Monthly Data'!BR127</f>
        <v>0</v>
      </c>
      <c r="I127" s="17">
        <f>'Monthly Data'!AO127</f>
        <v>8092.5</v>
      </c>
      <c r="J127">
        <f>'Monthly Data'!BM127</f>
        <v>0</v>
      </c>
      <c r="L127" s="17">
        <f t="shared" si="14"/>
        <v>-2608738.8393219002</v>
      </c>
      <c r="M127" s="17">
        <f t="shared" si="24"/>
        <v>0</v>
      </c>
      <c r="N127" s="17">
        <f t="shared" si="25"/>
        <v>414124.43914067675</v>
      </c>
      <c r="O127" s="17">
        <f t="shared" si="26"/>
        <v>8968322.0208837911</v>
      </c>
      <c r="P127" s="17">
        <f t="shared" si="27"/>
        <v>0</v>
      </c>
      <c r="Q127" s="17">
        <f t="shared" si="28"/>
        <v>4450862.5734558646</v>
      </c>
      <c r="R127" s="17">
        <f t="shared" si="29"/>
        <v>0</v>
      </c>
      <c r="S127" s="17">
        <f t="shared" si="30"/>
        <v>11224570.194158431</v>
      </c>
      <c r="T127" s="17">
        <f t="shared" si="31"/>
        <v>-120282.86828683689</v>
      </c>
      <c r="U127" s="29">
        <f t="shared" si="32"/>
        <v>1.0602417468500129E-2</v>
      </c>
    </row>
    <row r="128" spans="1:21" x14ac:dyDescent="0.2">
      <c r="A128" s="206">
        <f>'Monthly Data'!A128</f>
        <v>45474</v>
      </c>
      <c r="B128">
        <f>'Monthly Data'!C128</f>
        <v>7</v>
      </c>
      <c r="C128">
        <f>'Monthly Data'!B128</f>
        <v>2024</v>
      </c>
      <c r="D128" s="18">
        <f>'Monthly Data'!J128</f>
        <v>12387904.277851159</v>
      </c>
      <c r="E128" s="10">
        <f>'Monthly Data'!AI128</f>
        <v>0</v>
      </c>
      <c r="F128" s="214">
        <f>'Monthly Data'!AB128</f>
        <v>62.587499999999991</v>
      </c>
      <c r="G128">
        <f>'Monthly Data'!BO128</f>
        <v>31</v>
      </c>
      <c r="H128">
        <f>'Monthly Data'!BR128</f>
        <v>0</v>
      </c>
      <c r="I128" s="17">
        <f>'Monthly Data'!AO128</f>
        <v>8149.4</v>
      </c>
      <c r="J128">
        <f>'Monthly Data'!BM128</f>
        <v>0</v>
      </c>
      <c r="L128" s="17">
        <f t="shared" si="14"/>
        <v>-2608738.8393219002</v>
      </c>
      <c r="M128" s="17">
        <f t="shared" si="24"/>
        <v>0</v>
      </c>
      <c r="N128" s="17">
        <f t="shared" si="25"/>
        <v>778494.86269095854</v>
      </c>
      <c r="O128" s="17">
        <f t="shared" si="26"/>
        <v>9267266.0882465839</v>
      </c>
      <c r="P128" s="17">
        <f t="shared" si="27"/>
        <v>0</v>
      </c>
      <c r="Q128" s="17">
        <f t="shared" si="28"/>
        <v>4482157.4860823257</v>
      </c>
      <c r="R128" s="17">
        <f t="shared" si="29"/>
        <v>0</v>
      </c>
      <c r="S128" s="17">
        <f t="shared" si="30"/>
        <v>11919179.59769797</v>
      </c>
      <c r="T128" s="17">
        <f t="shared" si="31"/>
        <v>-468724.68015318923</v>
      </c>
      <c r="U128" s="29">
        <f t="shared" si="32"/>
        <v>3.7837286246329919E-2</v>
      </c>
    </row>
    <row r="129" spans="1:24" x14ac:dyDescent="0.2">
      <c r="A129" s="206">
        <f>'Monthly Data'!A129</f>
        <v>45505</v>
      </c>
      <c r="B129">
        <f>'Monthly Data'!C129</f>
        <v>8</v>
      </c>
      <c r="C129">
        <f>'Monthly Data'!B129</f>
        <v>2024</v>
      </c>
      <c r="D129" s="18">
        <f>'Monthly Data'!J129</f>
        <v>12019540.413257049</v>
      </c>
      <c r="E129" s="10">
        <f>'Monthly Data'!AI129</f>
        <v>0</v>
      </c>
      <c r="F129" s="214">
        <f>'Monthly Data'!AB129</f>
        <v>53.500000000000007</v>
      </c>
      <c r="G129">
        <f>'Monthly Data'!BO129</f>
        <v>31</v>
      </c>
      <c r="H129">
        <f>'Monthly Data'!BR129</f>
        <v>0</v>
      </c>
      <c r="I129" s="17">
        <f>'Monthly Data'!AO129</f>
        <v>8147.2</v>
      </c>
      <c r="J129">
        <f>'Monthly Data'!BM129</f>
        <v>0</v>
      </c>
      <c r="L129" s="17">
        <f t="shared" si="14"/>
        <v>-2608738.8393219002</v>
      </c>
      <c r="M129" s="17">
        <f t="shared" si="24"/>
        <v>0</v>
      </c>
      <c r="N129" s="17">
        <f t="shared" si="25"/>
        <v>665459.95852153061</v>
      </c>
      <c r="O129" s="17">
        <f t="shared" si="26"/>
        <v>9267266.0882465839</v>
      </c>
      <c r="P129" s="17">
        <f t="shared" si="27"/>
        <v>0</v>
      </c>
      <c r="Q129" s="17">
        <f t="shared" si="28"/>
        <v>4480947.4894605642</v>
      </c>
      <c r="R129" s="17">
        <f t="shared" si="29"/>
        <v>0</v>
      </c>
      <c r="S129" s="17">
        <f t="shared" si="30"/>
        <v>11804934.696906779</v>
      </c>
      <c r="T129" s="17">
        <f t="shared" si="31"/>
        <v>-214605.71635027044</v>
      </c>
      <c r="U129" s="29">
        <f t="shared" si="32"/>
        <v>1.7854735619805339E-2</v>
      </c>
    </row>
    <row r="130" spans="1:24" x14ac:dyDescent="0.2">
      <c r="A130" s="206">
        <f>'Monthly Data'!A130</f>
        <v>45536</v>
      </c>
      <c r="B130">
        <f>'Monthly Data'!C130</f>
        <v>9</v>
      </c>
      <c r="C130">
        <f>'Monthly Data'!B130</f>
        <v>2024</v>
      </c>
      <c r="D130" s="18">
        <f>'Monthly Data'!J130</f>
        <v>11055971.86866294</v>
      </c>
      <c r="E130" s="10">
        <f>'Monthly Data'!AI130</f>
        <v>3.9000000000000004</v>
      </c>
      <c r="F130" s="214">
        <f>'Monthly Data'!AB130</f>
        <v>20.20000000000001</v>
      </c>
      <c r="G130">
        <f>'Monthly Data'!BO130</f>
        <v>30</v>
      </c>
      <c r="H130">
        <f>'Monthly Data'!BR130</f>
        <v>0</v>
      </c>
      <c r="I130" s="17">
        <f>'Monthly Data'!AO130</f>
        <v>8123.6</v>
      </c>
      <c r="J130">
        <f>'Monthly Data'!BM130</f>
        <v>1</v>
      </c>
      <c r="L130" s="17">
        <f t="shared" si="14"/>
        <v>-2608738.8393219002</v>
      </c>
      <c r="M130" s="17">
        <f t="shared" si="24"/>
        <v>20086.299596068875</v>
      </c>
      <c r="N130" s="17">
        <f t="shared" si="25"/>
        <v>251257.77873149389</v>
      </c>
      <c r="O130" s="17">
        <f t="shared" si="26"/>
        <v>8968322.0208837911</v>
      </c>
      <c r="P130" s="17">
        <f t="shared" si="27"/>
        <v>0</v>
      </c>
      <c r="Q130" s="17">
        <f t="shared" si="28"/>
        <v>4467967.525699853</v>
      </c>
      <c r="R130" s="17">
        <f t="shared" si="29"/>
        <v>-307328.60270320397</v>
      </c>
      <c r="S130" s="17">
        <f t="shared" si="30"/>
        <v>10791566.182886103</v>
      </c>
      <c r="T130" s="17">
        <f t="shared" si="31"/>
        <v>-264405.68577683717</v>
      </c>
      <c r="U130" s="29">
        <f t="shared" si="32"/>
        <v>2.3915191619315618E-2</v>
      </c>
    </row>
    <row r="131" spans="1:24" x14ac:dyDescent="0.2">
      <c r="A131" s="206">
        <f>'Monthly Data'!A131</f>
        <v>45566</v>
      </c>
      <c r="B131">
        <f>'Monthly Data'!C131</f>
        <v>10</v>
      </c>
      <c r="C131">
        <f>'Monthly Data'!B131</f>
        <v>2024</v>
      </c>
      <c r="D131" s="18">
        <f>'Monthly Data'!J131</f>
        <v>11254804.474068832</v>
      </c>
      <c r="E131" s="10">
        <f>'Monthly Data'!AI131</f>
        <v>95.160416666666663</v>
      </c>
      <c r="F131" s="214">
        <f>'Monthly Data'!AB131</f>
        <v>0</v>
      </c>
      <c r="G131">
        <f>'Monthly Data'!BO131</f>
        <v>31</v>
      </c>
      <c r="H131">
        <f>'Monthly Data'!BR131</f>
        <v>0</v>
      </c>
      <c r="I131" s="17">
        <f>'Monthly Data'!AO131</f>
        <v>8109.5</v>
      </c>
      <c r="J131">
        <f>'Monthly Data'!BM131</f>
        <v>1</v>
      </c>
      <c r="L131" s="17">
        <f t="shared" ref="L131:L132" si="33">$X$8</f>
        <v>-2608738.8393219002</v>
      </c>
      <c r="M131" s="17">
        <f t="shared" si="24"/>
        <v>490107.85611625959</v>
      </c>
      <c r="N131" s="17">
        <f t="shared" si="25"/>
        <v>0</v>
      </c>
      <c r="O131" s="17">
        <f t="shared" si="26"/>
        <v>9267266.0882465839</v>
      </c>
      <c r="P131" s="17">
        <f t="shared" si="27"/>
        <v>0</v>
      </c>
      <c r="Q131" s="17">
        <f t="shared" si="28"/>
        <v>4460212.5473512923</v>
      </c>
      <c r="R131" s="17">
        <f t="shared" si="29"/>
        <v>-307328.60270320397</v>
      </c>
      <c r="S131" s="17">
        <f t="shared" si="30"/>
        <v>11301519.04968903</v>
      </c>
      <c r="T131" s="17">
        <f t="shared" si="31"/>
        <v>46714.575620198622</v>
      </c>
      <c r="U131" s="29">
        <f t="shared" si="32"/>
        <v>4.1506341338785066E-3</v>
      </c>
    </row>
    <row r="132" spans="1:24" x14ac:dyDescent="0.2">
      <c r="A132" s="206">
        <f>'Monthly Data'!A132</f>
        <v>45597</v>
      </c>
      <c r="B132">
        <f>'Monthly Data'!C132</f>
        <v>11</v>
      </c>
      <c r="C132">
        <f>'Monthly Data'!B132</f>
        <v>2024</v>
      </c>
      <c r="D132" s="18">
        <f>'Monthly Data'!J132</f>
        <v>12302255.959474724</v>
      </c>
      <c r="E132" s="10">
        <f>'Monthly Data'!AI132</f>
        <v>263.02291666666667</v>
      </c>
      <c r="F132" s="214">
        <f>'Monthly Data'!AB132</f>
        <v>0</v>
      </c>
      <c r="G132">
        <f>'Monthly Data'!BO132</f>
        <v>30</v>
      </c>
      <c r="H132">
        <f>'Monthly Data'!BR132</f>
        <v>0</v>
      </c>
      <c r="I132" s="17">
        <f>'Monthly Data'!AO132</f>
        <v>8101.2</v>
      </c>
      <c r="J132">
        <f>'Monthly Data'!BM132</f>
        <v>0</v>
      </c>
      <c r="L132" s="17">
        <f t="shared" si="33"/>
        <v>-2608738.8393219002</v>
      </c>
      <c r="M132" s="17">
        <f t="shared" si="24"/>
        <v>1354655.6678970575</v>
      </c>
      <c r="N132" s="17">
        <f t="shared" si="25"/>
        <v>0</v>
      </c>
      <c r="O132" s="17">
        <f t="shared" si="26"/>
        <v>8968322.0208837911</v>
      </c>
      <c r="P132" s="17">
        <f t="shared" si="27"/>
        <v>0</v>
      </c>
      <c r="Q132" s="17">
        <f t="shared" si="28"/>
        <v>4455647.560096466</v>
      </c>
      <c r="R132" s="17">
        <f t="shared" si="29"/>
        <v>0</v>
      </c>
      <c r="S132" s="17">
        <f t="shared" si="30"/>
        <v>12169886.409555415</v>
      </c>
      <c r="T132" s="17">
        <f t="shared" si="31"/>
        <v>-132369.54991930909</v>
      </c>
      <c r="U132" s="29">
        <f t="shared" si="32"/>
        <v>1.0759778560562558E-2</v>
      </c>
    </row>
    <row r="133" spans="1:24" x14ac:dyDescent="0.2">
      <c r="U133" s="32">
        <f>AVERAGE(U2:U121)</f>
        <v>2.2172383057089202E-2</v>
      </c>
    </row>
    <row r="135" spans="1:24" x14ac:dyDescent="0.2">
      <c r="V135">
        <v>1</v>
      </c>
      <c r="W135" s="17">
        <f t="shared" ref="W135:W146" si="34">SUMIF($B:$B,$V135,T:T)</f>
        <v>-1695782.8451678362</v>
      </c>
      <c r="X135" s="30">
        <f t="shared" ref="X135:X146" si="35">SUMIF($B:$B,$V135,U:U)</f>
        <v>0.21204693734159624</v>
      </c>
    </row>
    <row r="136" spans="1:24" x14ac:dyDescent="0.2">
      <c r="V136">
        <v>2</v>
      </c>
      <c r="W136" s="17">
        <f t="shared" si="34"/>
        <v>-775133.92663645186</v>
      </c>
      <c r="X136" s="30">
        <f t="shared" si="35"/>
        <v>0.24017041460133839</v>
      </c>
    </row>
    <row r="137" spans="1:24" x14ac:dyDescent="0.2">
      <c r="V137">
        <v>3</v>
      </c>
      <c r="W137" s="17">
        <f t="shared" si="34"/>
        <v>-968153.17498762719</v>
      </c>
      <c r="X137" s="30">
        <f t="shared" si="35"/>
        <v>0.22522381300285818</v>
      </c>
    </row>
    <row r="138" spans="1:24" x14ac:dyDescent="0.2">
      <c r="V138">
        <v>4</v>
      </c>
      <c r="W138" s="17">
        <f t="shared" si="34"/>
        <v>932324.90008040145</v>
      </c>
      <c r="X138" s="30">
        <f t="shared" si="35"/>
        <v>0.31165187609641176</v>
      </c>
    </row>
    <row r="139" spans="1:24" x14ac:dyDescent="0.2">
      <c r="V139">
        <v>5</v>
      </c>
      <c r="W139" s="17">
        <f t="shared" si="34"/>
        <v>1419020.9009621553</v>
      </c>
      <c r="X139" s="30">
        <f t="shared" si="35"/>
        <v>0.30271039532419153</v>
      </c>
    </row>
    <row r="140" spans="1:24" x14ac:dyDescent="0.2">
      <c r="V140">
        <v>6</v>
      </c>
      <c r="W140" s="17">
        <f t="shared" si="34"/>
        <v>343806.44774098136</v>
      </c>
      <c r="X140" s="30">
        <f t="shared" si="35"/>
        <v>0.23652469231663067</v>
      </c>
    </row>
    <row r="141" spans="1:24" x14ac:dyDescent="0.2">
      <c r="V141">
        <v>7</v>
      </c>
      <c r="W141" s="17">
        <f t="shared" si="34"/>
        <v>-413429.46477583237</v>
      </c>
      <c r="X141" s="30">
        <f t="shared" si="35"/>
        <v>0.24522707719824832</v>
      </c>
    </row>
    <row r="142" spans="1:24" x14ac:dyDescent="0.2">
      <c r="V142">
        <v>8</v>
      </c>
      <c r="W142" s="17">
        <f t="shared" si="34"/>
        <v>-58614.881543984637</v>
      </c>
      <c r="X142" s="30">
        <f t="shared" si="35"/>
        <v>0.19232858857370125</v>
      </c>
    </row>
    <row r="143" spans="1:24" x14ac:dyDescent="0.2">
      <c r="V143">
        <v>9</v>
      </c>
      <c r="W143" s="17">
        <f t="shared" si="34"/>
        <v>-814185.76243169047</v>
      </c>
      <c r="X143" s="30">
        <f t="shared" si="35"/>
        <v>0.22100125978762436</v>
      </c>
    </row>
    <row r="144" spans="1:24" x14ac:dyDescent="0.2">
      <c r="V144">
        <v>10</v>
      </c>
      <c r="W144" s="17">
        <f t="shared" si="34"/>
        <v>1673553.8578957319</v>
      </c>
      <c r="X144" s="30">
        <f t="shared" si="35"/>
        <v>0.28275905483572944</v>
      </c>
    </row>
    <row r="145" spans="22:24" x14ac:dyDescent="0.2">
      <c r="V145">
        <v>11</v>
      </c>
      <c r="W145" s="17">
        <f t="shared" si="34"/>
        <v>1283993.5405052062</v>
      </c>
      <c r="X145" s="30">
        <f t="shared" si="35"/>
        <v>0.25135962722928124</v>
      </c>
    </row>
    <row r="146" spans="22:24" x14ac:dyDescent="0.2">
      <c r="V146">
        <v>12</v>
      </c>
      <c r="W146" s="17">
        <f t="shared" si="34"/>
        <v>90671.749383188784</v>
      </c>
      <c r="X146" s="30">
        <f t="shared" si="35"/>
        <v>0.19605733332123246</v>
      </c>
    </row>
    <row r="147" spans="22:24" x14ac:dyDescent="0.2">
      <c r="W147" s="17"/>
      <c r="X147" s="30"/>
    </row>
    <row r="148" spans="22:24" x14ac:dyDescent="0.2">
      <c r="V148">
        <v>2014</v>
      </c>
      <c r="W148" s="17">
        <f t="shared" ref="W148:W157" si="36">SUMIF($C:$C,$V148,T:T)</f>
        <v>-3979950.7081332039</v>
      </c>
      <c r="X148" s="31">
        <f t="shared" ref="X148:X157" si="37">SUMIF($C:$C,$V148,U:U)</f>
        <v>0.33601882704763558</v>
      </c>
    </row>
    <row r="149" spans="22:24" x14ac:dyDescent="0.2">
      <c r="V149">
        <f>V148+1</f>
        <v>2015</v>
      </c>
      <c r="W149" s="17">
        <f t="shared" si="36"/>
        <v>-328714.42865751311</v>
      </c>
      <c r="X149" s="31">
        <f t="shared" si="37"/>
        <v>0.19938329812610131</v>
      </c>
    </row>
    <row r="150" spans="22:24" x14ac:dyDescent="0.2">
      <c r="V150">
        <f t="shared" ref="V150:V157" si="38">V149+1</f>
        <v>2016</v>
      </c>
      <c r="W150" s="17">
        <f t="shared" si="36"/>
        <v>2328277.8758772369</v>
      </c>
      <c r="X150" s="31">
        <f t="shared" si="37"/>
        <v>0.27656409308011676</v>
      </c>
    </row>
    <row r="151" spans="22:24" x14ac:dyDescent="0.2">
      <c r="V151">
        <f t="shared" si="38"/>
        <v>2017</v>
      </c>
      <c r="W151" s="17">
        <f t="shared" si="36"/>
        <v>3939510.4893046804</v>
      </c>
      <c r="X151" s="31">
        <f t="shared" si="37"/>
        <v>0.35921594574256854</v>
      </c>
    </row>
    <row r="152" spans="22:24" x14ac:dyDescent="0.2">
      <c r="V152">
        <f t="shared" si="38"/>
        <v>2018</v>
      </c>
      <c r="W152" s="17">
        <f t="shared" si="36"/>
        <v>719191.56027431227</v>
      </c>
      <c r="X152" s="31">
        <f t="shared" si="37"/>
        <v>0.19940575494212456</v>
      </c>
    </row>
    <row r="153" spans="22:24" x14ac:dyDescent="0.2">
      <c r="V153">
        <f t="shared" si="38"/>
        <v>2019</v>
      </c>
      <c r="W153" s="17">
        <f t="shared" si="36"/>
        <v>2507024.8582826108</v>
      </c>
      <c r="X153" s="31">
        <f t="shared" si="37"/>
        <v>0.2679581893186388</v>
      </c>
    </row>
    <row r="154" spans="22:24" x14ac:dyDescent="0.2">
      <c r="V154">
        <f t="shared" si="38"/>
        <v>2020</v>
      </c>
      <c r="W154" s="17">
        <f t="shared" si="36"/>
        <v>-1332991.3601859044</v>
      </c>
      <c r="X154" s="31">
        <f t="shared" si="37"/>
        <v>0.29681486934440865</v>
      </c>
    </row>
    <row r="155" spans="22:24" x14ac:dyDescent="0.2">
      <c r="V155">
        <f t="shared" si="38"/>
        <v>2021</v>
      </c>
      <c r="W155" s="17">
        <f t="shared" si="36"/>
        <v>-979041.53082035854</v>
      </c>
      <c r="X155" s="31">
        <f t="shared" si="37"/>
        <v>0.27953207113188328</v>
      </c>
    </row>
    <row r="156" spans="22:24" x14ac:dyDescent="0.2">
      <c r="V156">
        <f t="shared" si="38"/>
        <v>2022</v>
      </c>
      <c r="W156" s="17">
        <f t="shared" si="36"/>
        <v>1745816.778124135</v>
      </c>
      <c r="X156" s="31">
        <f t="shared" si="37"/>
        <v>0.23587838347816867</v>
      </c>
    </row>
    <row r="157" spans="22:24" x14ac:dyDescent="0.2">
      <c r="V157">
        <f t="shared" si="38"/>
        <v>2023</v>
      </c>
      <c r="W157" s="17">
        <f t="shared" si="36"/>
        <v>-473322.82087560371</v>
      </c>
      <c r="X157" s="31">
        <f t="shared" si="37"/>
        <v>0.20991453463905904</v>
      </c>
    </row>
    <row r="158" spans="22:24" x14ac:dyDescent="0.2">
      <c r="W158" s="17"/>
      <c r="X158" s="3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7009-D07B-446B-8E68-BB2AA970D808}">
  <sheetPr codeName="Sheet13"/>
  <dimension ref="A1:AC158"/>
  <sheetViews>
    <sheetView topLeftCell="I1" workbookViewId="0">
      <selection activeCell="L36" sqref="L36"/>
    </sheetView>
  </sheetViews>
  <sheetFormatPr defaultRowHeight="12.75" x14ac:dyDescent="0.2"/>
  <cols>
    <col min="1" max="1" width="13.83203125" style="28" customWidth="1"/>
    <col min="4" max="4" width="19.5" style="18" bestFit="1" customWidth="1"/>
    <col min="13" max="13" width="14.6640625" bestFit="1" customWidth="1"/>
    <col min="14" max="15" width="12.83203125" bestFit="1" customWidth="1"/>
    <col min="16" max="16" width="11.6640625" customWidth="1"/>
    <col min="17" max="17" width="13.83203125" bestFit="1" customWidth="1"/>
    <col min="18" max="18" width="10.1640625" customWidth="1"/>
    <col min="19" max="19" width="12.5" customWidth="1"/>
    <col min="20" max="20" width="10.1640625" customWidth="1"/>
    <col min="21" max="21" width="14.33203125" bestFit="1" customWidth="1"/>
    <col min="22" max="22" width="13.83203125" bestFit="1" customWidth="1"/>
    <col min="25" max="25" width="14.83203125" bestFit="1" customWidth="1"/>
    <col min="26" max="26" width="12.1640625" bestFit="1" customWidth="1"/>
    <col min="27" max="27" width="14.83203125" bestFit="1" customWidth="1"/>
  </cols>
  <sheetData>
    <row r="1" spans="1:29"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134</v>
      </c>
      <c r="N1" t="str">
        <f>E1</f>
        <v>HDD10</v>
      </c>
      <c r="O1" t="str">
        <f>F1</f>
        <v>CDD16</v>
      </c>
      <c r="P1" t="str">
        <f t="shared" ref="P1:S1" si="0">G1</f>
        <v>Trend</v>
      </c>
      <c r="Q1" t="str">
        <f t="shared" si="0"/>
        <v>MonthDays</v>
      </c>
      <c r="R1" t="str">
        <f t="shared" si="0"/>
        <v>COVID_AM</v>
      </c>
      <c r="S1" t="str">
        <f t="shared" si="0"/>
        <v>OEAGDP</v>
      </c>
      <c r="T1" t="str">
        <f>K1</f>
        <v>Fall</v>
      </c>
      <c r="U1" t="s">
        <v>135</v>
      </c>
      <c r="V1" t="s">
        <v>136</v>
      </c>
      <c r="W1" t="s">
        <v>137</v>
      </c>
    </row>
    <row r="2" spans="1:29" x14ac:dyDescent="0.2">
      <c r="A2" s="206">
        <f>'Monthly Data'!A2</f>
        <v>41640</v>
      </c>
      <c r="B2">
        <f>'Monthly Data'!C2</f>
        <v>1</v>
      </c>
      <c r="C2">
        <f>'Monthly Data'!B2</f>
        <v>2014</v>
      </c>
      <c r="D2" s="18">
        <f>'Monthly Data'!N2</f>
        <v>37912615.661932133</v>
      </c>
      <c r="E2">
        <f>'Monthly Data'!AI2</f>
        <v>775.07916666666665</v>
      </c>
      <c r="F2" s="98">
        <f>'Monthly Data'!AD2</f>
        <v>0</v>
      </c>
      <c r="G2">
        <f>'Monthly Data'!AV2</f>
        <v>1</v>
      </c>
      <c r="H2">
        <f>'Monthly Data'!BO2</f>
        <v>31</v>
      </c>
      <c r="I2">
        <f>'Monthly Data'!BR2</f>
        <v>0</v>
      </c>
      <c r="J2">
        <f>'Monthly Data'!AT2</f>
        <v>699057</v>
      </c>
      <c r="K2">
        <f>'Monthly Data'!BJ2</f>
        <v>0</v>
      </c>
      <c r="M2" s="17">
        <f>$Z$7</f>
        <v>-9501475.1395959798</v>
      </c>
      <c r="N2" s="17">
        <f t="shared" ref="N2:N33" si="1">E2*$Z$8</f>
        <v>9100734.6855180003</v>
      </c>
      <c r="O2" s="17">
        <f t="shared" ref="O2:O33" si="2">F2*$Z$9</f>
        <v>0</v>
      </c>
      <c r="P2" s="17">
        <f>G2*$Z$10</f>
        <v>-35917.466268607197</v>
      </c>
      <c r="Q2" s="17">
        <f>H2*$Z$11</f>
        <v>25636435.683383022</v>
      </c>
      <c r="R2" s="17">
        <f>I2*$Z$12</f>
        <v>0</v>
      </c>
      <c r="S2" s="17">
        <f>J2*$Z$13</f>
        <v>11919386.642166922</v>
      </c>
      <c r="T2" s="17">
        <f>K2*$Z$14</f>
        <v>0</v>
      </c>
      <c r="U2" s="17">
        <f>SUM(M2:S2)</f>
        <v>37119164.405203357</v>
      </c>
      <c r="V2" s="17">
        <f t="shared" ref="V2:V33" si="3">U2-D2</f>
        <v>-793451.2567287758</v>
      </c>
      <c r="W2" s="29">
        <f t="shared" ref="W2:W33" si="4">ABS(V2/D2)</f>
        <v>2.0928422976773831E-2</v>
      </c>
      <c r="Y2" t="s">
        <v>488</v>
      </c>
    </row>
    <row r="3" spans="1:29" x14ac:dyDescent="0.2">
      <c r="A3" s="206">
        <f>'Monthly Data'!A3</f>
        <v>41671</v>
      </c>
      <c r="B3">
        <f>'Monthly Data'!C3</f>
        <v>2</v>
      </c>
      <c r="C3">
        <f>'Monthly Data'!B3</f>
        <v>2014</v>
      </c>
      <c r="D3" s="18">
        <f>'Monthly Data'!N3</f>
        <v>34082149.833342381</v>
      </c>
      <c r="E3">
        <f>'Monthly Data'!AI3</f>
        <v>649.85208333333344</v>
      </c>
      <c r="F3" s="98">
        <f>'Monthly Data'!AD3</f>
        <v>0</v>
      </c>
      <c r="G3">
        <f>'Monthly Data'!AV3</f>
        <v>2</v>
      </c>
      <c r="H3">
        <f>'Monthly Data'!BO3</f>
        <v>28</v>
      </c>
      <c r="I3">
        <f>'Monthly Data'!BR3</f>
        <v>0</v>
      </c>
      <c r="J3">
        <f>'Monthly Data'!AT3</f>
        <v>699057</v>
      </c>
      <c r="K3">
        <f>'Monthly Data'!BJ3</f>
        <v>0</v>
      </c>
      <c r="M3" s="17">
        <f t="shared" ref="M3:M66" si="5">$Z$7</f>
        <v>-9501475.1395959798</v>
      </c>
      <c r="N3" s="17">
        <f t="shared" si="1"/>
        <v>7630357.8390351115</v>
      </c>
      <c r="O3" s="17">
        <f t="shared" si="2"/>
        <v>0</v>
      </c>
      <c r="P3" s="17">
        <f t="shared" ref="P3:P66" si="6">G3*$Z$10</f>
        <v>-71834.932537214394</v>
      </c>
      <c r="Q3" s="17">
        <f t="shared" ref="Q3:Q66" si="7">H3*$Z$11</f>
        <v>23155490.294668537</v>
      </c>
      <c r="R3" s="17">
        <f t="shared" ref="R3:R66" si="8">I3*$Z$12</f>
        <v>0</v>
      </c>
      <c r="S3" s="17">
        <f t="shared" ref="S3:S66" si="9">J3*$Z$13</f>
        <v>11919386.642166922</v>
      </c>
      <c r="T3" s="17">
        <f t="shared" ref="T3:T66" si="10">K3*$Z$14</f>
        <v>0</v>
      </c>
      <c r="U3" s="17">
        <f t="shared" ref="U3:U66" si="11">SUM(M3:S3)</f>
        <v>33131924.703737378</v>
      </c>
      <c r="V3" s="17">
        <f t="shared" si="3"/>
        <v>-950225.1296050027</v>
      </c>
      <c r="W3" s="29">
        <f t="shared" si="4"/>
        <v>2.7880434017557267E-2</v>
      </c>
      <c r="Y3" t="s">
        <v>155</v>
      </c>
    </row>
    <row r="4" spans="1:29" x14ac:dyDescent="0.2">
      <c r="A4" s="206">
        <f>'Monthly Data'!A4</f>
        <v>41699</v>
      </c>
      <c r="B4">
        <f>'Monthly Data'!C4</f>
        <v>3</v>
      </c>
      <c r="C4">
        <f>'Monthly Data'!B4</f>
        <v>2014</v>
      </c>
      <c r="D4" s="18">
        <f>'Monthly Data'!N4</f>
        <v>36202532.155469894</v>
      </c>
      <c r="E4">
        <f>'Monthly Data'!AI4</f>
        <v>617.39791666666656</v>
      </c>
      <c r="F4" s="98">
        <f>'Monthly Data'!AD4</f>
        <v>0</v>
      </c>
      <c r="G4">
        <f>'Monthly Data'!AV4</f>
        <v>3</v>
      </c>
      <c r="H4">
        <f>'Monthly Data'!BO4</f>
        <v>31</v>
      </c>
      <c r="I4">
        <f>'Monthly Data'!BR4</f>
        <v>0</v>
      </c>
      <c r="J4">
        <f>'Monthly Data'!AT4</f>
        <v>699057</v>
      </c>
      <c r="K4">
        <f>'Monthly Data'!BJ4</f>
        <v>0</v>
      </c>
      <c r="M4" s="17">
        <f t="shared" si="5"/>
        <v>-9501475.1395959798</v>
      </c>
      <c r="N4" s="17">
        <f t="shared" si="1"/>
        <v>7249291.2680638656</v>
      </c>
      <c r="O4" s="17">
        <f t="shared" si="2"/>
        <v>0</v>
      </c>
      <c r="P4" s="17">
        <f t="shared" si="6"/>
        <v>-107752.39880582159</v>
      </c>
      <c r="Q4" s="17">
        <f t="shared" si="7"/>
        <v>25636435.683383022</v>
      </c>
      <c r="R4" s="17">
        <f t="shared" si="8"/>
        <v>0</v>
      </c>
      <c r="S4" s="17">
        <f t="shared" si="9"/>
        <v>11919386.642166922</v>
      </c>
      <c r="T4" s="17">
        <f t="shared" si="10"/>
        <v>0</v>
      </c>
      <c r="U4" s="17">
        <f t="shared" si="11"/>
        <v>35195886.055212006</v>
      </c>
      <c r="V4" s="17">
        <f t="shared" si="3"/>
        <v>-1006646.1002578884</v>
      </c>
      <c r="W4" s="29">
        <f t="shared" si="4"/>
        <v>2.7805958321779786E-2</v>
      </c>
      <c r="Y4" t="s">
        <v>492</v>
      </c>
    </row>
    <row r="5" spans="1:29" x14ac:dyDescent="0.2">
      <c r="A5" s="206">
        <f>'Monthly Data'!A5</f>
        <v>41730</v>
      </c>
      <c r="B5">
        <f>'Monthly Data'!C5</f>
        <v>4</v>
      </c>
      <c r="C5">
        <f>'Monthly Data'!B5</f>
        <v>2014</v>
      </c>
      <c r="D5" s="18">
        <f>'Monthly Data'!N5</f>
        <v>31122302.337819774</v>
      </c>
      <c r="E5">
        <f>'Monthly Data'!AI5</f>
        <v>257.06666666666666</v>
      </c>
      <c r="F5" s="98">
        <f>'Monthly Data'!AD5</f>
        <v>0</v>
      </c>
      <c r="G5">
        <f>'Monthly Data'!AV5</f>
        <v>4</v>
      </c>
      <c r="H5">
        <f>'Monthly Data'!BO5</f>
        <v>30</v>
      </c>
      <c r="I5">
        <f>'Monthly Data'!BR5</f>
        <v>0</v>
      </c>
      <c r="J5">
        <f>'Monthly Data'!AT5</f>
        <v>705966</v>
      </c>
      <c r="K5">
        <f>'Monthly Data'!BJ5</f>
        <v>0</v>
      </c>
      <c r="M5" s="17">
        <f t="shared" si="5"/>
        <v>-9501475.1395959798</v>
      </c>
      <c r="N5" s="17">
        <f t="shared" si="1"/>
        <v>3018395.5787189403</v>
      </c>
      <c r="O5" s="17">
        <f t="shared" si="2"/>
        <v>0</v>
      </c>
      <c r="P5" s="17">
        <f t="shared" si="6"/>
        <v>-143669.86507442879</v>
      </c>
      <c r="Q5" s="17">
        <f t="shared" si="7"/>
        <v>24809453.88714486</v>
      </c>
      <c r="R5" s="17">
        <f t="shared" si="8"/>
        <v>0</v>
      </c>
      <c r="S5" s="17">
        <f t="shared" si="9"/>
        <v>12037189.685853964</v>
      </c>
      <c r="T5" s="17">
        <f t="shared" si="10"/>
        <v>0</v>
      </c>
      <c r="U5" s="17">
        <f t="shared" si="11"/>
        <v>30219894.147047356</v>
      </c>
      <c r="V5" s="17">
        <f t="shared" si="3"/>
        <v>-902408.19077241793</v>
      </c>
      <c r="W5" s="29">
        <f t="shared" si="4"/>
        <v>2.8995547340204739E-2</v>
      </c>
    </row>
    <row r="6" spans="1:29" x14ac:dyDescent="0.2">
      <c r="A6" s="206">
        <f>'Monthly Data'!A6</f>
        <v>41760</v>
      </c>
      <c r="B6">
        <f>'Monthly Data'!C6</f>
        <v>5</v>
      </c>
      <c r="C6">
        <f>'Monthly Data'!B6</f>
        <v>2014</v>
      </c>
      <c r="D6" s="18">
        <f>'Monthly Data'!N6</f>
        <v>29213195.613046642</v>
      </c>
      <c r="E6">
        <f>'Monthly Data'!AI6</f>
        <v>45.758333333333333</v>
      </c>
      <c r="F6" s="98">
        <f>'Monthly Data'!AD6</f>
        <v>10.19583333333334</v>
      </c>
      <c r="G6">
        <f>'Monthly Data'!AV6</f>
        <v>5</v>
      </c>
      <c r="H6">
        <f>'Monthly Data'!BO6</f>
        <v>31</v>
      </c>
      <c r="I6">
        <f>'Monthly Data'!BR6</f>
        <v>0</v>
      </c>
      <c r="J6">
        <f>'Monthly Data'!AT6</f>
        <v>705966</v>
      </c>
      <c r="K6">
        <f>'Monthly Data'!BJ6</f>
        <v>0</v>
      </c>
      <c r="M6" s="17">
        <f t="shared" si="5"/>
        <v>-9501475.1395959798</v>
      </c>
      <c r="N6" s="17">
        <f t="shared" si="1"/>
        <v>537279.89246452611</v>
      </c>
      <c r="O6" s="17">
        <f t="shared" si="2"/>
        <v>222427.84202690178</v>
      </c>
      <c r="P6" s="17">
        <f t="shared" si="6"/>
        <v>-179587.33134303597</v>
      </c>
      <c r="Q6" s="17">
        <f t="shared" si="7"/>
        <v>25636435.683383022</v>
      </c>
      <c r="R6" s="17">
        <f t="shared" si="8"/>
        <v>0</v>
      </c>
      <c r="S6" s="17">
        <f t="shared" si="9"/>
        <v>12037189.685853964</v>
      </c>
      <c r="T6" s="17">
        <f t="shared" si="10"/>
        <v>0</v>
      </c>
      <c r="U6" s="17">
        <f t="shared" si="11"/>
        <v>28752270.632789396</v>
      </c>
      <c r="V6" s="17">
        <f t="shared" si="3"/>
        <v>-460924.98025724664</v>
      </c>
      <c r="W6" s="29">
        <f t="shared" si="4"/>
        <v>1.5777971926200264E-2</v>
      </c>
      <c r="Z6" t="s">
        <v>139</v>
      </c>
      <c r="AA6" t="s">
        <v>140</v>
      </c>
      <c r="AB6" t="s">
        <v>141</v>
      </c>
      <c r="AC6" t="s">
        <v>142</v>
      </c>
    </row>
    <row r="7" spans="1:29" x14ac:dyDescent="0.2">
      <c r="A7" s="206">
        <f>'Monthly Data'!A7</f>
        <v>41791</v>
      </c>
      <c r="B7">
        <f>'Monthly Data'!C7</f>
        <v>6</v>
      </c>
      <c r="C7">
        <f>'Monthly Data'!B7</f>
        <v>2014</v>
      </c>
      <c r="D7" s="18">
        <f>'Monthly Data'!N7</f>
        <v>28067407.907230251</v>
      </c>
      <c r="E7">
        <f>'Monthly Data'!AI7</f>
        <v>0</v>
      </c>
      <c r="F7" s="98">
        <f>'Monthly Data'!AD7</f>
        <v>52.462500000000006</v>
      </c>
      <c r="G7">
        <f>'Monthly Data'!AV7</f>
        <v>6</v>
      </c>
      <c r="H7">
        <f>'Monthly Data'!BO7</f>
        <v>30</v>
      </c>
      <c r="I7">
        <f>'Monthly Data'!BR7</f>
        <v>0</v>
      </c>
      <c r="J7">
        <f>'Monthly Data'!AT7</f>
        <v>705966</v>
      </c>
      <c r="K7">
        <f>'Monthly Data'!BJ7</f>
        <v>0</v>
      </c>
      <c r="M7" s="17">
        <f t="shared" si="5"/>
        <v>-9501475.1395959798</v>
      </c>
      <c r="N7" s="17">
        <f t="shared" si="1"/>
        <v>0</v>
      </c>
      <c r="O7" s="17">
        <f t="shared" si="2"/>
        <v>1144498.9615695623</v>
      </c>
      <c r="P7" s="17">
        <f t="shared" si="6"/>
        <v>-215504.79761164318</v>
      </c>
      <c r="Q7" s="17">
        <f t="shared" si="7"/>
        <v>24809453.88714486</v>
      </c>
      <c r="R7" s="17">
        <f t="shared" si="8"/>
        <v>0</v>
      </c>
      <c r="S7" s="17">
        <f t="shared" si="9"/>
        <v>12037189.685853964</v>
      </c>
      <c r="T7" s="17">
        <f t="shared" si="10"/>
        <v>0</v>
      </c>
      <c r="U7" s="17">
        <f t="shared" si="11"/>
        <v>28274162.597360764</v>
      </c>
      <c r="V7" s="17">
        <f t="shared" si="3"/>
        <v>206754.69013051316</v>
      </c>
      <c r="W7" s="29">
        <f t="shared" si="4"/>
        <v>7.3663621098851995E-3</v>
      </c>
      <c r="Y7" t="s">
        <v>134</v>
      </c>
      <c r="Z7" s="105">
        <v>-9501475.1395959798</v>
      </c>
      <c r="AA7" s="105">
        <v>3621459.8463115701</v>
      </c>
      <c r="AB7" s="76">
        <v>-2.6236588400319198</v>
      </c>
      <c r="AC7" s="251">
        <v>9.8004168508518293E-3</v>
      </c>
    </row>
    <row r="8" spans="1:29" x14ac:dyDescent="0.2">
      <c r="A8" s="206">
        <f>'Monthly Data'!A8</f>
        <v>41821</v>
      </c>
      <c r="B8">
        <f>'Monthly Data'!C8</f>
        <v>7</v>
      </c>
      <c r="C8">
        <f>'Monthly Data'!B8</f>
        <v>2014</v>
      </c>
      <c r="D8" s="18">
        <f>'Monthly Data'!N8</f>
        <v>28019396.695157461</v>
      </c>
      <c r="E8">
        <f>'Monthly Data'!AI8</f>
        <v>0</v>
      </c>
      <c r="F8" s="98">
        <f>'Monthly Data'!AD8</f>
        <v>45.766666666666652</v>
      </c>
      <c r="G8">
        <f>'Monthly Data'!AV8</f>
        <v>7</v>
      </c>
      <c r="H8">
        <f>'Monthly Data'!BO8</f>
        <v>31</v>
      </c>
      <c r="I8">
        <f>'Monthly Data'!BR8</f>
        <v>0</v>
      </c>
      <c r="J8">
        <f>'Monthly Data'!AT8</f>
        <v>713152</v>
      </c>
      <c r="K8">
        <f>'Monthly Data'!BJ8</f>
        <v>0</v>
      </c>
      <c r="M8" s="17">
        <f t="shared" si="5"/>
        <v>-9501475.1395959798</v>
      </c>
      <c r="N8" s="17">
        <f t="shared" si="1"/>
        <v>0</v>
      </c>
      <c r="O8" s="17">
        <f t="shared" si="2"/>
        <v>998425.58922087727</v>
      </c>
      <c r="P8" s="17">
        <f t="shared" si="6"/>
        <v>-251422.26388025039</v>
      </c>
      <c r="Q8" s="17">
        <f t="shared" si="7"/>
        <v>25636435.683383022</v>
      </c>
      <c r="R8" s="17">
        <f t="shared" si="8"/>
        <v>0</v>
      </c>
      <c r="S8" s="17">
        <f t="shared" si="9"/>
        <v>12159715.76371401</v>
      </c>
      <c r="T8" s="17">
        <f t="shared" si="10"/>
        <v>0</v>
      </c>
      <c r="U8" s="17">
        <f t="shared" si="11"/>
        <v>29041679.632841676</v>
      </c>
      <c r="V8" s="17">
        <f t="shared" si="3"/>
        <v>1022282.9376842156</v>
      </c>
      <c r="W8" s="29">
        <f t="shared" si="4"/>
        <v>3.6484830448219277E-2</v>
      </c>
      <c r="Y8" t="s">
        <v>34</v>
      </c>
      <c r="Z8" s="105">
        <v>11741.684045846499</v>
      </c>
      <c r="AA8" s="105">
        <v>340.50341561495401</v>
      </c>
      <c r="AB8" s="76">
        <v>34.483307677371997</v>
      </c>
      <c r="AC8" s="251">
        <v>4.4807285194303098E-65</v>
      </c>
    </row>
    <row r="9" spans="1:29" x14ac:dyDescent="0.2">
      <c r="A9" s="206">
        <f>'Monthly Data'!A9</f>
        <v>41852</v>
      </c>
      <c r="B9">
        <f>'Monthly Data'!C9</f>
        <v>8</v>
      </c>
      <c r="C9">
        <f>'Monthly Data'!B9</f>
        <v>2014</v>
      </c>
      <c r="D9" s="18">
        <f>'Monthly Data'!N9</f>
        <v>28140240.283092655</v>
      </c>
      <c r="E9">
        <f>'Monthly Data'!AI9</f>
        <v>1.1333333333333346</v>
      </c>
      <c r="F9" s="98">
        <f>'Monthly Data'!AD9</f>
        <v>55.279166666666697</v>
      </c>
      <c r="G9">
        <f>'Monthly Data'!AV9</f>
        <v>8</v>
      </c>
      <c r="H9">
        <f>'Monthly Data'!BO9</f>
        <v>31</v>
      </c>
      <c r="I9">
        <f>'Monthly Data'!BR9</f>
        <v>0</v>
      </c>
      <c r="J9">
        <f>'Monthly Data'!AT9</f>
        <v>713152</v>
      </c>
      <c r="K9">
        <f>'Monthly Data'!BJ9</f>
        <v>0</v>
      </c>
      <c r="M9" s="17">
        <f t="shared" si="5"/>
        <v>-9501475.1395959798</v>
      </c>
      <c r="N9" s="17">
        <f t="shared" si="1"/>
        <v>13307.241918626049</v>
      </c>
      <c r="O9" s="17">
        <f t="shared" si="2"/>
        <v>1205946.1300248899</v>
      </c>
      <c r="P9" s="17">
        <f t="shared" si="6"/>
        <v>-287339.73014885758</v>
      </c>
      <c r="Q9" s="17">
        <f t="shared" si="7"/>
        <v>25636435.683383022</v>
      </c>
      <c r="R9" s="17">
        <f t="shared" si="8"/>
        <v>0</v>
      </c>
      <c r="S9" s="17">
        <f t="shared" si="9"/>
        <v>12159715.76371401</v>
      </c>
      <c r="T9" s="17">
        <f t="shared" si="10"/>
        <v>0</v>
      </c>
      <c r="U9" s="17">
        <f t="shared" si="11"/>
        <v>29226589.949295707</v>
      </c>
      <c r="V9" s="17">
        <f t="shared" si="3"/>
        <v>1086349.6662030518</v>
      </c>
      <c r="W9" s="29">
        <f t="shared" si="4"/>
        <v>3.8604846841189103E-2</v>
      </c>
      <c r="Y9" t="s">
        <v>29</v>
      </c>
      <c r="Z9" s="105">
        <v>21815.562765204901</v>
      </c>
      <c r="AA9" s="105">
        <v>1912.8817201296799</v>
      </c>
      <c r="AB9" s="76">
        <v>11.404553943735699</v>
      </c>
      <c r="AC9" s="251">
        <v>5.3447480253911997E-21</v>
      </c>
    </row>
    <row r="10" spans="1:29" x14ac:dyDescent="0.2">
      <c r="A10" s="206">
        <f>'Monthly Data'!A10</f>
        <v>41883</v>
      </c>
      <c r="B10">
        <f>'Monthly Data'!C10</f>
        <v>9</v>
      </c>
      <c r="C10">
        <f>'Monthly Data'!B10</f>
        <v>2014</v>
      </c>
      <c r="D10" s="18">
        <f>'Monthly Data'!N10</f>
        <v>28441518.027214915</v>
      </c>
      <c r="E10">
        <f>'Monthly Data'!AI10</f>
        <v>35.229166666666664</v>
      </c>
      <c r="F10" s="98">
        <f>'Monthly Data'!AD10</f>
        <v>14.11666666666666</v>
      </c>
      <c r="G10">
        <f>'Monthly Data'!AV10</f>
        <v>9</v>
      </c>
      <c r="H10">
        <f>'Monthly Data'!BO10</f>
        <v>30</v>
      </c>
      <c r="I10">
        <f>'Monthly Data'!BR10</f>
        <v>0</v>
      </c>
      <c r="J10">
        <f>'Monthly Data'!AT10</f>
        <v>713152</v>
      </c>
      <c r="K10">
        <f>'Monthly Data'!BJ10</f>
        <v>1</v>
      </c>
      <c r="M10" s="17">
        <f t="shared" si="5"/>
        <v>-9501475.1395959798</v>
      </c>
      <c r="N10" s="17">
        <f t="shared" si="1"/>
        <v>413649.74419846729</v>
      </c>
      <c r="O10" s="17">
        <f t="shared" si="2"/>
        <v>307963.02770214237</v>
      </c>
      <c r="P10" s="17">
        <f t="shared" si="6"/>
        <v>-323257.19641746476</v>
      </c>
      <c r="Q10" s="17">
        <f t="shared" si="7"/>
        <v>24809453.88714486</v>
      </c>
      <c r="R10" s="17">
        <f t="shared" si="8"/>
        <v>0</v>
      </c>
      <c r="S10" s="17">
        <f t="shared" si="9"/>
        <v>12159715.76371401</v>
      </c>
      <c r="T10" s="17">
        <f t="shared" si="10"/>
        <v>413783.55369814899</v>
      </c>
      <c r="U10" s="17">
        <f t="shared" si="11"/>
        <v>27866050.086746037</v>
      </c>
      <c r="V10" s="17">
        <f t="shared" si="3"/>
        <v>-575467.94046887755</v>
      </c>
      <c r="W10" s="29">
        <f t="shared" si="4"/>
        <v>2.0233376429423633E-2</v>
      </c>
      <c r="Y10" t="s">
        <v>47</v>
      </c>
      <c r="Z10" s="105">
        <v>-35917.466268607197</v>
      </c>
      <c r="AA10" s="105">
        <v>7838.7253453206304</v>
      </c>
      <c r="AB10" s="76">
        <v>-4.5820544395076004</v>
      </c>
      <c r="AC10" s="251">
        <v>1.1131639584773E-5</v>
      </c>
    </row>
    <row r="11" spans="1:29" x14ac:dyDescent="0.2">
      <c r="A11" s="206">
        <f>'Monthly Data'!A11</f>
        <v>41913</v>
      </c>
      <c r="B11">
        <f>'Monthly Data'!C11</f>
        <v>10</v>
      </c>
      <c r="C11">
        <f>'Monthly Data'!B11</f>
        <v>2014</v>
      </c>
      <c r="D11" s="18">
        <f>'Monthly Data'!N11</f>
        <v>30844451.580300067</v>
      </c>
      <c r="E11">
        <f>'Monthly Data'!AI11</f>
        <v>131.08956338256775</v>
      </c>
      <c r="F11" s="98">
        <f>'Monthly Data'!AD11</f>
        <v>0</v>
      </c>
      <c r="G11">
        <f>'Monthly Data'!AV11</f>
        <v>10</v>
      </c>
      <c r="H11">
        <f>'Monthly Data'!BO11</f>
        <v>31</v>
      </c>
      <c r="I11">
        <f>'Monthly Data'!BR11</f>
        <v>0</v>
      </c>
      <c r="J11">
        <f>'Monthly Data'!AT11</f>
        <v>716976</v>
      </c>
      <c r="K11">
        <f>'Monthly Data'!BJ11</f>
        <v>1</v>
      </c>
      <c r="M11" s="17">
        <f t="shared" si="5"/>
        <v>-9501475.1395959798</v>
      </c>
      <c r="N11" s="17">
        <f t="shared" si="1"/>
        <v>1539212.2349460791</v>
      </c>
      <c r="O11" s="17">
        <f t="shared" si="2"/>
        <v>0</v>
      </c>
      <c r="P11" s="17">
        <f t="shared" si="6"/>
        <v>-359174.66268607194</v>
      </c>
      <c r="Q11" s="17">
        <f t="shared" si="7"/>
        <v>25636435.683383022</v>
      </c>
      <c r="R11" s="17">
        <f t="shared" si="8"/>
        <v>0</v>
      </c>
      <c r="S11" s="17">
        <f t="shared" si="9"/>
        <v>12224917.506232355</v>
      </c>
      <c r="T11" s="17">
        <f t="shared" si="10"/>
        <v>413783.55369814899</v>
      </c>
      <c r="U11" s="17">
        <f t="shared" si="11"/>
        <v>29539915.622279402</v>
      </c>
      <c r="V11" s="17">
        <f t="shared" si="3"/>
        <v>-1304535.9580206648</v>
      </c>
      <c r="W11" s="29">
        <f t="shared" si="4"/>
        <v>4.2294023436417791E-2</v>
      </c>
      <c r="Y11" t="s">
        <v>66</v>
      </c>
      <c r="Z11" s="105">
        <v>826981.79623816197</v>
      </c>
      <c r="AA11" s="105">
        <v>45971.413026811002</v>
      </c>
      <c r="AB11" s="76">
        <v>17.989044534173001</v>
      </c>
      <c r="AC11" s="251">
        <v>3.0448706922036697E-36</v>
      </c>
    </row>
    <row r="12" spans="1:29" x14ac:dyDescent="0.2">
      <c r="A12" s="206">
        <f>'Monthly Data'!A12</f>
        <v>41944</v>
      </c>
      <c r="B12">
        <f>'Monthly Data'!C12</f>
        <v>11</v>
      </c>
      <c r="C12">
        <f>'Monthly Data'!B12</f>
        <v>2014</v>
      </c>
      <c r="D12" s="18">
        <f>'Monthly Data'!N12</f>
        <v>32830100.218734831</v>
      </c>
      <c r="E12">
        <f>'Monthly Data'!AI12</f>
        <v>413.34929225504521</v>
      </c>
      <c r="F12" s="98">
        <f>'Monthly Data'!AD12</f>
        <v>0</v>
      </c>
      <c r="G12">
        <f>'Monthly Data'!AV12</f>
        <v>11</v>
      </c>
      <c r="H12">
        <f>'Monthly Data'!BO12</f>
        <v>30</v>
      </c>
      <c r="I12">
        <f>'Monthly Data'!BR12</f>
        <v>0</v>
      </c>
      <c r="J12">
        <f>'Monthly Data'!AT12</f>
        <v>716976</v>
      </c>
      <c r="K12">
        <f>'Monthly Data'!BJ12</f>
        <v>1</v>
      </c>
      <c r="M12" s="17">
        <f t="shared" si="5"/>
        <v>-9501475.1395959798</v>
      </c>
      <c r="N12" s="17">
        <f t="shared" si="1"/>
        <v>4853416.7902330067</v>
      </c>
      <c r="O12" s="17">
        <f t="shared" si="2"/>
        <v>0</v>
      </c>
      <c r="P12" s="17">
        <f t="shared" si="6"/>
        <v>-395092.12895467918</v>
      </c>
      <c r="Q12" s="17">
        <f t="shared" si="7"/>
        <v>24809453.88714486</v>
      </c>
      <c r="R12" s="17">
        <f t="shared" si="8"/>
        <v>0</v>
      </c>
      <c r="S12" s="17">
        <f t="shared" si="9"/>
        <v>12224917.506232355</v>
      </c>
      <c r="T12" s="17">
        <f t="shared" si="10"/>
        <v>413783.55369814899</v>
      </c>
      <c r="U12" s="17">
        <f t="shared" si="11"/>
        <v>31991220.915059563</v>
      </c>
      <c r="V12" s="17">
        <f t="shared" si="3"/>
        <v>-838879.30367526785</v>
      </c>
      <c r="W12" s="29">
        <f t="shared" si="4"/>
        <v>2.5552139594034892E-2</v>
      </c>
      <c r="Y12" t="s">
        <v>69</v>
      </c>
      <c r="Z12" s="105">
        <v>-1932105.38036072</v>
      </c>
      <c r="AA12" s="105">
        <v>517635.81692495203</v>
      </c>
      <c r="AB12" s="76">
        <v>-3.7325573640527998</v>
      </c>
      <c r="AC12" s="251">
        <v>2.8831258096878798E-4</v>
      </c>
    </row>
    <row r="13" spans="1:29" x14ac:dyDescent="0.2">
      <c r="A13" s="206">
        <f>'Monthly Data'!A13</f>
        <v>41974</v>
      </c>
      <c r="B13">
        <f>'Monthly Data'!C13</f>
        <v>12</v>
      </c>
      <c r="C13">
        <f>'Monthly Data'!B13</f>
        <v>2014</v>
      </c>
      <c r="D13" s="18">
        <f>'Monthly Data'!N13</f>
        <v>34969793.401415013</v>
      </c>
      <c r="E13">
        <f>'Monthly Data'!AI13</f>
        <v>514.76666666666665</v>
      </c>
      <c r="F13" s="98">
        <f>'Monthly Data'!AD13</f>
        <v>0</v>
      </c>
      <c r="G13">
        <f>'Monthly Data'!AV13</f>
        <v>12</v>
      </c>
      <c r="H13">
        <f>'Monthly Data'!BO13</f>
        <v>31</v>
      </c>
      <c r="I13">
        <f>'Monthly Data'!BR13</f>
        <v>0</v>
      </c>
      <c r="J13">
        <f>'Monthly Data'!AT13</f>
        <v>716976</v>
      </c>
      <c r="K13">
        <f>'Monthly Data'!BJ13</f>
        <v>0</v>
      </c>
      <c r="M13" s="17">
        <f t="shared" si="5"/>
        <v>-9501475.1395959798</v>
      </c>
      <c r="N13" s="17">
        <f t="shared" si="1"/>
        <v>6044227.557333583</v>
      </c>
      <c r="O13" s="17">
        <f t="shared" si="2"/>
        <v>0</v>
      </c>
      <c r="P13" s="17">
        <f t="shared" si="6"/>
        <v>-431009.59522328636</v>
      </c>
      <c r="Q13" s="17">
        <f t="shared" si="7"/>
        <v>25636435.683383022</v>
      </c>
      <c r="R13" s="17">
        <f t="shared" si="8"/>
        <v>0</v>
      </c>
      <c r="S13" s="17">
        <f t="shared" si="9"/>
        <v>12224917.506232355</v>
      </c>
      <c r="T13" s="17">
        <f t="shared" si="10"/>
        <v>0</v>
      </c>
      <c r="U13" s="17">
        <f t="shared" si="11"/>
        <v>33973096.012129694</v>
      </c>
      <c r="V13" s="17">
        <f t="shared" si="3"/>
        <v>-996697.38928531855</v>
      </c>
      <c r="W13" s="29">
        <f t="shared" si="4"/>
        <v>2.8501666505269897E-2</v>
      </c>
      <c r="Y13" t="s">
        <v>45</v>
      </c>
      <c r="Z13" s="105">
        <v>17.0506648845043</v>
      </c>
      <c r="AA13" s="105">
        <v>5.0440147791221399</v>
      </c>
      <c r="AB13" s="76">
        <v>3.3803756791275301</v>
      </c>
      <c r="AC13" s="251">
        <v>9.70566681494129E-4</v>
      </c>
    </row>
    <row r="14" spans="1:29" x14ac:dyDescent="0.2">
      <c r="A14" s="206">
        <f>'Monthly Data'!A14</f>
        <v>42005</v>
      </c>
      <c r="B14">
        <f>'Monthly Data'!C14</f>
        <v>1</v>
      </c>
      <c r="C14">
        <f>'Monthly Data'!B14</f>
        <v>2015</v>
      </c>
      <c r="D14" s="18">
        <f>'Monthly Data'!N14</f>
        <v>37525993.187569529</v>
      </c>
      <c r="E14">
        <f>'Monthly Data'!AI14</f>
        <v>763.31875000000002</v>
      </c>
      <c r="F14" s="98">
        <f>'Monthly Data'!AD14</f>
        <v>0</v>
      </c>
      <c r="G14">
        <f>'Monthly Data'!AV14</f>
        <v>13</v>
      </c>
      <c r="H14">
        <f>'Monthly Data'!BO14</f>
        <v>31</v>
      </c>
      <c r="I14">
        <f>'Monthly Data'!BR14</f>
        <v>0</v>
      </c>
      <c r="J14">
        <f>'Monthly Data'!AT14</f>
        <v>718587</v>
      </c>
      <c r="K14">
        <f>'Monthly Data'!BJ14</f>
        <v>0</v>
      </c>
      <c r="M14" s="17">
        <f t="shared" si="5"/>
        <v>-9501475.1395959798</v>
      </c>
      <c r="N14" s="17">
        <f t="shared" si="1"/>
        <v>8962647.588770492</v>
      </c>
      <c r="O14" s="17">
        <f t="shared" si="2"/>
        <v>0</v>
      </c>
      <c r="P14" s="17">
        <f t="shared" si="6"/>
        <v>-466927.06149189355</v>
      </c>
      <c r="Q14" s="17">
        <f t="shared" si="7"/>
        <v>25636435.683383022</v>
      </c>
      <c r="R14" s="17">
        <f t="shared" si="8"/>
        <v>0</v>
      </c>
      <c r="S14" s="17">
        <f t="shared" si="9"/>
        <v>12252386.127361292</v>
      </c>
      <c r="T14" s="17">
        <f t="shared" si="10"/>
        <v>0</v>
      </c>
      <c r="U14" s="17">
        <f t="shared" si="11"/>
        <v>36883067.198426932</v>
      </c>
      <c r="V14" s="17">
        <f t="shared" si="3"/>
        <v>-642925.98914259672</v>
      </c>
      <c r="W14" s="29">
        <f t="shared" si="4"/>
        <v>1.7132817402833345E-2</v>
      </c>
      <c r="Y14" t="s">
        <v>61</v>
      </c>
      <c r="Z14" s="105">
        <v>413783.55369814899</v>
      </c>
      <c r="AA14" s="105">
        <v>151753.19522408201</v>
      </c>
      <c r="AB14" s="76">
        <v>2.72668758695424</v>
      </c>
      <c r="AC14" s="251">
        <v>7.3325468143778001E-3</v>
      </c>
    </row>
    <row r="15" spans="1:29" x14ac:dyDescent="0.2">
      <c r="A15" s="206">
        <f>'Monthly Data'!A15</f>
        <v>42036</v>
      </c>
      <c r="B15">
        <f>'Monthly Data'!C15</f>
        <v>2</v>
      </c>
      <c r="C15">
        <f>'Monthly Data'!B15</f>
        <v>2015</v>
      </c>
      <c r="D15" s="18">
        <f>'Monthly Data'!N15</f>
        <v>34433695.116453581</v>
      </c>
      <c r="E15">
        <f>'Monthly Data'!AI15</f>
        <v>805.05624999999998</v>
      </c>
      <c r="F15" s="98">
        <f>'Monthly Data'!AD15</f>
        <v>0</v>
      </c>
      <c r="G15">
        <f>'Monthly Data'!AV15</f>
        <v>14</v>
      </c>
      <c r="H15">
        <f>'Monthly Data'!BO15</f>
        <v>28</v>
      </c>
      <c r="I15">
        <f>'Monthly Data'!BR15</f>
        <v>0</v>
      </c>
      <c r="J15">
        <f>'Monthly Data'!AT15</f>
        <v>718587</v>
      </c>
      <c r="K15">
        <f>'Monthly Data'!BJ15</f>
        <v>0</v>
      </c>
      <c r="M15" s="17">
        <f t="shared" si="5"/>
        <v>-9501475.1395959798</v>
      </c>
      <c r="N15" s="17">
        <f t="shared" si="1"/>
        <v>9452716.126634011</v>
      </c>
      <c r="O15" s="17">
        <f t="shared" si="2"/>
        <v>0</v>
      </c>
      <c r="P15" s="17">
        <f t="shared" si="6"/>
        <v>-502844.52776050079</v>
      </c>
      <c r="Q15" s="17">
        <f t="shared" si="7"/>
        <v>23155490.294668537</v>
      </c>
      <c r="R15" s="17">
        <f t="shared" si="8"/>
        <v>0</v>
      </c>
      <c r="S15" s="17">
        <f t="shared" si="9"/>
        <v>12252386.127361292</v>
      </c>
      <c r="T15" s="17">
        <f t="shared" si="10"/>
        <v>0</v>
      </c>
      <c r="U15" s="17">
        <f t="shared" si="11"/>
        <v>34856272.881307356</v>
      </c>
      <c r="V15" s="17">
        <f t="shared" si="3"/>
        <v>422577.7648537755</v>
      </c>
      <c r="W15" s="29">
        <f t="shared" si="4"/>
        <v>1.2272216601344466E-2</v>
      </c>
    </row>
    <row r="16" spans="1:29" x14ac:dyDescent="0.2">
      <c r="A16" s="206">
        <f>'Monthly Data'!A16</f>
        <v>42064</v>
      </c>
      <c r="B16">
        <f>'Monthly Data'!C16</f>
        <v>3</v>
      </c>
      <c r="C16">
        <f>'Monthly Data'!B16</f>
        <v>2015</v>
      </c>
      <c r="D16" s="18">
        <f>'Monthly Data'!N16</f>
        <v>35206079.096577205</v>
      </c>
      <c r="E16">
        <f>'Monthly Data'!AI16</f>
        <v>514.78333333333342</v>
      </c>
      <c r="F16" s="98">
        <f>'Monthly Data'!AD16</f>
        <v>0</v>
      </c>
      <c r="G16">
        <f>'Monthly Data'!AV16</f>
        <v>15</v>
      </c>
      <c r="H16">
        <f>'Monthly Data'!BO16</f>
        <v>31</v>
      </c>
      <c r="I16">
        <f>'Monthly Data'!BR16</f>
        <v>0</v>
      </c>
      <c r="J16">
        <f>'Monthly Data'!AT16</f>
        <v>718587</v>
      </c>
      <c r="K16">
        <f>'Monthly Data'!BJ16</f>
        <v>0</v>
      </c>
      <c r="M16" s="17">
        <f t="shared" si="5"/>
        <v>-9501475.1395959798</v>
      </c>
      <c r="N16" s="17">
        <f t="shared" si="1"/>
        <v>6044423.2520676814</v>
      </c>
      <c r="O16" s="17">
        <f t="shared" si="2"/>
        <v>0</v>
      </c>
      <c r="P16" s="17">
        <f t="shared" si="6"/>
        <v>-538761.99402910797</v>
      </c>
      <c r="Q16" s="17">
        <f t="shared" si="7"/>
        <v>25636435.683383022</v>
      </c>
      <c r="R16" s="17">
        <f t="shared" si="8"/>
        <v>0</v>
      </c>
      <c r="S16" s="17">
        <f t="shared" si="9"/>
        <v>12252386.127361292</v>
      </c>
      <c r="T16" s="17">
        <f t="shared" si="10"/>
        <v>0</v>
      </c>
      <c r="U16" s="17">
        <f t="shared" si="11"/>
        <v>33893007.92918691</v>
      </c>
      <c r="V16" s="17">
        <f t="shared" si="3"/>
        <v>-1313071.1673902944</v>
      </c>
      <c r="W16" s="29">
        <f t="shared" si="4"/>
        <v>3.7296716961530467E-2</v>
      </c>
      <c r="Y16" t="s">
        <v>143</v>
      </c>
    </row>
    <row r="17" spans="1:28" x14ac:dyDescent="0.2">
      <c r="A17" s="206">
        <f>'Monthly Data'!A17</f>
        <v>42095</v>
      </c>
      <c r="B17">
        <f>'Monthly Data'!C17</f>
        <v>4</v>
      </c>
      <c r="C17">
        <f>'Monthly Data'!B17</f>
        <v>2015</v>
      </c>
      <c r="D17" s="18">
        <f>'Monthly Data'!N17</f>
        <v>29332521.895687036</v>
      </c>
      <c r="E17">
        <f>'Monthly Data'!AI17</f>
        <v>206.76874999999998</v>
      </c>
      <c r="F17" s="98">
        <f>'Monthly Data'!AD17</f>
        <v>0</v>
      </c>
      <c r="G17">
        <f>'Monthly Data'!AV17</f>
        <v>16</v>
      </c>
      <c r="H17">
        <f>'Monthly Data'!BO17</f>
        <v>30</v>
      </c>
      <c r="I17">
        <f>'Monthly Data'!BR17</f>
        <v>0</v>
      </c>
      <c r="J17">
        <f>'Monthly Data'!AT17</f>
        <v>723726</v>
      </c>
      <c r="K17">
        <f>'Monthly Data'!BJ17</f>
        <v>0</v>
      </c>
      <c r="M17" s="17">
        <f t="shared" si="5"/>
        <v>-9501475.1395959798</v>
      </c>
      <c r="N17" s="17">
        <f t="shared" si="1"/>
        <v>2427813.3330546231</v>
      </c>
      <c r="O17" s="17">
        <f t="shared" si="2"/>
        <v>0</v>
      </c>
      <c r="P17" s="17">
        <f t="shared" si="6"/>
        <v>-574679.46029771515</v>
      </c>
      <c r="Q17" s="17">
        <f t="shared" si="7"/>
        <v>24809453.88714486</v>
      </c>
      <c r="R17" s="17">
        <f t="shared" si="8"/>
        <v>0</v>
      </c>
      <c r="S17" s="17">
        <f t="shared" si="9"/>
        <v>12340009.494202759</v>
      </c>
      <c r="T17" s="17">
        <f t="shared" si="10"/>
        <v>0</v>
      </c>
      <c r="U17" s="17">
        <f t="shared" si="11"/>
        <v>29501122.114508547</v>
      </c>
      <c r="V17" s="17">
        <f t="shared" si="3"/>
        <v>168600.21882151067</v>
      </c>
      <c r="W17" s="29">
        <f t="shared" si="4"/>
        <v>5.7478937345070607E-3</v>
      </c>
      <c r="Y17" t="s">
        <v>144</v>
      </c>
      <c r="Z17" s="26">
        <v>36066514561472</v>
      </c>
      <c r="AA17" t="s">
        <v>145</v>
      </c>
      <c r="AB17" s="105">
        <v>541501.33482912497</v>
      </c>
    </row>
    <row r="18" spans="1:28" x14ac:dyDescent="0.2">
      <c r="A18" s="206">
        <f>'Monthly Data'!A18</f>
        <v>42125</v>
      </c>
      <c r="B18">
        <f>'Monthly Data'!C18</f>
        <v>5</v>
      </c>
      <c r="C18">
        <f>'Monthly Data'!B18</f>
        <v>2015</v>
      </c>
      <c r="D18" s="18">
        <f>'Monthly Data'!N18</f>
        <v>28039906.557423722</v>
      </c>
      <c r="E18">
        <f>'Monthly Data'!AI18</f>
        <v>22.945833333333329</v>
      </c>
      <c r="F18" s="98">
        <f>'Monthly Data'!AD18</f>
        <v>15.270833333333325</v>
      </c>
      <c r="G18">
        <f>'Monthly Data'!AV18</f>
        <v>17</v>
      </c>
      <c r="H18">
        <f>'Monthly Data'!BO18</f>
        <v>31</v>
      </c>
      <c r="I18">
        <f>'Monthly Data'!BR18</f>
        <v>0</v>
      </c>
      <c r="J18">
        <f>'Monthly Data'!AT18</f>
        <v>723726</v>
      </c>
      <c r="K18">
        <f>'Monthly Data'!BJ18</f>
        <v>0</v>
      </c>
      <c r="M18" s="17">
        <f t="shared" si="5"/>
        <v>-9501475.1395959798</v>
      </c>
      <c r="N18" s="17">
        <f t="shared" si="1"/>
        <v>269422.72516865277</v>
      </c>
      <c r="O18" s="17">
        <f t="shared" si="2"/>
        <v>333141.82306031632</v>
      </c>
      <c r="P18" s="17">
        <f t="shared" si="6"/>
        <v>-610596.92656632233</v>
      </c>
      <c r="Q18" s="17">
        <f t="shared" si="7"/>
        <v>25636435.683383022</v>
      </c>
      <c r="R18" s="17">
        <f t="shared" si="8"/>
        <v>0</v>
      </c>
      <c r="S18" s="17">
        <f t="shared" si="9"/>
        <v>12340009.494202759</v>
      </c>
      <c r="T18" s="17">
        <f t="shared" si="10"/>
        <v>0</v>
      </c>
      <c r="U18" s="17">
        <f t="shared" si="11"/>
        <v>28466937.659652449</v>
      </c>
      <c r="V18" s="17">
        <f t="shared" si="3"/>
        <v>427031.10222872719</v>
      </c>
      <c r="W18" s="29">
        <f t="shared" si="4"/>
        <v>1.522940532466462E-2</v>
      </c>
      <c r="Y18" t="s">
        <v>146</v>
      </c>
      <c r="Z18" s="252">
        <v>0.96561073764774297</v>
      </c>
      <c r="AA18" t="s">
        <v>147</v>
      </c>
      <c r="AB18" s="252">
        <v>0.96365362515615105</v>
      </c>
    </row>
    <row r="19" spans="1:28" x14ac:dyDescent="0.2">
      <c r="A19" s="206">
        <f>'Monthly Data'!A19</f>
        <v>42156</v>
      </c>
      <c r="B19">
        <f>'Monthly Data'!C19</f>
        <v>6</v>
      </c>
      <c r="C19">
        <f>'Monthly Data'!B19</f>
        <v>2015</v>
      </c>
      <c r="D19" s="18">
        <f>'Monthly Data'!N19</f>
        <v>27666358.35763308</v>
      </c>
      <c r="E19">
        <f>'Monthly Data'!AI19</f>
        <v>0</v>
      </c>
      <c r="F19" s="98">
        <f>'Monthly Data'!AD19</f>
        <v>26.534061029053731</v>
      </c>
      <c r="G19">
        <f>'Monthly Data'!AV19</f>
        <v>18</v>
      </c>
      <c r="H19">
        <f>'Monthly Data'!BO19</f>
        <v>30</v>
      </c>
      <c r="I19">
        <f>'Monthly Data'!BR19</f>
        <v>0</v>
      </c>
      <c r="J19">
        <f>'Monthly Data'!AT19</f>
        <v>723726</v>
      </c>
      <c r="K19">
        <f>'Monthly Data'!BJ19</f>
        <v>0</v>
      </c>
      <c r="M19" s="17">
        <f t="shared" si="5"/>
        <v>-9501475.1395959798</v>
      </c>
      <c r="N19" s="17">
        <f t="shared" si="1"/>
        <v>0</v>
      </c>
      <c r="O19" s="17">
        <f t="shared" si="2"/>
        <v>578855.47379509907</v>
      </c>
      <c r="P19" s="17">
        <f t="shared" si="6"/>
        <v>-646514.39283492952</v>
      </c>
      <c r="Q19" s="17">
        <f t="shared" si="7"/>
        <v>24809453.88714486</v>
      </c>
      <c r="R19" s="17">
        <f t="shared" si="8"/>
        <v>0</v>
      </c>
      <c r="S19" s="17">
        <f t="shared" si="9"/>
        <v>12340009.494202759</v>
      </c>
      <c r="T19" s="17">
        <f t="shared" si="10"/>
        <v>0</v>
      </c>
      <c r="U19" s="17">
        <f t="shared" si="11"/>
        <v>27580329.32271181</v>
      </c>
      <c r="V19" s="17">
        <f t="shared" si="3"/>
        <v>-86029.034921269864</v>
      </c>
      <c r="W19" s="29">
        <f t="shared" si="4"/>
        <v>3.1095178414594152E-3</v>
      </c>
      <c r="Y19" t="s">
        <v>489</v>
      </c>
      <c r="Z19" s="76">
        <v>401.36140250093098</v>
      </c>
      <c r="AA19" t="s">
        <v>148</v>
      </c>
      <c r="AB19" s="252">
        <v>1.6943725825629001E-81</v>
      </c>
    </row>
    <row r="20" spans="1:28" x14ac:dyDescent="0.2">
      <c r="A20" s="206">
        <f>'Monthly Data'!A20</f>
        <v>42186</v>
      </c>
      <c r="B20">
        <f>'Monthly Data'!C20</f>
        <v>7</v>
      </c>
      <c r="C20">
        <f>'Monthly Data'!B20</f>
        <v>2015</v>
      </c>
      <c r="D20" s="18">
        <f>'Monthly Data'!N20</f>
        <v>29065483.472317301</v>
      </c>
      <c r="E20">
        <f>'Monthly Data'!AI20</f>
        <v>0</v>
      </c>
      <c r="F20" s="98">
        <f>'Monthly Data'!AD20</f>
        <v>99.108333333333334</v>
      </c>
      <c r="G20">
        <f>'Monthly Data'!AV20</f>
        <v>19</v>
      </c>
      <c r="H20">
        <f>'Monthly Data'!BO20</f>
        <v>31</v>
      </c>
      <c r="I20">
        <f>'Monthly Data'!BR20</f>
        <v>0</v>
      </c>
      <c r="J20">
        <f>'Monthly Data'!AT20</f>
        <v>730341</v>
      </c>
      <c r="K20">
        <f>'Monthly Data'!BJ20</f>
        <v>0</v>
      </c>
      <c r="M20" s="17">
        <f t="shared" si="5"/>
        <v>-9501475.1395959798</v>
      </c>
      <c r="N20" s="17">
        <f t="shared" si="1"/>
        <v>0</v>
      </c>
      <c r="O20" s="17">
        <f t="shared" si="2"/>
        <v>2162104.0663881823</v>
      </c>
      <c r="P20" s="17">
        <f t="shared" si="6"/>
        <v>-682431.8591035367</v>
      </c>
      <c r="Q20" s="17">
        <f t="shared" si="7"/>
        <v>25636435.683383022</v>
      </c>
      <c r="R20" s="17">
        <f t="shared" si="8"/>
        <v>0</v>
      </c>
      <c r="S20" s="17">
        <f t="shared" si="9"/>
        <v>12452799.642413756</v>
      </c>
      <c r="T20" s="17">
        <f t="shared" si="10"/>
        <v>0</v>
      </c>
      <c r="U20" s="17">
        <f t="shared" si="11"/>
        <v>30067432.393485442</v>
      </c>
      <c r="V20" s="17">
        <f t="shared" si="3"/>
        <v>1001948.9211681411</v>
      </c>
      <c r="W20" s="29">
        <f t="shared" si="4"/>
        <v>3.447212299504402E-2</v>
      </c>
      <c r="Y20" t="s">
        <v>149</v>
      </c>
      <c r="Z20" s="252">
        <v>-3.5575708606437502E-2</v>
      </c>
      <c r="AA20" t="s">
        <v>150</v>
      </c>
      <c r="AB20" s="252">
        <v>2.0582840745129398</v>
      </c>
    </row>
    <row r="21" spans="1:28" x14ac:dyDescent="0.2">
      <c r="A21" s="206">
        <f>'Monthly Data'!A21</f>
        <v>42217</v>
      </c>
      <c r="B21">
        <f>'Monthly Data'!C21</f>
        <v>8</v>
      </c>
      <c r="C21">
        <f>'Monthly Data'!B21</f>
        <v>2015</v>
      </c>
      <c r="D21" s="18">
        <f>'Monthly Data'!N21</f>
        <v>28381856.660066649</v>
      </c>
      <c r="E21">
        <f>'Monthly Data'!AI21</f>
        <v>0</v>
      </c>
      <c r="F21" s="98">
        <f>'Monthly Data'!AD21</f>
        <v>65.76666666666668</v>
      </c>
      <c r="G21">
        <f>'Monthly Data'!AV21</f>
        <v>20</v>
      </c>
      <c r="H21">
        <f>'Monthly Data'!BO21</f>
        <v>31</v>
      </c>
      <c r="I21">
        <f>'Monthly Data'!BR21</f>
        <v>0</v>
      </c>
      <c r="J21">
        <f>'Monthly Data'!AT21</f>
        <v>730341</v>
      </c>
      <c r="K21">
        <f>'Monthly Data'!BJ21</f>
        <v>0</v>
      </c>
      <c r="M21" s="17">
        <f t="shared" si="5"/>
        <v>-9501475.1395959798</v>
      </c>
      <c r="N21" s="17">
        <f t="shared" si="1"/>
        <v>0</v>
      </c>
      <c r="O21" s="17">
        <f t="shared" si="2"/>
        <v>1434736.8445249759</v>
      </c>
      <c r="P21" s="17">
        <f t="shared" si="6"/>
        <v>-718349.32537214388</v>
      </c>
      <c r="Q21" s="17">
        <f t="shared" si="7"/>
        <v>25636435.683383022</v>
      </c>
      <c r="R21" s="17">
        <f t="shared" si="8"/>
        <v>0</v>
      </c>
      <c r="S21" s="17">
        <f t="shared" si="9"/>
        <v>12452799.642413756</v>
      </c>
      <c r="T21" s="17">
        <f t="shared" si="10"/>
        <v>0</v>
      </c>
      <c r="U21" s="17">
        <f t="shared" si="11"/>
        <v>29304147.705353633</v>
      </c>
      <c r="V21" s="17">
        <f t="shared" si="3"/>
        <v>922291.04528698325</v>
      </c>
      <c r="W21" s="29">
        <f t="shared" si="4"/>
        <v>3.2495796745554327E-2</v>
      </c>
    </row>
    <row r="22" spans="1:28" x14ac:dyDescent="0.2">
      <c r="A22" s="206">
        <f>'Monthly Data'!A22</f>
        <v>42248</v>
      </c>
      <c r="B22">
        <f>'Monthly Data'!C22</f>
        <v>9</v>
      </c>
      <c r="C22">
        <f>'Monthly Data'!B22</f>
        <v>2015</v>
      </c>
      <c r="D22" s="18">
        <f>'Monthly Data'!N22</f>
        <v>28197307.314456262</v>
      </c>
      <c r="E22">
        <f>'Monthly Data'!AI22</f>
        <v>5.0249999999999986</v>
      </c>
      <c r="F22" s="98">
        <f>'Monthly Data'!AD22</f>
        <v>54.29374999999996</v>
      </c>
      <c r="G22">
        <f>'Monthly Data'!AV22</f>
        <v>21</v>
      </c>
      <c r="H22">
        <f>'Monthly Data'!BO22</f>
        <v>30</v>
      </c>
      <c r="I22">
        <f>'Monthly Data'!BR22</f>
        <v>0</v>
      </c>
      <c r="J22">
        <f>'Monthly Data'!AT22</f>
        <v>730341</v>
      </c>
      <c r="K22">
        <f>'Monthly Data'!BJ22</f>
        <v>1</v>
      </c>
      <c r="M22" s="17">
        <f t="shared" si="5"/>
        <v>-9501475.1395959798</v>
      </c>
      <c r="N22" s="17">
        <f t="shared" si="1"/>
        <v>59001.962330378643</v>
      </c>
      <c r="O22" s="17">
        <f t="shared" si="2"/>
        <v>1184448.7108833427</v>
      </c>
      <c r="P22" s="17">
        <f t="shared" si="6"/>
        <v>-754266.79164075118</v>
      </c>
      <c r="Q22" s="17">
        <f t="shared" si="7"/>
        <v>24809453.88714486</v>
      </c>
      <c r="R22" s="17">
        <f t="shared" si="8"/>
        <v>0</v>
      </c>
      <c r="S22" s="17">
        <f t="shared" si="9"/>
        <v>12452799.642413756</v>
      </c>
      <c r="T22" s="17">
        <f t="shared" si="10"/>
        <v>413783.55369814899</v>
      </c>
      <c r="U22" s="17">
        <f t="shared" si="11"/>
        <v>28249962.271535605</v>
      </c>
      <c r="V22" s="17">
        <f t="shared" si="3"/>
        <v>52654.957079343498</v>
      </c>
      <c r="W22" s="29">
        <f t="shared" si="4"/>
        <v>1.8673753664538114E-3</v>
      </c>
      <c r="Y22" t="s">
        <v>151</v>
      </c>
    </row>
    <row r="23" spans="1:28" x14ac:dyDescent="0.2">
      <c r="A23" s="206">
        <f>'Monthly Data'!A23</f>
        <v>42278</v>
      </c>
      <c r="B23">
        <f>'Monthly Data'!C23</f>
        <v>10</v>
      </c>
      <c r="C23">
        <f>'Monthly Data'!B23</f>
        <v>2015</v>
      </c>
      <c r="D23" s="18">
        <f>'Monthly Data'!N23</f>
        <v>28821038.068710539</v>
      </c>
      <c r="E23">
        <f>'Monthly Data'!AI23</f>
        <v>151.64166666666668</v>
      </c>
      <c r="F23" s="98">
        <f>'Monthly Data'!AD23</f>
        <v>0</v>
      </c>
      <c r="G23">
        <f>'Monthly Data'!AV23</f>
        <v>22</v>
      </c>
      <c r="H23">
        <f>'Monthly Data'!BO23</f>
        <v>31</v>
      </c>
      <c r="I23">
        <f>'Monthly Data'!BR23</f>
        <v>0</v>
      </c>
      <c r="J23">
        <f>'Monthly Data'!AT23</f>
        <v>737784</v>
      </c>
      <c r="K23">
        <f>'Monthly Data'!BJ23</f>
        <v>1</v>
      </c>
      <c r="M23" s="17">
        <f t="shared" si="5"/>
        <v>-9501475.1395959798</v>
      </c>
      <c r="N23" s="17">
        <f t="shared" si="1"/>
        <v>1780528.5381855732</v>
      </c>
      <c r="O23" s="17">
        <f t="shared" si="2"/>
        <v>0</v>
      </c>
      <c r="P23" s="17">
        <f t="shared" si="6"/>
        <v>-790184.25790935836</v>
      </c>
      <c r="Q23" s="17">
        <f t="shared" si="7"/>
        <v>25636435.683383022</v>
      </c>
      <c r="R23" s="17">
        <f t="shared" si="8"/>
        <v>0</v>
      </c>
      <c r="S23" s="17">
        <f t="shared" si="9"/>
        <v>12579707.74114912</v>
      </c>
      <c r="T23" s="17">
        <f t="shared" si="10"/>
        <v>413783.55369814899</v>
      </c>
      <c r="U23" s="17">
        <f t="shared" si="11"/>
        <v>29705012.565212376</v>
      </c>
      <c r="V23" s="17">
        <f t="shared" si="3"/>
        <v>883974.49650183693</v>
      </c>
      <c r="W23" s="29">
        <f t="shared" si="4"/>
        <v>3.06711539811441E-2</v>
      </c>
      <c r="Y23" t="s">
        <v>152</v>
      </c>
      <c r="Z23">
        <v>30057404.177312002</v>
      </c>
      <c r="AA23" t="s">
        <v>153</v>
      </c>
      <c r="AB23">
        <v>2837565.8405742599</v>
      </c>
    </row>
    <row r="24" spans="1:28" x14ac:dyDescent="0.2">
      <c r="A24" s="206">
        <f>'Monthly Data'!A24</f>
        <v>42309</v>
      </c>
      <c r="B24">
        <f>'Monthly Data'!C24</f>
        <v>11</v>
      </c>
      <c r="C24">
        <f>'Monthly Data'!B24</f>
        <v>2015</v>
      </c>
      <c r="D24" s="18">
        <f>'Monthly Data'!N24</f>
        <v>30205603.567728698</v>
      </c>
      <c r="E24">
        <f>'Monthly Data'!AI24</f>
        <v>246.22083333333336</v>
      </c>
      <c r="F24" s="98">
        <f>'Monthly Data'!AD24</f>
        <v>0</v>
      </c>
      <c r="G24">
        <f>'Monthly Data'!AV24</f>
        <v>23</v>
      </c>
      <c r="H24">
        <f>'Monthly Data'!BO24</f>
        <v>30</v>
      </c>
      <c r="I24">
        <f>'Monthly Data'!BR24</f>
        <v>0</v>
      </c>
      <c r="J24">
        <f>'Monthly Data'!AT24</f>
        <v>737784</v>
      </c>
      <c r="K24">
        <f>'Monthly Data'!BJ24</f>
        <v>1</v>
      </c>
      <c r="M24" s="17">
        <f t="shared" si="5"/>
        <v>-9501475.1395959798</v>
      </c>
      <c r="N24" s="17">
        <f t="shared" si="1"/>
        <v>2891047.2305050301</v>
      </c>
      <c r="O24" s="17">
        <f t="shared" si="2"/>
        <v>0</v>
      </c>
      <c r="P24" s="17">
        <f t="shared" si="6"/>
        <v>-826101.72417796555</v>
      </c>
      <c r="Q24" s="17">
        <f t="shared" si="7"/>
        <v>24809453.88714486</v>
      </c>
      <c r="R24" s="17">
        <f t="shared" si="8"/>
        <v>0</v>
      </c>
      <c r="S24" s="17">
        <f t="shared" si="9"/>
        <v>12579707.74114912</v>
      </c>
      <c r="T24" s="17">
        <f t="shared" si="10"/>
        <v>413783.55369814899</v>
      </c>
      <c r="U24" s="17">
        <f t="shared" si="11"/>
        <v>29952631.995025065</v>
      </c>
      <c r="V24" s="17">
        <f t="shared" si="3"/>
        <v>-252971.57270363346</v>
      </c>
      <c r="W24" s="29">
        <f t="shared" si="4"/>
        <v>8.3749881751710876E-3</v>
      </c>
    </row>
    <row r="25" spans="1:28" x14ac:dyDescent="0.2">
      <c r="A25" s="206">
        <f>'Monthly Data'!A25</f>
        <v>42339</v>
      </c>
      <c r="B25">
        <f>'Monthly Data'!C25</f>
        <v>12</v>
      </c>
      <c r="C25">
        <f>'Monthly Data'!B25</f>
        <v>2015</v>
      </c>
      <c r="D25" s="18">
        <f>'Monthly Data'!N25</f>
        <v>32372334.335820865</v>
      </c>
      <c r="E25">
        <f>'Monthly Data'!AI25</f>
        <v>352.51249999999993</v>
      </c>
      <c r="F25" s="98">
        <f>'Monthly Data'!AD25</f>
        <v>0</v>
      </c>
      <c r="G25">
        <f>'Monthly Data'!AV25</f>
        <v>24</v>
      </c>
      <c r="H25">
        <f>'Monthly Data'!BO25</f>
        <v>31</v>
      </c>
      <c r="I25">
        <f>'Monthly Data'!BR25</f>
        <v>0</v>
      </c>
      <c r="J25">
        <f>'Monthly Data'!AT25</f>
        <v>737784</v>
      </c>
      <c r="K25">
        <f>'Monthly Data'!BJ25</f>
        <v>0</v>
      </c>
      <c r="M25" s="17">
        <f t="shared" si="5"/>
        <v>-9501475.1395959798</v>
      </c>
      <c r="N25" s="17">
        <f t="shared" si="1"/>
        <v>4139090.3972114632</v>
      </c>
      <c r="O25" s="17">
        <f t="shared" si="2"/>
        <v>0</v>
      </c>
      <c r="P25" s="17">
        <f t="shared" si="6"/>
        <v>-862019.19044657273</v>
      </c>
      <c r="Q25" s="17">
        <f t="shared" si="7"/>
        <v>25636435.683383022</v>
      </c>
      <c r="R25" s="17">
        <f t="shared" si="8"/>
        <v>0</v>
      </c>
      <c r="S25" s="17">
        <f t="shared" si="9"/>
        <v>12579707.74114912</v>
      </c>
      <c r="T25" s="17">
        <f t="shared" si="10"/>
        <v>0</v>
      </c>
      <c r="U25" s="17">
        <f t="shared" si="11"/>
        <v>31991739.491701052</v>
      </c>
      <c r="V25" s="17">
        <f t="shared" si="3"/>
        <v>-380594.84411981329</v>
      </c>
      <c r="W25" s="29">
        <f t="shared" si="4"/>
        <v>1.1756793321471254E-2</v>
      </c>
    </row>
    <row r="26" spans="1:28" x14ac:dyDescent="0.2">
      <c r="A26" s="206">
        <f>'Monthly Data'!A26</f>
        <v>42370</v>
      </c>
      <c r="B26">
        <f>'Monthly Data'!C26</f>
        <v>1</v>
      </c>
      <c r="C26">
        <f>'Monthly Data'!B26</f>
        <v>2016</v>
      </c>
      <c r="D26" s="18">
        <f>'Monthly Data'!N26</f>
        <v>35247496.219310194</v>
      </c>
      <c r="E26">
        <f>'Monthly Data'!AI26</f>
        <v>615.80416666666679</v>
      </c>
      <c r="F26" s="98">
        <f>'Monthly Data'!AD26</f>
        <v>0</v>
      </c>
      <c r="G26">
        <f>'Monthly Data'!AV26</f>
        <v>25</v>
      </c>
      <c r="H26">
        <f>'Monthly Data'!BO26</f>
        <v>31</v>
      </c>
      <c r="I26">
        <f>'Monthly Data'!BR26</f>
        <v>0</v>
      </c>
      <c r="J26">
        <f>'Monthly Data'!AT26</f>
        <v>743287</v>
      </c>
      <c r="K26">
        <f>'Monthly Data'!BJ26</f>
        <v>0</v>
      </c>
      <c r="M26" s="17">
        <f t="shared" si="5"/>
        <v>-9501475.1395959798</v>
      </c>
      <c r="N26" s="17">
        <f t="shared" si="1"/>
        <v>7230577.9591158004</v>
      </c>
      <c r="O26" s="17">
        <f t="shared" si="2"/>
        <v>0</v>
      </c>
      <c r="P26" s="17">
        <f t="shared" si="6"/>
        <v>-897936.65671517991</v>
      </c>
      <c r="Q26" s="17">
        <f t="shared" si="7"/>
        <v>25636435.683383022</v>
      </c>
      <c r="R26" s="17">
        <f t="shared" si="8"/>
        <v>0</v>
      </c>
      <c r="S26" s="17">
        <f t="shared" si="9"/>
        <v>12673537.550008548</v>
      </c>
      <c r="T26" s="17">
        <f t="shared" si="10"/>
        <v>0</v>
      </c>
      <c r="U26" s="17">
        <f t="shared" si="11"/>
        <v>35141139.396196209</v>
      </c>
      <c r="V26" s="17">
        <f t="shared" si="3"/>
        <v>-106356.82311398536</v>
      </c>
      <c r="W26" s="29">
        <f t="shared" si="4"/>
        <v>3.0174291658117327E-3</v>
      </c>
    </row>
    <row r="27" spans="1:28" x14ac:dyDescent="0.2">
      <c r="A27" s="206">
        <f>'Monthly Data'!A27</f>
        <v>42401</v>
      </c>
      <c r="B27">
        <f>'Monthly Data'!C27</f>
        <v>2</v>
      </c>
      <c r="C27">
        <f>'Monthly Data'!B27</f>
        <v>2016</v>
      </c>
      <c r="D27" s="18">
        <f>'Monthly Data'!N27</f>
        <v>32459358.879751384</v>
      </c>
      <c r="E27">
        <f>'Monthly Data'!AI27</f>
        <v>607.26874999999995</v>
      </c>
      <c r="F27" s="98">
        <f>'Monthly Data'!AD27</f>
        <v>0</v>
      </c>
      <c r="G27">
        <f>'Monthly Data'!AV27</f>
        <v>26</v>
      </c>
      <c r="H27">
        <f>'Monthly Data'!BO27</f>
        <v>29</v>
      </c>
      <c r="I27">
        <f>'Monthly Data'!BR27</f>
        <v>0</v>
      </c>
      <c r="J27">
        <f>'Monthly Data'!AT27</f>
        <v>743287</v>
      </c>
      <c r="K27">
        <f>'Monthly Data'!BJ27</f>
        <v>0</v>
      </c>
      <c r="M27" s="17">
        <f t="shared" si="5"/>
        <v>-9501475.1395959798</v>
      </c>
      <c r="N27" s="17">
        <f t="shared" si="1"/>
        <v>7130357.7934161462</v>
      </c>
      <c r="O27" s="17">
        <f t="shared" si="2"/>
        <v>0</v>
      </c>
      <c r="P27" s="17">
        <f t="shared" si="6"/>
        <v>-933854.12298378709</v>
      </c>
      <c r="Q27" s="17">
        <f t="shared" si="7"/>
        <v>23982472.090906698</v>
      </c>
      <c r="R27" s="17">
        <f t="shared" si="8"/>
        <v>0</v>
      </c>
      <c r="S27" s="17">
        <f t="shared" si="9"/>
        <v>12673537.550008548</v>
      </c>
      <c r="T27" s="17">
        <f t="shared" si="10"/>
        <v>0</v>
      </c>
      <c r="U27" s="17">
        <f t="shared" si="11"/>
        <v>33351038.171751626</v>
      </c>
      <c r="V27" s="17">
        <f t="shared" si="3"/>
        <v>891679.29200024158</v>
      </c>
      <c r="W27" s="29">
        <f t="shared" si="4"/>
        <v>2.7470637830634539E-2</v>
      </c>
    </row>
    <row r="28" spans="1:28" x14ac:dyDescent="0.2">
      <c r="A28" s="206">
        <f>'Monthly Data'!A28</f>
        <v>42430</v>
      </c>
      <c r="B28">
        <f>'Monthly Data'!C28</f>
        <v>3</v>
      </c>
      <c r="C28">
        <f>'Monthly Data'!B28</f>
        <v>2016</v>
      </c>
      <c r="D28" s="18">
        <f>'Monthly Data'!N28</f>
        <v>32394729.877224918</v>
      </c>
      <c r="E28">
        <f>'Monthly Data'!AI28</f>
        <v>401.50208333333336</v>
      </c>
      <c r="F28" s="98">
        <f>'Monthly Data'!AD28</f>
        <v>0</v>
      </c>
      <c r="G28">
        <f>'Monthly Data'!AV28</f>
        <v>27</v>
      </c>
      <c r="H28">
        <f>'Monthly Data'!BO28</f>
        <v>31</v>
      </c>
      <c r="I28">
        <f>'Monthly Data'!BR28</f>
        <v>0</v>
      </c>
      <c r="J28">
        <f>'Monthly Data'!AT28</f>
        <v>743287</v>
      </c>
      <c r="K28">
        <f>'Monthly Data'!BJ28</f>
        <v>0</v>
      </c>
      <c r="M28" s="17">
        <f t="shared" si="5"/>
        <v>-9501475.1395959798</v>
      </c>
      <c r="N28" s="17">
        <f t="shared" si="1"/>
        <v>4714310.6062491322</v>
      </c>
      <c r="O28" s="17">
        <f t="shared" si="2"/>
        <v>0</v>
      </c>
      <c r="P28" s="17">
        <f t="shared" si="6"/>
        <v>-969771.58925239427</v>
      </c>
      <c r="Q28" s="17">
        <f t="shared" si="7"/>
        <v>25636435.683383022</v>
      </c>
      <c r="R28" s="17">
        <f t="shared" si="8"/>
        <v>0</v>
      </c>
      <c r="S28" s="17">
        <f t="shared" si="9"/>
        <v>12673537.550008548</v>
      </c>
      <c r="T28" s="17">
        <f t="shared" si="10"/>
        <v>0</v>
      </c>
      <c r="U28" s="17">
        <f t="shared" si="11"/>
        <v>32553037.110792331</v>
      </c>
      <c r="V28" s="17">
        <f t="shared" si="3"/>
        <v>158307.23356741294</v>
      </c>
      <c r="W28" s="29">
        <f t="shared" si="4"/>
        <v>4.8868206083950306E-3</v>
      </c>
    </row>
    <row r="29" spans="1:28" x14ac:dyDescent="0.2">
      <c r="A29" s="206">
        <f>'Monthly Data'!A29</f>
        <v>42461</v>
      </c>
      <c r="B29">
        <f>'Monthly Data'!C29</f>
        <v>4</v>
      </c>
      <c r="C29">
        <f>'Monthly Data'!B29</f>
        <v>2016</v>
      </c>
      <c r="D29" s="18">
        <f>'Monthly Data'!N29</f>
        <v>28940353.581118435</v>
      </c>
      <c r="E29">
        <f>'Monthly Data'!AI29</f>
        <v>293.09999999999997</v>
      </c>
      <c r="F29" s="98">
        <f>'Monthly Data'!AD29</f>
        <v>0</v>
      </c>
      <c r="G29">
        <f>'Monthly Data'!AV29</f>
        <v>28</v>
      </c>
      <c r="H29">
        <f>'Monthly Data'!BO29</f>
        <v>30</v>
      </c>
      <c r="I29">
        <f>'Monthly Data'!BR29</f>
        <v>0</v>
      </c>
      <c r="J29">
        <f>'Monthly Data'!AT29</f>
        <v>740632</v>
      </c>
      <c r="K29">
        <f>'Monthly Data'!BJ29</f>
        <v>0</v>
      </c>
      <c r="M29" s="17">
        <f t="shared" si="5"/>
        <v>-9501475.1395959798</v>
      </c>
      <c r="N29" s="17">
        <f t="shared" si="1"/>
        <v>3441487.5938376086</v>
      </c>
      <c r="O29" s="17">
        <f t="shared" si="2"/>
        <v>0</v>
      </c>
      <c r="P29" s="17">
        <f t="shared" si="6"/>
        <v>-1005689.0555210016</v>
      </c>
      <c r="Q29" s="17">
        <f t="shared" si="7"/>
        <v>24809453.88714486</v>
      </c>
      <c r="R29" s="17">
        <f t="shared" si="8"/>
        <v>0</v>
      </c>
      <c r="S29" s="17">
        <f t="shared" si="9"/>
        <v>12628268.034740189</v>
      </c>
      <c r="T29" s="17">
        <f t="shared" si="10"/>
        <v>0</v>
      </c>
      <c r="U29" s="17">
        <f t="shared" si="11"/>
        <v>30372045.320605673</v>
      </c>
      <c r="V29" s="17">
        <f t="shared" si="3"/>
        <v>1431691.7394872382</v>
      </c>
      <c r="W29" s="29">
        <f t="shared" si="4"/>
        <v>4.9470430120152967E-2</v>
      </c>
    </row>
    <row r="30" spans="1:28" x14ac:dyDescent="0.2">
      <c r="A30" s="206">
        <f>'Monthly Data'!A30</f>
        <v>42491</v>
      </c>
      <c r="B30">
        <f>'Monthly Data'!C30</f>
        <v>5</v>
      </c>
      <c r="C30">
        <f>'Monthly Data'!B30</f>
        <v>2016</v>
      </c>
      <c r="D30" s="18">
        <f>'Monthly Data'!N30</f>
        <v>27378681.483578455</v>
      </c>
      <c r="E30">
        <f>'Monthly Data'!AI30</f>
        <v>34.1875</v>
      </c>
      <c r="F30" s="98">
        <f>'Monthly Data'!AD30</f>
        <v>20.966666666666669</v>
      </c>
      <c r="G30">
        <f>'Monthly Data'!AV30</f>
        <v>29</v>
      </c>
      <c r="H30">
        <f>'Monthly Data'!BO30</f>
        <v>31</v>
      </c>
      <c r="I30">
        <f>'Monthly Data'!BR30</f>
        <v>0</v>
      </c>
      <c r="J30">
        <f>'Monthly Data'!AT30</f>
        <v>740632</v>
      </c>
      <c r="K30">
        <f>'Monthly Data'!BJ30</f>
        <v>0</v>
      </c>
      <c r="M30" s="17">
        <f t="shared" si="5"/>
        <v>-9501475.1395959798</v>
      </c>
      <c r="N30" s="17">
        <f t="shared" si="1"/>
        <v>401418.82331737719</v>
      </c>
      <c r="O30" s="17">
        <f t="shared" si="2"/>
        <v>457399.6326437961</v>
      </c>
      <c r="P30" s="17">
        <f t="shared" si="6"/>
        <v>-1041606.5217896088</v>
      </c>
      <c r="Q30" s="17">
        <f t="shared" si="7"/>
        <v>25636435.683383022</v>
      </c>
      <c r="R30" s="17">
        <f t="shared" si="8"/>
        <v>0</v>
      </c>
      <c r="S30" s="17">
        <f t="shared" si="9"/>
        <v>12628268.034740189</v>
      </c>
      <c r="T30" s="17">
        <f t="shared" si="10"/>
        <v>0</v>
      </c>
      <c r="U30" s="17">
        <f t="shared" si="11"/>
        <v>28580440.512698796</v>
      </c>
      <c r="V30" s="17">
        <f t="shared" si="3"/>
        <v>1201759.0291203409</v>
      </c>
      <c r="W30" s="29">
        <f t="shared" si="4"/>
        <v>4.3893970198716388E-2</v>
      </c>
    </row>
    <row r="31" spans="1:28" x14ac:dyDescent="0.2">
      <c r="A31" s="206">
        <f>'Monthly Data'!A31</f>
        <v>42522</v>
      </c>
      <c r="B31">
        <f>'Monthly Data'!C31</f>
        <v>6</v>
      </c>
      <c r="C31">
        <f>'Monthly Data'!B31</f>
        <v>2016</v>
      </c>
      <c r="D31" s="18">
        <f>'Monthly Data'!N31</f>
        <v>27434328.919874996</v>
      </c>
      <c r="E31">
        <f>'Monthly Data'!AI31</f>
        <v>2.2375000000000016</v>
      </c>
      <c r="F31" s="98">
        <f>'Monthly Data'!AD31</f>
        <v>66.60208333333334</v>
      </c>
      <c r="G31">
        <f>'Monthly Data'!AV31</f>
        <v>30</v>
      </c>
      <c r="H31">
        <f>'Monthly Data'!BO31</f>
        <v>30</v>
      </c>
      <c r="I31">
        <f>'Monthly Data'!BR31</f>
        <v>0</v>
      </c>
      <c r="J31">
        <f>'Monthly Data'!AT31</f>
        <v>740632</v>
      </c>
      <c r="K31">
        <f>'Monthly Data'!BJ31</f>
        <v>0</v>
      </c>
      <c r="M31" s="17">
        <f t="shared" si="5"/>
        <v>-9501475.1395959798</v>
      </c>
      <c r="N31" s="17">
        <f t="shared" si="1"/>
        <v>26272.018052581559</v>
      </c>
      <c r="O31" s="17">
        <f t="shared" si="2"/>
        <v>1452961.9292517407</v>
      </c>
      <c r="P31" s="17">
        <f t="shared" si="6"/>
        <v>-1077523.9880582159</v>
      </c>
      <c r="Q31" s="17">
        <f t="shared" si="7"/>
        <v>24809453.88714486</v>
      </c>
      <c r="R31" s="17">
        <f t="shared" si="8"/>
        <v>0</v>
      </c>
      <c r="S31" s="17">
        <f t="shared" si="9"/>
        <v>12628268.034740189</v>
      </c>
      <c r="T31" s="17">
        <f t="shared" si="10"/>
        <v>0</v>
      </c>
      <c r="U31" s="17">
        <f t="shared" si="11"/>
        <v>28337956.741535176</v>
      </c>
      <c r="V31" s="17">
        <f t="shared" si="3"/>
        <v>903627.82166017964</v>
      </c>
      <c r="W31" s="29">
        <f t="shared" si="4"/>
        <v>3.2937850395368701E-2</v>
      </c>
    </row>
    <row r="32" spans="1:28" x14ac:dyDescent="0.2">
      <c r="A32" s="206">
        <f>'Monthly Data'!A32</f>
        <v>42552</v>
      </c>
      <c r="B32">
        <f>'Monthly Data'!C32</f>
        <v>7</v>
      </c>
      <c r="C32">
        <f>'Monthly Data'!B32</f>
        <v>2016</v>
      </c>
      <c r="D32" s="18">
        <f>'Monthly Data'!N32</f>
        <v>29318170.811119556</v>
      </c>
      <c r="E32">
        <f>'Monthly Data'!AI32</f>
        <v>0</v>
      </c>
      <c r="F32" s="98">
        <f>'Monthly Data'!AD32</f>
        <v>120.72083333333335</v>
      </c>
      <c r="G32">
        <f>'Monthly Data'!AV32</f>
        <v>31</v>
      </c>
      <c r="H32">
        <f>'Monthly Data'!BO32</f>
        <v>31</v>
      </c>
      <c r="I32">
        <f>'Monthly Data'!BR32</f>
        <v>0</v>
      </c>
      <c r="J32">
        <f>'Monthly Data'!AT32</f>
        <v>746606</v>
      </c>
      <c r="K32">
        <f>'Monthly Data'!BJ32</f>
        <v>0</v>
      </c>
      <c r="M32" s="17">
        <f t="shared" si="5"/>
        <v>-9501475.1395959798</v>
      </c>
      <c r="N32" s="17">
        <f t="shared" si="1"/>
        <v>0</v>
      </c>
      <c r="O32" s="17">
        <f t="shared" si="2"/>
        <v>2633592.9166511735</v>
      </c>
      <c r="P32" s="17">
        <f t="shared" si="6"/>
        <v>-1113441.4543268231</v>
      </c>
      <c r="Q32" s="17">
        <f t="shared" si="7"/>
        <v>25636435.683383022</v>
      </c>
      <c r="R32" s="17">
        <f t="shared" si="8"/>
        <v>0</v>
      </c>
      <c r="S32" s="17">
        <f t="shared" si="9"/>
        <v>12730128.706760218</v>
      </c>
      <c r="T32" s="17">
        <f t="shared" si="10"/>
        <v>0</v>
      </c>
      <c r="U32" s="17">
        <f t="shared" si="11"/>
        <v>30385240.712871611</v>
      </c>
      <c r="V32" s="17">
        <f t="shared" si="3"/>
        <v>1067069.9017520547</v>
      </c>
      <c r="W32" s="29">
        <f t="shared" si="4"/>
        <v>3.6396196359813317E-2</v>
      </c>
    </row>
    <row r="33" spans="1:23" x14ac:dyDescent="0.2">
      <c r="A33" s="206">
        <f>'Monthly Data'!A33</f>
        <v>42583</v>
      </c>
      <c r="B33">
        <f>'Monthly Data'!C33</f>
        <v>8</v>
      </c>
      <c r="C33">
        <f>'Monthly Data'!B33</f>
        <v>2016</v>
      </c>
      <c r="D33" s="18">
        <f>'Monthly Data'!N33</f>
        <v>29867205.248904526</v>
      </c>
      <c r="E33">
        <f>'Monthly Data'!AI33</f>
        <v>0</v>
      </c>
      <c r="F33" s="98">
        <f>'Monthly Data'!AD33</f>
        <v>117.68750000000001</v>
      </c>
      <c r="G33">
        <f>'Monthly Data'!AV33</f>
        <v>32</v>
      </c>
      <c r="H33">
        <f>'Monthly Data'!BO33</f>
        <v>31</v>
      </c>
      <c r="I33">
        <f>'Monthly Data'!BR33</f>
        <v>0</v>
      </c>
      <c r="J33">
        <f>'Monthly Data'!AT33</f>
        <v>746606</v>
      </c>
      <c r="K33">
        <f>'Monthly Data'!BJ33</f>
        <v>0</v>
      </c>
      <c r="M33" s="17">
        <f t="shared" si="5"/>
        <v>-9501475.1395959798</v>
      </c>
      <c r="N33" s="17">
        <f t="shared" si="1"/>
        <v>0</v>
      </c>
      <c r="O33" s="17">
        <f t="shared" si="2"/>
        <v>2567419.0429300522</v>
      </c>
      <c r="P33" s="17">
        <f t="shared" si="6"/>
        <v>-1149358.9205954303</v>
      </c>
      <c r="Q33" s="17">
        <f t="shared" si="7"/>
        <v>25636435.683383022</v>
      </c>
      <c r="R33" s="17">
        <f t="shared" si="8"/>
        <v>0</v>
      </c>
      <c r="S33" s="17">
        <f t="shared" si="9"/>
        <v>12730128.706760218</v>
      </c>
      <c r="T33" s="17">
        <f t="shared" si="10"/>
        <v>0</v>
      </c>
      <c r="U33" s="17">
        <f t="shared" si="11"/>
        <v>30283149.372881882</v>
      </c>
      <c r="V33" s="17">
        <f t="shared" si="3"/>
        <v>415944.12397735566</v>
      </c>
      <c r="W33" s="29">
        <f t="shared" si="4"/>
        <v>1.3926449445503834E-2</v>
      </c>
    </row>
    <row r="34" spans="1:23" x14ac:dyDescent="0.2">
      <c r="A34" s="206">
        <f>'Monthly Data'!A34</f>
        <v>42614</v>
      </c>
      <c r="B34">
        <f>'Monthly Data'!C34</f>
        <v>9</v>
      </c>
      <c r="C34">
        <f>'Monthly Data'!B34</f>
        <v>2016</v>
      </c>
      <c r="D34" s="18">
        <f>'Monthly Data'!N34</f>
        <v>27630000.897851404</v>
      </c>
      <c r="E34">
        <f>'Monthly Data'!AI34</f>
        <v>1.0041666666666682</v>
      </c>
      <c r="F34" s="98">
        <f>'Monthly Data'!AD34</f>
        <v>26.447916666666682</v>
      </c>
      <c r="G34">
        <f>'Monthly Data'!AV34</f>
        <v>33</v>
      </c>
      <c r="H34">
        <f>'Monthly Data'!BO34</f>
        <v>30</v>
      </c>
      <c r="I34">
        <f>'Monthly Data'!BR34</f>
        <v>0</v>
      </c>
      <c r="J34">
        <f>'Monthly Data'!AT34</f>
        <v>746606</v>
      </c>
      <c r="K34">
        <f>'Monthly Data'!BJ34</f>
        <v>1</v>
      </c>
      <c r="M34" s="17">
        <f t="shared" si="5"/>
        <v>-9501475.1395959798</v>
      </c>
      <c r="N34" s="17">
        <f t="shared" ref="N34:N65" si="12">E34*$Z$8</f>
        <v>11790.607729370879</v>
      </c>
      <c r="O34" s="17">
        <f t="shared" ref="O34:O65" si="13">F34*$Z$9</f>
        <v>576976.18605057581</v>
      </c>
      <c r="P34" s="17">
        <f t="shared" si="6"/>
        <v>-1185276.3868640375</v>
      </c>
      <c r="Q34" s="17">
        <f t="shared" si="7"/>
        <v>24809453.88714486</v>
      </c>
      <c r="R34" s="17">
        <f t="shared" si="8"/>
        <v>0</v>
      </c>
      <c r="S34" s="17">
        <f t="shared" si="9"/>
        <v>12730128.706760218</v>
      </c>
      <c r="T34" s="17">
        <f t="shared" si="10"/>
        <v>413783.55369814899</v>
      </c>
      <c r="U34" s="17">
        <f t="shared" si="11"/>
        <v>27441597.861225009</v>
      </c>
      <c r="V34" s="17">
        <f t="shared" ref="V34:V65" si="14">U34-D34</f>
        <v>-188403.03662639484</v>
      </c>
      <c r="W34" s="29">
        <f t="shared" ref="W34:W65" si="15">ABS(V34/D34)</f>
        <v>6.8187850345327221E-3</v>
      </c>
    </row>
    <row r="35" spans="1:23" x14ac:dyDescent="0.2">
      <c r="A35" s="206">
        <f>'Monthly Data'!A35</f>
        <v>42644</v>
      </c>
      <c r="B35">
        <f>'Monthly Data'!C35</f>
        <v>10</v>
      </c>
      <c r="C35">
        <f>'Monthly Data'!B35</f>
        <v>2016</v>
      </c>
      <c r="D35" s="18">
        <f>'Monthly Data'!N35</f>
        <v>28269122.016322847</v>
      </c>
      <c r="E35">
        <f>'Monthly Data'!AI35</f>
        <v>121.99583333333332</v>
      </c>
      <c r="F35" s="98">
        <f>'Monthly Data'!AD35</f>
        <v>2.404166666666665</v>
      </c>
      <c r="G35">
        <f>'Monthly Data'!AV35</f>
        <v>34</v>
      </c>
      <c r="H35">
        <f>'Monthly Data'!BO35</f>
        <v>31</v>
      </c>
      <c r="I35">
        <f>'Monthly Data'!BR35</f>
        <v>0</v>
      </c>
      <c r="J35">
        <f>'Monthly Data'!AT35</f>
        <v>745380</v>
      </c>
      <c r="K35">
        <f>'Monthly Data'!BJ35</f>
        <v>1</v>
      </c>
      <c r="M35" s="17">
        <f t="shared" si="5"/>
        <v>-9501475.1395959798</v>
      </c>
      <c r="N35" s="17">
        <f t="shared" si="12"/>
        <v>1432436.5299097484</v>
      </c>
      <c r="O35" s="17">
        <f t="shared" si="13"/>
        <v>52448.248814680082</v>
      </c>
      <c r="P35" s="17">
        <f t="shared" si="6"/>
        <v>-1221193.8531326447</v>
      </c>
      <c r="Q35" s="17">
        <f t="shared" si="7"/>
        <v>25636435.683383022</v>
      </c>
      <c r="R35" s="17">
        <f t="shared" si="8"/>
        <v>0</v>
      </c>
      <c r="S35" s="17">
        <f t="shared" si="9"/>
        <v>12709224.591611816</v>
      </c>
      <c r="T35" s="17">
        <f t="shared" si="10"/>
        <v>413783.55369814899</v>
      </c>
      <c r="U35" s="17">
        <f t="shared" si="11"/>
        <v>29107876.060990639</v>
      </c>
      <c r="V35" s="17">
        <f t="shared" si="14"/>
        <v>838754.04466779158</v>
      </c>
      <c r="W35" s="29">
        <f t="shared" si="15"/>
        <v>2.9670325246871389E-2</v>
      </c>
    </row>
    <row r="36" spans="1:23" x14ac:dyDescent="0.2">
      <c r="A36" s="206">
        <f>'Monthly Data'!A36</f>
        <v>42675</v>
      </c>
      <c r="B36">
        <f>'Monthly Data'!C36</f>
        <v>11</v>
      </c>
      <c r="C36">
        <f>'Monthly Data'!B36</f>
        <v>2016</v>
      </c>
      <c r="D36" s="18">
        <f>'Monthly Data'!N36</f>
        <v>29625054.663851045</v>
      </c>
      <c r="E36">
        <f>'Monthly Data'!AI36</f>
        <v>223.76250000000002</v>
      </c>
      <c r="F36" s="98">
        <f>'Monthly Data'!AD36</f>
        <v>0</v>
      </c>
      <c r="G36">
        <f>'Monthly Data'!AV36</f>
        <v>35</v>
      </c>
      <c r="H36">
        <f>'Monthly Data'!BO36</f>
        <v>30</v>
      </c>
      <c r="I36">
        <f>'Monthly Data'!BR36</f>
        <v>0</v>
      </c>
      <c r="J36">
        <f>'Monthly Data'!AT36</f>
        <v>745380</v>
      </c>
      <c r="K36">
        <f>'Monthly Data'!BJ36</f>
        <v>1</v>
      </c>
      <c r="M36" s="17">
        <f t="shared" si="5"/>
        <v>-9501475.1395959798</v>
      </c>
      <c r="N36" s="17">
        <f t="shared" si="12"/>
        <v>2627348.5763087277</v>
      </c>
      <c r="O36" s="17">
        <f t="shared" si="13"/>
        <v>0</v>
      </c>
      <c r="P36" s="17">
        <f t="shared" si="6"/>
        <v>-1257111.3194012519</v>
      </c>
      <c r="Q36" s="17">
        <f t="shared" si="7"/>
        <v>24809453.88714486</v>
      </c>
      <c r="R36" s="17">
        <f t="shared" si="8"/>
        <v>0</v>
      </c>
      <c r="S36" s="17">
        <f t="shared" si="9"/>
        <v>12709224.591611816</v>
      </c>
      <c r="T36" s="17">
        <f t="shared" si="10"/>
        <v>413783.55369814899</v>
      </c>
      <c r="U36" s="17">
        <f t="shared" si="11"/>
        <v>29387440.596068174</v>
      </c>
      <c r="V36" s="17">
        <f t="shared" si="14"/>
        <v>-237614.06778287143</v>
      </c>
      <c r="W36" s="29">
        <f t="shared" si="15"/>
        <v>8.0207132266598598E-3</v>
      </c>
    </row>
    <row r="37" spans="1:23" x14ac:dyDescent="0.2">
      <c r="A37" s="206">
        <f>'Monthly Data'!A37</f>
        <v>42705</v>
      </c>
      <c r="B37">
        <f>'Monthly Data'!C37</f>
        <v>12</v>
      </c>
      <c r="C37">
        <f>'Monthly Data'!B37</f>
        <v>2016</v>
      </c>
      <c r="D37" s="18">
        <f>'Monthly Data'!N37</f>
        <v>33235343.950073261</v>
      </c>
      <c r="E37">
        <f>'Monthly Data'!AI37</f>
        <v>534.79583333333335</v>
      </c>
      <c r="F37" s="98">
        <f>'Monthly Data'!AD37</f>
        <v>0</v>
      </c>
      <c r="G37">
        <f>'Monthly Data'!AV37</f>
        <v>36</v>
      </c>
      <c r="H37">
        <f>'Monthly Data'!BO37</f>
        <v>31</v>
      </c>
      <c r="I37">
        <f>'Monthly Data'!BR37</f>
        <v>0</v>
      </c>
      <c r="J37">
        <f>'Monthly Data'!AT37</f>
        <v>745380</v>
      </c>
      <c r="K37">
        <f>'Monthly Data'!BJ37</f>
        <v>0</v>
      </c>
      <c r="M37" s="17">
        <f t="shared" si="5"/>
        <v>-9501475.1395959798</v>
      </c>
      <c r="N37" s="17">
        <f t="shared" si="12"/>
        <v>6279403.7040351834</v>
      </c>
      <c r="O37" s="17">
        <f t="shared" si="13"/>
        <v>0</v>
      </c>
      <c r="P37" s="17">
        <f t="shared" si="6"/>
        <v>-1293028.785669859</v>
      </c>
      <c r="Q37" s="17">
        <f t="shared" si="7"/>
        <v>25636435.683383022</v>
      </c>
      <c r="R37" s="17">
        <f t="shared" si="8"/>
        <v>0</v>
      </c>
      <c r="S37" s="17">
        <f t="shared" si="9"/>
        <v>12709224.591611816</v>
      </c>
      <c r="T37" s="17">
        <f t="shared" si="10"/>
        <v>0</v>
      </c>
      <c r="U37" s="17">
        <f t="shared" si="11"/>
        <v>33830560.053764179</v>
      </c>
      <c r="V37" s="17">
        <f t="shared" si="14"/>
        <v>595216.10369091853</v>
      </c>
      <c r="W37" s="29">
        <f t="shared" si="15"/>
        <v>1.7909130249563927E-2</v>
      </c>
    </row>
    <row r="38" spans="1:23" x14ac:dyDescent="0.2">
      <c r="A38" s="206">
        <f>'Monthly Data'!A38</f>
        <v>42736</v>
      </c>
      <c r="B38">
        <f>'Monthly Data'!C38</f>
        <v>1</v>
      </c>
      <c r="C38">
        <f>'Monthly Data'!B38</f>
        <v>2017</v>
      </c>
      <c r="D38" s="18">
        <f>'Monthly Data'!N38</f>
        <v>33771797.658702679</v>
      </c>
      <c r="E38">
        <f>'Monthly Data'!AI38</f>
        <v>540.22916666666674</v>
      </c>
      <c r="F38" s="98">
        <f>'Monthly Data'!AD38</f>
        <v>0</v>
      </c>
      <c r="G38">
        <f>'Monthly Data'!AV38</f>
        <v>37</v>
      </c>
      <c r="H38">
        <f>'Monthly Data'!BO38</f>
        <v>31</v>
      </c>
      <c r="I38">
        <f>'Monthly Data'!BR38</f>
        <v>0</v>
      </c>
      <c r="J38">
        <f>'Monthly Data'!AT38</f>
        <v>756702</v>
      </c>
      <c r="K38">
        <f>'Monthly Data'!BJ38</f>
        <v>0</v>
      </c>
      <c r="M38" s="17">
        <f t="shared" si="5"/>
        <v>-9501475.1395959798</v>
      </c>
      <c r="N38" s="17">
        <f t="shared" si="12"/>
        <v>6343200.1873509502</v>
      </c>
      <c r="O38" s="17">
        <f t="shared" si="13"/>
        <v>0</v>
      </c>
      <c r="P38" s="17">
        <f t="shared" si="6"/>
        <v>-1328946.2519384662</v>
      </c>
      <c r="Q38" s="17">
        <f t="shared" si="7"/>
        <v>25636435.683383022</v>
      </c>
      <c r="R38" s="17">
        <f t="shared" si="8"/>
        <v>0</v>
      </c>
      <c r="S38" s="17">
        <f t="shared" si="9"/>
        <v>12902272.219434174</v>
      </c>
      <c r="T38" s="17">
        <f t="shared" si="10"/>
        <v>0</v>
      </c>
      <c r="U38" s="17">
        <f t="shared" si="11"/>
        <v>34051486.698633701</v>
      </c>
      <c r="V38" s="17">
        <f t="shared" si="14"/>
        <v>279689.03993102163</v>
      </c>
      <c r="W38" s="29">
        <f t="shared" si="15"/>
        <v>8.2817338525344487E-3</v>
      </c>
    </row>
    <row r="39" spans="1:23" x14ac:dyDescent="0.2">
      <c r="A39" s="206">
        <f>'Monthly Data'!A39</f>
        <v>42767</v>
      </c>
      <c r="B39">
        <f>'Monthly Data'!C39</f>
        <v>2</v>
      </c>
      <c r="C39">
        <f>'Monthly Data'!B39</f>
        <v>2017</v>
      </c>
      <c r="D39" s="18">
        <f>'Monthly Data'!N39</f>
        <v>30821664.603979621</v>
      </c>
      <c r="E39">
        <f>'Monthly Data'!AI39</f>
        <v>475.37916666666683</v>
      </c>
      <c r="F39" s="98">
        <f>'Monthly Data'!AD39</f>
        <v>0</v>
      </c>
      <c r="G39">
        <f>'Monthly Data'!AV39</f>
        <v>38</v>
      </c>
      <c r="H39">
        <f>'Monthly Data'!BO39</f>
        <v>28</v>
      </c>
      <c r="I39">
        <f>'Monthly Data'!BR39</f>
        <v>0</v>
      </c>
      <c r="J39">
        <f>'Monthly Data'!AT39</f>
        <v>756702</v>
      </c>
      <c r="K39">
        <f>'Monthly Data'!BJ39</f>
        <v>0</v>
      </c>
      <c r="M39" s="17">
        <f t="shared" si="5"/>
        <v>-9501475.1395959798</v>
      </c>
      <c r="N39" s="17">
        <f t="shared" si="12"/>
        <v>5581751.9769778056</v>
      </c>
      <c r="O39" s="17">
        <f t="shared" si="13"/>
        <v>0</v>
      </c>
      <c r="P39" s="17">
        <f t="shared" si="6"/>
        <v>-1364863.7182070734</v>
      </c>
      <c r="Q39" s="17">
        <f t="shared" si="7"/>
        <v>23155490.294668537</v>
      </c>
      <c r="R39" s="17">
        <f t="shared" si="8"/>
        <v>0</v>
      </c>
      <c r="S39" s="17">
        <f t="shared" si="9"/>
        <v>12902272.219434174</v>
      </c>
      <c r="T39" s="17">
        <f t="shared" si="10"/>
        <v>0</v>
      </c>
      <c r="U39" s="17">
        <f t="shared" si="11"/>
        <v>30773175.633277461</v>
      </c>
      <c r="V39" s="17">
        <f t="shared" si="14"/>
        <v>-48488.97070216015</v>
      </c>
      <c r="W39" s="29">
        <f t="shared" si="15"/>
        <v>1.5732106401514527E-3</v>
      </c>
    </row>
    <row r="40" spans="1:23" x14ac:dyDescent="0.2">
      <c r="A40" s="206">
        <f>'Monthly Data'!A40</f>
        <v>42795</v>
      </c>
      <c r="B40">
        <f>'Monthly Data'!C40</f>
        <v>3</v>
      </c>
      <c r="C40">
        <f>'Monthly Data'!B40</f>
        <v>2017</v>
      </c>
      <c r="D40" s="18">
        <f>'Monthly Data'!N40</f>
        <v>33517131.703601539</v>
      </c>
      <c r="E40">
        <f>'Monthly Data'!AI40</f>
        <v>517.80416666666656</v>
      </c>
      <c r="F40" s="98">
        <f>'Monthly Data'!AD40</f>
        <v>0</v>
      </c>
      <c r="G40">
        <f>'Monthly Data'!AV40</f>
        <v>39</v>
      </c>
      <c r="H40">
        <f>'Monthly Data'!BO40</f>
        <v>31</v>
      </c>
      <c r="I40">
        <f>'Monthly Data'!BR40</f>
        <v>0</v>
      </c>
      <c r="J40">
        <f>'Monthly Data'!AT40</f>
        <v>756702</v>
      </c>
      <c r="K40">
        <f>'Monthly Data'!BJ40</f>
        <v>0</v>
      </c>
      <c r="M40" s="17">
        <f t="shared" si="5"/>
        <v>-9501475.1395959798</v>
      </c>
      <c r="N40" s="17">
        <f t="shared" si="12"/>
        <v>6079892.9226228409</v>
      </c>
      <c r="O40" s="17">
        <f t="shared" si="13"/>
        <v>0</v>
      </c>
      <c r="P40" s="17">
        <f t="shared" si="6"/>
        <v>-1400781.1844756806</v>
      </c>
      <c r="Q40" s="17">
        <f t="shared" si="7"/>
        <v>25636435.683383022</v>
      </c>
      <c r="R40" s="17">
        <f t="shared" si="8"/>
        <v>0</v>
      </c>
      <c r="S40" s="17">
        <f t="shared" si="9"/>
        <v>12902272.219434174</v>
      </c>
      <c r="T40" s="17">
        <f t="shared" si="10"/>
        <v>0</v>
      </c>
      <c r="U40" s="17">
        <f t="shared" si="11"/>
        <v>33716344.501368374</v>
      </c>
      <c r="V40" s="17">
        <f t="shared" si="14"/>
        <v>199212.7977668345</v>
      </c>
      <c r="W40" s="29">
        <f t="shared" si="15"/>
        <v>5.9436111517092716E-3</v>
      </c>
    </row>
    <row r="41" spans="1:23" x14ac:dyDescent="0.2">
      <c r="A41" s="206">
        <f>'Monthly Data'!A41</f>
        <v>42826</v>
      </c>
      <c r="B41">
        <f>'Monthly Data'!C41</f>
        <v>4</v>
      </c>
      <c r="C41">
        <f>'Monthly Data'!B41</f>
        <v>2017</v>
      </c>
      <c r="D41" s="18">
        <f>'Monthly Data'!N41</f>
        <v>28201638.7495308</v>
      </c>
      <c r="E41">
        <f>'Monthly Data'!AI41</f>
        <v>178.72500000000002</v>
      </c>
      <c r="F41" s="98">
        <f>'Monthly Data'!AD41</f>
        <v>0</v>
      </c>
      <c r="G41">
        <f>'Monthly Data'!AV41</f>
        <v>40</v>
      </c>
      <c r="H41">
        <f>'Monthly Data'!BO41</f>
        <v>30</v>
      </c>
      <c r="I41">
        <f>'Monthly Data'!BR41</f>
        <v>0</v>
      </c>
      <c r="J41">
        <f>'Monthly Data'!AT41</f>
        <v>764644</v>
      </c>
      <c r="K41">
        <f>'Monthly Data'!BJ41</f>
        <v>0</v>
      </c>
      <c r="M41" s="17">
        <f t="shared" si="5"/>
        <v>-9501475.1395959798</v>
      </c>
      <c r="N41" s="17">
        <f t="shared" si="12"/>
        <v>2098532.4810939156</v>
      </c>
      <c r="O41" s="17">
        <f t="shared" si="13"/>
        <v>0</v>
      </c>
      <c r="P41" s="17">
        <f t="shared" si="6"/>
        <v>-1436698.6507442878</v>
      </c>
      <c r="Q41" s="17">
        <f t="shared" si="7"/>
        <v>24809453.88714486</v>
      </c>
      <c r="R41" s="17">
        <f t="shared" si="8"/>
        <v>0</v>
      </c>
      <c r="S41" s="17">
        <f t="shared" si="9"/>
        <v>13037688.599946907</v>
      </c>
      <c r="T41" s="17">
        <f t="shared" si="10"/>
        <v>0</v>
      </c>
      <c r="U41" s="17">
        <f t="shared" si="11"/>
        <v>29007501.177845415</v>
      </c>
      <c r="V41" s="17">
        <f t="shared" si="14"/>
        <v>805862.42831461504</v>
      </c>
      <c r="W41" s="29">
        <f t="shared" si="15"/>
        <v>2.8575021312476832E-2</v>
      </c>
    </row>
    <row r="42" spans="1:23" x14ac:dyDescent="0.2">
      <c r="A42" s="206">
        <f>'Monthly Data'!A42</f>
        <v>42856</v>
      </c>
      <c r="B42">
        <f>'Monthly Data'!C42</f>
        <v>5</v>
      </c>
      <c r="C42">
        <f>'Monthly Data'!B42</f>
        <v>2017</v>
      </c>
      <c r="D42" s="18">
        <f>'Monthly Data'!N42</f>
        <v>27372200.623789527</v>
      </c>
      <c r="E42">
        <f>'Monthly Data'!AI42</f>
        <v>56.574999999999996</v>
      </c>
      <c r="F42" s="98">
        <f>'Monthly Data'!AD42</f>
        <v>5.7874999999999943</v>
      </c>
      <c r="G42">
        <f>'Monthly Data'!AV42</f>
        <v>41</v>
      </c>
      <c r="H42">
        <f>'Monthly Data'!BO42</f>
        <v>31</v>
      </c>
      <c r="I42">
        <f>'Monthly Data'!BR42</f>
        <v>0</v>
      </c>
      <c r="J42">
        <f>'Monthly Data'!AT42</f>
        <v>764644</v>
      </c>
      <c r="K42">
        <f>'Monthly Data'!BJ42</f>
        <v>0</v>
      </c>
      <c r="M42" s="17">
        <f t="shared" si="5"/>
        <v>-9501475.1395959798</v>
      </c>
      <c r="N42" s="17">
        <f t="shared" si="12"/>
        <v>664285.77489376569</v>
      </c>
      <c r="O42" s="17">
        <f t="shared" si="13"/>
        <v>126257.56950362324</v>
      </c>
      <c r="P42" s="17">
        <f t="shared" si="6"/>
        <v>-1472616.1170128952</v>
      </c>
      <c r="Q42" s="17">
        <f t="shared" si="7"/>
        <v>25636435.683383022</v>
      </c>
      <c r="R42" s="17">
        <f t="shared" si="8"/>
        <v>0</v>
      </c>
      <c r="S42" s="17">
        <f t="shared" si="9"/>
        <v>13037688.599946907</v>
      </c>
      <c r="T42" s="17">
        <f t="shared" si="10"/>
        <v>0</v>
      </c>
      <c r="U42" s="17">
        <f t="shared" si="11"/>
        <v>28490576.371118441</v>
      </c>
      <c r="V42" s="17">
        <f t="shared" si="14"/>
        <v>1118375.7473289147</v>
      </c>
      <c r="W42" s="29">
        <f t="shared" si="15"/>
        <v>4.0858086739175813E-2</v>
      </c>
    </row>
    <row r="43" spans="1:23" x14ac:dyDescent="0.2">
      <c r="A43" s="206">
        <f>'Monthly Data'!A43</f>
        <v>42887</v>
      </c>
      <c r="B43">
        <f>'Monthly Data'!C43</f>
        <v>6</v>
      </c>
      <c r="C43">
        <f>'Monthly Data'!B43</f>
        <v>2017</v>
      </c>
      <c r="D43" s="18">
        <f>'Monthly Data'!N43</f>
        <v>26996934.5106472</v>
      </c>
      <c r="E43">
        <f>'Monthly Data'!AI43</f>
        <v>0.59999999999999964</v>
      </c>
      <c r="F43" s="98">
        <f>'Monthly Data'!AD43</f>
        <v>33.427083333333329</v>
      </c>
      <c r="G43">
        <f>'Monthly Data'!AV43</f>
        <v>42</v>
      </c>
      <c r="H43">
        <f>'Monthly Data'!BO43</f>
        <v>30</v>
      </c>
      <c r="I43">
        <f>'Monthly Data'!BR43</f>
        <v>0</v>
      </c>
      <c r="J43">
        <f>'Monthly Data'!AT43</f>
        <v>764644</v>
      </c>
      <c r="K43">
        <f>'Monthly Data'!BJ43</f>
        <v>0</v>
      </c>
      <c r="M43" s="17">
        <f t="shared" si="5"/>
        <v>-9501475.1395959798</v>
      </c>
      <c r="N43" s="17">
        <f t="shared" si="12"/>
        <v>7045.0104275078957</v>
      </c>
      <c r="O43" s="17">
        <f t="shared" si="13"/>
        <v>729230.63451606792</v>
      </c>
      <c r="P43" s="17">
        <f t="shared" si="6"/>
        <v>-1508533.5832815024</v>
      </c>
      <c r="Q43" s="17">
        <f t="shared" si="7"/>
        <v>24809453.88714486</v>
      </c>
      <c r="R43" s="17">
        <f t="shared" si="8"/>
        <v>0</v>
      </c>
      <c r="S43" s="17">
        <f t="shared" si="9"/>
        <v>13037688.599946907</v>
      </c>
      <c r="T43" s="17">
        <f t="shared" si="10"/>
        <v>0</v>
      </c>
      <c r="U43" s="17">
        <f t="shared" si="11"/>
        <v>27573409.409157861</v>
      </c>
      <c r="V43" s="17">
        <f t="shared" si="14"/>
        <v>576474.89851066098</v>
      </c>
      <c r="W43" s="29">
        <f t="shared" si="15"/>
        <v>2.1353346554339628E-2</v>
      </c>
    </row>
    <row r="44" spans="1:23" x14ac:dyDescent="0.2">
      <c r="A44" s="206">
        <f>'Monthly Data'!A44</f>
        <v>42917</v>
      </c>
      <c r="B44">
        <f>'Monthly Data'!C44</f>
        <v>7</v>
      </c>
      <c r="C44">
        <f>'Monthly Data'!B44</f>
        <v>2017</v>
      </c>
      <c r="D44" s="18">
        <f>'Monthly Data'!N44</f>
        <v>30033693.283745877</v>
      </c>
      <c r="E44">
        <f>'Monthly Data'!AI44</f>
        <v>0</v>
      </c>
      <c r="F44" s="98">
        <f>'Monthly Data'!AD44</f>
        <v>73.987499999999997</v>
      </c>
      <c r="G44">
        <f>'Monthly Data'!AV44</f>
        <v>43</v>
      </c>
      <c r="H44">
        <f>'Monthly Data'!BO44</f>
        <v>31</v>
      </c>
      <c r="I44">
        <f>'Monthly Data'!BR44</f>
        <v>0</v>
      </c>
      <c r="J44">
        <f>'Monthly Data'!AT44</f>
        <v>765060</v>
      </c>
      <c r="K44">
        <f>'Monthly Data'!BJ44</f>
        <v>0</v>
      </c>
      <c r="M44" s="17">
        <f t="shared" si="5"/>
        <v>-9501475.1395959798</v>
      </c>
      <c r="N44" s="17">
        <f t="shared" si="12"/>
        <v>0</v>
      </c>
      <c r="O44" s="17">
        <f t="shared" si="13"/>
        <v>1614078.9500905976</v>
      </c>
      <c r="P44" s="17">
        <f t="shared" si="6"/>
        <v>-1544451.0495501095</v>
      </c>
      <c r="Q44" s="17">
        <f t="shared" si="7"/>
        <v>25636435.683383022</v>
      </c>
      <c r="R44" s="17">
        <f t="shared" si="8"/>
        <v>0</v>
      </c>
      <c r="S44" s="17">
        <f t="shared" si="9"/>
        <v>13044781.67653886</v>
      </c>
      <c r="T44" s="17">
        <f t="shared" si="10"/>
        <v>0</v>
      </c>
      <c r="U44" s="17">
        <f t="shared" si="11"/>
        <v>29249370.120866388</v>
      </c>
      <c r="V44" s="17">
        <f t="shared" si="14"/>
        <v>-784323.16287948936</v>
      </c>
      <c r="W44" s="29">
        <f t="shared" si="15"/>
        <v>2.611477567775396E-2</v>
      </c>
    </row>
    <row r="45" spans="1:23" x14ac:dyDescent="0.2">
      <c r="A45" s="206">
        <f>'Monthly Data'!A45</f>
        <v>42948</v>
      </c>
      <c r="B45">
        <f>'Monthly Data'!C45</f>
        <v>8</v>
      </c>
      <c r="C45">
        <f>'Monthly Data'!B45</f>
        <v>2017</v>
      </c>
      <c r="D45" s="18">
        <f>'Monthly Data'!N45</f>
        <v>29810611.990313642</v>
      </c>
      <c r="E45">
        <f>'Monthly Data'!AI45</f>
        <v>2.5000000000000355E-2</v>
      </c>
      <c r="F45" s="98">
        <f>'Monthly Data'!AD45</f>
        <v>35.399999999999991</v>
      </c>
      <c r="G45">
        <f>'Monthly Data'!AV45</f>
        <v>44</v>
      </c>
      <c r="H45">
        <f>'Monthly Data'!BO45</f>
        <v>31</v>
      </c>
      <c r="I45">
        <f>'Monthly Data'!BR45</f>
        <v>0</v>
      </c>
      <c r="J45">
        <f>'Monthly Data'!AT45</f>
        <v>765060</v>
      </c>
      <c r="K45">
        <f>'Monthly Data'!BJ45</f>
        <v>0</v>
      </c>
      <c r="M45" s="17">
        <f t="shared" si="5"/>
        <v>-9501475.1395959798</v>
      </c>
      <c r="N45" s="17">
        <f t="shared" si="12"/>
        <v>293.54210114616666</v>
      </c>
      <c r="O45" s="17">
        <f t="shared" si="13"/>
        <v>772270.9218882533</v>
      </c>
      <c r="P45" s="17">
        <f t="shared" si="6"/>
        <v>-1580368.5158187167</v>
      </c>
      <c r="Q45" s="17">
        <f t="shared" si="7"/>
        <v>25636435.683383022</v>
      </c>
      <c r="R45" s="17">
        <f t="shared" si="8"/>
        <v>0</v>
      </c>
      <c r="S45" s="17">
        <f t="shared" si="9"/>
        <v>13044781.67653886</v>
      </c>
      <c r="T45" s="17">
        <f t="shared" si="10"/>
        <v>0</v>
      </c>
      <c r="U45" s="17">
        <f t="shared" si="11"/>
        <v>28371938.168496586</v>
      </c>
      <c r="V45" s="17">
        <f t="shared" si="14"/>
        <v>-1438673.8218170553</v>
      </c>
      <c r="W45" s="29">
        <f t="shared" si="15"/>
        <v>4.8260459137320744E-2</v>
      </c>
    </row>
    <row r="46" spans="1:23" x14ac:dyDescent="0.2">
      <c r="A46" s="206">
        <f>'Monthly Data'!A46</f>
        <v>42979</v>
      </c>
      <c r="B46">
        <f>'Monthly Data'!C46</f>
        <v>9</v>
      </c>
      <c r="C46">
        <f>'Monthly Data'!B46</f>
        <v>2017</v>
      </c>
      <c r="D46" s="18">
        <f>'Monthly Data'!N46</f>
        <v>29229664.98879686</v>
      </c>
      <c r="E46">
        <f>'Monthly Data'!AI46</f>
        <v>10.408333333333333</v>
      </c>
      <c r="F46" s="98">
        <f>'Monthly Data'!AD46</f>
        <v>48.739583333333343</v>
      </c>
      <c r="G46">
        <f>'Monthly Data'!AV46</f>
        <v>45</v>
      </c>
      <c r="H46">
        <f>'Monthly Data'!BO46</f>
        <v>30</v>
      </c>
      <c r="I46">
        <f>'Monthly Data'!BR46</f>
        <v>0</v>
      </c>
      <c r="J46">
        <f>'Monthly Data'!AT46</f>
        <v>765060</v>
      </c>
      <c r="K46">
        <f>'Monthly Data'!BJ46</f>
        <v>1</v>
      </c>
      <c r="M46" s="17">
        <f t="shared" si="5"/>
        <v>-9501475.1395959798</v>
      </c>
      <c r="N46" s="17">
        <f t="shared" si="12"/>
        <v>122211.36144385231</v>
      </c>
      <c r="O46" s="17">
        <f t="shared" si="13"/>
        <v>1063281.4393582682</v>
      </c>
      <c r="P46" s="17">
        <f t="shared" si="6"/>
        <v>-1616285.9820873239</v>
      </c>
      <c r="Q46" s="17">
        <f t="shared" si="7"/>
        <v>24809453.88714486</v>
      </c>
      <c r="R46" s="17">
        <f t="shared" si="8"/>
        <v>0</v>
      </c>
      <c r="S46" s="17">
        <f t="shared" si="9"/>
        <v>13044781.67653886</v>
      </c>
      <c r="T46" s="17">
        <f t="shared" si="10"/>
        <v>413783.55369814899</v>
      </c>
      <c r="U46" s="17">
        <f t="shared" si="11"/>
        <v>27921967.242802538</v>
      </c>
      <c r="V46" s="17">
        <f t="shared" si="14"/>
        <v>-1307697.745994322</v>
      </c>
      <c r="W46" s="29">
        <f t="shared" si="15"/>
        <v>4.4738718233532135E-2</v>
      </c>
    </row>
    <row r="47" spans="1:23" x14ac:dyDescent="0.2">
      <c r="A47" s="206">
        <f>'Monthly Data'!A47</f>
        <v>43009</v>
      </c>
      <c r="B47">
        <f>'Monthly Data'!C47</f>
        <v>10</v>
      </c>
      <c r="C47">
        <f>'Monthly Data'!B47</f>
        <v>2017</v>
      </c>
      <c r="D47" s="18">
        <f>'Monthly Data'!N47</f>
        <v>29788281.584134679</v>
      </c>
      <c r="E47">
        <f>'Monthly Data'!AI47</f>
        <v>68.772916666666674</v>
      </c>
      <c r="F47" s="98">
        <f>'Monthly Data'!AD47</f>
        <v>2.1416666666666693</v>
      </c>
      <c r="G47">
        <f>'Monthly Data'!AV47</f>
        <v>46</v>
      </c>
      <c r="H47">
        <f>'Monthly Data'!BO47</f>
        <v>31</v>
      </c>
      <c r="I47">
        <f>'Monthly Data'!BR47</f>
        <v>0</v>
      </c>
      <c r="J47">
        <f>'Monthly Data'!AT47</f>
        <v>771453</v>
      </c>
      <c r="K47">
        <f>'Monthly Data'!BJ47</f>
        <v>1</v>
      </c>
      <c r="M47" s="17">
        <f t="shared" si="5"/>
        <v>-9501475.1395959798</v>
      </c>
      <c r="N47" s="17">
        <f t="shared" si="12"/>
        <v>807509.85841133096</v>
      </c>
      <c r="O47" s="17">
        <f t="shared" si="13"/>
        <v>46721.663588813884</v>
      </c>
      <c r="P47" s="17">
        <f t="shared" si="6"/>
        <v>-1652203.4483559311</v>
      </c>
      <c r="Q47" s="17">
        <f t="shared" si="7"/>
        <v>25636435.683383022</v>
      </c>
      <c r="R47" s="17">
        <f t="shared" si="8"/>
        <v>0</v>
      </c>
      <c r="S47" s="17">
        <f t="shared" si="9"/>
        <v>13153786.577145496</v>
      </c>
      <c r="T47" s="17">
        <f t="shared" si="10"/>
        <v>413783.55369814899</v>
      </c>
      <c r="U47" s="17">
        <f t="shared" si="11"/>
        <v>28490775.194576751</v>
      </c>
      <c r="V47" s="17">
        <f t="shared" si="14"/>
        <v>-1297506.3895579278</v>
      </c>
      <c r="W47" s="29">
        <f t="shared" si="15"/>
        <v>4.3557611267142825E-2</v>
      </c>
    </row>
    <row r="48" spans="1:23" x14ac:dyDescent="0.2">
      <c r="A48" s="206">
        <f>'Monthly Data'!A48</f>
        <v>43040</v>
      </c>
      <c r="B48">
        <f>'Monthly Data'!C48</f>
        <v>11</v>
      </c>
      <c r="C48">
        <f>'Monthly Data'!B48</f>
        <v>2017</v>
      </c>
      <c r="D48" s="18">
        <f>'Monthly Data'!N48</f>
        <v>32403452.509253845</v>
      </c>
      <c r="E48">
        <f>'Monthly Data'!AI48</f>
        <v>368.26250000000005</v>
      </c>
      <c r="F48" s="98">
        <f>'Monthly Data'!AD48</f>
        <v>0</v>
      </c>
      <c r="G48">
        <f>'Monthly Data'!AV48</f>
        <v>47</v>
      </c>
      <c r="H48">
        <f>'Monthly Data'!BO48</f>
        <v>30</v>
      </c>
      <c r="I48">
        <f>'Monthly Data'!BR48</f>
        <v>0</v>
      </c>
      <c r="J48">
        <f>'Monthly Data'!AT48</f>
        <v>771453</v>
      </c>
      <c r="K48">
        <f>'Monthly Data'!BJ48</f>
        <v>1</v>
      </c>
      <c r="M48" s="17">
        <f t="shared" si="5"/>
        <v>-9501475.1395959798</v>
      </c>
      <c r="N48" s="17">
        <f t="shared" si="12"/>
        <v>4324021.9209335474</v>
      </c>
      <c r="O48" s="17">
        <f t="shared" si="13"/>
        <v>0</v>
      </c>
      <c r="P48" s="17">
        <f t="shared" si="6"/>
        <v>-1688120.9146245383</v>
      </c>
      <c r="Q48" s="17">
        <f t="shared" si="7"/>
        <v>24809453.88714486</v>
      </c>
      <c r="R48" s="17">
        <f t="shared" si="8"/>
        <v>0</v>
      </c>
      <c r="S48" s="17">
        <f t="shared" si="9"/>
        <v>13153786.577145496</v>
      </c>
      <c r="T48" s="17">
        <f t="shared" si="10"/>
        <v>413783.55369814899</v>
      </c>
      <c r="U48" s="17">
        <f t="shared" si="11"/>
        <v>31097666.331003383</v>
      </c>
      <c r="V48" s="17">
        <f t="shared" si="14"/>
        <v>-1305786.1782504618</v>
      </c>
      <c r="W48" s="29">
        <f t="shared" si="15"/>
        <v>4.0297748453735065E-2</v>
      </c>
    </row>
    <row r="49" spans="1:23" x14ac:dyDescent="0.2">
      <c r="A49" s="206">
        <f>'Monthly Data'!A49</f>
        <v>43070</v>
      </c>
      <c r="B49">
        <f>'Monthly Data'!C49</f>
        <v>12</v>
      </c>
      <c r="C49">
        <f>'Monthly Data'!B49</f>
        <v>2017</v>
      </c>
      <c r="D49" s="18">
        <f>'Monthly Data'!N49</f>
        <v>36193918.154773518</v>
      </c>
      <c r="E49">
        <f>'Monthly Data'!AI49</f>
        <v>709.36250000000007</v>
      </c>
      <c r="F49" s="98">
        <f>'Monthly Data'!AD49</f>
        <v>0</v>
      </c>
      <c r="G49">
        <f>'Monthly Data'!AV49</f>
        <v>48</v>
      </c>
      <c r="H49">
        <f>'Monthly Data'!BO49</f>
        <v>31</v>
      </c>
      <c r="I49">
        <f>'Monthly Data'!BR49</f>
        <v>0</v>
      </c>
      <c r="J49">
        <f>'Monthly Data'!AT49</f>
        <v>771453</v>
      </c>
      <c r="K49">
        <f>'Monthly Data'!BJ49</f>
        <v>0</v>
      </c>
      <c r="M49" s="17">
        <f t="shared" si="5"/>
        <v>-9501475.1395959798</v>
      </c>
      <c r="N49" s="17">
        <f t="shared" si="12"/>
        <v>8329110.3489717878</v>
      </c>
      <c r="O49" s="17">
        <f t="shared" si="13"/>
        <v>0</v>
      </c>
      <c r="P49" s="17">
        <f t="shared" si="6"/>
        <v>-1724038.3808931455</v>
      </c>
      <c r="Q49" s="17">
        <f t="shared" si="7"/>
        <v>25636435.683383022</v>
      </c>
      <c r="R49" s="17">
        <f t="shared" si="8"/>
        <v>0</v>
      </c>
      <c r="S49" s="17">
        <f t="shared" si="9"/>
        <v>13153786.577145496</v>
      </c>
      <c r="T49" s="17">
        <f t="shared" si="10"/>
        <v>0</v>
      </c>
      <c r="U49" s="17">
        <f t="shared" si="11"/>
        <v>35893819.089011177</v>
      </c>
      <c r="V49" s="17">
        <f t="shared" si="14"/>
        <v>-300099.06576234102</v>
      </c>
      <c r="W49" s="29">
        <f t="shared" si="15"/>
        <v>8.2914224560891245E-3</v>
      </c>
    </row>
    <row r="50" spans="1:23" x14ac:dyDescent="0.2">
      <c r="A50" s="206">
        <f>'Monthly Data'!A50</f>
        <v>43101</v>
      </c>
      <c r="B50">
        <f>'Monthly Data'!C50</f>
        <v>1</v>
      </c>
      <c r="C50">
        <f>'Monthly Data'!B50</f>
        <v>2018</v>
      </c>
      <c r="D50" s="18">
        <f>'Monthly Data'!N50</f>
        <v>36876641.478447691</v>
      </c>
      <c r="E50">
        <f>'Monthly Data'!AI50</f>
        <v>667.31041666666681</v>
      </c>
      <c r="F50" s="98">
        <f>'Monthly Data'!AD50</f>
        <v>0</v>
      </c>
      <c r="G50">
        <f>'Monthly Data'!AV50</f>
        <v>49</v>
      </c>
      <c r="H50">
        <f>'Monthly Data'!BO50</f>
        <v>31</v>
      </c>
      <c r="I50">
        <f>'Monthly Data'!BR50</f>
        <v>0</v>
      </c>
      <c r="J50">
        <f>'Monthly Data'!AT50</f>
        <v>779459</v>
      </c>
      <c r="K50">
        <f>'Monthly Data'!BJ50</f>
        <v>0</v>
      </c>
      <c r="M50" s="17">
        <f t="shared" si="5"/>
        <v>-9501475.1395959798</v>
      </c>
      <c r="N50" s="17">
        <f t="shared" si="12"/>
        <v>7835348.0730021819</v>
      </c>
      <c r="O50" s="17">
        <f t="shared" si="13"/>
        <v>0</v>
      </c>
      <c r="P50" s="17">
        <f t="shared" si="6"/>
        <v>-1759955.8471617526</v>
      </c>
      <c r="Q50" s="17">
        <f t="shared" si="7"/>
        <v>25636435.683383022</v>
      </c>
      <c r="R50" s="17">
        <f t="shared" si="8"/>
        <v>0</v>
      </c>
      <c r="S50" s="17">
        <f t="shared" si="9"/>
        <v>13290294.200210838</v>
      </c>
      <c r="T50" s="17">
        <f t="shared" si="10"/>
        <v>0</v>
      </c>
      <c r="U50" s="17">
        <f t="shared" si="11"/>
        <v>35500646.969838306</v>
      </c>
      <c r="V50" s="17">
        <f t="shared" si="14"/>
        <v>-1375994.5086093843</v>
      </c>
      <c r="W50" s="29">
        <f t="shared" si="15"/>
        <v>3.7313444322568667E-2</v>
      </c>
    </row>
    <row r="51" spans="1:23" x14ac:dyDescent="0.2">
      <c r="A51" s="206">
        <f>'Monthly Data'!A51</f>
        <v>43132</v>
      </c>
      <c r="B51">
        <f>'Monthly Data'!C51</f>
        <v>2</v>
      </c>
      <c r="C51">
        <f>'Monthly Data'!B51</f>
        <v>2018</v>
      </c>
      <c r="D51" s="18">
        <f>'Monthly Data'!N51</f>
        <v>32450817.161034416</v>
      </c>
      <c r="E51">
        <f>'Monthly Data'!AI51</f>
        <v>537.08958333333339</v>
      </c>
      <c r="F51" s="98">
        <f>'Monthly Data'!AD51</f>
        <v>0</v>
      </c>
      <c r="G51">
        <f>'Monthly Data'!AV51</f>
        <v>50</v>
      </c>
      <c r="H51">
        <f>'Monthly Data'!BO51</f>
        <v>28</v>
      </c>
      <c r="I51">
        <f>'Monthly Data'!BR51</f>
        <v>0</v>
      </c>
      <c r="J51">
        <f>'Monthly Data'!AT51</f>
        <v>779459</v>
      </c>
      <c r="K51">
        <f>'Monthly Data'!BJ51</f>
        <v>0</v>
      </c>
      <c r="M51" s="17">
        <f t="shared" si="5"/>
        <v>-9501475.1395959798</v>
      </c>
      <c r="N51" s="17">
        <f t="shared" si="12"/>
        <v>6306336.1918153446</v>
      </c>
      <c r="O51" s="17">
        <f t="shared" si="13"/>
        <v>0</v>
      </c>
      <c r="P51" s="17">
        <f t="shared" si="6"/>
        <v>-1795873.3134303598</v>
      </c>
      <c r="Q51" s="17">
        <f t="shared" si="7"/>
        <v>23155490.294668537</v>
      </c>
      <c r="R51" s="17">
        <f t="shared" si="8"/>
        <v>0</v>
      </c>
      <c r="S51" s="17">
        <f t="shared" si="9"/>
        <v>13290294.200210838</v>
      </c>
      <c r="T51" s="17">
        <f t="shared" si="10"/>
        <v>0</v>
      </c>
      <c r="U51" s="17">
        <f t="shared" si="11"/>
        <v>31454772.233668379</v>
      </c>
      <c r="V51" s="17">
        <f t="shared" si="14"/>
        <v>-996044.92736603692</v>
      </c>
      <c r="W51" s="29">
        <f t="shared" si="15"/>
        <v>3.0693985991885775E-2</v>
      </c>
    </row>
    <row r="52" spans="1:23" x14ac:dyDescent="0.2">
      <c r="A52" s="206">
        <f>'Monthly Data'!A52</f>
        <v>43160</v>
      </c>
      <c r="B52">
        <f>'Monthly Data'!C52</f>
        <v>3</v>
      </c>
      <c r="C52">
        <f>'Monthly Data'!B52</f>
        <v>2018</v>
      </c>
      <c r="D52" s="18">
        <f>'Monthly Data'!N52</f>
        <v>33530319.642503735</v>
      </c>
      <c r="E52">
        <f>'Monthly Data'!AI52</f>
        <v>468.80624999999998</v>
      </c>
      <c r="F52" s="98">
        <f>'Monthly Data'!AD52</f>
        <v>0</v>
      </c>
      <c r="G52">
        <f>'Monthly Data'!AV52</f>
        <v>51</v>
      </c>
      <c r="H52">
        <f>'Monthly Data'!BO52</f>
        <v>31</v>
      </c>
      <c r="I52">
        <f>'Monthly Data'!BR52</f>
        <v>0</v>
      </c>
      <c r="J52">
        <f>'Monthly Data'!AT52</f>
        <v>779459</v>
      </c>
      <c r="K52">
        <f>'Monthly Data'!BJ52</f>
        <v>0</v>
      </c>
      <c r="M52" s="17">
        <f t="shared" si="5"/>
        <v>-9501475.1395959798</v>
      </c>
      <c r="N52" s="17">
        <f t="shared" si="12"/>
        <v>5504574.8662181254</v>
      </c>
      <c r="O52" s="17">
        <f t="shared" si="13"/>
        <v>0</v>
      </c>
      <c r="P52" s="17">
        <f t="shared" si="6"/>
        <v>-1831790.779698967</v>
      </c>
      <c r="Q52" s="17">
        <f t="shared" si="7"/>
        <v>25636435.683383022</v>
      </c>
      <c r="R52" s="17">
        <f t="shared" si="8"/>
        <v>0</v>
      </c>
      <c r="S52" s="17">
        <f t="shared" si="9"/>
        <v>13290294.200210838</v>
      </c>
      <c r="T52" s="17">
        <f t="shared" si="10"/>
        <v>0</v>
      </c>
      <c r="U52" s="17">
        <f t="shared" si="11"/>
        <v>33098038.830517039</v>
      </c>
      <c r="V52" s="17">
        <f t="shared" si="14"/>
        <v>-432280.81198669598</v>
      </c>
      <c r="W52" s="29">
        <f t="shared" si="15"/>
        <v>1.2892236536830618E-2</v>
      </c>
    </row>
    <row r="53" spans="1:23" x14ac:dyDescent="0.2">
      <c r="A53" s="206">
        <f>'Monthly Data'!A53</f>
        <v>43191</v>
      </c>
      <c r="B53">
        <f>'Monthly Data'!C53</f>
        <v>4</v>
      </c>
      <c r="C53">
        <f>'Monthly Data'!B53</f>
        <v>2018</v>
      </c>
      <c r="D53" s="18">
        <f>'Monthly Data'!N53</f>
        <v>30439204.974459674</v>
      </c>
      <c r="E53">
        <f>'Monthly Data'!AI53</f>
        <v>336.60624999999999</v>
      </c>
      <c r="F53" s="98">
        <f>'Monthly Data'!AD53</f>
        <v>0</v>
      </c>
      <c r="G53">
        <f>'Monthly Data'!AV53</f>
        <v>52</v>
      </c>
      <c r="H53">
        <f>'Monthly Data'!BO53</f>
        <v>30</v>
      </c>
      <c r="I53">
        <f>'Monthly Data'!BR53</f>
        <v>0</v>
      </c>
      <c r="J53">
        <f>'Monthly Data'!AT53</f>
        <v>784896</v>
      </c>
      <c r="K53">
        <f>'Monthly Data'!BJ53</f>
        <v>0</v>
      </c>
      <c r="M53" s="17">
        <f t="shared" si="5"/>
        <v>-9501475.1395959798</v>
      </c>
      <c r="N53" s="17">
        <f t="shared" si="12"/>
        <v>3952324.235357218</v>
      </c>
      <c r="O53" s="17">
        <f t="shared" si="13"/>
        <v>0</v>
      </c>
      <c r="P53" s="17">
        <f t="shared" si="6"/>
        <v>-1867708.2459675742</v>
      </c>
      <c r="Q53" s="17">
        <f t="shared" si="7"/>
        <v>24809453.88714486</v>
      </c>
      <c r="R53" s="17">
        <f t="shared" si="8"/>
        <v>0</v>
      </c>
      <c r="S53" s="17">
        <f t="shared" si="9"/>
        <v>13382998.665187888</v>
      </c>
      <c r="T53" s="17">
        <f t="shared" si="10"/>
        <v>0</v>
      </c>
      <c r="U53" s="17">
        <f t="shared" si="11"/>
        <v>30775593.402126409</v>
      </c>
      <c r="V53" s="17">
        <f t="shared" si="14"/>
        <v>336388.4276667349</v>
      </c>
      <c r="W53" s="29">
        <f t="shared" si="15"/>
        <v>1.1051156820586643E-2</v>
      </c>
    </row>
    <row r="54" spans="1:23" x14ac:dyDescent="0.2">
      <c r="A54" s="206">
        <f>'Monthly Data'!A54</f>
        <v>43221</v>
      </c>
      <c r="B54">
        <f>'Monthly Data'!C54</f>
        <v>5</v>
      </c>
      <c r="C54">
        <f>'Monthly Data'!B54</f>
        <v>2018</v>
      </c>
      <c r="D54" s="18">
        <f>'Monthly Data'!N54</f>
        <v>29126243.549783867</v>
      </c>
      <c r="E54">
        <f>'Monthly Data'!AI54</f>
        <v>20.166666666666668</v>
      </c>
      <c r="F54" s="98">
        <f>'Monthly Data'!AD54</f>
        <v>30.479166666666664</v>
      </c>
      <c r="G54">
        <f>'Monthly Data'!AV54</f>
        <v>53</v>
      </c>
      <c r="H54">
        <f>'Monthly Data'!BO54</f>
        <v>31</v>
      </c>
      <c r="I54">
        <f>'Monthly Data'!BR54</f>
        <v>0</v>
      </c>
      <c r="J54">
        <f>'Monthly Data'!AT54</f>
        <v>784896</v>
      </c>
      <c r="K54">
        <f>'Monthly Data'!BJ54</f>
        <v>0</v>
      </c>
      <c r="M54" s="17">
        <f t="shared" si="5"/>
        <v>-9501475.1395959798</v>
      </c>
      <c r="N54" s="17">
        <f t="shared" si="12"/>
        <v>236790.62825790441</v>
      </c>
      <c r="O54" s="17">
        <f t="shared" si="13"/>
        <v>664920.17344780767</v>
      </c>
      <c r="P54" s="17">
        <f t="shared" si="6"/>
        <v>-1903625.7122361814</v>
      </c>
      <c r="Q54" s="17">
        <f t="shared" si="7"/>
        <v>25636435.683383022</v>
      </c>
      <c r="R54" s="17">
        <f t="shared" si="8"/>
        <v>0</v>
      </c>
      <c r="S54" s="17">
        <f t="shared" si="9"/>
        <v>13382998.665187888</v>
      </c>
      <c r="T54" s="17">
        <f t="shared" si="10"/>
        <v>0</v>
      </c>
      <c r="U54" s="17">
        <f t="shared" si="11"/>
        <v>28516044.298444461</v>
      </c>
      <c r="V54" s="17">
        <f t="shared" si="14"/>
        <v>-610199.25133940578</v>
      </c>
      <c r="W54" s="29">
        <f t="shared" si="15"/>
        <v>2.0950152747862119E-2</v>
      </c>
    </row>
    <row r="55" spans="1:23" x14ac:dyDescent="0.2">
      <c r="A55" s="206">
        <f>'Monthly Data'!A55</f>
        <v>43252</v>
      </c>
      <c r="B55">
        <f>'Monthly Data'!C55</f>
        <v>6</v>
      </c>
      <c r="C55">
        <f>'Monthly Data'!B55</f>
        <v>2018</v>
      </c>
      <c r="D55" s="18">
        <f>'Monthly Data'!N55</f>
        <v>28885481.971341256</v>
      </c>
      <c r="E55">
        <f>'Monthly Data'!AI55</f>
        <v>1.0624999999999982</v>
      </c>
      <c r="F55" s="98">
        <f>'Monthly Data'!AD55</f>
        <v>53.03749999999998</v>
      </c>
      <c r="G55">
        <f>'Monthly Data'!AV55</f>
        <v>54</v>
      </c>
      <c r="H55">
        <f>'Monthly Data'!BO55</f>
        <v>30</v>
      </c>
      <c r="I55">
        <f>'Monthly Data'!BR55</f>
        <v>0</v>
      </c>
      <c r="J55">
        <f>'Monthly Data'!AT55</f>
        <v>784896</v>
      </c>
      <c r="K55">
        <f>'Monthly Data'!BJ55</f>
        <v>0</v>
      </c>
      <c r="M55" s="17">
        <f t="shared" si="5"/>
        <v>-9501475.1395959798</v>
      </c>
      <c r="N55" s="17">
        <f t="shared" si="12"/>
        <v>12475.539298711885</v>
      </c>
      <c r="O55" s="17">
        <f t="shared" si="13"/>
        <v>1157042.9101595546</v>
      </c>
      <c r="P55" s="17">
        <f t="shared" si="6"/>
        <v>-1939543.1785047885</v>
      </c>
      <c r="Q55" s="17">
        <f t="shared" si="7"/>
        <v>24809453.88714486</v>
      </c>
      <c r="R55" s="17">
        <f t="shared" si="8"/>
        <v>0</v>
      </c>
      <c r="S55" s="17">
        <f t="shared" si="9"/>
        <v>13382998.665187888</v>
      </c>
      <c r="T55" s="17">
        <f t="shared" si="10"/>
        <v>0</v>
      </c>
      <c r="U55" s="17">
        <f t="shared" si="11"/>
        <v>27920952.683690242</v>
      </c>
      <c r="V55" s="17">
        <f t="shared" si="14"/>
        <v>-964529.28765101358</v>
      </c>
      <c r="W55" s="29">
        <f t="shared" si="15"/>
        <v>3.3391490182091185E-2</v>
      </c>
    </row>
    <row r="56" spans="1:23" x14ac:dyDescent="0.2">
      <c r="A56" s="206">
        <f>'Monthly Data'!A56</f>
        <v>43282</v>
      </c>
      <c r="B56">
        <f>'Monthly Data'!C56</f>
        <v>7</v>
      </c>
      <c r="C56">
        <f>'Monthly Data'!B56</f>
        <v>2018</v>
      </c>
      <c r="D56" s="18">
        <f>'Monthly Data'!N56</f>
        <v>31490270.204440821</v>
      </c>
      <c r="E56">
        <f>'Monthly Data'!AI56</f>
        <v>0</v>
      </c>
      <c r="F56" s="98">
        <f>'Monthly Data'!AD56</f>
        <v>147.60489436238706</v>
      </c>
      <c r="G56">
        <f>'Monthly Data'!AV56</f>
        <v>55</v>
      </c>
      <c r="H56">
        <f>'Monthly Data'!BO56</f>
        <v>31</v>
      </c>
      <c r="I56">
        <f>'Monthly Data'!BR56</f>
        <v>0</v>
      </c>
      <c r="J56">
        <f>'Monthly Data'!AT56</f>
        <v>794140</v>
      </c>
      <c r="K56">
        <f>'Monthly Data'!BJ56</f>
        <v>0</v>
      </c>
      <c r="M56" s="17">
        <f t="shared" si="5"/>
        <v>-9501475.1395959798</v>
      </c>
      <c r="N56" s="17">
        <f t="shared" si="12"/>
        <v>0</v>
      </c>
      <c r="O56" s="17">
        <f t="shared" si="13"/>
        <v>3220083.8374140938</v>
      </c>
      <c r="P56" s="17">
        <f t="shared" si="6"/>
        <v>-1975460.6447733957</v>
      </c>
      <c r="Q56" s="17">
        <f t="shared" si="7"/>
        <v>25636435.683383022</v>
      </c>
      <c r="R56" s="17">
        <f t="shared" si="8"/>
        <v>0</v>
      </c>
      <c r="S56" s="17">
        <f t="shared" si="9"/>
        <v>13540615.011380246</v>
      </c>
      <c r="T56" s="17">
        <f t="shared" si="10"/>
        <v>0</v>
      </c>
      <c r="U56" s="17">
        <f t="shared" si="11"/>
        <v>30920198.747807987</v>
      </c>
      <c r="V56" s="17">
        <f t="shared" si="14"/>
        <v>-570071.45663283393</v>
      </c>
      <c r="W56" s="29">
        <f t="shared" si="15"/>
        <v>1.810309828819574E-2</v>
      </c>
    </row>
    <row r="57" spans="1:23" x14ac:dyDescent="0.2">
      <c r="A57" s="206">
        <f>'Monthly Data'!A57</f>
        <v>43313</v>
      </c>
      <c r="B57">
        <f>'Monthly Data'!C57</f>
        <v>8</v>
      </c>
      <c r="C57">
        <f>'Monthly Data'!B57</f>
        <v>2018</v>
      </c>
      <c r="D57" s="18">
        <f>'Monthly Data'!N57</f>
        <v>30971325.496937919</v>
      </c>
      <c r="E57">
        <f>'Monthly Data'!AI57</f>
        <v>0</v>
      </c>
      <c r="F57" s="98">
        <f>'Monthly Data'!AD57</f>
        <v>109.56666666666669</v>
      </c>
      <c r="G57">
        <f>'Monthly Data'!AV57</f>
        <v>56</v>
      </c>
      <c r="H57">
        <f>'Monthly Data'!BO57</f>
        <v>31</v>
      </c>
      <c r="I57">
        <f>'Monthly Data'!BR57</f>
        <v>0</v>
      </c>
      <c r="J57">
        <f>'Monthly Data'!AT57</f>
        <v>794140</v>
      </c>
      <c r="K57">
        <f>'Monthly Data'!BJ57</f>
        <v>0</v>
      </c>
      <c r="M57" s="17">
        <f t="shared" si="5"/>
        <v>-9501475.1395959798</v>
      </c>
      <c r="N57" s="17">
        <f t="shared" si="12"/>
        <v>0</v>
      </c>
      <c r="O57" s="17">
        <f t="shared" si="13"/>
        <v>2390258.4936409509</v>
      </c>
      <c r="P57" s="17">
        <f t="shared" si="6"/>
        <v>-2011378.1110420031</v>
      </c>
      <c r="Q57" s="17">
        <f t="shared" si="7"/>
        <v>25636435.683383022</v>
      </c>
      <c r="R57" s="17">
        <f t="shared" si="8"/>
        <v>0</v>
      </c>
      <c r="S57" s="17">
        <f t="shared" si="9"/>
        <v>13540615.011380246</v>
      </c>
      <c r="T57" s="17">
        <f t="shared" si="10"/>
        <v>0</v>
      </c>
      <c r="U57" s="17">
        <f t="shared" si="11"/>
        <v>30054455.937766235</v>
      </c>
      <c r="V57" s="17">
        <f t="shared" si="14"/>
        <v>-916869.55917168409</v>
      </c>
      <c r="W57" s="29">
        <f t="shared" si="15"/>
        <v>2.9603820451996263E-2</v>
      </c>
    </row>
    <row r="58" spans="1:23" x14ac:dyDescent="0.2">
      <c r="A58" s="206">
        <f>'Monthly Data'!A58</f>
        <v>43344</v>
      </c>
      <c r="B58">
        <f>'Monthly Data'!C58</f>
        <v>9</v>
      </c>
      <c r="C58">
        <f>'Monthly Data'!B58</f>
        <v>2018</v>
      </c>
      <c r="D58" s="18">
        <f>'Monthly Data'!N58</f>
        <v>28654541.758361634</v>
      </c>
      <c r="E58">
        <f>'Monthly Data'!AI58</f>
        <v>19.612499999999997</v>
      </c>
      <c r="F58" s="98">
        <f>'Monthly Data'!AD58</f>
        <v>40.237500000000011</v>
      </c>
      <c r="G58">
        <f>'Monthly Data'!AV58</f>
        <v>57</v>
      </c>
      <c r="H58">
        <f>'Monthly Data'!BO58</f>
        <v>30</v>
      </c>
      <c r="I58">
        <f>'Monthly Data'!BR58</f>
        <v>0</v>
      </c>
      <c r="J58">
        <f>'Monthly Data'!AT58</f>
        <v>794140</v>
      </c>
      <c r="K58">
        <f>'Monthly Data'!BJ58</f>
        <v>1</v>
      </c>
      <c r="M58" s="17">
        <f t="shared" si="5"/>
        <v>-9501475.1395959798</v>
      </c>
      <c r="N58" s="17">
        <f t="shared" si="12"/>
        <v>230283.77834916444</v>
      </c>
      <c r="O58" s="17">
        <f t="shared" si="13"/>
        <v>877803.70676493249</v>
      </c>
      <c r="P58" s="17">
        <f t="shared" si="6"/>
        <v>-2047295.5773106103</v>
      </c>
      <c r="Q58" s="17">
        <f t="shared" si="7"/>
        <v>24809453.88714486</v>
      </c>
      <c r="R58" s="17">
        <f t="shared" si="8"/>
        <v>0</v>
      </c>
      <c r="S58" s="17">
        <f t="shared" si="9"/>
        <v>13540615.011380246</v>
      </c>
      <c r="T58" s="17">
        <f t="shared" si="10"/>
        <v>413783.55369814899</v>
      </c>
      <c r="U58" s="17">
        <f t="shared" si="11"/>
        <v>27909385.666732613</v>
      </c>
      <c r="V58" s="17">
        <f t="shared" si="14"/>
        <v>-745156.09162902087</v>
      </c>
      <c r="W58" s="29">
        <f t="shared" si="15"/>
        <v>2.6004816196775443E-2</v>
      </c>
    </row>
    <row r="59" spans="1:23" x14ac:dyDescent="0.2">
      <c r="A59" s="206">
        <f>'Monthly Data'!A59</f>
        <v>43374</v>
      </c>
      <c r="B59">
        <f>'Monthly Data'!C59</f>
        <v>10</v>
      </c>
      <c r="C59">
        <f>'Monthly Data'!B59</f>
        <v>2018</v>
      </c>
      <c r="D59" s="18">
        <f>'Monthly Data'!N59</f>
        <v>30351483.101155873</v>
      </c>
      <c r="E59">
        <f>'Monthly Data'!AI59</f>
        <v>200.22916666666666</v>
      </c>
      <c r="F59" s="98">
        <f>'Monthly Data'!AD59</f>
        <v>0</v>
      </c>
      <c r="G59">
        <f>'Monthly Data'!AV59</f>
        <v>58</v>
      </c>
      <c r="H59">
        <f>'Monthly Data'!BO59</f>
        <v>31</v>
      </c>
      <c r="I59">
        <f>'Monthly Data'!BR59</f>
        <v>0</v>
      </c>
      <c r="J59">
        <f>'Monthly Data'!AT59</f>
        <v>799632</v>
      </c>
      <c r="K59">
        <f>'Monthly Data'!BJ59</f>
        <v>1</v>
      </c>
      <c r="M59" s="17">
        <f t="shared" si="5"/>
        <v>-9501475.1395959798</v>
      </c>
      <c r="N59" s="17">
        <f t="shared" si="12"/>
        <v>2351027.6117631397</v>
      </c>
      <c r="O59" s="17">
        <f t="shared" si="13"/>
        <v>0</v>
      </c>
      <c r="P59" s="17">
        <f t="shared" si="6"/>
        <v>-2083213.0435792175</v>
      </c>
      <c r="Q59" s="17">
        <f t="shared" si="7"/>
        <v>25636435.683383022</v>
      </c>
      <c r="R59" s="17">
        <f t="shared" si="8"/>
        <v>0</v>
      </c>
      <c r="S59" s="17">
        <f t="shared" si="9"/>
        <v>13634257.262925943</v>
      </c>
      <c r="T59" s="17">
        <f t="shared" si="10"/>
        <v>413783.55369814899</v>
      </c>
      <c r="U59" s="17">
        <f t="shared" si="11"/>
        <v>30037032.374896906</v>
      </c>
      <c r="V59" s="17">
        <f t="shared" si="14"/>
        <v>-314450.72625896707</v>
      </c>
      <c r="W59" s="29">
        <f t="shared" si="15"/>
        <v>1.0360308430759742E-2</v>
      </c>
    </row>
    <row r="60" spans="1:23" x14ac:dyDescent="0.2">
      <c r="A60" s="206">
        <f>'Monthly Data'!A60</f>
        <v>43405</v>
      </c>
      <c r="B60">
        <f>'Monthly Data'!C60</f>
        <v>11</v>
      </c>
      <c r="C60">
        <f>'Monthly Data'!B60</f>
        <v>2018</v>
      </c>
      <c r="D60" s="18">
        <f>'Monthly Data'!N60</f>
        <v>32438945.153162286</v>
      </c>
      <c r="E60">
        <f>'Monthly Data'!AI60</f>
        <v>436.37708333333336</v>
      </c>
      <c r="F60" s="98">
        <f>'Monthly Data'!AD60</f>
        <v>0</v>
      </c>
      <c r="G60">
        <f>'Monthly Data'!AV60</f>
        <v>59</v>
      </c>
      <c r="H60">
        <f>'Monthly Data'!BO60</f>
        <v>30</v>
      </c>
      <c r="I60">
        <f>'Monthly Data'!BR60</f>
        <v>0</v>
      </c>
      <c r="J60">
        <f>'Monthly Data'!AT60</f>
        <v>799632</v>
      </c>
      <c r="K60">
        <f>'Monthly Data'!BJ60</f>
        <v>1</v>
      </c>
      <c r="M60" s="17">
        <f t="shared" si="5"/>
        <v>-9501475.1395959798</v>
      </c>
      <c r="N60" s="17">
        <f t="shared" si="12"/>
        <v>5123801.837348029</v>
      </c>
      <c r="O60" s="17">
        <f t="shared" si="13"/>
        <v>0</v>
      </c>
      <c r="P60" s="17">
        <f t="shared" si="6"/>
        <v>-2119130.5098478245</v>
      </c>
      <c r="Q60" s="17">
        <f t="shared" si="7"/>
        <v>24809453.88714486</v>
      </c>
      <c r="R60" s="17">
        <f t="shared" si="8"/>
        <v>0</v>
      </c>
      <c r="S60" s="17">
        <f t="shared" si="9"/>
        <v>13634257.262925943</v>
      </c>
      <c r="T60" s="17">
        <f t="shared" si="10"/>
        <v>413783.55369814899</v>
      </c>
      <c r="U60" s="17">
        <f t="shared" si="11"/>
        <v>31946907.337975025</v>
      </c>
      <c r="V60" s="17">
        <f t="shared" si="14"/>
        <v>-492037.81518726051</v>
      </c>
      <c r="W60" s="29">
        <f t="shared" si="15"/>
        <v>1.5168120074930815E-2</v>
      </c>
    </row>
    <row r="61" spans="1:23" x14ac:dyDescent="0.2">
      <c r="A61" s="206">
        <f>'Monthly Data'!A61</f>
        <v>43435</v>
      </c>
      <c r="B61">
        <f>'Monthly Data'!C61</f>
        <v>12</v>
      </c>
      <c r="C61">
        <f>'Monthly Data'!B61</f>
        <v>2018</v>
      </c>
      <c r="D61" s="18">
        <f>'Monthly Data'!N61</f>
        <v>34215750.076040141</v>
      </c>
      <c r="E61">
        <f>'Monthly Data'!AI61</f>
        <v>536.44791666666663</v>
      </c>
      <c r="F61" s="98">
        <f>'Monthly Data'!AD61</f>
        <v>0</v>
      </c>
      <c r="G61">
        <f>'Monthly Data'!AV61</f>
        <v>60</v>
      </c>
      <c r="H61">
        <f>'Monthly Data'!BO61</f>
        <v>31</v>
      </c>
      <c r="I61">
        <f>'Monthly Data'!BR61</f>
        <v>0</v>
      </c>
      <c r="J61">
        <f>'Monthly Data'!AT61</f>
        <v>799632</v>
      </c>
      <c r="K61">
        <f>'Monthly Data'!BJ61</f>
        <v>0</v>
      </c>
      <c r="M61" s="17">
        <f t="shared" si="5"/>
        <v>-9501475.1395959798</v>
      </c>
      <c r="N61" s="17">
        <f t="shared" si="12"/>
        <v>6298801.944552592</v>
      </c>
      <c r="O61" s="17">
        <f t="shared" si="13"/>
        <v>0</v>
      </c>
      <c r="P61" s="17">
        <f t="shared" si="6"/>
        <v>-2155047.9761164319</v>
      </c>
      <c r="Q61" s="17">
        <f t="shared" si="7"/>
        <v>25636435.683383022</v>
      </c>
      <c r="R61" s="17">
        <f t="shared" si="8"/>
        <v>0</v>
      </c>
      <c r="S61" s="17">
        <f t="shared" si="9"/>
        <v>13634257.262925943</v>
      </c>
      <c r="T61" s="17">
        <f t="shared" si="10"/>
        <v>0</v>
      </c>
      <c r="U61" s="17">
        <f t="shared" si="11"/>
        <v>33912971.775149144</v>
      </c>
      <c r="V61" s="17">
        <f t="shared" si="14"/>
        <v>-302778.30089099705</v>
      </c>
      <c r="W61" s="29">
        <f t="shared" si="15"/>
        <v>8.8490914335681934E-3</v>
      </c>
    </row>
    <row r="62" spans="1:23" x14ac:dyDescent="0.2">
      <c r="A62" s="206">
        <f>'Monthly Data'!A62</f>
        <v>43466</v>
      </c>
      <c r="B62">
        <f>'Monthly Data'!C62</f>
        <v>1</v>
      </c>
      <c r="C62">
        <f>'Monthly Data'!B62</f>
        <v>2019</v>
      </c>
      <c r="D62" s="18">
        <f>'Monthly Data'!N62</f>
        <v>36281125.86679174</v>
      </c>
      <c r="E62">
        <f>'Monthly Data'!AI62</f>
        <v>799.23958333333326</v>
      </c>
      <c r="F62" s="98">
        <f>'Monthly Data'!AD62</f>
        <v>0</v>
      </c>
      <c r="G62">
        <f>'Monthly Data'!AV62</f>
        <v>61</v>
      </c>
      <c r="H62">
        <f>'Monthly Data'!BO62</f>
        <v>31</v>
      </c>
      <c r="I62">
        <f>'Monthly Data'!BR62</f>
        <v>0</v>
      </c>
      <c r="J62">
        <f>'Monthly Data'!AT62</f>
        <v>800724</v>
      </c>
      <c r="K62">
        <f>'Monthly Data'!BJ62</f>
        <v>0</v>
      </c>
      <c r="M62" s="17">
        <f t="shared" si="5"/>
        <v>-9501475.1395959798</v>
      </c>
      <c r="N62" s="17">
        <f t="shared" si="12"/>
        <v>9384418.6644340027</v>
      </c>
      <c r="O62" s="17">
        <f t="shared" si="13"/>
        <v>0</v>
      </c>
      <c r="P62" s="17">
        <f t="shared" si="6"/>
        <v>-2190965.4423850388</v>
      </c>
      <c r="Q62" s="17">
        <f t="shared" si="7"/>
        <v>25636435.683383022</v>
      </c>
      <c r="R62" s="17">
        <f t="shared" si="8"/>
        <v>0</v>
      </c>
      <c r="S62" s="17">
        <f t="shared" si="9"/>
        <v>13652876.588979822</v>
      </c>
      <c r="T62" s="17">
        <f t="shared" si="10"/>
        <v>0</v>
      </c>
      <c r="U62" s="17">
        <f t="shared" si="11"/>
        <v>36981290.354815826</v>
      </c>
      <c r="V62" s="17">
        <f t="shared" si="14"/>
        <v>700164.48802408576</v>
      </c>
      <c r="W62" s="29">
        <f t="shared" si="15"/>
        <v>1.9298312036808901E-2</v>
      </c>
    </row>
    <row r="63" spans="1:23" x14ac:dyDescent="0.2">
      <c r="A63" s="206">
        <f>'Monthly Data'!A63</f>
        <v>43497</v>
      </c>
      <c r="B63">
        <f>'Monthly Data'!C63</f>
        <v>2</v>
      </c>
      <c r="C63">
        <f>'Monthly Data'!B63</f>
        <v>2019</v>
      </c>
      <c r="D63" s="18">
        <f>'Monthly Data'!N63</f>
        <v>32472484.106644373</v>
      </c>
      <c r="E63">
        <f>'Monthly Data'!AI63</f>
        <v>614.45833333333326</v>
      </c>
      <c r="F63" s="98">
        <f>'Monthly Data'!AD63</f>
        <v>0</v>
      </c>
      <c r="G63">
        <f>'Monthly Data'!AV63</f>
        <v>62</v>
      </c>
      <c r="H63">
        <f>'Monthly Data'!BO63</f>
        <v>28</v>
      </c>
      <c r="I63">
        <f>'Monthly Data'!BR63</f>
        <v>0</v>
      </c>
      <c r="J63">
        <f>'Monthly Data'!AT63</f>
        <v>800724</v>
      </c>
      <c r="K63">
        <f>'Monthly Data'!BJ63</f>
        <v>0</v>
      </c>
      <c r="M63" s="17">
        <f t="shared" si="5"/>
        <v>-9501475.1395959798</v>
      </c>
      <c r="N63" s="17">
        <f t="shared" si="12"/>
        <v>7214775.6093374295</v>
      </c>
      <c r="O63" s="17">
        <f t="shared" si="13"/>
        <v>0</v>
      </c>
      <c r="P63" s="17">
        <f t="shared" si="6"/>
        <v>-2226882.9086536462</v>
      </c>
      <c r="Q63" s="17">
        <f t="shared" si="7"/>
        <v>23155490.294668537</v>
      </c>
      <c r="R63" s="17">
        <f t="shared" si="8"/>
        <v>0</v>
      </c>
      <c r="S63" s="17">
        <f t="shared" si="9"/>
        <v>13652876.588979822</v>
      </c>
      <c r="T63" s="17">
        <f t="shared" si="10"/>
        <v>0</v>
      </c>
      <c r="U63" s="17">
        <f t="shared" si="11"/>
        <v>32294784.444736164</v>
      </c>
      <c r="V63" s="17">
        <f t="shared" si="14"/>
        <v>-177699.66190820932</v>
      </c>
      <c r="W63" s="29">
        <f t="shared" si="15"/>
        <v>5.4723150013598508E-3</v>
      </c>
    </row>
    <row r="64" spans="1:23" x14ac:dyDescent="0.2">
      <c r="A64" s="206">
        <f>'Monthly Data'!A64</f>
        <v>43525</v>
      </c>
      <c r="B64">
        <f>'Monthly Data'!C64</f>
        <v>3</v>
      </c>
      <c r="C64">
        <f>'Monthly Data'!B64</f>
        <v>2019</v>
      </c>
      <c r="D64" s="18">
        <f>'Monthly Data'!N64</f>
        <v>33332897.506497011</v>
      </c>
      <c r="E64">
        <f>'Monthly Data'!AI64</f>
        <v>493.16666666666669</v>
      </c>
      <c r="F64" s="98">
        <f>'Monthly Data'!AD64</f>
        <v>0</v>
      </c>
      <c r="G64">
        <f>'Monthly Data'!AV64</f>
        <v>63</v>
      </c>
      <c r="H64">
        <f>'Monthly Data'!BO64</f>
        <v>31</v>
      </c>
      <c r="I64">
        <f>'Monthly Data'!BR64</f>
        <v>0</v>
      </c>
      <c r="J64">
        <f>'Monthly Data'!AT64</f>
        <v>800724</v>
      </c>
      <c r="K64">
        <f>'Monthly Data'!BJ64</f>
        <v>0</v>
      </c>
      <c r="M64" s="17">
        <f t="shared" si="5"/>
        <v>-9501475.1395959798</v>
      </c>
      <c r="N64" s="17">
        <f t="shared" si="12"/>
        <v>5790607.1819432992</v>
      </c>
      <c r="O64" s="17">
        <f t="shared" si="13"/>
        <v>0</v>
      </c>
      <c r="P64" s="17">
        <f t="shared" si="6"/>
        <v>-2262800.3749222532</v>
      </c>
      <c r="Q64" s="17">
        <f t="shared" si="7"/>
        <v>25636435.683383022</v>
      </c>
      <c r="R64" s="17">
        <f t="shared" si="8"/>
        <v>0</v>
      </c>
      <c r="S64" s="17">
        <f t="shared" si="9"/>
        <v>13652876.588979822</v>
      </c>
      <c r="T64" s="17">
        <f t="shared" si="10"/>
        <v>0</v>
      </c>
      <c r="U64" s="17">
        <f t="shared" si="11"/>
        <v>33315643.939787909</v>
      </c>
      <c r="V64" s="17">
        <f t="shared" si="14"/>
        <v>-17253.5667091012</v>
      </c>
      <c r="W64" s="29">
        <f t="shared" si="15"/>
        <v>5.1761376897217705E-4</v>
      </c>
    </row>
    <row r="65" spans="1:23" x14ac:dyDescent="0.2">
      <c r="A65" s="206">
        <f>'Monthly Data'!A65</f>
        <v>43556</v>
      </c>
      <c r="B65">
        <f>'Monthly Data'!C65</f>
        <v>4</v>
      </c>
      <c r="C65">
        <f>'Monthly Data'!B65</f>
        <v>2019</v>
      </c>
      <c r="D65" s="18">
        <f>'Monthly Data'!N65</f>
        <v>29146608.456349649</v>
      </c>
      <c r="E65">
        <f>'Monthly Data'!AI65</f>
        <v>247.67708333333331</v>
      </c>
      <c r="F65" s="98">
        <f>'Monthly Data'!AD65</f>
        <v>0</v>
      </c>
      <c r="G65">
        <f>'Monthly Data'!AV65</f>
        <v>64</v>
      </c>
      <c r="H65">
        <f>'Monthly Data'!BO65</f>
        <v>30</v>
      </c>
      <c r="I65">
        <f>'Monthly Data'!BR65</f>
        <v>0</v>
      </c>
      <c r="J65">
        <f>'Monthly Data'!AT65</f>
        <v>806630</v>
      </c>
      <c r="K65">
        <f>'Monthly Data'!BJ65</f>
        <v>0</v>
      </c>
      <c r="M65" s="17">
        <f t="shared" si="5"/>
        <v>-9501475.1395959798</v>
      </c>
      <c r="N65" s="17">
        <f t="shared" si="12"/>
        <v>2908146.0578967938</v>
      </c>
      <c r="O65" s="17">
        <f t="shared" si="13"/>
        <v>0</v>
      </c>
      <c r="P65" s="17">
        <f t="shared" si="6"/>
        <v>-2298717.8411908606</v>
      </c>
      <c r="Q65" s="17">
        <f t="shared" si="7"/>
        <v>24809453.88714486</v>
      </c>
      <c r="R65" s="17">
        <f t="shared" si="8"/>
        <v>0</v>
      </c>
      <c r="S65" s="17">
        <f t="shared" si="9"/>
        <v>13753577.815787705</v>
      </c>
      <c r="T65" s="17">
        <f t="shared" si="10"/>
        <v>0</v>
      </c>
      <c r="U65" s="17">
        <f t="shared" si="11"/>
        <v>29670984.780042518</v>
      </c>
      <c r="V65" s="17">
        <f t="shared" si="14"/>
        <v>524376.3236928694</v>
      </c>
      <c r="W65" s="29">
        <f t="shared" si="15"/>
        <v>1.7990989396868676E-2</v>
      </c>
    </row>
    <row r="66" spans="1:23" x14ac:dyDescent="0.2">
      <c r="A66" s="206">
        <f>'Monthly Data'!A66</f>
        <v>43586</v>
      </c>
      <c r="B66">
        <f>'Monthly Data'!C66</f>
        <v>5</v>
      </c>
      <c r="C66">
        <f>'Monthly Data'!B66</f>
        <v>2019</v>
      </c>
      <c r="D66" s="18">
        <f>'Monthly Data'!N66</f>
        <v>27939346.306202278</v>
      </c>
      <c r="E66">
        <f>'Monthly Data'!AI66</f>
        <v>65.560416666666669</v>
      </c>
      <c r="F66" s="98">
        <f>'Monthly Data'!AD66</f>
        <v>0</v>
      </c>
      <c r="G66">
        <f>'Monthly Data'!AV66</f>
        <v>65</v>
      </c>
      <c r="H66">
        <f>'Monthly Data'!BO66</f>
        <v>31</v>
      </c>
      <c r="I66">
        <f>'Monthly Data'!BR66</f>
        <v>0</v>
      </c>
      <c r="J66">
        <f>'Monthly Data'!AT66</f>
        <v>806630</v>
      </c>
      <c r="K66">
        <f>'Monthly Data'!BJ66</f>
        <v>0</v>
      </c>
      <c r="M66" s="17">
        <f t="shared" si="5"/>
        <v>-9501475.1395959798</v>
      </c>
      <c r="N66" s="17">
        <f t="shared" ref="N66:N97" si="16">E66*$Z$8</f>
        <v>769789.69841404899</v>
      </c>
      <c r="O66" s="17">
        <f t="shared" ref="O66:O97" si="17">F66*$Z$9</f>
        <v>0</v>
      </c>
      <c r="P66" s="17">
        <f t="shared" si="6"/>
        <v>-2334635.307459468</v>
      </c>
      <c r="Q66" s="17">
        <f t="shared" si="7"/>
        <v>25636435.683383022</v>
      </c>
      <c r="R66" s="17">
        <f t="shared" si="8"/>
        <v>0</v>
      </c>
      <c r="S66" s="17">
        <f t="shared" si="9"/>
        <v>13753577.815787705</v>
      </c>
      <c r="T66" s="17">
        <f t="shared" si="10"/>
        <v>0</v>
      </c>
      <c r="U66" s="17">
        <f t="shared" si="11"/>
        <v>28323692.750529326</v>
      </c>
      <c r="V66" s="17">
        <f t="shared" ref="V66:V97" si="18">U66-D66</f>
        <v>384346.44432704896</v>
      </c>
      <c r="W66" s="29">
        <f t="shared" ref="W66:W97" si="19">ABS(V66/D66)</f>
        <v>1.375645801139333E-2</v>
      </c>
    </row>
    <row r="67" spans="1:23" x14ac:dyDescent="0.2">
      <c r="A67" s="206">
        <f>'Monthly Data'!A67</f>
        <v>43617</v>
      </c>
      <c r="B67">
        <f>'Monthly Data'!C67</f>
        <v>6</v>
      </c>
      <c r="C67">
        <f>'Monthly Data'!B67</f>
        <v>2019</v>
      </c>
      <c r="D67" s="18">
        <f>'Monthly Data'!N67</f>
        <v>27453255.636054914</v>
      </c>
      <c r="E67">
        <f>'Monthly Data'!AI67</f>
        <v>3.5374999999999988</v>
      </c>
      <c r="F67" s="98">
        <f>'Monthly Data'!AD67</f>
        <v>38.87083333333333</v>
      </c>
      <c r="G67">
        <f>'Monthly Data'!AV67</f>
        <v>66</v>
      </c>
      <c r="H67">
        <f>'Monthly Data'!BO67</f>
        <v>30</v>
      </c>
      <c r="I67">
        <f>'Monthly Data'!BR67</f>
        <v>0</v>
      </c>
      <c r="J67">
        <f>'Monthly Data'!AT67</f>
        <v>806630</v>
      </c>
      <c r="K67">
        <f>'Monthly Data'!BJ67</f>
        <v>0</v>
      </c>
      <c r="M67" s="17">
        <f t="shared" ref="M67:M130" si="20">$Z$7</f>
        <v>-9501475.1395959798</v>
      </c>
      <c r="N67" s="17">
        <f t="shared" si="16"/>
        <v>41536.207312181978</v>
      </c>
      <c r="O67" s="17">
        <f t="shared" si="17"/>
        <v>847989.10431915207</v>
      </c>
      <c r="P67" s="17">
        <f t="shared" ref="P67:P121" si="21">G67*$Z$10</f>
        <v>-2370552.773728075</v>
      </c>
      <c r="Q67" s="17">
        <f t="shared" ref="Q67:Q121" si="22">H67*$Z$11</f>
        <v>24809453.88714486</v>
      </c>
      <c r="R67" s="17">
        <f t="shared" ref="R67:R121" si="23">I67*$Z$12</f>
        <v>0</v>
      </c>
      <c r="S67" s="17">
        <f t="shared" ref="S67:S121" si="24">J67*$Z$13</f>
        <v>13753577.815787705</v>
      </c>
      <c r="T67" s="17">
        <f t="shared" ref="T67:T121" si="25">K67*$Z$14</f>
        <v>0</v>
      </c>
      <c r="U67" s="17">
        <f t="shared" ref="U67:U121" si="26">SUM(M67:S67)</f>
        <v>27580529.101239845</v>
      </c>
      <c r="V67" s="17">
        <f t="shared" si="18"/>
        <v>127273.46518493071</v>
      </c>
      <c r="W67" s="29">
        <f t="shared" si="19"/>
        <v>4.6360062672413946E-3</v>
      </c>
    </row>
    <row r="68" spans="1:23" x14ac:dyDescent="0.2">
      <c r="A68" s="206">
        <f>'Monthly Data'!A68</f>
        <v>43647</v>
      </c>
      <c r="B68">
        <f>'Monthly Data'!C68</f>
        <v>7</v>
      </c>
      <c r="C68">
        <f>'Monthly Data'!B68</f>
        <v>2019</v>
      </c>
      <c r="D68" s="18">
        <f>'Monthly Data'!N68</f>
        <v>30266965.175907552</v>
      </c>
      <c r="E68">
        <f>'Monthly Data'!AI68</f>
        <v>0</v>
      </c>
      <c r="F68" s="98">
        <f>'Monthly Data'!AD68</f>
        <v>133.94791666666666</v>
      </c>
      <c r="G68">
        <f>'Monthly Data'!AV68</f>
        <v>67</v>
      </c>
      <c r="H68">
        <f>'Monthly Data'!BO68</f>
        <v>31</v>
      </c>
      <c r="I68">
        <f>'Monthly Data'!BR68</f>
        <v>0</v>
      </c>
      <c r="J68">
        <f>'Monthly Data'!AT68</f>
        <v>810347</v>
      </c>
      <c r="K68">
        <f>'Monthly Data'!BJ68</f>
        <v>0</v>
      </c>
      <c r="M68" s="17">
        <f t="shared" si="20"/>
        <v>-9501475.1395959798</v>
      </c>
      <c r="N68" s="17">
        <f t="shared" si="16"/>
        <v>0</v>
      </c>
      <c r="O68" s="17">
        <f t="shared" si="17"/>
        <v>2922149.1833101022</v>
      </c>
      <c r="P68" s="17">
        <f t="shared" si="21"/>
        <v>-2406470.2399966824</v>
      </c>
      <c r="Q68" s="17">
        <f t="shared" si="22"/>
        <v>25636435.683383022</v>
      </c>
      <c r="R68" s="17">
        <f t="shared" si="23"/>
        <v>0</v>
      </c>
      <c r="S68" s="17">
        <f t="shared" si="24"/>
        <v>13816955.137163406</v>
      </c>
      <c r="T68" s="17">
        <f t="shared" si="25"/>
        <v>0</v>
      </c>
      <c r="U68" s="17">
        <f t="shared" si="26"/>
        <v>30467594.624263868</v>
      </c>
      <c r="V68" s="17">
        <f t="shared" si="18"/>
        <v>200629.44835631549</v>
      </c>
      <c r="W68" s="29">
        <f t="shared" si="19"/>
        <v>6.6286608911823161E-3</v>
      </c>
    </row>
    <row r="69" spans="1:23" x14ac:dyDescent="0.2">
      <c r="A69" s="206">
        <f>'Monthly Data'!A69</f>
        <v>43678</v>
      </c>
      <c r="B69">
        <f>'Monthly Data'!C69</f>
        <v>8</v>
      </c>
      <c r="C69">
        <f>'Monthly Data'!B69</f>
        <v>2019</v>
      </c>
      <c r="D69" s="18">
        <f>'Monthly Data'!N69</f>
        <v>29172056.525760185</v>
      </c>
      <c r="E69">
        <f>'Monthly Data'!AI69</f>
        <v>0</v>
      </c>
      <c r="F69" s="98">
        <f>'Monthly Data'!AD69</f>
        <v>60.520833333333321</v>
      </c>
      <c r="G69">
        <f>'Monthly Data'!AV69</f>
        <v>68</v>
      </c>
      <c r="H69">
        <f>'Monthly Data'!BO69</f>
        <v>31</v>
      </c>
      <c r="I69">
        <f>'Monthly Data'!BR69</f>
        <v>0</v>
      </c>
      <c r="J69">
        <f>'Monthly Data'!AT69</f>
        <v>810347</v>
      </c>
      <c r="K69">
        <f>'Monthly Data'!BJ69</f>
        <v>0</v>
      </c>
      <c r="M69" s="17">
        <f t="shared" si="20"/>
        <v>-9501475.1395959798</v>
      </c>
      <c r="N69" s="17">
        <f t="shared" si="16"/>
        <v>0</v>
      </c>
      <c r="O69" s="17">
        <f t="shared" si="17"/>
        <v>1320296.0381858379</v>
      </c>
      <c r="P69" s="17">
        <f t="shared" si="21"/>
        <v>-2442387.7062652893</v>
      </c>
      <c r="Q69" s="17">
        <f t="shared" si="22"/>
        <v>25636435.683383022</v>
      </c>
      <c r="R69" s="17">
        <f t="shared" si="23"/>
        <v>0</v>
      </c>
      <c r="S69" s="17">
        <f t="shared" si="24"/>
        <v>13816955.137163406</v>
      </c>
      <c r="T69" s="17">
        <f t="shared" si="25"/>
        <v>0</v>
      </c>
      <c r="U69" s="17">
        <f t="shared" si="26"/>
        <v>28829824.012870997</v>
      </c>
      <c r="V69" s="17">
        <f t="shared" si="18"/>
        <v>-342232.51288918778</v>
      </c>
      <c r="W69" s="29">
        <f t="shared" si="19"/>
        <v>1.1731518228308029E-2</v>
      </c>
    </row>
    <row r="70" spans="1:23" x14ac:dyDescent="0.2">
      <c r="A70" s="206">
        <f>'Monthly Data'!A70</f>
        <v>43709</v>
      </c>
      <c r="B70">
        <f>'Monthly Data'!C70</f>
        <v>9</v>
      </c>
      <c r="C70">
        <f>'Monthly Data'!B70</f>
        <v>2019</v>
      </c>
      <c r="D70" s="18">
        <f>'Monthly Data'!N70</f>
        <v>27183202.695612822</v>
      </c>
      <c r="E70">
        <f>'Monthly Data'!AI70</f>
        <v>2.8083333333333336</v>
      </c>
      <c r="F70" s="98">
        <f>'Monthly Data'!AD70</f>
        <v>9.7875000000000014</v>
      </c>
      <c r="G70">
        <f>'Monthly Data'!AV70</f>
        <v>69</v>
      </c>
      <c r="H70">
        <f>'Monthly Data'!BO70</f>
        <v>30</v>
      </c>
      <c r="I70">
        <f>'Monthly Data'!BR70</f>
        <v>0</v>
      </c>
      <c r="J70">
        <f>'Monthly Data'!AT70</f>
        <v>810347</v>
      </c>
      <c r="K70">
        <f>'Monthly Data'!BJ70</f>
        <v>1</v>
      </c>
      <c r="M70" s="17">
        <f t="shared" si="20"/>
        <v>-9501475.1395959798</v>
      </c>
      <c r="N70" s="17">
        <f t="shared" si="16"/>
        <v>32974.562695418921</v>
      </c>
      <c r="O70" s="17">
        <f t="shared" si="17"/>
        <v>213519.82056444298</v>
      </c>
      <c r="P70" s="17">
        <f t="shared" si="21"/>
        <v>-2478305.1725338968</v>
      </c>
      <c r="Q70" s="17">
        <f t="shared" si="22"/>
        <v>24809453.88714486</v>
      </c>
      <c r="R70" s="17">
        <f t="shared" si="23"/>
        <v>0</v>
      </c>
      <c r="S70" s="17">
        <f t="shared" si="24"/>
        <v>13816955.137163406</v>
      </c>
      <c r="T70" s="17">
        <f t="shared" si="25"/>
        <v>413783.55369814899</v>
      </c>
      <c r="U70" s="17">
        <f t="shared" si="26"/>
        <v>26893123.095438249</v>
      </c>
      <c r="V70" s="17">
        <f t="shared" si="18"/>
        <v>-290079.60017457232</v>
      </c>
      <c r="W70" s="29">
        <f t="shared" si="19"/>
        <v>1.0671281210782022E-2</v>
      </c>
    </row>
    <row r="71" spans="1:23" x14ac:dyDescent="0.2">
      <c r="A71" s="206">
        <f>'Monthly Data'!A71</f>
        <v>43739</v>
      </c>
      <c r="B71">
        <f>'Monthly Data'!C71</f>
        <v>10</v>
      </c>
      <c r="C71">
        <f>'Monthly Data'!B71</f>
        <v>2019</v>
      </c>
      <c r="D71" s="18">
        <f>'Monthly Data'!N71</f>
        <v>29031687.915465459</v>
      </c>
      <c r="E71">
        <f>'Monthly Data'!AI71</f>
        <v>124.45762558837849</v>
      </c>
      <c r="F71" s="98">
        <f>'Monthly Data'!AD71</f>
        <v>0</v>
      </c>
      <c r="G71">
        <f>'Monthly Data'!AV71</f>
        <v>70</v>
      </c>
      <c r="H71">
        <f>'Monthly Data'!BO71</f>
        <v>31</v>
      </c>
      <c r="I71">
        <f>'Monthly Data'!BR71</f>
        <v>0</v>
      </c>
      <c r="J71">
        <f>'Monthly Data'!AT71</f>
        <v>811397</v>
      </c>
      <c r="K71">
        <f>'Monthly Data'!BJ71</f>
        <v>1</v>
      </c>
      <c r="M71" s="17">
        <f t="shared" si="20"/>
        <v>-9501475.1395959798</v>
      </c>
      <c r="N71" s="17">
        <f t="shared" si="16"/>
        <v>1461342.1167550008</v>
      </c>
      <c r="O71" s="17">
        <f t="shared" si="17"/>
        <v>0</v>
      </c>
      <c r="P71" s="17">
        <f t="shared" si="21"/>
        <v>-2514222.6388025037</v>
      </c>
      <c r="Q71" s="17">
        <f t="shared" si="22"/>
        <v>25636435.683383022</v>
      </c>
      <c r="R71" s="17">
        <f t="shared" si="23"/>
        <v>0</v>
      </c>
      <c r="S71" s="17">
        <f t="shared" si="24"/>
        <v>13834858.335292136</v>
      </c>
      <c r="T71" s="17">
        <f t="shared" si="25"/>
        <v>413783.55369814899</v>
      </c>
      <c r="U71" s="17">
        <f t="shared" si="26"/>
        <v>28916938.357031673</v>
      </c>
      <c r="V71" s="17">
        <f t="shared" si="18"/>
        <v>-114749.55843378603</v>
      </c>
      <c r="W71" s="29">
        <f t="shared" si="19"/>
        <v>3.9525624127647718E-3</v>
      </c>
    </row>
    <row r="72" spans="1:23" x14ac:dyDescent="0.2">
      <c r="A72" s="206">
        <f>'Monthly Data'!A72</f>
        <v>43770</v>
      </c>
      <c r="B72">
        <f>'Monthly Data'!C72</f>
        <v>11</v>
      </c>
      <c r="C72">
        <f>'Monthly Data'!B72</f>
        <v>2019</v>
      </c>
      <c r="D72" s="18">
        <f>'Monthly Data'!N72</f>
        <v>31785880.245318092</v>
      </c>
      <c r="E72">
        <f>'Monthly Data'!AI72</f>
        <v>431.92083333333318</v>
      </c>
      <c r="F72" s="98">
        <f>'Monthly Data'!AD72</f>
        <v>0</v>
      </c>
      <c r="G72">
        <f>'Monthly Data'!AV72</f>
        <v>71</v>
      </c>
      <c r="H72">
        <f>'Monthly Data'!BO72</f>
        <v>30</v>
      </c>
      <c r="I72">
        <f>'Monthly Data'!BR72</f>
        <v>0</v>
      </c>
      <c r="J72">
        <f>'Monthly Data'!AT72</f>
        <v>811397</v>
      </c>
      <c r="K72">
        <f>'Monthly Data'!BJ72</f>
        <v>1</v>
      </c>
      <c r="M72" s="17">
        <f t="shared" si="20"/>
        <v>-9501475.1395959798</v>
      </c>
      <c r="N72" s="17">
        <f t="shared" si="16"/>
        <v>5071477.9578187233</v>
      </c>
      <c r="O72" s="17">
        <f t="shared" si="17"/>
        <v>0</v>
      </c>
      <c r="P72" s="17">
        <f t="shared" si="21"/>
        <v>-2550140.1050711111</v>
      </c>
      <c r="Q72" s="17">
        <f t="shared" si="22"/>
        <v>24809453.88714486</v>
      </c>
      <c r="R72" s="17">
        <f t="shared" si="23"/>
        <v>0</v>
      </c>
      <c r="S72" s="17">
        <f t="shared" si="24"/>
        <v>13834858.335292136</v>
      </c>
      <c r="T72" s="17">
        <f t="shared" si="25"/>
        <v>413783.55369814899</v>
      </c>
      <c r="U72" s="17">
        <f t="shared" si="26"/>
        <v>31664174.935588628</v>
      </c>
      <c r="V72" s="17">
        <f t="shared" si="18"/>
        <v>-121705.30972946435</v>
      </c>
      <c r="W72" s="29">
        <f t="shared" si="19"/>
        <v>3.8289111010978202E-3</v>
      </c>
    </row>
    <row r="73" spans="1:23" x14ac:dyDescent="0.2">
      <c r="A73" s="206">
        <f>'Monthly Data'!A73</f>
        <v>43800</v>
      </c>
      <c r="B73">
        <f>'Monthly Data'!C73</f>
        <v>12</v>
      </c>
      <c r="C73">
        <f>'Monthly Data'!B73</f>
        <v>2019</v>
      </c>
      <c r="D73" s="18">
        <f>'Monthly Data'!N73</f>
        <v>33913799.495170727</v>
      </c>
      <c r="E73">
        <f>'Monthly Data'!AI73</f>
        <v>542.69583333333344</v>
      </c>
      <c r="F73" s="98">
        <f>'Monthly Data'!AD73</f>
        <v>0</v>
      </c>
      <c r="G73">
        <f>'Monthly Data'!AV73</f>
        <v>72</v>
      </c>
      <c r="H73">
        <f>'Monthly Data'!BO73</f>
        <v>31</v>
      </c>
      <c r="I73">
        <f>'Monthly Data'!BR73</f>
        <v>0</v>
      </c>
      <c r="J73">
        <f>'Monthly Data'!AT73</f>
        <v>811397</v>
      </c>
      <c r="K73">
        <f>'Monthly Data'!BJ73</f>
        <v>0</v>
      </c>
      <c r="M73" s="17">
        <f t="shared" si="20"/>
        <v>-9501475.1395959798</v>
      </c>
      <c r="N73" s="17">
        <f t="shared" si="16"/>
        <v>6372163.0079973722</v>
      </c>
      <c r="O73" s="17">
        <f t="shared" si="17"/>
        <v>0</v>
      </c>
      <c r="P73" s="17">
        <f t="shared" si="21"/>
        <v>-2586057.5713397181</v>
      </c>
      <c r="Q73" s="17">
        <f t="shared" si="22"/>
        <v>25636435.683383022</v>
      </c>
      <c r="R73" s="17">
        <f t="shared" si="23"/>
        <v>0</v>
      </c>
      <c r="S73" s="17">
        <f t="shared" si="24"/>
        <v>13834858.335292136</v>
      </c>
      <c r="T73" s="17">
        <f t="shared" si="25"/>
        <v>0</v>
      </c>
      <c r="U73" s="17">
        <f t="shared" si="26"/>
        <v>33755924.31573683</v>
      </c>
      <c r="V73" s="17">
        <f t="shared" si="18"/>
        <v>-157875.17943389714</v>
      </c>
      <c r="W73" s="29">
        <f t="shared" si="19"/>
        <v>4.6551899752895077E-3</v>
      </c>
    </row>
    <row r="74" spans="1:23" x14ac:dyDescent="0.2">
      <c r="A74" s="206">
        <f>'Monthly Data'!A74</f>
        <v>43831</v>
      </c>
      <c r="B74">
        <f>'Monthly Data'!C74</f>
        <v>1</v>
      </c>
      <c r="C74">
        <f>'Monthly Data'!B74</f>
        <v>2020</v>
      </c>
      <c r="D74" s="18">
        <f>'Monthly Data'!N74</f>
        <v>33896121.025919832</v>
      </c>
      <c r="E74">
        <f>'Monthly Data'!AI74</f>
        <v>560.02637558837853</v>
      </c>
      <c r="F74" s="98">
        <f>'Monthly Data'!AD74</f>
        <v>0</v>
      </c>
      <c r="G74">
        <f>'Monthly Data'!AV74</f>
        <v>73</v>
      </c>
      <c r="H74">
        <f>'Monthly Data'!BO74</f>
        <v>31</v>
      </c>
      <c r="I74">
        <f>'Monthly Data'!BR74</f>
        <v>0</v>
      </c>
      <c r="J74">
        <f>'Monthly Data'!AT74</f>
        <v>800126</v>
      </c>
      <c r="K74">
        <f>'Monthly Data'!BJ74</f>
        <v>0</v>
      </c>
      <c r="M74" s="17">
        <f t="shared" si="20"/>
        <v>-9501475.1395959798</v>
      </c>
      <c r="N74" s="17">
        <f t="shared" si="16"/>
        <v>6575652.759499304</v>
      </c>
      <c r="O74" s="17">
        <f t="shared" si="17"/>
        <v>0</v>
      </c>
      <c r="P74" s="17">
        <f t="shared" si="21"/>
        <v>-2621975.0376083255</v>
      </c>
      <c r="Q74" s="17">
        <f t="shared" si="22"/>
        <v>25636435.683383022</v>
      </c>
      <c r="R74" s="17">
        <f t="shared" si="23"/>
        <v>0</v>
      </c>
      <c r="S74" s="17">
        <f t="shared" si="24"/>
        <v>13642680.291378887</v>
      </c>
      <c r="T74" s="17">
        <f t="shared" si="25"/>
        <v>0</v>
      </c>
      <c r="U74" s="17">
        <f t="shared" si="26"/>
        <v>33731318.557056904</v>
      </c>
      <c r="V74" s="17">
        <f t="shared" si="18"/>
        <v>-164802.46886292845</v>
      </c>
      <c r="W74" s="29">
        <f t="shared" si="19"/>
        <v>4.8619860879333832E-3</v>
      </c>
    </row>
    <row r="75" spans="1:23" x14ac:dyDescent="0.2">
      <c r="A75" s="206">
        <f>'Monthly Data'!A75</f>
        <v>43862</v>
      </c>
      <c r="B75">
        <f>'Monthly Data'!C75</f>
        <v>2</v>
      </c>
      <c r="C75">
        <f>'Monthly Data'!B75</f>
        <v>2020</v>
      </c>
      <c r="D75" s="18">
        <f>'Monthly Data'!N75</f>
        <v>32095520.527711645</v>
      </c>
      <c r="E75">
        <f>'Monthly Data'!AI75</f>
        <v>561.2166666666667</v>
      </c>
      <c r="F75" s="98">
        <f>'Monthly Data'!AD75</f>
        <v>0</v>
      </c>
      <c r="G75">
        <f>'Monthly Data'!AV75</f>
        <v>74</v>
      </c>
      <c r="H75">
        <f>'Monthly Data'!BO75</f>
        <v>29</v>
      </c>
      <c r="I75">
        <f>'Monthly Data'!BR75</f>
        <v>0</v>
      </c>
      <c r="J75">
        <f>'Monthly Data'!AT75</f>
        <v>800126</v>
      </c>
      <c r="K75">
        <f>'Monthly Data'!BJ75</f>
        <v>0</v>
      </c>
      <c r="M75" s="17">
        <f t="shared" si="20"/>
        <v>-9501475.1395959798</v>
      </c>
      <c r="N75" s="17">
        <f t="shared" si="16"/>
        <v>6589628.7812631531</v>
      </c>
      <c r="O75" s="17">
        <f t="shared" si="17"/>
        <v>0</v>
      </c>
      <c r="P75" s="17">
        <f t="shared" si="21"/>
        <v>-2657892.5038769324</v>
      </c>
      <c r="Q75" s="17">
        <f t="shared" si="22"/>
        <v>23982472.090906698</v>
      </c>
      <c r="R75" s="17">
        <f t="shared" si="23"/>
        <v>0</v>
      </c>
      <c r="S75" s="17">
        <f t="shared" si="24"/>
        <v>13642680.291378887</v>
      </c>
      <c r="T75" s="17">
        <f t="shared" si="25"/>
        <v>0</v>
      </c>
      <c r="U75" s="17">
        <f t="shared" si="26"/>
        <v>32055413.520075828</v>
      </c>
      <c r="V75" s="17">
        <f t="shared" si="18"/>
        <v>-40107.007635816932</v>
      </c>
      <c r="W75" s="29">
        <f t="shared" si="19"/>
        <v>1.2496138706081454E-3</v>
      </c>
    </row>
    <row r="76" spans="1:23" x14ac:dyDescent="0.2">
      <c r="A76" s="206">
        <f>'Monthly Data'!A76</f>
        <v>43891</v>
      </c>
      <c r="B76">
        <f>'Monthly Data'!C76</f>
        <v>3</v>
      </c>
      <c r="C76">
        <f>'Monthly Data'!B76</f>
        <v>2020</v>
      </c>
      <c r="D76" s="18">
        <f>'Monthly Data'!N76</f>
        <v>31020737.220503461</v>
      </c>
      <c r="E76">
        <f>'Monthly Data'!AI76</f>
        <v>389.14720892171187</v>
      </c>
      <c r="F76" s="98">
        <f>'Monthly Data'!AD76</f>
        <v>0</v>
      </c>
      <c r="G76">
        <f>'Monthly Data'!AV76</f>
        <v>75</v>
      </c>
      <c r="H76">
        <f>'Monthly Data'!BO76</f>
        <v>31</v>
      </c>
      <c r="I76">
        <f>'Monthly Data'!BR76</f>
        <v>0.5</v>
      </c>
      <c r="J76">
        <f>'Monthly Data'!AT76</f>
        <v>800126</v>
      </c>
      <c r="K76">
        <f>'Monthly Data'!BJ76</f>
        <v>0</v>
      </c>
      <c r="M76" s="17">
        <f t="shared" si="20"/>
        <v>-9501475.1395959798</v>
      </c>
      <c r="N76" s="17">
        <f t="shared" si="16"/>
        <v>4569243.5744817583</v>
      </c>
      <c r="O76" s="17">
        <f t="shared" si="17"/>
        <v>0</v>
      </c>
      <c r="P76" s="17">
        <f t="shared" si="21"/>
        <v>-2693809.9701455398</v>
      </c>
      <c r="Q76" s="17">
        <f t="shared" si="22"/>
        <v>25636435.683383022</v>
      </c>
      <c r="R76" s="17">
        <f t="shared" si="23"/>
        <v>-966052.69018035999</v>
      </c>
      <c r="S76" s="17">
        <f t="shared" si="24"/>
        <v>13642680.291378887</v>
      </c>
      <c r="T76" s="17">
        <f t="shared" si="25"/>
        <v>0</v>
      </c>
      <c r="U76" s="17">
        <f t="shared" si="26"/>
        <v>30687021.749321789</v>
      </c>
      <c r="V76" s="17">
        <f t="shared" si="18"/>
        <v>-333715.47118167207</v>
      </c>
      <c r="W76" s="29">
        <f t="shared" si="19"/>
        <v>1.0757818836139701E-2</v>
      </c>
    </row>
    <row r="77" spans="1:23" x14ac:dyDescent="0.2">
      <c r="A77" s="206">
        <f>'Monthly Data'!A77</f>
        <v>43922</v>
      </c>
      <c r="B77">
        <f>'Monthly Data'!C77</f>
        <v>4</v>
      </c>
      <c r="C77">
        <f>'Monthly Data'!B77</f>
        <v>2020</v>
      </c>
      <c r="D77" s="18">
        <f>'Monthly Data'!N77</f>
        <v>25567063.165295273</v>
      </c>
      <c r="E77">
        <f>'Monthly Data'!AI77</f>
        <v>239.53541666666663</v>
      </c>
      <c r="F77" s="98">
        <f>'Monthly Data'!AD77</f>
        <v>0</v>
      </c>
      <c r="G77">
        <f>'Monthly Data'!AV77</f>
        <v>76</v>
      </c>
      <c r="H77">
        <f>'Monthly Data'!BO77</f>
        <v>30</v>
      </c>
      <c r="I77">
        <f>'Monthly Data'!BR77</f>
        <v>1</v>
      </c>
      <c r="J77">
        <f>'Monthly Data'!AT77</f>
        <v>706539</v>
      </c>
      <c r="K77">
        <f>'Monthly Data'!BJ77</f>
        <v>0</v>
      </c>
      <c r="M77" s="17">
        <f t="shared" si="20"/>
        <v>-9501475.1395959798</v>
      </c>
      <c r="N77" s="17">
        <f t="shared" si="16"/>
        <v>2812549.1802901933</v>
      </c>
      <c r="O77" s="17">
        <f t="shared" si="17"/>
        <v>0</v>
      </c>
      <c r="P77" s="17">
        <f t="shared" si="21"/>
        <v>-2729727.4364141468</v>
      </c>
      <c r="Q77" s="17">
        <f t="shared" si="22"/>
        <v>24809453.88714486</v>
      </c>
      <c r="R77" s="17">
        <f t="shared" si="23"/>
        <v>-1932105.38036072</v>
      </c>
      <c r="S77" s="17">
        <f t="shared" si="24"/>
        <v>12046959.716832783</v>
      </c>
      <c r="T77" s="17">
        <f t="shared" si="25"/>
        <v>0</v>
      </c>
      <c r="U77" s="17">
        <f t="shared" si="26"/>
        <v>25505654.82789699</v>
      </c>
      <c r="V77" s="17">
        <f t="shared" si="18"/>
        <v>-61408.337398283184</v>
      </c>
      <c r="W77" s="29">
        <f t="shared" si="19"/>
        <v>2.4018533924396466E-3</v>
      </c>
    </row>
    <row r="78" spans="1:23" x14ac:dyDescent="0.2">
      <c r="A78" s="206">
        <f>'Monthly Data'!A78</f>
        <v>43952</v>
      </c>
      <c r="B78">
        <f>'Monthly Data'!C78</f>
        <v>5</v>
      </c>
      <c r="C78">
        <f>'Monthly Data'!B78</f>
        <v>2020</v>
      </c>
      <c r="D78" s="18">
        <f>'Monthly Data'!N78</f>
        <v>25132119.509087089</v>
      </c>
      <c r="E78">
        <f>'Monthly Data'!AI78</f>
        <v>104.33541666666667</v>
      </c>
      <c r="F78" s="98">
        <f>'Monthly Data'!AD78</f>
        <v>33.141666666666659</v>
      </c>
      <c r="G78">
        <f>'Monthly Data'!AV78</f>
        <v>77</v>
      </c>
      <c r="H78">
        <f>'Monthly Data'!BO78</f>
        <v>31</v>
      </c>
      <c r="I78">
        <f>'Monthly Data'!BR78</f>
        <v>1</v>
      </c>
      <c r="J78">
        <f>'Monthly Data'!AT78</f>
        <v>706539</v>
      </c>
      <c r="K78">
        <f>'Monthly Data'!BJ78</f>
        <v>0</v>
      </c>
      <c r="M78" s="17">
        <f t="shared" si="20"/>
        <v>-9501475.1395959798</v>
      </c>
      <c r="N78" s="17">
        <f t="shared" si="16"/>
        <v>1225073.497291747</v>
      </c>
      <c r="O78" s="17">
        <f t="shared" si="17"/>
        <v>723004.10931016563</v>
      </c>
      <c r="P78" s="17">
        <f t="shared" si="21"/>
        <v>-2765644.9026827542</v>
      </c>
      <c r="Q78" s="17">
        <f t="shared" si="22"/>
        <v>25636435.683383022</v>
      </c>
      <c r="R78" s="17">
        <f t="shared" si="23"/>
        <v>-1932105.38036072</v>
      </c>
      <c r="S78" s="17">
        <f t="shared" si="24"/>
        <v>12046959.716832783</v>
      </c>
      <c r="T78" s="17">
        <f t="shared" si="25"/>
        <v>0</v>
      </c>
      <c r="U78" s="17">
        <f t="shared" si="26"/>
        <v>25432247.584178261</v>
      </c>
      <c r="V78" s="17">
        <f t="shared" si="18"/>
        <v>300128.07509117201</v>
      </c>
      <c r="W78" s="29">
        <f t="shared" si="19"/>
        <v>1.1942012092639218E-2</v>
      </c>
    </row>
    <row r="79" spans="1:23" x14ac:dyDescent="0.2">
      <c r="A79" s="206">
        <f>'Monthly Data'!A79</f>
        <v>43983</v>
      </c>
      <c r="B79">
        <f>'Monthly Data'!C79</f>
        <v>6</v>
      </c>
      <c r="C79">
        <f>'Monthly Data'!B79</f>
        <v>2020</v>
      </c>
      <c r="D79" s="18">
        <f>'Monthly Data'!N79</f>
        <v>25159228.287878901</v>
      </c>
      <c r="E79">
        <f>'Monthly Data'!AI79</f>
        <v>1.7916666666666679</v>
      </c>
      <c r="F79" s="98">
        <f>'Monthly Data'!AD79</f>
        <v>77.17916666666666</v>
      </c>
      <c r="G79">
        <f>'Monthly Data'!AV79</f>
        <v>78</v>
      </c>
      <c r="H79">
        <f>'Monthly Data'!BO79</f>
        <v>30</v>
      </c>
      <c r="I79">
        <f>'Monthly Data'!BR79</f>
        <v>0.5</v>
      </c>
      <c r="J79">
        <f>'Monthly Data'!AT79</f>
        <v>706539</v>
      </c>
      <c r="K79">
        <f>'Monthly Data'!BJ79</f>
        <v>0</v>
      </c>
      <c r="M79" s="17">
        <f t="shared" si="20"/>
        <v>-9501475.1395959798</v>
      </c>
      <c r="N79" s="17">
        <f t="shared" si="16"/>
        <v>21037.18391547499</v>
      </c>
      <c r="O79" s="17">
        <f t="shared" si="17"/>
        <v>1683706.9545828765</v>
      </c>
      <c r="P79" s="17">
        <f t="shared" si="21"/>
        <v>-2801562.3689513612</v>
      </c>
      <c r="Q79" s="17">
        <f t="shared" si="22"/>
        <v>24809453.88714486</v>
      </c>
      <c r="R79" s="17">
        <f t="shared" si="23"/>
        <v>-966052.69018035999</v>
      </c>
      <c r="S79" s="17">
        <f t="shared" si="24"/>
        <v>12046959.716832783</v>
      </c>
      <c r="T79" s="17">
        <f t="shared" si="25"/>
        <v>0</v>
      </c>
      <c r="U79" s="17">
        <f t="shared" si="26"/>
        <v>25292067.543748297</v>
      </c>
      <c r="V79" s="17">
        <f t="shared" si="18"/>
        <v>132839.25586939603</v>
      </c>
      <c r="W79" s="29">
        <f t="shared" si="19"/>
        <v>5.2799415923816201E-3</v>
      </c>
    </row>
    <row r="80" spans="1:23" x14ac:dyDescent="0.2">
      <c r="A80" s="206">
        <f>'Monthly Data'!A80</f>
        <v>44013</v>
      </c>
      <c r="B80">
        <f>'Monthly Data'!C80</f>
        <v>7</v>
      </c>
      <c r="C80">
        <f>'Monthly Data'!B80</f>
        <v>2020</v>
      </c>
      <c r="D80" s="18">
        <f>'Monthly Data'!N80</f>
        <v>28751793.768670712</v>
      </c>
      <c r="E80">
        <f>'Monthly Data'!AI80</f>
        <v>0</v>
      </c>
      <c r="F80" s="98">
        <f>'Monthly Data'!AD80</f>
        <v>151.97708333333338</v>
      </c>
      <c r="G80">
        <f>'Monthly Data'!AV80</f>
        <v>79</v>
      </c>
      <c r="H80">
        <f>'Monthly Data'!BO80</f>
        <v>31</v>
      </c>
      <c r="I80">
        <f>'Monthly Data'!BR80</f>
        <v>0.5</v>
      </c>
      <c r="J80">
        <f>'Monthly Data'!AT80</f>
        <v>777225</v>
      </c>
      <c r="K80">
        <f>'Monthly Data'!BJ80</f>
        <v>0</v>
      </c>
      <c r="M80" s="17">
        <f t="shared" si="20"/>
        <v>-9501475.1395959798</v>
      </c>
      <c r="N80" s="17">
        <f t="shared" si="16"/>
        <v>0</v>
      </c>
      <c r="O80" s="17">
        <f t="shared" si="17"/>
        <v>3315465.6003311099</v>
      </c>
      <c r="P80" s="17">
        <f t="shared" si="21"/>
        <v>-2837479.8352199686</v>
      </c>
      <c r="Q80" s="17">
        <f t="shared" si="22"/>
        <v>25636435.683383022</v>
      </c>
      <c r="R80" s="17">
        <f t="shared" si="23"/>
        <v>-966052.69018035999</v>
      </c>
      <c r="S80" s="17">
        <f t="shared" si="24"/>
        <v>13252203.014858855</v>
      </c>
      <c r="T80" s="17">
        <f t="shared" si="25"/>
        <v>0</v>
      </c>
      <c r="U80" s="17">
        <f t="shared" si="26"/>
        <v>28899096.633576676</v>
      </c>
      <c r="V80" s="17">
        <f t="shared" si="18"/>
        <v>147302.86490596458</v>
      </c>
      <c r="W80" s="29">
        <f t="shared" si="19"/>
        <v>5.123258259680223E-3</v>
      </c>
    </row>
    <row r="81" spans="1:23" x14ac:dyDescent="0.2">
      <c r="A81" s="206">
        <f>'Monthly Data'!A81</f>
        <v>44044</v>
      </c>
      <c r="B81">
        <f>'Monthly Data'!C81</f>
        <v>8</v>
      </c>
      <c r="C81">
        <f>'Monthly Data'!B81</f>
        <v>2020</v>
      </c>
      <c r="D81" s="18">
        <f>'Monthly Data'!N81</f>
        <v>27133108.955462527</v>
      </c>
      <c r="E81">
        <f>'Monthly Data'!AI81</f>
        <v>0</v>
      </c>
      <c r="F81" s="98">
        <f>'Monthly Data'!AD81</f>
        <v>69.418750000000003</v>
      </c>
      <c r="G81">
        <f>'Monthly Data'!AV81</f>
        <v>80</v>
      </c>
      <c r="H81">
        <f>'Monthly Data'!BO81</f>
        <v>31</v>
      </c>
      <c r="I81">
        <f>'Monthly Data'!BR81</f>
        <v>0.5</v>
      </c>
      <c r="J81">
        <f>'Monthly Data'!AT81</f>
        <v>777225</v>
      </c>
      <c r="K81">
        <f>'Monthly Data'!BJ81</f>
        <v>0</v>
      </c>
      <c r="M81" s="17">
        <f t="shared" si="20"/>
        <v>-9501475.1395959798</v>
      </c>
      <c r="N81" s="17">
        <f t="shared" si="16"/>
        <v>0</v>
      </c>
      <c r="O81" s="17">
        <f t="shared" si="17"/>
        <v>1514409.0977070678</v>
      </c>
      <c r="P81" s="17">
        <f t="shared" si="21"/>
        <v>-2873397.3014885755</v>
      </c>
      <c r="Q81" s="17">
        <f t="shared" si="22"/>
        <v>25636435.683383022</v>
      </c>
      <c r="R81" s="17">
        <f t="shared" si="23"/>
        <v>-966052.69018035999</v>
      </c>
      <c r="S81" s="17">
        <f t="shared" si="24"/>
        <v>13252203.014858855</v>
      </c>
      <c r="T81" s="17">
        <f t="shared" si="25"/>
        <v>0</v>
      </c>
      <c r="U81" s="17">
        <f t="shared" si="26"/>
        <v>27062122.664684027</v>
      </c>
      <c r="V81" s="17">
        <f t="shared" si="18"/>
        <v>-70986.290778499097</v>
      </c>
      <c r="W81" s="29">
        <f t="shared" si="19"/>
        <v>2.6162239975897751E-3</v>
      </c>
    </row>
    <row r="82" spans="1:23" x14ac:dyDescent="0.2">
      <c r="A82" s="206">
        <f>'Monthly Data'!A82</f>
        <v>44075</v>
      </c>
      <c r="B82">
        <f>'Monthly Data'!C82</f>
        <v>9</v>
      </c>
      <c r="C82">
        <f>'Monthly Data'!B82</f>
        <v>2020</v>
      </c>
      <c r="D82" s="18">
        <f>'Monthly Data'!N82</f>
        <v>25201907.553254344</v>
      </c>
      <c r="E82">
        <f>'Monthly Data'!AI82</f>
        <v>19.81666666666667</v>
      </c>
      <c r="F82" s="98">
        <f>'Monthly Data'!AD82</f>
        <v>3.4374999999999964</v>
      </c>
      <c r="G82">
        <f>'Monthly Data'!AV82</f>
        <v>81</v>
      </c>
      <c r="H82">
        <f>'Monthly Data'!BO82</f>
        <v>30</v>
      </c>
      <c r="I82">
        <f>'Monthly Data'!BR82</f>
        <v>0.5</v>
      </c>
      <c r="J82">
        <f>'Monthly Data'!AT82</f>
        <v>777225</v>
      </c>
      <c r="K82">
        <f>'Monthly Data'!BJ82</f>
        <v>1</v>
      </c>
      <c r="M82" s="17">
        <f t="shared" si="20"/>
        <v>-9501475.1395959798</v>
      </c>
      <c r="N82" s="17">
        <f t="shared" si="16"/>
        <v>232681.03884185816</v>
      </c>
      <c r="O82" s="17">
        <f t="shared" si="17"/>
        <v>74990.997005391764</v>
      </c>
      <c r="P82" s="17">
        <f t="shared" si="21"/>
        <v>-2909314.7677571829</v>
      </c>
      <c r="Q82" s="17">
        <f t="shared" si="22"/>
        <v>24809453.88714486</v>
      </c>
      <c r="R82" s="17">
        <f t="shared" si="23"/>
        <v>-966052.69018035999</v>
      </c>
      <c r="S82" s="17">
        <f t="shared" si="24"/>
        <v>13252203.014858855</v>
      </c>
      <c r="T82" s="17">
        <f t="shared" si="25"/>
        <v>413783.55369814899</v>
      </c>
      <c r="U82" s="17">
        <f t="shared" si="26"/>
        <v>24992486.340317443</v>
      </c>
      <c r="V82" s="17">
        <f t="shared" si="18"/>
        <v>-209421.21293690056</v>
      </c>
      <c r="W82" s="29">
        <f t="shared" si="19"/>
        <v>8.3097365742799828E-3</v>
      </c>
    </row>
    <row r="83" spans="1:23" x14ac:dyDescent="0.2">
      <c r="A83" s="206">
        <f>'Monthly Data'!A83</f>
        <v>44105</v>
      </c>
      <c r="B83">
        <f>'Monthly Data'!C83</f>
        <v>10</v>
      </c>
      <c r="C83">
        <f>'Monthly Data'!B83</f>
        <v>2020</v>
      </c>
      <c r="D83" s="18">
        <f>'Monthly Data'!N83</f>
        <v>27569490.543046154</v>
      </c>
      <c r="E83">
        <f>'Monthly Data'!AI83</f>
        <v>197.31041666666664</v>
      </c>
      <c r="F83" s="98">
        <f>'Monthly Data'!AD83</f>
        <v>0</v>
      </c>
      <c r="G83">
        <f>'Monthly Data'!AV83</f>
        <v>82</v>
      </c>
      <c r="H83">
        <f>'Monthly Data'!BO83</f>
        <v>31</v>
      </c>
      <c r="I83">
        <f>'Monthly Data'!BR83</f>
        <v>0.5</v>
      </c>
      <c r="J83">
        <f>'Monthly Data'!AT83</f>
        <v>795879</v>
      </c>
      <c r="K83">
        <f>'Monthly Data'!BJ83</f>
        <v>1</v>
      </c>
      <c r="M83" s="17">
        <f t="shared" si="20"/>
        <v>-9501475.1395959798</v>
      </c>
      <c r="N83" s="17">
        <f t="shared" si="16"/>
        <v>2316756.5714543248</v>
      </c>
      <c r="O83" s="17">
        <f t="shared" si="17"/>
        <v>0</v>
      </c>
      <c r="P83" s="17">
        <f t="shared" si="21"/>
        <v>-2945232.2340257904</v>
      </c>
      <c r="Q83" s="17">
        <f t="shared" si="22"/>
        <v>25636435.683383022</v>
      </c>
      <c r="R83" s="17">
        <f t="shared" si="23"/>
        <v>-966052.69018035999</v>
      </c>
      <c r="S83" s="17">
        <f t="shared" si="24"/>
        <v>13570266.117614398</v>
      </c>
      <c r="T83" s="17">
        <f t="shared" si="25"/>
        <v>413783.55369814899</v>
      </c>
      <c r="U83" s="17">
        <f t="shared" si="26"/>
        <v>28110698.308649614</v>
      </c>
      <c r="V83" s="17">
        <f t="shared" si="18"/>
        <v>541207.76560346037</v>
      </c>
      <c r="W83" s="29">
        <f t="shared" si="19"/>
        <v>1.9630677061603125E-2</v>
      </c>
    </row>
    <row r="84" spans="1:23" x14ac:dyDescent="0.2">
      <c r="A84" s="206">
        <f>'Monthly Data'!A84</f>
        <v>44136</v>
      </c>
      <c r="B84">
        <f>'Monthly Data'!C84</f>
        <v>11</v>
      </c>
      <c r="C84">
        <f>'Monthly Data'!B84</f>
        <v>2020</v>
      </c>
      <c r="D84" s="18">
        <f>'Monthly Data'!N84</f>
        <v>28808277.152837969</v>
      </c>
      <c r="E84">
        <f>'Monthly Data'!AI84</f>
        <v>261.77916666666664</v>
      </c>
      <c r="F84" s="98">
        <f>'Monthly Data'!AD84</f>
        <v>0</v>
      </c>
      <c r="G84">
        <f>'Monthly Data'!AV84</f>
        <v>83</v>
      </c>
      <c r="H84">
        <f>'Monthly Data'!BO84</f>
        <v>30</v>
      </c>
      <c r="I84">
        <f>'Monthly Data'!BR84</f>
        <v>0.5</v>
      </c>
      <c r="J84">
        <f>'Monthly Data'!AT84</f>
        <v>795879</v>
      </c>
      <c r="K84">
        <f>'Monthly Data'!BJ84</f>
        <v>1</v>
      </c>
      <c r="M84" s="17">
        <f t="shared" si="20"/>
        <v>-9501475.1395959798</v>
      </c>
      <c r="N84" s="17">
        <f t="shared" si="16"/>
        <v>3073728.2647849913</v>
      </c>
      <c r="O84" s="17">
        <f t="shared" si="17"/>
        <v>0</v>
      </c>
      <c r="P84" s="17">
        <f t="shared" si="21"/>
        <v>-2981149.7002943973</v>
      </c>
      <c r="Q84" s="17">
        <f t="shared" si="22"/>
        <v>24809453.88714486</v>
      </c>
      <c r="R84" s="17">
        <f t="shared" si="23"/>
        <v>-966052.69018035999</v>
      </c>
      <c r="S84" s="17">
        <f t="shared" si="24"/>
        <v>13570266.117614398</v>
      </c>
      <c r="T84" s="17">
        <f t="shared" si="25"/>
        <v>413783.55369814899</v>
      </c>
      <c r="U84" s="17">
        <f t="shared" si="26"/>
        <v>28004770.739473514</v>
      </c>
      <c r="V84" s="17">
        <f t="shared" si="18"/>
        <v>-803506.4133644551</v>
      </c>
      <c r="W84" s="29">
        <f t="shared" si="19"/>
        <v>2.7891512189416014E-2</v>
      </c>
    </row>
    <row r="85" spans="1:23" x14ac:dyDescent="0.2">
      <c r="A85" s="206">
        <f>'Monthly Data'!A85</f>
        <v>44166</v>
      </c>
      <c r="B85">
        <f>'Monthly Data'!C85</f>
        <v>12</v>
      </c>
      <c r="C85">
        <f>'Monthly Data'!B85</f>
        <v>2020</v>
      </c>
      <c r="D85" s="18">
        <f>'Monthly Data'!N85</f>
        <v>31609940.130629782</v>
      </c>
      <c r="E85">
        <f>'Monthly Data'!AI85</f>
        <v>504.51387558837848</v>
      </c>
      <c r="F85" s="98">
        <f>'Monthly Data'!AD85</f>
        <v>0</v>
      </c>
      <c r="G85">
        <f>'Monthly Data'!AV85</f>
        <v>84</v>
      </c>
      <c r="H85">
        <f>'Monthly Data'!BO85</f>
        <v>31</v>
      </c>
      <c r="I85">
        <f>'Monthly Data'!BR85</f>
        <v>0.5</v>
      </c>
      <c r="J85">
        <f>'Monthly Data'!AT85</f>
        <v>795879</v>
      </c>
      <c r="K85">
        <f>'Monthly Data'!BJ85</f>
        <v>0</v>
      </c>
      <c r="M85" s="17">
        <f t="shared" si="20"/>
        <v>-9501475.1395959798</v>
      </c>
      <c r="N85" s="17">
        <f t="shared" si="16"/>
        <v>5923842.5239042491</v>
      </c>
      <c r="O85" s="17">
        <f t="shared" si="17"/>
        <v>0</v>
      </c>
      <c r="P85" s="17">
        <f t="shared" si="21"/>
        <v>-3017067.1665630047</v>
      </c>
      <c r="Q85" s="17">
        <f t="shared" si="22"/>
        <v>25636435.683383022</v>
      </c>
      <c r="R85" s="17">
        <f t="shared" si="23"/>
        <v>-966052.69018035999</v>
      </c>
      <c r="S85" s="17">
        <f t="shared" si="24"/>
        <v>13570266.117614398</v>
      </c>
      <c r="T85" s="17">
        <f t="shared" si="25"/>
        <v>0</v>
      </c>
      <c r="U85" s="17">
        <f t="shared" si="26"/>
        <v>31645949.328562319</v>
      </c>
      <c r="V85" s="17">
        <f t="shared" si="18"/>
        <v>36009.197932537645</v>
      </c>
      <c r="W85" s="29">
        <f t="shared" si="19"/>
        <v>1.1391732405606494E-3</v>
      </c>
    </row>
    <row r="86" spans="1:23" x14ac:dyDescent="0.2">
      <c r="A86" s="206">
        <f>'Monthly Data'!A86</f>
        <v>44197</v>
      </c>
      <c r="B86">
        <f>'Monthly Data'!C86</f>
        <v>1</v>
      </c>
      <c r="C86">
        <f>'Monthly Data'!B86</f>
        <v>2021</v>
      </c>
      <c r="D86" s="18">
        <f>'Monthly Data'!N86</f>
        <v>31503025.928263903</v>
      </c>
      <c r="E86">
        <f>'Monthly Data'!AI86</f>
        <v>575.9242922550452</v>
      </c>
      <c r="F86" s="98">
        <f>'Monthly Data'!AD86</f>
        <v>0</v>
      </c>
      <c r="G86">
        <f>'Monthly Data'!AV86</f>
        <v>85</v>
      </c>
      <c r="H86">
        <f>'Monthly Data'!BO86</f>
        <v>31</v>
      </c>
      <c r="I86">
        <f>'Monthly Data'!BR86</f>
        <v>0.5</v>
      </c>
      <c r="J86">
        <f>'Monthly Data'!AT86</f>
        <v>808584</v>
      </c>
      <c r="K86">
        <f>'Monthly Data'!BJ86</f>
        <v>0</v>
      </c>
      <c r="M86" s="17">
        <f t="shared" si="20"/>
        <v>-9501475.1395959798</v>
      </c>
      <c r="N86" s="17">
        <f t="shared" si="16"/>
        <v>6762321.0739865005</v>
      </c>
      <c r="O86" s="17">
        <f t="shared" si="17"/>
        <v>0</v>
      </c>
      <c r="P86" s="17">
        <f t="shared" si="21"/>
        <v>-3052984.6328316117</v>
      </c>
      <c r="Q86" s="17">
        <f t="shared" si="22"/>
        <v>25636435.683383022</v>
      </c>
      <c r="R86" s="17">
        <f t="shared" si="23"/>
        <v>-966052.69018035999</v>
      </c>
      <c r="S86" s="17">
        <f t="shared" si="24"/>
        <v>13786894.814972024</v>
      </c>
      <c r="T86" s="17">
        <f t="shared" si="25"/>
        <v>0</v>
      </c>
      <c r="U86" s="17">
        <f t="shared" si="26"/>
        <v>32665139.109733593</v>
      </c>
      <c r="V86" s="17">
        <f t="shared" si="18"/>
        <v>1162113.1814696901</v>
      </c>
      <c r="W86" s="29">
        <f t="shared" si="19"/>
        <v>3.6888938355190339E-2</v>
      </c>
    </row>
    <row r="87" spans="1:23" x14ac:dyDescent="0.2">
      <c r="A87" s="206">
        <f>'Monthly Data'!A87</f>
        <v>44228</v>
      </c>
      <c r="B87">
        <f>'Monthly Data'!C87</f>
        <v>2</v>
      </c>
      <c r="C87">
        <f>'Monthly Data'!B87</f>
        <v>2021</v>
      </c>
      <c r="D87" s="18">
        <f>'Monthly Data'!N87</f>
        <v>29705320.387662452</v>
      </c>
      <c r="E87">
        <f>'Monthly Data'!AI87</f>
        <v>583.86250000000018</v>
      </c>
      <c r="F87" s="98">
        <f>'Monthly Data'!AD87</f>
        <v>0</v>
      </c>
      <c r="G87">
        <f>'Monthly Data'!AV87</f>
        <v>86</v>
      </c>
      <c r="H87">
        <f>'Monthly Data'!BO87</f>
        <v>28</v>
      </c>
      <c r="I87">
        <f>'Monthly Data'!BR87</f>
        <v>0.5</v>
      </c>
      <c r="J87">
        <f>'Monthly Data'!AT87</f>
        <v>808584</v>
      </c>
      <c r="K87">
        <f>'Monthly Data'!BJ87</f>
        <v>0</v>
      </c>
      <c r="M87" s="17">
        <f t="shared" si="20"/>
        <v>-9501475.1395959798</v>
      </c>
      <c r="N87" s="17">
        <f t="shared" si="16"/>
        <v>6855529.0012180535</v>
      </c>
      <c r="O87" s="17">
        <f t="shared" si="17"/>
        <v>0</v>
      </c>
      <c r="P87" s="17">
        <f t="shared" si="21"/>
        <v>-3088902.0991002191</v>
      </c>
      <c r="Q87" s="17">
        <f t="shared" si="22"/>
        <v>23155490.294668537</v>
      </c>
      <c r="R87" s="17">
        <f t="shared" si="23"/>
        <v>-966052.69018035999</v>
      </c>
      <c r="S87" s="17">
        <f t="shared" si="24"/>
        <v>13786894.814972024</v>
      </c>
      <c r="T87" s="17">
        <f t="shared" si="25"/>
        <v>0</v>
      </c>
      <c r="U87" s="17">
        <f t="shared" si="26"/>
        <v>30241484.181982055</v>
      </c>
      <c r="V87" s="17">
        <f t="shared" si="18"/>
        <v>536163.79431960359</v>
      </c>
      <c r="W87" s="29">
        <f t="shared" si="19"/>
        <v>1.8049419677098961E-2</v>
      </c>
    </row>
    <row r="88" spans="1:23" x14ac:dyDescent="0.2">
      <c r="A88" s="206">
        <f>'Monthly Data'!A88</f>
        <v>44256</v>
      </c>
      <c r="B88">
        <f>'Monthly Data'!C88</f>
        <v>3</v>
      </c>
      <c r="C88">
        <f>'Monthly Data'!B88</f>
        <v>2021</v>
      </c>
      <c r="D88" s="18">
        <f>'Monthly Data'!N88</f>
        <v>29854564.017060999</v>
      </c>
      <c r="E88">
        <f>'Monthly Data'!AI88</f>
        <v>380.87637558837855</v>
      </c>
      <c r="F88" s="98">
        <f>'Monthly Data'!AD88</f>
        <v>0</v>
      </c>
      <c r="G88">
        <f>'Monthly Data'!AV88</f>
        <v>87</v>
      </c>
      <c r="H88">
        <f>'Monthly Data'!BO88</f>
        <v>31</v>
      </c>
      <c r="I88">
        <f>'Monthly Data'!BR88</f>
        <v>0.5</v>
      </c>
      <c r="J88">
        <f>'Monthly Data'!AT88</f>
        <v>808584</v>
      </c>
      <c r="K88">
        <f>'Monthly Data'!BJ88</f>
        <v>0</v>
      </c>
      <c r="M88" s="17">
        <f t="shared" si="20"/>
        <v>-9501475.1395959798</v>
      </c>
      <c r="N88" s="17">
        <f t="shared" si="16"/>
        <v>4472130.0626859032</v>
      </c>
      <c r="O88" s="17">
        <f t="shared" si="17"/>
        <v>0</v>
      </c>
      <c r="P88" s="17">
        <f t="shared" si="21"/>
        <v>-3124819.565368826</v>
      </c>
      <c r="Q88" s="17">
        <f t="shared" si="22"/>
        <v>25636435.683383022</v>
      </c>
      <c r="R88" s="17">
        <f t="shared" si="23"/>
        <v>-966052.69018035999</v>
      </c>
      <c r="S88" s="17">
        <f t="shared" si="24"/>
        <v>13786894.814972024</v>
      </c>
      <c r="T88" s="17">
        <f t="shared" si="25"/>
        <v>0</v>
      </c>
      <c r="U88" s="17">
        <f t="shared" si="26"/>
        <v>30303113.165895782</v>
      </c>
      <c r="V88" s="17">
        <f t="shared" si="18"/>
        <v>448549.14883478358</v>
      </c>
      <c r="W88" s="29">
        <f t="shared" si="19"/>
        <v>1.5024474937180494E-2</v>
      </c>
    </row>
    <row r="89" spans="1:23" x14ac:dyDescent="0.2">
      <c r="A89" s="206">
        <f>'Monthly Data'!A89</f>
        <v>44287</v>
      </c>
      <c r="B89">
        <f>'Monthly Data'!C89</f>
        <v>4</v>
      </c>
      <c r="C89">
        <f>'Monthly Data'!B89</f>
        <v>2021</v>
      </c>
      <c r="D89" s="18">
        <f>'Monthly Data'!N89</f>
        <v>25770865.557459541</v>
      </c>
      <c r="E89">
        <f>'Monthly Data'!AI89</f>
        <v>152.30624999999998</v>
      </c>
      <c r="F89" s="98">
        <f>'Monthly Data'!AD89</f>
        <v>0</v>
      </c>
      <c r="G89">
        <f>'Monthly Data'!AV89</f>
        <v>88</v>
      </c>
      <c r="H89">
        <f>'Monthly Data'!BO89</f>
        <v>30</v>
      </c>
      <c r="I89">
        <f>'Monthly Data'!BR89</f>
        <v>0.5</v>
      </c>
      <c r="J89">
        <f>'Monthly Data'!AT89</f>
        <v>802518</v>
      </c>
      <c r="K89">
        <f>'Monthly Data'!BJ89</f>
        <v>0</v>
      </c>
      <c r="M89" s="17">
        <f t="shared" si="20"/>
        <v>-9501475.1395959798</v>
      </c>
      <c r="N89" s="17">
        <f t="shared" si="16"/>
        <v>1788331.8657077081</v>
      </c>
      <c r="O89" s="17">
        <f t="shared" si="17"/>
        <v>0</v>
      </c>
      <c r="P89" s="17">
        <f t="shared" si="21"/>
        <v>-3160737.0316374335</v>
      </c>
      <c r="Q89" s="17">
        <f t="shared" si="22"/>
        <v>24809453.88714486</v>
      </c>
      <c r="R89" s="17">
        <f t="shared" si="23"/>
        <v>-966052.69018035999</v>
      </c>
      <c r="S89" s="17">
        <f t="shared" si="24"/>
        <v>13683465.481782623</v>
      </c>
      <c r="T89" s="17">
        <f t="shared" si="25"/>
        <v>0</v>
      </c>
      <c r="U89" s="17">
        <f t="shared" si="26"/>
        <v>26652986.37322142</v>
      </c>
      <c r="V89" s="17">
        <f t="shared" si="18"/>
        <v>882120.81576187909</v>
      </c>
      <c r="W89" s="29">
        <f t="shared" si="19"/>
        <v>3.422938254809775E-2</v>
      </c>
    </row>
    <row r="90" spans="1:23" x14ac:dyDescent="0.2">
      <c r="A90" s="206">
        <f>'Monthly Data'!A90</f>
        <v>44317</v>
      </c>
      <c r="B90">
        <f>'Monthly Data'!C90</f>
        <v>5</v>
      </c>
      <c r="C90">
        <f>'Monthly Data'!B90</f>
        <v>2021</v>
      </c>
      <c r="D90" s="18">
        <f>'Monthly Data'!N90</f>
        <v>26003773.763858087</v>
      </c>
      <c r="E90">
        <f>'Monthly Data'!AI90</f>
        <v>61.727083333333333</v>
      </c>
      <c r="F90" s="98">
        <f>'Monthly Data'!AD90</f>
        <v>24.75416666666667</v>
      </c>
      <c r="G90">
        <f>'Monthly Data'!AV90</f>
        <v>89</v>
      </c>
      <c r="H90">
        <f>'Monthly Data'!BO90</f>
        <v>31</v>
      </c>
      <c r="I90">
        <f>'Monthly Data'!BR90</f>
        <v>0.5</v>
      </c>
      <c r="J90">
        <f>'Monthly Data'!AT90</f>
        <v>802518</v>
      </c>
      <c r="K90">
        <f>'Monthly Data'!BJ90</f>
        <v>0</v>
      </c>
      <c r="M90" s="17">
        <f t="shared" si="20"/>
        <v>-9501475.1395959798</v>
      </c>
      <c r="N90" s="17">
        <f t="shared" si="16"/>
        <v>724779.9095716374</v>
      </c>
      <c r="O90" s="17">
        <f t="shared" si="17"/>
        <v>540026.0766170097</v>
      </c>
      <c r="P90" s="17">
        <f t="shared" si="21"/>
        <v>-3196654.4979060404</v>
      </c>
      <c r="Q90" s="17">
        <f t="shared" si="22"/>
        <v>25636435.683383022</v>
      </c>
      <c r="R90" s="17">
        <f t="shared" si="23"/>
        <v>-966052.69018035999</v>
      </c>
      <c r="S90" s="17">
        <f t="shared" si="24"/>
        <v>13683465.481782623</v>
      </c>
      <c r="T90" s="17">
        <f t="shared" si="25"/>
        <v>0</v>
      </c>
      <c r="U90" s="17">
        <f t="shared" si="26"/>
        <v>26920524.823671915</v>
      </c>
      <c r="V90" s="17">
        <f t="shared" si="18"/>
        <v>916751.05981382728</v>
      </c>
      <c r="W90" s="29">
        <f t="shared" si="19"/>
        <v>3.5254539134931012E-2</v>
      </c>
    </row>
    <row r="91" spans="1:23" x14ac:dyDescent="0.2">
      <c r="A91" s="206">
        <f>'Monthly Data'!A91</f>
        <v>44348</v>
      </c>
      <c r="B91">
        <f>'Monthly Data'!C91</f>
        <v>6</v>
      </c>
      <c r="C91">
        <f>'Monthly Data'!B91</f>
        <v>2021</v>
      </c>
      <c r="D91" s="18">
        <f>'Monthly Data'!N91</f>
        <v>26043272.149256632</v>
      </c>
      <c r="E91">
        <f>'Monthly Data'!AI91</f>
        <v>1.3708333333333318</v>
      </c>
      <c r="F91" s="98">
        <f>'Monthly Data'!AD91</f>
        <v>60.395833333333343</v>
      </c>
      <c r="G91">
        <f>'Monthly Data'!AV91</f>
        <v>90</v>
      </c>
      <c r="H91">
        <f>'Monthly Data'!BO91</f>
        <v>30</v>
      </c>
      <c r="I91">
        <f>'Monthly Data'!BR91</f>
        <v>0.5</v>
      </c>
      <c r="J91">
        <f>'Monthly Data'!AT91</f>
        <v>802518</v>
      </c>
      <c r="K91">
        <f>'Monthly Data'!BJ91</f>
        <v>0</v>
      </c>
      <c r="M91" s="17">
        <f t="shared" si="20"/>
        <v>-9501475.1395959798</v>
      </c>
      <c r="N91" s="17">
        <f t="shared" si="16"/>
        <v>16095.891879514558</v>
      </c>
      <c r="O91" s="17">
        <f t="shared" si="17"/>
        <v>1317569.092840188</v>
      </c>
      <c r="P91" s="17">
        <f t="shared" si="21"/>
        <v>-3232571.9641746478</v>
      </c>
      <c r="Q91" s="17">
        <f t="shared" si="22"/>
        <v>24809453.88714486</v>
      </c>
      <c r="R91" s="17">
        <f t="shared" si="23"/>
        <v>-966052.69018035999</v>
      </c>
      <c r="S91" s="17">
        <f t="shared" si="24"/>
        <v>13683465.481782623</v>
      </c>
      <c r="T91" s="17">
        <f t="shared" si="25"/>
        <v>0</v>
      </c>
      <c r="U91" s="17">
        <f t="shared" si="26"/>
        <v>26126484.559696198</v>
      </c>
      <c r="V91" s="17">
        <f t="shared" si="18"/>
        <v>83212.410439565778</v>
      </c>
      <c r="W91" s="29">
        <f t="shared" si="19"/>
        <v>3.1951595775932848E-3</v>
      </c>
    </row>
    <row r="92" spans="1:23" x14ac:dyDescent="0.2">
      <c r="A92" s="206">
        <f>'Monthly Data'!A92</f>
        <v>44378</v>
      </c>
      <c r="B92">
        <f>'Monthly Data'!C92</f>
        <v>7</v>
      </c>
      <c r="C92">
        <f>'Monthly Data'!B92</f>
        <v>2021</v>
      </c>
      <c r="D92" s="18">
        <f>'Monthly Data'!N92</f>
        <v>27770526.577655174</v>
      </c>
      <c r="E92">
        <f>'Monthly Data'!AI92</f>
        <v>0</v>
      </c>
      <c r="F92" s="98">
        <f>'Monthly Data'!AD92</f>
        <v>85.470833333333374</v>
      </c>
      <c r="G92">
        <f>'Monthly Data'!AV92</f>
        <v>91</v>
      </c>
      <c r="H92">
        <f>'Monthly Data'!BO92</f>
        <v>31</v>
      </c>
      <c r="I92">
        <f>'Monthly Data'!BR92</f>
        <v>0.5</v>
      </c>
      <c r="J92">
        <f>'Monthly Data'!AT92</f>
        <v>819564</v>
      </c>
      <c r="K92">
        <f>'Monthly Data'!BJ92</f>
        <v>0</v>
      </c>
      <c r="M92" s="17">
        <f t="shared" si="20"/>
        <v>-9501475.1395959798</v>
      </c>
      <c r="N92" s="17">
        <f t="shared" si="16"/>
        <v>0</v>
      </c>
      <c r="O92" s="17">
        <f t="shared" si="17"/>
        <v>1864594.3291777014</v>
      </c>
      <c r="P92" s="17">
        <f t="shared" si="21"/>
        <v>-3268489.4304432548</v>
      </c>
      <c r="Q92" s="17">
        <f t="shared" si="22"/>
        <v>25636435.683383022</v>
      </c>
      <c r="R92" s="17">
        <f t="shared" si="23"/>
        <v>-966052.69018035999</v>
      </c>
      <c r="S92" s="17">
        <f t="shared" si="24"/>
        <v>13974111.115403883</v>
      </c>
      <c r="T92" s="17">
        <f t="shared" si="25"/>
        <v>0</v>
      </c>
      <c r="U92" s="17">
        <f t="shared" si="26"/>
        <v>27739123.867745012</v>
      </c>
      <c r="V92" s="17">
        <f t="shared" si="18"/>
        <v>-31402.709910161793</v>
      </c>
      <c r="W92" s="29">
        <f t="shared" si="19"/>
        <v>1.1307927425268616E-3</v>
      </c>
    </row>
    <row r="93" spans="1:23" x14ac:dyDescent="0.2">
      <c r="A93" s="206">
        <f>'Monthly Data'!A93</f>
        <v>44409</v>
      </c>
      <c r="B93">
        <f>'Monthly Data'!C93</f>
        <v>8</v>
      </c>
      <c r="C93">
        <f>'Monthly Data'!B93</f>
        <v>2021</v>
      </c>
      <c r="D93" s="18">
        <f>'Monthly Data'!N93</f>
        <v>28869023.053053726</v>
      </c>
      <c r="E93">
        <f>'Monthly Data'!AI93</f>
        <v>0</v>
      </c>
      <c r="F93" s="98">
        <f>'Monthly Data'!AD93</f>
        <v>116.98750000000003</v>
      </c>
      <c r="G93">
        <f>'Monthly Data'!AV93</f>
        <v>92</v>
      </c>
      <c r="H93">
        <f>'Monthly Data'!BO93</f>
        <v>31</v>
      </c>
      <c r="I93">
        <f>'Monthly Data'!BR93</f>
        <v>0.5</v>
      </c>
      <c r="J93">
        <f>'Monthly Data'!AT93</f>
        <v>819564</v>
      </c>
      <c r="K93">
        <f>'Monthly Data'!BJ93</f>
        <v>0</v>
      </c>
      <c r="M93" s="17">
        <f t="shared" si="20"/>
        <v>-9501475.1395959798</v>
      </c>
      <c r="N93" s="17">
        <f t="shared" si="16"/>
        <v>0</v>
      </c>
      <c r="O93" s="17">
        <f t="shared" si="17"/>
        <v>2552148.148994409</v>
      </c>
      <c r="P93" s="17">
        <f t="shared" si="21"/>
        <v>-3304406.8967118622</v>
      </c>
      <c r="Q93" s="17">
        <f t="shared" si="22"/>
        <v>25636435.683383022</v>
      </c>
      <c r="R93" s="17">
        <f t="shared" si="23"/>
        <v>-966052.69018035999</v>
      </c>
      <c r="S93" s="17">
        <f t="shared" si="24"/>
        <v>13974111.115403883</v>
      </c>
      <c r="T93" s="17">
        <f t="shared" si="25"/>
        <v>0</v>
      </c>
      <c r="U93" s="17">
        <f t="shared" si="26"/>
        <v>28390760.221293114</v>
      </c>
      <c r="V93" s="17">
        <f t="shared" si="18"/>
        <v>-478262.83176061139</v>
      </c>
      <c r="W93" s="29">
        <f t="shared" si="19"/>
        <v>1.6566644145930717E-2</v>
      </c>
    </row>
    <row r="94" spans="1:23" x14ac:dyDescent="0.2">
      <c r="A94" s="206">
        <f>'Monthly Data'!A94</f>
        <v>44440</v>
      </c>
      <c r="B94">
        <f>'Monthly Data'!C94</f>
        <v>9</v>
      </c>
      <c r="C94">
        <f>'Monthly Data'!B94</f>
        <v>2021</v>
      </c>
      <c r="D94" s="18">
        <f>'Monthly Data'!N94</f>
        <v>26337465.956452273</v>
      </c>
      <c r="E94">
        <f>'Monthly Data'!AI94</f>
        <v>5.2583333333333302</v>
      </c>
      <c r="F94" s="98">
        <f>'Monthly Data'!AD94</f>
        <v>4.8499999999999979</v>
      </c>
      <c r="G94">
        <f>'Monthly Data'!AV94</f>
        <v>93</v>
      </c>
      <c r="H94">
        <f>'Monthly Data'!BO94</f>
        <v>30</v>
      </c>
      <c r="I94">
        <f>'Monthly Data'!BR94</f>
        <v>0.5</v>
      </c>
      <c r="J94">
        <f>'Monthly Data'!AT94</f>
        <v>819564</v>
      </c>
      <c r="K94">
        <f>'Monthly Data'!BJ94</f>
        <v>1</v>
      </c>
      <c r="M94" s="17">
        <f t="shared" si="20"/>
        <v>-9501475.1395959798</v>
      </c>
      <c r="N94" s="17">
        <f t="shared" si="16"/>
        <v>61741.688607742806</v>
      </c>
      <c r="O94" s="17">
        <f t="shared" si="17"/>
        <v>105805.47941124372</v>
      </c>
      <c r="P94" s="17">
        <f t="shared" si="21"/>
        <v>-3340324.3629804691</v>
      </c>
      <c r="Q94" s="17">
        <f t="shared" si="22"/>
        <v>24809453.88714486</v>
      </c>
      <c r="R94" s="17">
        <f t="shared" si="23"/>
        <v>-966052.69018035999</v>
      </c>
      <c r="S94" s="17">
        <f t="shared" si="24"/>
        <v>13974111.115403883</v>
      </c>
      <c r="T94" s="17">
        <f t="shared" si="25"/>
        <v>413783.55369814899</v>
      </c>
      <c r="U94" s="17">
        <f t="shared" si="26"/>
        <v>25143259.977810919</v>
      </c>
      <c r="V94" s="17">
        <f t="shared" si="18"/>
        <v>-1194205.9786413535</v>
      </c>
      <c r="W94" s="29">
        <f t="shared" si="19"/>
        <v>4.5342478301288187E-2</v>
      </c>
    </row>
    <row r="95" spans="1:23" x14ac:dyDescent="0.2">
      <c r="A95" s="206">
        <f>'Monthly Data'!A95</f>
        <v>44470</v>
      </c>
      <c r="B95">
        <f>'Monthly Data'!C95</f>
        <v>10</v>
      </c>
      <c r="C95">
        <f>'Monthly Data'!B95</f>
        <v>2021</v>
      </c>
      <c r="D95" s="18">
        <f>'Monthly Data'!N95</f>
        <v>27573316.757850815</v>
      </c>
      <c r="E95">
        <f>'Monthly Data'!AI95</f>
        <v>60.793750000000003</v>
      </c>
      <c r="F95" s="98">
        <f>'Monthly Data'!AD95</f>
        <v>3.74166666666666</v>
      </c>
      <c r="G95">
        <f>'Monthly Data'!AV95</f>
        <v>94</v>
      </c>
      <c r="H95">
        <f>'Monthly Data'!BO95</f>
        <v>31</v>
      </c>
      <c r="I95">
        <f>'Monthly Data'!BR95</f>
        <v>0.5</v>
      </c>
      <c r="J95">
        <f>'Monthly Data'!AT95</f>
        <v>838397</v>
      </c>
      <c r="K95">
        <f>'Monthly Data'!BJ95</f>
        <v>1</v>
      </c>
      <c r="M95" s="17">
        <f t="shared" si="20"/>
        <v>-9501475.1395959798</v>
      </c>
      <c r="N95" s="17">
        <f t="shared" si="16"/>
        <v>713821.00446218066</v>
      </c>
      <c r="O95" s="17">
        <f t="shared" si="17"/>
        <v>81626.564013141528</v>
      </c>
      <c r="P95" s="17">
        <f t="shared" si="21"/>
        <v>-3376241.8292490765</v>
      </c>
      <c r="Q95" s="17">
        <f t="shared" si="22"/>
        <v>25636435.683383022</v>
      </c>
      <c r="R95" s="17">
        <f t="shared" si="23"/>
        <v>-966052.69018035999</v>
      </c>
      <c r="S95" s="17">
        <f t="shared" si="24"/>
        <v>14295226.287173752</v>
      </c>
      <c r="T95" s="17">
        <f t="shared" si="25"/>
        <v>413783.55369814899</v>
      </c>
      <c r="U95" s="17">
        <f t="shared" si="26"/>
        <v>26883339.880006678</v>
      </c>
      <c r="V95" s="17">
        <f t="shared" si="18"/>
        <v>-689976.87784413621</v>
      </c>
      <c r="W95" s="29">
        <f t="shared" si="19"/>
        <v>2.5023354422811048E-2</v>
      </c>
    </row>
    <row r="96" spans="1:23" x14ac:dyDescent="0.2">
      <c r="A96" s="206">
        <f>'Monthly Data'!A96</f>
        <v>44501</v>
      </c>
      <c r="B96">
        <f>'Monthly Data'!C96</f>
        <v>11</v>
      </c>
      <c r="C96">
        <f>'Monthly Data'!B96</f>
        <v>2021</v>
      </c>
      <c r="D96" s="18">
        <f>'Monthly Data'!N96</f>
        <v>29449934.302249361</v>
      </c>
      <c r="E96">
        <f>'Monthly Data'!AI96</f>
        <v>316.31041666666664</v>
      </c>
      <c r="F96" s="98">
        <f>'Monthly Data'!AD96</f>
        <v>0</v>
      </c>
      <c r="G96">
        <f>'Monthly Data'!AV96</f>
        <v>95</v>
      </c>
      <c r="H96">
        <f>'Monthly Data'!BO96</f>
        <v>30</v>
      </c>
      <c r="I96">
        <f>'Monthly Data'!BR96</f>
        <v>0.5</v>
      </c>
      <c r="J96">
        <f>'Monthly Data'!AT96</f>
        <v>838397</v>
      </c>
      <c r="K96">
        <f>'Monthly Data'!BJ96</f>
        <v>1</v>
      </c>
      <c r="M96" s="17">
        <f t="shared" si="20"/>
        <v>-9501475.1395959798</v>
      </c>
      <c r="N96" s="17">
        <f t="shared" si="16"/>
        <v>3714016.9729100582</v>
      </c>
      <c r="O96" s="17">
        <f t="shared" si="17"/>
        <v>0</v>
      </c>
      <c r="P96" s="17">
        <f t="shared" si="21"/>
        <v>-3412159.2955176835</v>
      </c>
      <c r="Q96" s="17">
        <f t="shared" si="22"/>
        <v>24809453.88714486</v>
      </c>
      <c r="R96" s="17">
        <f t="shared" si="23"/>
        <v>-966052.69018035999</v>
      </c>
      <c r="S96" s="17">
        <f t="shared" si="24"/>
        <v>14295226.287173752</v>
      </c>
      <c r="T96" s="17">
        <f t="shared" si="25"/>
        <v>413783.55369814899</v>
      </c>
      <c r="U96" s="17">
        <f t="shared" si="26"/>
        <v>28939010.021934647</v>
      </c>
      <c r="V96" s="17">
        <f t="shared" si="18"/>
        <v>-510924.28031471372</v>
      </c>
      <c r="W96" s="29">
        <f t="shared" si="19"/>
        <v>1.7348910699460873E-2</v>
      </c>
    </row>
    <row r="97" spans="1:23" x14ac:dyDescent="0.2">
      <c r="A97" s="206">
        <f>'Monthly Data'!A97</f>
        <v>44531</v>
      </c>
      <c r="B97">
        <f>'Monthly Data'!C97</f>
        <v>12</v>
      </c>
      <c r="C97">
        <f>'Monthly Data'!B97</f>
        <v>2021</v>
      </c>
      <c r="D97" s="18">
        <f>'Monthly Data'!N97</f>
        <v>32434889.370647911</v>
      </c>
      <c r="E97">
        <f>'Monthly Data'!AI97</f>
        <v>509.20416666666665</v>
      </c>
      <c r="F97" s="98">
        <f>'Monthly Data'!AD97</f>
        <v>0</v>
      </c>
      <c r="G97">
        <f>'Monthly Data'!AV97</f>
        <v>96</v>
      </c>
      <c r="H97">
        <f>'Monthly Data'!BO97</f>
        <v>31</v>
      </c>
      <c r="I97">
        <f>'Monthly Data'!BR97</f>
        <v>0.5</v>
      </c>
      <c r="J97">
        <f>'Monthly Data'!AT97</f>
        <v>838397</v>
      </c>
      <c r="K97">
        <f>'Monthly Data'!BJ97</f>
        <v>0</v>
      </c>
      <c r="M97" s="17">
        <f t="shared" si="20"/>
        <v>-9501475.1395959798</v>
      </c>
      <c r="N97" s="17">
        <f t="shared" si="16"/>
        <v>5978914.4398285616</v>
      </c>
      <c r="O97" s="17">
        <f t="shared" si="17"/>
        <v>0</v>
      </c>
      <c r="P97" s="17">
        <f t="shared" si="21"/>
        <v>-3448076.7617862909</v>
      </c>
      <c r="Q97" s="17">
        <f t="shared" si="22"/>
        <v>25636435.683383022</v>
      </c>
      <c r="R97" s="17">
        <f t="shared" si="23"/>
        <v>-966052.69018035999</v>
      </c>
      <c r="S97" s="17">
        <f t="shared" si="24"/>
        <v>14295226.287173752</v>
      </c>
      <c r="T97" s="17">
        <f t="shared" si="25"/>
        <v>0</v>
      </c>
      <c r="U97" s="17">
        <f t="shared" si="26"/>
        <v>31994971.818822701</v>
      </c>
      <c r="V97" s="17">
        <f t="shared" si="18"/>
        <v>-439917.55182521045</v>
      </c>
      <c r="W97" s="29">
        <f t="shared" si="19"/>
        <v>1.3563097034125102E-2</v>
      </c>
    </row>
    <row r="98" spans="1:23" x14ac:dyDescent="0.2">
      <c r="A98" s="206">
        <f>'Monthly Data'!A98</f>
        <v>44562</v>
      </c>
      <c r="B98">
        <f>'Monthly Data'!C98</f>
        <v>1</v>
      </c>
      <c r="C98">
        <f>'Monthly Data'!B98</f>
        <v>2022</v>
      </c>
      <c r="D98" s="18">
        <f>'Monthly Data'!N98</f>
        <v>35303574.279932499</v>
      </c>
      <c r="E98">
        <f>'Monthly Data'!AI98</f>
        <v>817.08333333333314</v>
      </c>
      <c r="F98" s="98">
        <f>'Monthly Data'!AD98</f>
        <v>0</v>
      </c>
      <c r="G98">
        <f>'Monthly Data'!AV98</f>
        <v>97</v>
      </c>
      <c r="H98">
        <f>'Monthly Data'!BO98</f>
        <v>31</v>
      </c>
      <c r="I98">
        <f>'Monthly Data'!BR98</f>
        <v>0.25</v>
      </c>
      <c r="J98">
        <f>'Monthly Data'!AT98</f>
        <v>845218</v>
      </c>
      <c r="K98">
        <f>'Monthly Data'!BJ98</f>
        <v>0</v>
      </c>
      <c r="M98" s="17">
        <f t="shared" si="20"/>
        <v>-9501475.1395959798</v>
      </c>
      <c r="N98" s="17">
        <f t="shared" ref="N98:N121" si="27">E98*$Z$8</f>
        <v>9593934.3391270749</v>
      </c>
      <c r="O98" s="17">
        <f t="shared" ref="O98:O121" si="28">F98*$Z$9</f>
        <v>0</v>
      </c>
      <c r="P98" s="17">
        <f t="shared" si="21"/>
        <v>-3483994.2280548983</v>
      </c>
      <c r="Q98" s="17">
        <f t="shared" si="22"/>
        <v>25636435.683383022</v>
      </c>
      <c r="R98" s="17">
        <f t="shared" si="23"/>
        <v>-483026.34509018</v>
      </c>
      <c r="S98" s="17">
        <f t="shared" si="24"/>
        <v>14411528.872350955</v>
      </c>
      <c r="T98" s="17">
        <f t="shared" si="25"/>
        <v>0</v>
      </c>
      <c r="U98" s="17">
        <f t="shared" si="26"/>
        <v>36173403.182119995</v>
      </c>
      <c r="V98" s="17">
        <f t="shared" ref="V98:V121" si="29">U98-D98</f>
        <v>869828.90218749642</v>
      </c>
      <c r="W98" s="29">
        <f t="shared" ref="W98:W121" si="30">ABS(V98/D98)</f>
        <v>2.46385506263577E-2</v>
      </c>
    </row>
    <row r="99" spans="1:23" x14ac:dyDescent="0.2">
      <c r="A99" s="206">
        <f>'Monthly Data'!A99</f>
        <v>44593</v>
      </c>
      <c r="B99">
        <f>'Monthly Data'!C99</f>
        <v>2</v>
      </c>
      <c r="C99">
        <f>'Monthly Data'!B99</f>
        <v>2022</v>
      </c>
      <c r="D99" s="18">
        <f>'Monthly Data'!N99</f>
        <v>31372467.215929374</v>
      </c>
      <c r="E99">
        <f>'Monthly Data'!AI99</f>
        <v>627.50000000000011</v>
      </c>
      <c r="F99" s="98">
        <f>'Monthly Data'!AD99</f>
        <v>0</v>
      </c>
      <c r="G99">
        <f>'Monthly Data'!AV99</f>
        <v>98</v>
      </c>
      <c r="H99">
        <f>'Monthly Data'!BO99</f>
        <v>28</v>
      </c>
      <c r="I99">
        <f>'Monthly Data'!BR99</f>
        <v>0.25</v>
      </c>
      <c r="J99">
        <f>'Monthly Data'!AT99</f>
        <v>845218</v>
      </c>
      <c r="K99">
        <f>'Monthly Data'!BJ99</f>
        <v>0</v>
      </c>
      <c r="M99" s="17">
        <f t="shared" si="20"/>
        <v>-9501475.1395959798</v>
      </c>
      <c r="N99" s="17">
        <f t="shared" si="27"/>
        <v>7367906.73876868</v>
      </c>
      <c r="O99" s="17">
        <f t="shared" si="28"/>
        <v>0</v>
      </c>
      <c r="P99" s="17">
        <f t="shared" si="21"/>
        <v>-3519911.6943235053</v>
      </c>
      <c r="Q99" s="17">
        <f t="shared" si="22"/>
        <v>23155490.294668537</v>
      </c>
      <c r="R99" s="17">
        <f t="shared" si="23"/>
        <v>-483026.34509018</v>
      </c>
      <c r="S99" s="17">
        <f t="shared" si="24"/>
        <v>14411528.872350955</v>
      </c>
      <c r="T99" s="17">
        <f t="shared" si="25"/>
        <v>0</v>
      </c>
      <c r="U99" s="17">
        <f t="shared" si="26"/>
        <v>31430512.726778507</v>
      </c>
      <c r="V99" s="17">
        <f t="shared" si="29"/>
        <v>58045.510849133134</v>
      </c>
      <c r="W99" s="29">
        <f t="shared" si="30"/>
        <v>1.850205482712578E-3</v>
      </c>
    </row>
    <row r="100" spans="1:23" x14ac:dyDescent="0.2">
      <c r="A100" s="206">
        <f>'Monthly Data'!A100</f>
        <v>44621</v>
      </c>
      <c r="B100">
        <f>'Monthly Data'!C100</f>
        <v>3</v>
      </c>
      <c r="C100">
        <f>'Monthly Data'!B100</f>
        <v>2022</v>
      </c>
      <c r="D100" s="18">
        <f>'Monthly Data'!N100</f>
        <v>32474633.647926256</v>
      </c>
      <c r="E100">
        <f>'Monthly Data'!AI100</f>
        <v>459.76804225504515</v>
      </c>
      <c r="F100" s="98">
        <f>'Monthly Data'!AD100</f>
        <v>0</v>
      </c>
      <c r="G100">
        <f>'Monthly Data'!AV100</f>
        <v>99</v>
      </c>
      <c r="H100">
        <f>'Monthly Data'!BO100</f>
        <v>31</v>
      </c>
      <c r="I100">
        <f>'Monthly Data'!BR100</f>
        <v>0.25</v>
      </c>
      <c r="J100">
        <f>'Monthly Data'!AT100</f>
        <v>845218</v>
      </c>
      <c r="K100">
        <f>'Monthly Data'!BJ100</f>
        <v>0</v>
      </c>
      <c r="M100" s="17">
        <f t="shared" si="20"/>
        <v>-9501475.1395959798</v>
      </c>
      <c r="N100" s="17">
        <f t="shared" si="27"/>
        <v>5398451.086536143</v>
      </c>
      <c r="O100" s="17">
        <f t="shared" si="28"/>
        <v>0</v>
      </c>
      <c r="P100" s="17">
        <f t="shared" si="21"/>
        <v>-3555829.1605921127</v>
      </c>
      <c r="Q100" s="17">
        <f t="shared" si="22"/>
        <v>25636435.683383022</v>
      </c>
      <c r="R100" s="17">
        <f t="shared" si="23"/>
        <v>-483026.34509018</v>
      </c>
      <c r="S100" s="17">
        <f t="shared" si="24"/>
        <v>14411528.872350955</v>
      </c>
      <c r="T100" s="17">
        <f t="shared" si="25"/>
        <v>0</v>
      </c>
      <c r="U100" s="17">
        <f t="shared" si="26"/>
        <v>31906084.996991843</v>
      </c>
      <c r="V100" s="17">
        <f t="shared" si="29"/>
        <v>-568548.65093441308</v>
      </c>
      <c r="W100" s="29">
        <f t="shared" si="30"/>
        <v>1.7507469278894208E-2</v>
      </c>
    </row>
    <row r="101" spans="1:23" x14ac:dyDescent="0.2">
      <c r="A101" s="206">
        <f>'Monthly Data'!A101</f>
        <v>44652</v>
      </c>
      <c r="B101">
        <f>'Monthly Data'!C101</f>
        <v>4</v>
      </c>
      <c r="C101">
        <f>'Monthly Data'!B101</f>
        <v>2022</v>
      </c>
      <c r="D101" s="18">
        <f>'Monthly Data'!N101</f>
        <v>28569435.47692313</v>
      </c>
      <c r="E101">
        <f>'Monthly Data'!AI101</f>
        <v>221.58125000000004</v>
      </c>
      <c r="F101" s="98">
        <f>'Monthly Data'!AD101</f>
        <v>0</v>
      </c>
      <c r="G101">
        <f>'Monthly Data'!AV101</f>
        <v>100</v>
      </c>
      <c r="H101">
        <f>'Monthly Data'!BO101</f>
        <v>30</v>
      </c>
      <c r="I101">
        <f>'Monthly Data'!BR101</f>
        <v>0.25</v>
      </c>
      <c r="J101">
        <f>'Monthly Data'!AT101</f>
        <v>851621</v>
      </c>
      <c r="K101">
        <f>'Monthly Data'!BJ101</f>
        <v>0</v>
      </c>
      <c r="M101" s="17">
        <f t="shared" si="20"/>
        <v>-9501475.1395959798</v>
      </c>
      <c r="N101" s="17">
        <f t="shared" si="27"/>
        <v>2601737.0279837251</v>
      </c>
      <c r="O101" s="17">
        <f t="shared" si="28"/>
        <v>0</v>
      </c>
      <c r="P101" s="17">
        <f t="shared" si="21"/>
        <v>-3591746.6268607196</v>
      </c>
      <c r="Q101" s="17">
        <f t="shared" si="22"/>
        <v>24809453.88714486</v>
      </c>
      <c r="R101" s="17">
        <f t="shared" si="23"/>
        <v>-483026.34509018</v>
      </c>
      <c r="S101" s="17">
        <f t="shared" si="24"/>
        <v>14520704.279606437</v>
      </c>
      <c r="T101" s="17">
        <f t="shared" si="25"/>
        <v>0</v>
      </c>
      <c r="U101" s="17">
        <f t="shared" si="26"/>
        <v>28355647.083188143</v>
      </c>
      <c r="V101" s="17">
        <f t="shared" si="29"/>
        <v>-213788.39373498783</v>
      </c>
      <c r="W101" s="29">
        <f t="shared" si="30"/>
        <v>7.4831157902183511E-3</v>
      </c>
    </row>
    <row r="102" spans="1:23" x14ac:dyDescent="0.2">
      <c r="A102" s="206">
        <f>'Monthly Data'!A102</f>
        <v>44682</v>
      </c>
      <c r="B102">
        <f>'Monthly Data'!C102</f>
        <v>5</v>
      </c>
      <c r="C102">
        <f>'Monthly Data'!B102</f>
        <v>2022</v>
      </c>
      <c r="D102" s="18">
        <f>'Monthly Data'!N102</f>
        <v>28694219.856920011</v>
      </c>
      <c r="E102">
        <f>'Monthly Data'!AI102</f>
        <v>14.455542255045183</v>
      </c>
      <c r="F102" s="98">
        <f>'Monthly Data'!AD102</f>
        <v>34.079166666666666</v>
      </c>
      <c r="G102">
        <f>'Monthly Data'!AV102</f>
        <v>101</v>
      </c>
      <c r="H102">
        <f>'Monthly Data'!BO102</f>
        <v>31</v>
      </c>
      <c r="I102">
        <f>'Monthly Data'!BR102</f>
        <v>0.25</v>
      </c>
      <c r="J102">
        <f>'Monthly Data'!AT102</f>
        <v>851621</v>
      </c>
      <c r="K102">
        <f>'Monthly Data'!BJ102</f>
        <v>0</v>
      </c>
      <c r="M102" s="17">
        <f t="shared" si="20"/>
        <v>-9501475.1395959798</v>
      </c>
      <c r="N102" s="17">
        <f t="shared" si="27"/>
        <v>169732.40987012396</v>
      </c>
      <c r="O102" s="17">
        <f t="shared" si="28"/>
        <v>743456.19940254535</v>
      </c>
      <c r="P102" s="17">
        <f t="shared" si="21"/>
        <v>-3627664.0931293271</v>
      </c>
      <c r="Q102" s="17">
        <f t="shared" si="22"/>
        <v>25636435.683383022</v>
      </c>
      <c r="R102" s="17">
        <f t="shared" si="23"/>
        <v>-483026.34509018</v>
      </c>
      <c r="S102" s="17">
        <f t="shared" si="24"/>
        <v>14520704.279606437</v>
      </c>
      <c r="T102" s="17">
        <f t="shared" si="25"/>
        <v>0</v>
      </c>
      <c r="U102" s="17">
        <f t="shared" si="26"/>
        <v>27458162.994446639</v>
      </c>
      <c r="V102" s="17">
        <f t="shared" si="29"/>
        <v>-1236056.8624733724</v>
      </c>
      <c r="W102" s="29">
        <f t="shared" si="30"/>
        <v>4.3076858985426646E-2</v>
      </c>
    </row>
    <row r="103" spans="1:23" x14ac:dyDescent="0.2">
      <c r="A103" s="206">
        <f>'Monthly Data'!A103</f>
        <v>44713</v>
      </c>
      <c r="B103">
        <f>'Monthly Data'!C103</f>
        <v>6</v>
      </c>
      <c r="C103">
        <f>'Monthly Data'!B103</f>
        <v>2022</v>
      </c>
      <c r="D103" s="18">
        <f>'Monthly Data'!N103</f>
        <v>26890122.734916892</v>
      </c>
      <c r="E103">
        <f>'Monthly Data'!AI103</f>
        <v>0</v>
      </c>
      <c r="F103" s="98">
        <f>'Monthly Data'!AD103</f>
        <v>44.42916666666666</v>
      </c>
      <c r="G103">
        <f>'Monthly Data'!AV103</f>
        <v>102</v>
      </c>
      <c r="H103">
        <f>'Monthly Data'!BO103</f>
        <v>30</v>
      </c>
      <c r="I103">
        <f>'Monthly Data'!BR103</f>
        <v>0.25</v>
      </c>
      <c r="J103">
        <f>'Monthly Data'!AT103</f>
        <v>851621</v>
      </c>
      <c r="K103">
        <f>'Monthly Data'!BJ103</f>
        <v>0</v>
      </c>
      <c r="M103" s="17">
        <f t="shared" si="20"/>
        <v>-9501475.1395959798</v>
      </c>
      <c r="N103" s="17">
        <f t="shared" si="27"/>
        <v>0</v>
      </c>
      <c r="O103" s="17">
        <f t="shared" si="28"/>
        <v>969247.27402241586</v>
      </c>
      <c r="P103" s="17">
        <f t="shared" si="21"/>
        <v>-3663581.559397934</v>
      </c>
      <c r="Q103" s="17">
        <f t="shared" si="22"/>
        <v>24809453.88714486</v>
      </c>
      <c r="R103" s="17">
        <f t="shared" si="23"/>
        <v>-483026.34509018</v>
      </c>
      <c r="S103" s="17">
        <f t="shared" si="24"/>
        <v>14520704.279606437</v>
      </c>
      <c r="T103" s="17">
        <f t="shared" si="25"/>
        <v>0</v>
      </c>
      <c r="U103" s="17">
        <f t="shared" si="26"/>
        <v>26651322.396689616</v>
      </c>
      <c r="V103" s="17">
        <f t="shared" si="29"/>
        <v>-238800.33822727576</v>
      </c>
      <c r="W103" s="29">
        <f t="shared" si="30"/>
        <v>8.8805968117502462E-3</v>
      </c>
    </row>
    <row r="104" spans="1:23" x14ac:dyDescent="0.2">
      <c r="A104" s="206">
        <f>'Monthly Data'!A104</f>
        <v>44743</v>
      </c>
      <c r="B104">
        <f>'Monthly Data'!C104</f>
        <v>7</v>
      </c>
      <c r="C104">
        <f>'Monthly Data'!B104</f>
        <v>2022</v>
      </c>
      <c r="D104" s="18">
        <f>'Monthly Data'!N104</f>
        <v>28327082.735913772</v>
      </c>
      <c r="E104">
        <f>'Monthly Data'!AI104</f>
        <v>0</v>
      </c>
      <c r="F104" s="98">
        <f>'Monthly Data'!AD104</f>
        <v>85.239583333333329</v>
      </c>
      <c r="G104">
        <f>'Monthly Data'!AV104</f>
        <v>103</v>
      </c>
      <c r="H104">
        <f>'Monthly Data'!BO104</f>
        <v>31</v>
      </c>
      <c r="I104">
        <f>'Monthly Data'!BR104</f>
        <v>0.25</v>
      </c>
      <c r="J104">
        <f>'Monthly Data'!AT104</f>
        <v>852979</v>
      </c>
      <c r="K104">
        <f>'Monthly Data'!BJ104</f>
        <v>0</v>
      </c>
      <c r="M104" s="17">
        <f t="shared" si="20"/>
        <v>-9501475.1395959798</v>
      </c>
      <c r="N104" s="17">
        <f t="shared" si="27"/>
        <v>0</v>
      </c>
      <c r="O104" s="17">
        <f t="shared" si="28"/>
        <v>1859549.4802882469</v>
      </c>
      <c r="P104" s="17">
        <f t="shared" si="21"/>
        <v>-3699499.0256665414</v>
      </c>
      <c r="Q104" s="17">
        <f t="shared" si="22"/>
        <v>25636435.683383022</v>
      </c>
      <c r="R104" s="17">
        <f t="shared" si="23"/>
        <v>-483026.34509018</v>
      </c>
      <c r="S104" s="17">
        <f t="shared" si="24"/>
        <v>14543859.082519593</v>
      </c>
      <c r="T104" s="17">
        <f t="shared" si="25"/>
        <v>0</v>
      </c>
      <c r="U104" s="17">
        <f t="shared" si="26"/>
        <v>28355843.73583816</v>
      </c>
      <c r="V104" s="17">
        <f t="shared" si="29"/>
        <v>28760.999924387783</v>
      </c>
      <c r="W104" s="29">
        <f t="shared" si="30"/>
        <v>1.0153181036155156E-3</v>
      </c>
    </row>
    <row r="105" spans="1:23" x14ac:dyDescent="0.2">
      <c r="A105" s="206">
        <f>'Monthly Data'!A105</f>
        <v>44774</v>
      </c>
      <c r="B105">
        <f>'Monthly Data'!C105</f>
        <v>8</v>
      </c>
      <c r="C105">
        <f>'Monthly Data'!B105</f>
        <v>2022</v>
      </c>
      <c r="D105" s="18">
        <f>'Monthly Data'!N105</f>
        <v>28533100.437910646</v>
      </c>
      <c r="E105">
        <f>'Monthly Data'!AI105</f>
        <v>0</v>
      </c>
      <c r="F105" s="98">
        <f>'Monthly Data'!AD105</f>
        <v>80.824999999999974</v>
      </c>
      <c r="G105">
        <f>'Monthly Data'!AV105</f>
        <v>104</v>
      </c>
      <c r="H105">
        <f>'Monthly Data'!BO105</f>
        <v>31</v>
      </c>
      <c r="I105">
        <f>'Monthly Data'!BR105</f>
        <v>0.25</v>
      </c>
      <c r="J105">
        <f>'Monthly Data'!AT105</f>
        <v>852979</v>
      </c>
      <c r="K105">
        <f>'Monthly Data'!BJ105</f>
        <v>0</v>
      </c>
      <c r="M105" s="17">
        <f t="shared" si="20"/>
        <v>-9501475.1395959798</v>
      </c>
      <c r="N105" s="17">
        <f t="shared" si="27"/>
        <v>0</v>
      </c>
      <c r="O105" s="17">
        <f t="shared" si="28"/>
        <v>1763242.8604976856</v>
      </c>
      <c r="P105" s="17">
        <f t="shared" si="21"/>
        <v>-3735416.4919351484</v>
      </c>
      <c r="Q105" s="17">
        <f t="shared" si="22"/>
        <v>25636435.683383022</v>
      </c>
      <c r="R105" s="17">
        <f t="shared" si="23"/>
        <v>-483026.34509018</v>
      </c>
      <c r="S105" s="17">
        <f t="shared" si="24"/>
        <v>14543859.082519593</v>
      </c>
      <c r="T105" s="17">
        <f t="shared" si="25"/>
        <v>0</v>
      </c>
      <c r="U105" s="17">
        <f t="shared" si="26"/>
        <v>28223619.649778992</v>
      </c>
      <c r="V105" s="17">
        <f t="shared" si="29"/>
        <v>-309480.78813165426</v>
      </c>
      <c r="W105" s="29">
        <f t="shared" si="30"/>
        <v>1.0846377834231469E-2</v>
      </c>
    </row>
    <row r="106" spans="1:23" x14ac:dyDescent="0.2">
      <c r="A106" s="206">
        <f>'Monthly Data'!A106</f>
        <v>44805</v>
      </c>
      <c r="B106">
        <f>'Monthly Data'!C106</f>
        <v>9</v>
      </c>
      <c r="C106">
        <f>'Monthly Data'!B106</f>
        <v>2022</v>
      </c>
      <c r="D106" s="18">
        <f>'Monthly Data'!N106</f>
        <v>27419851.763907529</v>
      </c>
      <c r="E106">
        <f>'Monthly Data'!AI106</f>
        <v>14.699292255045174</v>
      </c>
      <c r="F106" s="98">
        <f>'Monthly Data'!AD106</f>
        <v>27.20000000000001</v>
      </c>
      <c r="G106">
        <f>'Monthly Data'!AV106</f>
        <v>105</v>
      </c>
      <c r="H106">
        <f>'Monthly Data'!BO106</f>
        <v>30</v>
      </c>
      <c r="I106">
        <f>'Monthly Data'!BR106</f>
        <v>0.25</v>
      </c>
      <c r="J106">
        <f>'Monthly Data'!AT106</f>
        <v>852979</v>
      </c>
      <c r="K106">
        <f>'Monthly Data'!BJ106</f>
        <v>1</v>
      </c>
      <c r="M106" s="17">
        <f t="shared" si="20"/>
        <v>-9501475.1395959798</v>
      </c>
      <c r="N106" s="17">
        <f t="shared" si="27"/>
        <v>172594.44535629894</v>
      </c>
      <c r="O106" s="17">
        <f t="shared" si="28"/>
        <v>593383.30721357348</v>
      </c>
      <c r="P106" s="17">
        <f t="shared" si="21"/>
        <v>-3771333.9582037558</v>
      </c>
      <c r="Q106" s="17">
        <f t="shared" si="22"/>
        <v>24809453.88714486</v>
      </c>
      <c r="R106" s="17">
        <f t="shared" si="23"/>
        <v>-483026.34509018</v>
      </c>
      <c r="S106" s="17">
        <f t="shared" si="24"/>
        <v>14543859.082519593</v>
      </c>
      <c r="T106" s="17">
        <f t="shared" si="25"/>
        <v>413783.55369814899</v>
      </c>
      <c r="U106" s="17">
        <f t="shared" si="26"/>
        <v>26363455.27934441</v>
      </c>
      <c r="V106" s="17">
        <f t="shared" si="29"/>
        <v>-1056396.4845631197</v>
      </c>
      <c r="W106" s="29">
        <f t="shared" si="30"/>
        <v>3.8526702976332046E-2</v>
      </c>
    </row>
    <row r="107" spans="1:23" x14ac:dyDescent="0.2">
      <c r="A107" s="206">
        <f>'Monthly Data'!A107</f>
        <v>44835</v>
      </c>
      <c r="B107">
        <f>'Monthly Data'!C107</f>
        <v>10</v>
      </c>
      <c r="C107">
        <f>'Monthly Data'!B107</f>
        <v>2022</v>
      </c>
      <c r="D107" s="18">
        <f>'Monthly Data'!N107</f>
        <v>27803839.531904407</v>
      </c>
      <c r="E107">
        <f>'Monthly Data'!AI107</f>
        <v>113.78608451009033</v>
      </c>
      <c r="F107" s="98">
        <f>'Monthly Data'!AD107</f>
        <v>0</v>
      </c>
      <c r="G107">
        <f>'Monthly Data'!AV107</f>
        <v>106</v>
      </c>
      <c r="H107">
        <f>'Monthly Data'!BO107</f>
        <v>31</v>
      </c>
      <c r="I107">
        <f>'Monthly Data'!BR107</f>
        <v>0.25</v>
      </c>
      <c r="J107">
        <f>'Monthly Data'!AT107</f>
        <v>852029</v>
      </c>
      <c r="K107">
        <f>'Monthly Data'!BJ107</f>
        <v>1</v>
      </c>
      <c r="M107" s="17">
        <f t="shared" si="20"/>
        <v>-9501475.1395959798</v>
      </c>
      <c r="N107" s="17">
        <f t="shared" si="27"/>
        <v>1336040.2531314692</v>
      </c>
      <c r="O107" s="17">
        <f t="shared" si="28"/>
        <v>0</v>
      </c>
      <c r="P107" s="17">
        <f t="shared" si="21"/>
        <v>-3807251.4244723627</v>
      </c>
      <c r="Q107" s="17">
        <f t="shared" si="22"/>
        <v>25636435.683383022</v>
      </c>
      <c r="R107" s="17">
        <f t="shared" si="23"/>
        <v>-483026.34509018</v>
      </c>
      <c r="S107" s="17">
        <f t="shared" si="24"/>
        <v>14527660.950879315</v>
      </c>
      <c r="T107" s="17">
        <f t="shared" si="25"/>
        <v>413783.55369814899</v>
      </c>
      <c r="U107" s="17">
        <f t="shared" si="26"/>
        <v>27708383.978235282</v>
      </c>
      <c r="V107" s="17">
        <f t="shared" si="29"/>
        <v>-95455.553669124842</v>
      </c>
      <c r="W107" s="29">
        <f t="shared" si="30"/>
        <v>3.4331788442237016E-3</v>
      </c>
    </row>
    <row r="108" spans="1:23" x14ac:dyDescent="0.2">
      <c r="A108" s="206">
        <f>'Monthly Data'!A108</f>
        <v>44866</v>
      </c>
      <c r="B108">
        <f>'Monthly Data'!C108</f>
        <v>11</v>
      </c>
      <c r="C108">
        <f>'Monthly Data'!B108</f>
        <v>2022</v>
      </c>
      <c r="D108" s="18">
        <f>'Monthly Data'!N108</f>
        <v>29585222.576901283</v>
      </c>
      <c r="E108">
        <f>'Monthly Data'!AI108</f>
        <v>283.5805422550452</v>
      </c>
      <c r="F108" s="98">
        <f>'Monthly Data'!AD108</f>
        <v>0</v>
      </c>
      <c r="G108">
        <f>'Monthly Data'!AV108</f>
        <v>107</v>
      </c>
      <c r="H108">
        <f>'Monthly Data'!BO108</f>
        <v>30</v>
      </c>
      <c r="I108">
        <f>'Monthly Data'!BR108</f>
        <v>0.25</v>
      </c>
      <c r="J108">
        <f>'Monthly Data'!AT108</f>
        <v>852029</v>
      </c>
      <c r="K108">
        <f>'Monthly Data'!BJ108</f>
        <v>1</v>
      </c>
      <c r="M108" s="17">
        <f t="shared" si="20"/>
        <v>-9501475.1395959798</v>
      </c>
      <c r="N108" s="17">
        <f t="shared" si="27"/>
        <v>3329713.1287085633</v>
      </c>
      <c r="O108" s="17">
        <f t="shared" si="28"/>
        <v>0</v>
      </c>
      <c r="P108" s="17">
        <f t="shared" si="21"/>
        <v>-3843168.8907409701</v>
      </c>
      <c r="Q108" s="17">
        <f t="shared" si="22"/>
        <v>24809453.88714486</v>
      </c>
      <c r="R108" s="17">
        <f t="shared" si="23"/>
        <v>-483026.34509018</v>
      </c>
      <c r="S108" s="17">
        <f t="shared" si="24"/>
        <v>14527660.950879315</v>
      </c>
      <c r="T108" s="17">
        <f t="shared" si="25"/>
        <v>413783.55369814899</v>
      </c>
      <c r="U108" s="17">
        <f t="shared" si="26"/>
        <v>28839157.591305606</v>
      </c>
      <c r="V108" s="17">
        <f t="shared" si="29"/>
        <v>-746064.98559567705</v>
      </c>
      <c r="W108" s="29">
        <f t="shared" si="30"/>
        <v>2.5217487671638093E-2</v>
      </c>
    </row>
    <row r="109" spans="1:23" x14ac:dyDescent="0.2">
      <c r="A109" s="206">
        <f>'Monthly Data'!A109</f>
        <v>44896</v>
      </c>
      <c r="B109">
        <f>'Monthly Data'!C109</f>
        <v>12</v>
      </c>
      <c r="C109">
        <f>'Monthly Data'!B109</f>
        <v>2022</v>
      </c>
      <c r="D109" s="18">
        <f>'Monthly Data'!N109</f>
        <v>32431814.966898166</v>
      </c>
      <c r="E109">
        <f>'Monthly Data'!AI109</f>
        <v>480.52218897094639</v>
      </c>
      <c r="F109" s="98">
        <f>'Monthly Data'!AD109</f>
        <v>0</v>
      </c>
      <c r="G109">
        <f>'Monthly Data'!AV109</f>
        <v>108</v>
      </c>
      <c r="H109">
        <f>'Monthly Data'!BO109</f>
        <v>31</v>
      </c>
      <c r="I109">
        <f>'Monthly Data'!BR109</f>
        <v>0.25</v>
      </c>
      <c r="J109">
        <f>'Monthly Data'!AT109</f>
        <v>852029</v>
      </c>
      <c r="K109">
        <f>'Monthly Data'!BJ109</f>
        <v>0</v>
      </c>
      <c r="M109" s="17">
        <f t="shared" si="20"/>
        <v>-9501475.1395959798</v>
      </c>
      <c r="N109" s="17">
        <f t="shared" si="27"/>
        <v>5642139.7199153984</v>
      </c>
      <c r="O109" s="17">
        <f t="shared" si="28"/>
        <v>0</v>
      </c>
      <c r="P109" s="17">
        <f t="shared" si="21"/>
        <v>-3879086.3570095771</v>
      </c>
      <c r="Q109" s="17">
        <f t="shared" si="22"/>
        <v>25636435.683383022</v>
      </c>
      <c r="R109" s="17">
        <f t="shared" si="23"/>
        <v>-483026.34509018</v>
      </c>
      <c r="S109" s="17">
        <f t="shared" si="24"/>
        <v>14527660.950879315</v>
      </c>
      <c r="T109" s="17">
        <f t="shared" si="25"/>
        <v>0</v>
      </c>
      <c r="U109" s="17">
        <f t="shared" si="26"/>
        <v>31942648.512481995</v>
      </c>
      <c r="V109" s="17">
        <f t="shared" si="29"/>
        <v>-489166.45441617072</v>
      </c>
      <c r="W109" s="29">
        <f t="shared" si="30"/>
        <v>1.5082919500972826E-2</v>
      </c>
    </row>
    <row r="110" spans="1:23" x14ac:dyDescent="0.2">
      <c r="A110" s="206">
        <f>'Monthly Data'!A110</f>
        <v>44927</v>
      </c>
      <c r="B110">
        <f>'Monthly Data'!C110</f>
        <v>1</v>
      </c>
      <c r="C110">
        <f>'Monthly Data'!B110</f>
        <v>2023</v>
      </c>
      <c r="D110" s="18">
        <f>'Monthly Data'!N110</f>
        <v>33325468.746121921</v>
      </c>
      <c r="E110">
        <f>'Monthly Data'!AI110</f>
        <v>552.82150117675701</v>
      </c>
      <c r="F110" s="98">
        <f>'Monthly Data'!AD110</f>
        <v>0</v>
      </c>
      <c r="G110">
        <f>'Monthly Data'!AV110</f>
        <v>109</v>
      </c>
      <c r="H110">
        <f>'Monthly Data'!BO110</f>
        <v>31</v>
      </c>
      <c r="I110">
        <f>'Monthly Data'!BR110</f>
        <v>0</v>
      </c>
      <c r="J110">
        <f>'Monthly Data'!AT110</f>
        <v>860658</v>
      </c>
      <c r="K110">
        <f>'Monthly Data'!BJ110</f>
        <v>0</v>
      </c>
      <c r="M110" s="17">
        <f t="shared" si="20"/>
        <v>-9501475.1395959798</v>
      </c>
      <c r="N110" s="17">
        <f t="shared" si="27"/>
        <v>6491055.4005680392</v>
      </c>
      <c r="O110" s="17">
        <f t="shared" si="28"/>
        <v>0</v>
      </c>
      <c r="P110" s="17">
        <f t="shared" si="21"/>
        <v>-3915003.8232781845</v>
      </c>
      <c r="Q110" s="17">
        <f t="shared" si="22"/>
        <v>25636435.683383022</v>
      </c>
      <c r="R110" s="17">
        <f t="shared" si="23"/>
        <v>0</v>
      </c>
      <c r="S110" s="17">
        <f t="shared" si="24"/>
        <v>14674791.138167702</v>
      </c>
      <c r="T110" s="17">
        <f t="shared" si="25"/>
        <v>0</v>
      </c>
      <c r="U110" s="17">
        <f t="shared" si="26"/>
        <v>33385803.259244598</v>
      </c>
      <c r="V110" s="17">
        <f t="shared" si="29"/>
        <v>60334.513122677803</v>
      </c>
      <c r="W110" s="29">
        <f t="shared" si="30"/>
        <v>1.8104625498988345E-3</v>
      </c>
    </row>
    <row r="111" spans="1:23" x14ac:dyDescent="0.2">
      <c r="A111" s="206">
        <f>'Monthly Data'!A111</f>
        <v>44958</v>
      </c>
      <c r="B111">
        <f>'Monthly Data'!C111</f>
        <v>2</v>
      </c>
      <c r="C111">
        <f>'Monthly Data'!B111</f>
        <v>2023</v>
      </c>
      <c r="D111" s="18">
        <f>'Monthly Data'!N111</f>
        <v>30837156.259682801</v>
      </c>
      <c r="E111">
        <f>'Monthly Data'!AI111</f>
        <v>531.82499999999993</v>
      </c>
      <c r="F111" s="98">
        <f>'Monthly Data'!AD111</f>
        <v>0</v>
      </c>
      <c r="G111">
        <f>'Monthly Data'!AV111</f>
        <v>110</v>
      </c>
      <c r="H111">
        <f>'Monthly Data'!BO111</f>
        <v>28</v>
      </c>
      <c r="I111">
        <f>'Monthly Data'!BR111</f>
        <v>0</v>
      </c>
      <c r="J111">
        <f>'Monthly Data'!AT111</f>
        <v>860658</v>
      </c>
      <c r="K111">
        <f>'Monthly Data'!BJ111</f>
        <v>0</v>
      </c>
      <c r="M111" s="17">
        <f t="shared" si="20"/>
        <v>-9501475.1395959798</v>
      </c>
      <c r="N111" s="17">
        <f t="shared" si="27"/>
        <v>6244521.1176823135</v>
      </c>
      <c r="O111" s="17">
        <f t="shared" si="28"/>
        <v>0</v>
      </c>
      <c r="P111" s="17">
        <f t="shared" si="21"/>
        <v>-3950921.2895467915</v>
      </c>
      <c r="Q111" s="17">
        <f t="shared" si="22"/>
        <v>23155490.294668537</v>
      </c>
      <c r="R111" s="17">
        <f t="shared" si="23"/>
        <v>0</v>
      </c>
      <c r="S111" s="17">
        <f t="shared" si="24"/>
        <v>14674791.138167702</v>
      </c>
      <c r="T111" s="17">
        <f t="shared" si="25"/>
        <v>0</v>
      </c>
      <c r="U111" s="17">
        <f t="shared" si="26"/>
        <v>30622406.121375781</v>
      </c>
      <c r="V111" s="17">
        <f t="shared" si="29"/>
        <v>-214750.13830702007</v>
      </c>
      <c r="W111" s="29">
        <f t="shared" si="30"/>
        <v>6.9640059056868767E-3</v>
      </c>
    </row>
    <row r="112" spans="1:23" x14ac:dyDescent="0.2">
      <c r="A112" s="206">
        <f>'Monthly Data'!A112</f>
        <v>44986</v>
      </c>
      <c r="B112">
        <f>'Monthly Data'!C112</f>
        <v>3</v>
      </c>
      <c r="C112">
        <f>'Monthly Data'!B112</f>
        <v>2023</v>
      </c>
      <c r="D112" s="18">
        <f>'Monthly Data'!N112</f>
        <v>32391742.110243682</v>
      </c>
      <c r="E112">
        <f>'Monthly Data'!AI112</f>
        <v>447.93333333333351</v>
      </c>
      <c r="F112" s="98">
        <f>'Monthly Data'!AD112</f>
        <v>0</v>
      </c>
      <c r="G112">
        <f>'Monthly Data'!AV112</f>
        <v>111</v>
      </c>
      <c r="H112">
        <f>'Monthly Data'!BO112</f>
        <v>31</v>
      </c>
      <c r="I112">
        <f>'Monthly Data'!BR112</f>
        <v>0</v>
      </c>
      <c r="J112">
        <f>'Monthly Data'!AT112</f>
        <v>860658</v>
      </c>
      <c r="K112">
        <f>'Monthly Data'!BJ112</f>
        <v>0</v>
      </c>
      <c r="M112" s="17">
        <f t="shared" si="20"/>
        <v>-9501475.1395959798</v>
      </c>
      <c r="N112" s="17">
        <f t="shared" si="27"/>
        <v>5259491.6736028437</v>
      </c>
      <c r="O112" s="17">
        <f t="shared" si="28"/>
        <v>0</v>
      </c>
      <c r="P112" s="17">
        <f t="shared" si="21"/>
        <v>-3986838.7558153989</v>
      </c>
      <c r="Q112" s="17">
        <f t="shared" si="22"/>
        <v>25636435.683383022</v>
      </c>
      <c r="R112" s="17">
        <f t="shared" si="23"/>
        <v>0</v>
      </c>
      <c r="S112" s="17">
        <f t="shared" si="24"/>
        <v>14674791.138167702</v>
      </c>
      <c r="T112" s="17">
        <f t="shared" si="25"/>
        <v>0</v>
      </c>
      <c r="U112" s="17">
        <f t="shared" si="26"/>
        <v>32082404.599742189</v>
      </c>
      <c r="V112" s="17">
        <f t="shared" si="29"/>
        <v>-309337.51050149277</v>
      </c>
      <c r="W112" s="29">
        <f t="shared" si="30"/>
        <v>9.5498880377806773E-3</v>
      </c>
    </row>
    <row r="113" spans="1:23" x14ac:dyDescent="0.2">
      <c r="A113" s="206">
        <f>'Monthly Data'!A113</f>
        <v>45017</v>
      </c>
      <c r="B113">
        <f>'Monthly Data'!C113</f>
        <v>4</v>
      </c>
      <c r="C113">
        <f>'Monthly Data'!B113</f>
        <v>2023</v>
      </c>
      <c r="D113" s="18">
        <f>'Monthly Data'!N113</f>
        <v>27702269.425804559</v>
      </c>
      <c r="E113">
        <f>'Monthly Data'!AI113</f>
        <v>205.87291666666664</v>
      </c>
      <c r="F113" s="98">
        <f>'Monthly Data'!AD113</f>
        <v>0.11666666666666714</v>
      </c>
      <c r="G113">
        <f>'Monthly Data'!AV113</f>
        <v>112</v>
      </c>
      <c r="H113">
        <f>'Monthly Data'!BO113</f>
        <v>30</v>
      </c>
      <c r="I113">
        <f>'Monthly Data'!BR113</f>
        <v>0</v>
      </c>
      <c r="J113">
        <f>'Monthly Data'!AT113</f>
        <v>865503</v>
      </c>
      <c r="K113">
        <f>'Monthly Data'!BJ113</f>
        <v>0</v>
      </c>
      <c r="M113" s="17">
        <f t="shared" si="20"/>
        <v>-9501475.1395959798</v>
      </c>
      <c r="N113" s="17">
        <f t="shared" si="27"/>
        <v>2417294.7410968854</v>
      </c>
      <c r="O113" s="17">
        <f t="shared" si="28"/>
        <v>2545.1489892739155</v>
      </c>
      <c r="P113" s="17">
        <f t="shared" si="21"/>
        <v>-4022756.2220840063</v>
      </c>
      <c r="Q113" s="17">
        <f t="shared" si="22"/>
        <v>24809453.88714486</v>
      </c>
      <c r="R113" s="17">
        <f t="shared" si="23"/>
        <v>0</v>
      </c>
      <c r="S113" s="17">
        <f t="shared" si="24"/>
        <v>14757401.609533126</v>
      </c>
      <c r="T113" s="17">
        <f t="shared" si="25"/>
        <v>0</v>
      </c>
      <c r="U113" s="17">
        <f t="shared" si="26"/>
        <v>28462464.02508416</v>
      </c>
      <c r="V113" s="17">
        <f t="shared" si="29"/>
        <v>760194.59927960113</v>
      </c>
      <c r="W113" s="29">
        <f t="shared" si="30"/>
        <v>2.74416000940155E-2</v>
      </c>
    </row>
    <row r="114" spans="1:23" x14ac:dyDescent="0.2">
      <c r="A114" s="206">
        <f>'Monthly Data'!A114</f>
        <v>45047</v>
      </c>
      <c r="B114">
        <f>'Monthly Data'!C114</f>
        <v>5</v>
      </c>
      <c r="C114">
        <f>'Monthly Data'!B114</f>
        <v>2023</v>
      </c>
      <c r="D114" s="18">
        <f>'Monthly Data'!N114</f>
        <v>27191589.291365437</v>
      </c>
      <c r="E114">
        <f>'Monthly Data'!AI114</f>
        <v>37.537500000000009</v>
      </c>
      <c r="F114" s="98">
        <f>'Monthly Data'!AD114</f>
        <v>23.114583333333339</v>
      </c>
      <c r="G114">
        <f>'Monthly Data'!AV114</f>
        <v>113</v>
      </c>
      <c r="H114">
        <f>'Monthly Data'!BO114</f>
        <v>31</v>
      </c>
      <c r="I114">
        <f>'Monthly Data'!BR114</f>
        <v>0</v>
      </c>
      <c r="J114">
        <f>'Monthly Data'!AT114</f>
        <v>865503</v>
      </c>
      <c r="K114">
        <f>'Monthly Data'!BJ114</f>
        <v>0</v>
      </c>
      <c r="M114" s="17">
        <f t="shared" si="20"/>
        <v>-9501475.1395959798</v>
      </c>
      <c r="N114" s="17">
        <f t="shared" si="27"/>
        <v>440753.46487096307</v>
      </c>
      <c r="O114" s="17">
        <f t="shared" si="28"/>
        <v>504257.64349989255</v>
      </c>
      <c r="P114" s="17">
        <f t="shared" si="21"/>
        <v>-4058673.6883526132</v>
      </c>
      <c r="Q114" s="17">
        <f t="shared" si="22"/>
        <v>25636435.683383022</v>
      </c>
      <c r="R114" s="17">
        <f t="shared" si="23"/>
        <v>0</v>
      </c>
      <c r="S114" s="17">
        <f t="shared" si="24"/>
        <v>14757401.609533126</v>
      </c>
      <c r="T114" s="17">
        <f t="shared" si="25"/>
        <v>0</v>
      </c>
      <c r="U114" s="17">
        <f t="shared" si="26"/>
        <v>27778699.573338412</v>
      </c>
      <c r="V114" s="17">
        <f t="shared" si="29"/>
        <v>587110.28197297454</v>
      </c>
      <c r="W114" s="29">
        <f t="shared" si="30"/>
        <v>2.1591613336091713E-2</v>
      </c>
    </row>
    <row r="115" spans="1:23" x14ac:dyDescent="0.2">
      <c r="A115" s="206">
        <f>'Monthly Data'!A115</f>
        <v>45078</v>
      </c>
      <c r="B115">
        <f>'Monthly Data'!C115</f>
        <v>6</v>
      </c>
      <c r="C115">
        <f>'Monthly Data'!B115</f>
        <v>2023</v>
      </c>
      <c r="D115" s="18">
        <f>'Monthly Data'!N115</f>
        <v>27669678.449926317</v>
      </c>
      <c r="E115">
        <f>'Monthly Data'!AI115</f>
        <v>1.9875000000000025</v>
      </c>
      <c r="F115" s="98">
        <f>'Monthly Data'!AD115</f>
        <v>79.998624411621506</v>
      </c>
      <c r="G115">
        <f>'Monthly Data'!AV115</f>
        <v>114</v>
      </c>
      <c r="H115">
        <f>'Monthly Data'!BO115</f>
        <v>30</v>
      </c>
      <c r="I115">
        <f>'Monthly Data'!BR115</f>
        <v>0</v>
      </c>
      <c r="J115">
        <f>'Monthly Data'!AT115</f>
        <v>865503</v>
      </c>
      <c r="K115">
        <f>'Monthly Data'!BJ115</f>
        <v>0</v>
      </c>
      <c r="M115" s="17">
        <f t="shared" si="20"/>
        <v>-9501475.1395959798</v>
      </c>
      <c r="N115" s="17">
        <f t="shared" si="27"/>
        <v>23336.597041119945</v>
      </c>
      <c r="O115" s="17">
        <f t="shared" si="28"/>
        <v>1745215.011981782</v>
      </c>
      <c r="P115" s="17">
        <f t="shared" si="21"/>
        <v>-4094591.1546212207</v>
      </c>
      <c r="Q115" s="17">
        <f t="shared" si="22"/>
        <v>24809453.88714486</v>
      </c>
      <c r="R115" s="17">
        <f t="shared" si="23"/>
        <v>0</v>
      </c>
      <c r="S115" s="17">
        <f t="shared" si="24"/>
        <v>14757401.609533126</v>
      </c>
      <c r="T115" s="17">
        <f t="shared" si="25"/>
        <v>0</v>
      </c>
      <c r="U115" s="17">
        <f t="shared" si="26"/>
        <v>27739340.811483689</v>
      </c>
      <c r="V115" s="17">
        <f t="shared" si="29"/>
        <v>69662.361557371914</v>
      </c>
      <c r="W115" s="29">
        <f t="shared" si="30"/>
        <v>2.5176426131384056E-3</v>
      </c>
    </row>
    <row r="116" spans="1:23" x14ac:dyDescent="0.2">
      <c r="A116" s="206">
        <f>'Monthly Data'!A116</f>
        <v>45108</v>
      </c>
      <c r="B116">
        <f>'Monthly Data'!C116</f>
        <v>7</v>
      </c>
      <c r="C116">
        <f>'Monthly Data'!B116</f>
        <v>2023</v>
      </c>
      <c r="D116" s="18">
        <f>'Monthly Data'!N116</f>
        <v>28849666.375487197</v>
      </c>
      <c r="E116">
        <f>'Monthly Data'!AI116</f>
        <v>0</v>
      </c>
      <c r="F116" s="98">
        <f>'Monthly Data'!AD116</f>
        <v>100.44583333333335</v>
      </c>
      <c r="G116">
        <f>'Monthly Data'!AV116</f>
        <v>115</v>
      </c>
      <c r="H116">
        <f>'Monthly Data'!BO116</f>
        <v>31</v>
      </c>
      <c r="I116">
        <f>'Monthly Data'!BR116</f>
        <v>0</v>
      </c>
      <c r="J116">
        <f>'Monthly Data'!AT116</f>
        <v>867701</v>
      </c>
      <c r="K116">
        <f>'Monthly Data'!BJ116</f>
        <v>0</v>
      </c>
      <c r="M116" s="17">
        <f t="shared" si="20"/>
        <v>-9501475.1395959798</v>
      </c>
      <c r="N116" s="17">
        <f t="shared" si="27"/>
        <v>0</v>
      </c>
      <c r="O116" s="17">
        <f t="shared" si="28"/>
        <v>2191282.3815866443</v>
      </c>
      <c r="P116" s="17">
        <f t="shared" si="21"/>
        <v>-4130508.6208898276</v>
      </c>
      <c r="Q116" s="17">
        <f t="shared" si="22"/>
        <v>25636435.683383022</v>
      </c>
      <c r="R116" s="17">
        <f t="shared" si="23"/>
        <v>0</v>
      </c>
      <c r="S116" s="17">
        <f t="shared" si="24"/>
        <v>14794878.970949266</v>
      </c>
      <c r="T116" s="17">
        <f t="shared" si="25"/>
        <v>0</v>
      </c>
      <c r="U116" s="17">
        <f t="shared" si="26"/>
        <v>28990613.275433123</v>
      </c>
      <c r="V116" s="17">
        <f t="shared" si="29"/>
        <v>140946.89994592592</v>
      </c>
      <c r="W116" s="29">
        <f t="shared" si="30"/>
        <v>4.8855642942784525E-3</v>
      </c>
    </row>
    <row r="117" spans="1:23" x14ac:dyDescent="0.2">
      <c r="A117" s="206">
        <f>'Monthly Data'!A117</f>
        <v>45139</v>
      </c>
      <c r="B117">
        <f>'Monthly Data'!C117</f>
        <v>8</v>
      </c>
      <c r="C117">
        <f>'Monthly Data'!B117</f>
        <v>2023</v>
      </c>
      <c r="D117" s="18">
        <f>'Monthly Data'!N117</f>
        <v>27410213.500048079</v>
      </c>
      <c r="E117">
        <f>'Monthly Data'!AI117</f>
        <v>0</v>
      </c>
      <c r="F117" s="98">
        <f>'Monthly Data'!AD117</f>
        <v>35.514583333333306</v>
      </c>
      <c r="G117">
        <f>'Monthly Data'!AV117</f>
        <v>116</v>
      </c>
      <c r="H117">
        <f>'Monthly Data'!BO117</f>
        <v>31</v>
      </c>
      <c r="I117">
        <f>'Monthly Data'!BR117</f>
        <v>0</v>
      </c>
      <c r="J117">
        <f>'Monthly Data'!AT117</f>
        <v>867701</v>
      </c>
      <c r="K117">
        <f>'Monthly Data'!BJ117</f>
        <v>0</v>
      </c>
      <c r="M117" s="17">
        <f t="shared" si="20"/>
        <v>-9501475.1395959798</v>
      </c>
      <c r="N117" s="17">
        <f t="shared" si="27"/>
        <v>0</v>
      </c>
      <c r="O117" s="17">
        <f t="shared" si="28"/>
        <v>774770.62178843259</v>
      </c>
      <c r="P117" s="17">
        <f t="shared" si="21"/>
        <v>-4166426.087158435</v>
      </c>
      <c r="Q117" s="17">
        <f t="shared" si="22"/>
        <v>25636435.683383022</v>
      </c>
      <c r="R117" s="17">
        <f t="shared" si="23"/>
        <v>0</v>
      </c>
      <c r="S117" s="17">
        <f t="shared" si="24"/>
        <v>14794878.970949266</v>
      </c>
      <c r="T117" s="17">
        <f t="shared" si="25"/>
        <v>0</v>
      </c>
      <c r="U117" s="17">
        <f t="shared" si="26"/>
        <v>27538184.049366307</v>
      </c>
      <c r="V117" s="17">
        <f t="shared" si="29"/>
        <v>127970.54931822792</v>
      </c>
      <c r="W117" s="29">
        <f t="shared" si="30"/>
        <v>4.6687177142200461E-3</v>
      </c>
    </row>
    <row r="118" spans="1:23" x14ac:dyDescent="0.2">
      <c r="A118" s="206">
        <f>'Monthly Data'!A118</f>
        <v>45170</v>
      </c>
      <c r="B118">
        <f>'Monthly Data'!C118</f>
        <v>9</v>
      </c>
      <c r="C118">
        <f>'Monthly Data'!B118</f>
        <v>2023</v>
      </c>
      <c r="D118" s="18">
        <f>'Monthly Data'!N118</f>
        <v>26672181.881608956</v>
      </c>
      <c r="E118">
        <f>'Monthly Data'!AI118</f>
        <v>2.1166666666666671</v>
      </c>
      <c r="F118" s="98">
        <f>'Monthly Data'!AD118</f>
        <v>29.993750000000002</v>
      </c>
      <c r="G118">
        <f>'Monthly Data'!AV118</f>
        <v>117</v>
      </c>
      <c r="H118">
        <f>'Monthly Data'!BO118</f>
        <v>30</v>
      </c>
      <c r="I118">
        <f>'Monthly Data'!BR118</f>
        <v>0</v>
      </c>
      <c r="J118">
        <f>'Monthly Data'!AT118</f>
        <v>867701</v>
      </c>
      <c r="K118">
        <f>'Monthly Data'!BJ118</f>
        <v>1</v>
      </c>
      <c r="M118" s="17">
        <f t="shared" si="20"/>
        <v>-9501475.1395959798</v>
      </c>
      <c r="N118" s="17">
        <f t="shared" si="27"/>
        <v>24853.231230375095</v>
      </c>
      <c r="O118" s="17">
        <f t="shared" si="28"/>
        <v>654330.53568886453</v>
      </c>
      <c r="P118" s="17">
        <f t="shared" si="21"/>
        <v>-4202343.5534270424</v>
      </c>
      <c r="Q118" s="17">
        <f t="shared" si="22"/>
        <v>24809453.88714486</v>
      </c>
      <c r="R118" s="17">
        <f t="shared" si="23"/>
        <v>0</v>
      </c>
      <c r="S118" s="17">
        <f t="shared" si="24"/>
        <v>14794878.970949266</v>
      </c>
      <c r="T118" s="17">
        <f t="shared" si="25"/>
        <v>413783.55369814899</v>
      </c>
      <c r="U118" s="17">
        <f t="shared" si="26"/>
        <v>26579697.93199034</v>
      </c>
      <c r="V118" s="17">
        <f t="shared" si="29"/>
        <v>-92483.94961861521</v>
      </c>
      <c r="W118" s="29">
        <f t="shared" si="30"/>
        <v>3.467430974680961E-3</v>
      </c>
    </row>
    <row r="119" spans="1:23" x14ac:dyDescent="0.2">
      <c r="A119" s="206">
        <f>'Monthly Data'!A119</f>
        <v>45200</v>
      </c>
      <c r="B119">
        <f>'Monthly Data'!C119</f>
        <v>10</v>
      </c>
      <c r="C119">
        <f>'Monthly Data'!B119</f>
        <v>2023</v>
      </c>
      <c r="D119" s="18">
        <f>'Monthly Data'!N119</f>
        <v>28075910.169169836</v>
      </c>
      <c r="E119">
        <f>'Monthly Data'!AI119</f>
        <v>115.11179225504519</v>
      </c>
      <c r="F119" s="98">
        <f>'Monthly Data'!AD119</f>
        <v>12.368749999999995</v>
      </c>
      <c r="G119">
        <f>'Monthly Data'!AV119</f>
        <v>118</v>
      </c>
      <c r="H119">
        <f>'Monthly Data'!BO119</f>
        <v>31</v>
      </c>
      <c r="I119">
        <f>'Monthly Data'!BR119</f>
        <v>0</v>
      </c>
      <c r="J119">
        <f>'Monthly Data'!AT119</f>
        <v>869576</v>
      </c>
      <c r="K119">
        <f>'Monthly Data'!BJ119</f>
        <v>1</v>
      </c>
      <c r="M119" s="17">
        <f t="shared" si="20"/>
        <v>-9501475.1395959798</v>
      </c>
      <c r="N119" s="17">
        <f t="shared" si="27"/>
        <v>1351606.2946098607</v>
      </c>
      <c r="O119" s="17">
        <f t="shared" si="28"/>
        <v>269831.24195212801</v>
      </c>
      <c r="P119" s="17">
        <f t="shared" si="21"/>
        <v>-4238261.0196956489</v>
      </c>
      <c r="Q119" s="17">
        <f t="shared" si="22"/>
        <v>25636435.683383022</v>
      </c>
      <c r="R119" s="17">
        <f t="shared" si="23"/>
        <v>0</v>
      </c>
      <c r="S119" s="17">
        <f t="shared" si="24"/>
        <v>14826848.967607711</v>
      </c>
      <c r="T119" s="17">
        <f t="shared" si="25"/>
        <v>413783.55369814899</v>
      </c>
      <c r="U119" s="17">
        <f t="shared" si="26"/>
        <v>28344986.028261092</v>
      </c>
      <c r="V119" s="17">
        <f t="shared" si="29"/>
        <v>269075.85909125581</v>
      </c>
      <c r="W119" s="29">
        <f t="shared" si="30"/>
        <v>9.5838694977279162E-3</v>
      </c>
    </row>
    <row r="120" spans="1:23" x14ac:dyDescent="0.2">
      <c r="A120" s="206">
        <f>'Monthly Data'!A120</f>
        <v>45231</v>
      </c>
      <c r="B120">
        <f>'Monthly Data'!C120</f>
        <v>11</v>
      </c>
      <c r="C120">
        <f>'Monthly Data'!B120</f>
        <v>2023</v>
      </c>
      <c r="D120" s="18">
        <f>'Monthly Data'!N120</f>
        <v>30125834.330730714</v>
      </c>
      <c r="E120">
        <f>'Monthly Data'!AI120</f>
        <v>339.48679225504515</v>
      </c>
      <c r="F120" s="98">
        <f>'Monthly Data'!AD120</f>
        <v>0</v>
      </c>
      <c r="G120">
        <f>'Monthly Data'!AV120</f>
        <v>119</v>
      </c>
      <c r="H120">
        <f>'Monthly Data'!BO120</f>
        <v>30</v>
      </c>
      <c r="I120">
        <f>'Monthly Data'!BR120</f>
        <v>0</v>
      </c>
      <c r="J120">
        <f>'Monthly Data'!AT120</f>
        <v>869576</v>
      </c>
      <c r="K120">
        <f>'Monthly Data'!BJ120</f>
        <v>1</v>
      </c>
      <c r="M120" s="17">
        <f t="shared" si="20"/>
        <v>-9501475.1395959798</v>
      </c>
      <c r="N120" s="17">
        <f t="shared" si="27"/>
        <v>3986146.6523966687</v>
      </c>
      <c r="O120" s="17">
        <f t="shared" si="28"/>
        <v>0</v>
      </c>
      <c r="P120" s="17">
        <f t="shared" si="21"/>
        <v>-4274178.4859642563</v>
      </c>
      <c r="Q120" s="17">
        <f t="shared" si="22"/>
        <v>24809453.88714486</v>
      </c>
      <c r="R120" s="17">
        <f t="shared" si="23"/>
        <v>0</v>
      </c>
      <c r="S120" s="17">
        <f t="shared" si="24"/>
        <v>14826848.967607711</v>
      </c>
      <c r="T120" s="17">
        <f t="shared" si="25"/>
        <v>413783.55369814899</v>
      </c>
      <c r="U120" s="17">
        <f t="shared" si="26"/>
        <v>29846795.881589003</v>
      </c>
      <c r="V120" s="17">
        <f t="shared" si="29"/>
        <v>-279038.449141711</v>
      </c>
      <c r="W120" s="29">
        <f t="shared" si="30"/>
        <v>9.2624305796261356E-3</v>
      </c>
    </row>
    <row r="121" spans="1:23" x14ac:dyDescent="0.2">
      <c r="A121" s="206">
        <f>'Monthly Data'!A121</f>
        <v>45261</v>
      </c>
      <c r="B121">
        <f>'Monthly Data'!C121</f>
        <v>12</v>
      </c>
      <c r="C121">
        <f>'Monthly Data'!B121</f>
        <v>2023</v>
      </c>
      <c r="D121" s="18">
        <f>'Monthly Data'!N121</f>
        <v>31326096.943291593</v>
      </c>
      <c r="E121">
        <f>'Monthly Data'!AI121</f>
        <v>401.47216902018062</v>
      </c>
      <c r="F121" s="98">
        <f>'Monthly Data'!AD121</f>
        <v>0</v>
      </c>
      <c r="G121">
        <f>'Monthly Data'!AV121</f>
        <v>120</v>
      </c>
      <c r="H121">
        <f>'Monthly Data'!BO121</f>
        <v>31</v>
      </c>
      <c r="I121">
        <f>'Monthly Data'!BR121</f>
        <v>0</v>
      </c>
      <c r="J121">
        <f>'Monthly Data'!AT121</f>
        <v>869576</v>
      </c>
      <c r="K121">
        <f>'Monthly Data'!BJ121</f>
        <v>0</v>
      </c>
      <c r="M121" s="17">
        <f t="shared" si="20"/>
        <v>-9501475.1395959798</v>
      </c>
      <c r="N121" s="17">
        <f t="shared" si="27"/>
        <v>4713959.3618356436</v>
      </c>
      <c r="O121" s="17">
        <f t="shared" si="28"/>
        <v>0</v>
      </c>
      <c r="P121" s="17">
        <f t="shared" si="21"/>
        <v>-4310095.9522328638</v>
      </c>
      <c r="Q121" s="17">
        <f t="shared" si="22"/>
        <v>25636435.683383022</v>
      </c>
      <c r="R121" s="17">
        <f t="shared" si="23"/>
        <v>0</v>
      </c>
      <c r="S121" s="17">
        <f t="shared" si="24"/>
        <v>14826848.967607711</v>
      </c>
      <c r="T121" s="17">
        <f t="shared" si="25"/>
        <v>0</v>
      </c>
      <c r="U121" s="17">
        <f t="shared" si="26"/>
        <v>31365672.92099753</v>
      </c>
      <c r="V121" s="17">
        <f t="shared" si="29"/>
        <v>39575.977705936879</v>
      </c>
      <c r="W121" s="29">
        <f t="shared" si="30"/>
        <v>1.2633548883405335E-3</v>
      </c>
    </row>
    <row r="122" spans="1:23" x14ac:dyDescent="0.2">
      <c r="A122" s="206">
        <f>'Monthly Data'!A122</f>
        <v>45292</v>
      </c>
      <c r="B122">
        <f>'Monthly Data'!C122</f>
        <v>1</v>
      </c>
      <c r="C122">
        <f>'Monthly Data'!B122</f>
        <v>2024</v>
      </c>
      <c r="D122" s="18">
        <f>'Monthly Data'!N122</f>
        <v>33487909.795723487</v>
      </c>
      <c r="E122">
        <f>'Monthly Data'!AI122</f>
        <v>563.51250000000005</v>
      </c>
      <c r="F122" s="98">
        <f>'Monthly Data'!AD122</f>
        <v>0</v>
      </c>
      <c r="G122">
        <f>'Monthly Data'!AV122</f>
        <v>121</v>
      </c>
      <c r="H122">
        <f>'Monthly Data'!BO122</f>
        <v>31</v>
      </c>
      <c r="I122">
        <f>'Monthly Data'!BR122</f>
        <v>0</v>
      </c>
      <c r="J122">
        <f>'Monthly Data'!AT122</f>
        <v>874402</v>
      </c>
      <c r="K122">
        <f>'Monthly Data'!BJ122</f>
        <v>0</v>
      </c>
      <c r="M122" s="17">
        <f t="shared" si="20"/>
        <v>-9501475.1395959798</v>
      </c>
      <c r="N122" s="17">
        <f t="shared" ref="N122:N132" si="31">E122*$Z$8</f>
        <v>6616585.7308850763</v>
      </c>
      <c r="O122" s="17">
        <f t="shared" ref="O122:O132" si="32">F122*$Z$9</f>
        <v>0</v>
      </c>
      <c r="P122" s="17">
        <f t="shared" ref="P122:P132" si="33">G122*$Z$10</f>
        <v>-4346013.4185014712</v>
      </c>
      <c r="Q122" s="17">
        <f t="shared" ref="Q122:Q132" si="34">H122*$Z$11</f>
        <v>25636435.683383022</v>
      </c>
      <c r="R122" s="17">
        <f t="shared" ref="R122:R132" si="35">I122*$Z$12</f>
        <v>0</v>
      </c>
      <c r="S122" s="17">
        <f t="shared" ref="S122:S132" si="36">J122*$Z$13</f>
        <v>14909135.476340329</v>
      </c>
      <c r="T122" s="17">
        <f t="shared" ref="T122:T132" si="37">K122*$Z$14</f>
        <v>0</v>
      </c>
      <c r="U122" s="17">
        <f t="shared" ref="U122:U132" si="38">SUM(M122:S122)</f>
        <v>33314668.332510978</v>
      </c>
      <c r="V122" s="17">
        <f t="shared" ref="V122:V132" si="39">U122-D122</f>
        <v>-173241.46321250871</v>
      </c>
      <c r="W122" s="29">
        <f t="shared" ref="W122:W132" si="40">ABS(V122/D122)</f>
        <v>5.1732539973167327E-3</v>
      </c>
    </row>
    <row r="123" spans="1:23" x14ac:dyDescent="0.2">
      <c r="A123" s="206">
        <f>'Monthly Data'!A123</f>
        <v>45323</v>
      </c>
      <c r="B123">
        <f>'Monthly Data'!C123</f>
        <v>2</v>
      </c>
      <c r="C123">
        <f>'Monthly Data'!B123</f>
        <v>2024</v>
      </c>
      <c r="D123" s="18">
        <f>'Monthly Data'!N123</f>
        <v>30402072.506792381</v>
      </c>
      <c r="E123">
        <f>'Monthly Data'!AI123</f>
        <v>457.39166666666665</v>
      </c>
      <c r="F123" s="98">
        <f>'Monthly Data'!AD123</f>
        <v>0</v>
      </c>
      <c r="G123">
        <f>'Monthly Data'!AV123</f>
        <v>122</v>
      </c>
      <c r="H123">
        <f>'Monthly Data'!BO123</f>
        <v>29</v>
      </c>
      <c r="I123">
        <f>'Monthly Data'!BR123</f>
        <v>0</v>
      </c>
      <c r="J123">
        <f>'Monthly Data'!AT123</f>
        <v>874402</v>
      </c>
      <c r="K123">
        <f>'Monthly Data'!BJ123</f>
        <v>0</v>
      </c>
      <c r="M123" s="17">
        <f t="shared" si="20"/>
        <v>-9501475.1395959798</v>
      </c>
      <c r="N123" s="17">
        <f t="shared" si="31"/>
        <v>5370548.4352031397</v>
      </c>
      <c r="O123" s="17">
        <f t="shared" si="32"/>
        <v>0</v>
      </c>
      <c r="P123" s="17">
        <f t="shared" si="33"/>
        <v>-4381930.8847700777</v>
      </c>
      <c r="Q123" s="17">
        <f t="shared" si="34"/>
        <v>23982472.090906698</v>
      </c>
      <c r="R123" s="17">
        <f t="shared" si="35"/>
        <v>0</v>
      </c>
      <c r="S123" s="17">
        <f t="shared" si="36"/>
        <v>14909135.476340329</v>
      </c>
      <c r="T123" s="17">
        <f t="shared" si="37"/>
        <v>0</v>
      </c>
      <c r="U123" s="17">
        <f t="shared" si="38"/>
        <v>30378749.97808411</v>
      </c>
      <c r="V123" s="17">
        <f t="shared" si="39"/>
        <v>-23322.528708271682</v>
      </c>
      <c r="W123" s="29">
        <f t="shared" si="40"/>
        <v>7.6713614517763551E-4</v>
      </c>
    </row>
    <row r="124" spans="1:23" x14ac:dyDescent="0.2">
      <c r="A124" s="206">
        <f>'Monthly Data'!A124</f>
        <v>45352</v>
      </c>
      <c r="B124">
        <f>'Monthly Data'!C124</f>
        <v>3</v>
      </c>
      <c r="C124">
        <f>'Monthly Data'!B124</f>
        <v>2024</v>
      </c>
      <c r="D124" s="18">
        <f>'Monthly Data'!N124</f>
        <v>30560769.37786128</v>
      </c>
      <c r="E124">
        <f>'Monthly Data'!AI124</f>
        <v>341.45416666666671</v>
      </c>
      <c r="F124" s="98">
        <f>'Monthly Data'!AD124</f>
        <v>0</v>
      </c>
      <c r="G124">
        <f>'Monthly Data'!AV124</f>
        <v>123</v>
      </c>
      <c r="H124">
        <f>'Monthly Data'!BO124</f>
        <v>31</v>
      </c>
      <c r="I124">
        <f>'Monthly Data'!BR124</f>
        <v>0</v>
      </c>
      <c r="J124">
        <f>'Monthly Data'!AT124</f>
        <v>874402</v>
      </c>
      <c r="K124">
        <f>'Monthly Data'!BJ124</f>
        <v>0</v>
      </c>
      <c r="M124" s="17">
        <f t="shared" si="20"/>
        <v>-9501475.1395959798</v>
      </c>
      <c r="N124" s="17">
        <f t="shared" si="31"/>
        <v>4009246.9411378121</v>
      </c>
      <c r="O124" s="17">
        <f t="shared" si="32"/>
        <v>0</v>
      </c>
      <c r="P124" s="17">
        <f t="shared" si="33"/>
        <v>-4417848.3510386851</v>
      </c>
      <c r="Q124" s="17">
        <f t="shared" si="34"/>
        <v>25636435.683383022</v>
      </c>
      <c r="R124" s="17">
        <f t="shared" si="35"/>
        <v>0</v>
      </c>
      <c r="S124" s="17">
        <f t="shared" si="36"/>
        <v>14909135.476340329</v>
      </c>
      <c r="T124" s="17">
        <f t="shared" si="37"/>
        <v>0</v>
      </c>
      <c r="U124" s="17">
        <f t="shared" si="38"/>
        <v>30635494.610226497</v>
      </c>
      <c r="V124" s="17">
        <f t="shared" si="39"/>
        <v>74725.23236521706</v>
      </c>
      <c r="W124" s="29">
        <f t="shared" si="40"/>
        <v>2.4451358354658846E-3</v>
      </c>
    </row>
    <row r="125" spans="1:23" x14ac:dyDescent="0.2">
      <c r="A125" s="206">
        <f>'Monthly Data'!A125</f>
        <v>45383</v>
      </c>
      <c r="B125">
        <f>'Monthly Data'!C125</f>
        <v>4</v>
      </c>
      <c r="C125">
        <f>'Monthly Data'!B125</f>
        <v>2024</v>
      </c>
      <c r="D125" s="18">
        <f>'Monthly Data'!N125</f>
        <v>27840160.598930176</v>
      </c>
      <c r="E125">
        <f>'Monthly Data'!AI125</f>
        <v>165.02083333333334</v>
      </c>
      <c r="F125" s="98">
        <f>'Monthly Data'!AD125</f>
        <v>0</v>
      </c>
      <c r="G125">
        <f>'Monthly Data'!AV125</f>
        <v>124</v>
      </c>
      <c r="H125">
        <f>'Monthly Data'!BO125</f>
        <v>30</v>
      </c>
      <c r="I125">
        <f>'Monthly Data'!BR125</f>
        <v>0</v>
      </c>
      <c r="J125">
        <f>'Monthly Data'!AT125</f>
        <v>877135</v>
      </c>
      <c r="K125">
        <f>'Monthly Data'!BJ125</f>
        <v>0</v>
      </c>
      <c r="M125" s="17">
        <f t="shared" si="20"/>
        <v>-9501475.1395959798</v>
      </c>
      <c r="N125" s="17">
        <f t="shared" si="31"/>
        <v>1937622.4859822944</v>
      </c>
      <c r="O125" s="17">
        <f t="shared" si="32"/>
        <v>0</v>
      </c>
      <c r="P125" s="17">
        <f t="shared" si="33"/>
        <v>-4453765.8173072925</v>
      </c>
      <c r="Q125" s="17">
        <f t="shared" si="34"/>
        <v>24809453.88714486</v>
      </c>
      <c r="R125" s="17">
        <f t="shared" si="35"/>
        <v>0</v>
      </c>
      <c r="S125" s="17">
        <f t="shared" si="36"/>
        <v>14955734.943469679</v>
      </c>
      <c r="T125" s="17">
        <f t="shared" si="37"/>
        <v>0</v>
      </c>
      <c r="U125" s="17">
        <f t="shared" si="38"/>
        <v>27747570.359693561</v>
      </c>
      <c r="V125" s="17">
        <f t="shared" si="39"/>
        <v>-92590.239236615598</v>
      </c>
      <c r="W125" s="29">
        <f t="shared" si="40"/>
        <v>3.3257796379297321E-3</v>
      </c>
    </row>
    <row r="126" spans="1:23" x14ac:dyDescent="0.2">
      <c r="A126" s="206">
        <f>'Monthly Data'!A126</f>
        <v>45413</v>
      </c>
      <c r="B126">
        <f>'Monthly Data'!C126</f>
        <v>5</v>
      </c>
      <c r="C126">
        <f>'Monthly Data'!B126</f>
        <v>2024</v>
      </c>
      <c r="D126" s="18">
        <f>'Monthly Data'!N126</f>
        <v>26873110.719999075</v>
      </c>
      <c r="E126">
        <f>'Monthly Data'!AI126</f>
        <v>2.6791666666666654</v>
      </c>
      <c r="F126" s="98">
        <f>'Monthly Data'!AD126</f>
        <v>13.872916666666676</v>
      </c>
      <c r="G126">
        <f>'Monthly Data'!AV126</f>
        <v>125</v>
      </c>
      <c r="H126">
        <f>'Monthly Data'!BO126</f>
        <v>31</v>
      </c>
      <c r="I126">
        <f>'Monthly Data'!BR126</f>
        <v>0</v>
      </c>
      <c r="J126">
        <f>'Monthly Data'!AT126</f>
        <v>877135</v>
      </c>
      <c r="K126">
        <f>'Monthly Data'!BJ126</f>
        <v>0</v>
      </c>
      <c r="M126" s="17">
        <f t="shared" si="20"/>
        <v>-9501475.1395959798</v>
      </c>
      <c r="N126" s="17">
        <f t="shared" si="31"/>
        <v>31457.928506163731</v>
      </c>
      <c r="O126" s="17">
        <f t="shared" si="32"/>
        <v>302645.484278124</v>
      </c>
      <c r="P126" s="17">
        <f t="shared" si="33"/>
        <v>-4489683.2835758999</v>
      </c>
      <c r="Q126" s="17">
        <f t="shared" si="34"/>
        <v>25636435.683383022</v>
      </c>
      <c r="R126" s="17">
        <f t="shared" si="35"/>
        <v>0</v>
      </c>
      <c r="S126" s="17">
        <f t="shared" si="36"/>
        <v>14955734.943469679</v>
      </c>
      <c r="T126" s="17">
        <f t="shared" si="37"/>
        <v>0</v>
      </c>
      <c r="U126" s="17">
        <f t="shared" si="38"/>
        <v>26935115.616465107</v>
      </c>
      <c r="V126" s="17">
        <f t="shared" si="39"/>
        <v>62004.896466031671</v>
      </c>
      <c r="W126" s="29">
        <f t="shared" si="40"/>
        <v>2.3073211401569297E-3</v>
      </c>
    </row>
    <row r="127" spans="1:23" x14ac:dyDescent="0.2">
      <c r="A127" s="206">
        <f>'Monthly Data'!A127</f>
        <v>45444</v>
      </c>
      <c r="B127">
        <f>'Monthly Data'!C127</f>
        <v>6</v>
      </c>
      <c r="C127">
        <f>'Monthly Data'!B127</f>
        <v>2024</v>
      </c>
      <c r="D127" s="18">
        <f>'Monthly Data'!N127</f>
        <v>26966104.141067971</v>
      </c>
      <c r="E127">
        <f>'Monthly Data'!AI127</f>
        <v>0</v>
      </c>
      <c r="F127" s="98">
        <f>'Monthly Data'!AD127</f>
        <v>58.193750000000009</v>
      </c>
      <c r="G127">
        <f>'Monthly Data'!AV127</f>
        <v>126</v>
      </c>
      <c r="H127">
        <f>'Monthly Data'!BO127</f>
        <v>30</v>
      </c>
      <c r="I127">
        <f>'Monthly Data'!BR127</f>
        <v>0</v>
      </c>
      <c r="J127">
        <f>'Monthly Data'!AT127</f>
        <v>877135</v>
      </c>
      <c r="K127">
        <f>'Monthly Data'!BJ127</f>
        <v>0</v>
      </c>
      <c r="M127" s="17">
        <f t="shared" si="20"/>
        <v>-9501475.1395959798</v>
      </c>
      <c r="N127" s="17">
        <f t="shared" si="31"/>
        <v>0</v>
      </c>
      <c r="O127" s="17">
        <f t="shared" si="32"/>
        <v>1269529.4056676428</v>
      </c>
      <c r="P127" s="17">
        <f t="shared" si="33"/>
        <v>-4525600.7498445064</v>
      </c>
      <c r="Q127" s="17">
        <f t="shared" si="34"/>
        <v>24809453.88714486</v>
      </c>
      <c r="R127" s="17">
        <f t="shared" si="35"/>
        <v>0</v>
      </c>
      <c r="S127" s="17">
        <f t="shared" si="36"/>
        <v>14955734.943469679</v>
      </c>
      <c r="T127" s="17">
        <f t="shared" si="37"/>
        <v>0</v>
      </c>
      <c r="U127" s="17">
        <f t="shared" si="38"/>
        <v>27007642.346841693</v>
      </c>
      <c r="V127" s="17">
        <f t="shared" si="39"/>
        <v>41538.20577372238</v>
      </c>
      <c r="W127" s="29">
        <f t="shared" si="40"/>
        <v>1.5403858694761124E-3</v>
      </c>
    </row>
    <row r="128" spans="1:23" x14ac:dyDescent="0.2">
      <c r="A128" s="206">
        <f>'Monthly Data'!A128</f>
        <v>45474</v>
      </c>
      <c r="B128">
        <f>'Monthly Data'!C128</f>
        <v>7</v>
      </c>
      <c r="C128">
        <f>'Monthly Data'!B128</f>
        <v>2024</v>
      </c>
      <c r="D128" s="18">
        <f>'Monthly Data'!N128</f>
        <v>29325088.142136868</v>
      </c>
      <c r="E128">
        <f>'Monthly Data'!AI128</f>
        <v>0</v>
      </c>
      <c r="F128" s="98">
        <f>'Monthly Data'!AD128</f>
        <v>115.8354166666667</v>
      </c>
      <c r="G128">
        <f>'Monthly Data'!AV128</f>
        <v>127</v>
      </c>
      <c r="H128">
        <f>'Monthly Data'!BO128</f>
        <v>31</v>
      </c>
      <c r="I128">
        <f>'Monthly Data'!BR128</f>
        <v>0</v>
      </c>
      <c r="J128">
        <f>'Monthly Data'!AT128</f>
        <v>877865</v>
      </c>
      <c r="K128">
        <f>'Monthly Data'!BJ128</f>
        <v>0</v>
      </c>
      <c r="M128" s="17">
        <f t="shared" si="20"/>
        <v>-9501475.1395959798</v>
      </c>
      <c r="N128" s="17">
        <f t="shared" si="31"/>
        <v>0</v>
      </c>
      <c r="O128" s="17">
        <f t="shared" si="32"/>
        <v>2527014.8027253291</v>
      </c>
      <c r="P128" s="17">
        <f t="shared" si="33"/>
        <v>-4561518.2161131138</v>
      </c>
      <c r="Q128" s="17">
        <f t="shared" si="34"/>
        <v>25636435.683383022</v>
      </c>
      <c r="R128" s="17">
        <f t="shared" si="35"/>
        <v>0</v>
      </c>
      <c r="S128" s="17">
        <f t="shared" si="36"/>
        <v>14968181.928835368</v>
      </c>
      <c r="T128" s="17">
        <f t="shared" si="37"/>
        <v>0</v>
      </c>
      <c r="U128" s="17">
        <f t="shared" si="38"/>
        <v>29068639.059234627</v>
      </c>
      <c r="V128" s="17">
        <f t="shared" si="39"/>
        <v>-256449.0829022415</v>
      </c>
      <c r="W128" s="29">
        <f t="shared" si="40"/>
        <v>8.745040480671323E-3</v>
      </c>
    </row>
    <row r="129" spans="1:27" x14ac:dyDescent="0.2">
      <c r="A129" s="206">
        <f>'Monthly Data'!A129</f>
        <v>45505</v>
      </c>
      <c r="B129">
        <f>'Monthly Data'!C129</f>
        <v>8</v>
      </c>
      <c r="C129">
        <f>'Monthly Data'!B129</f>
        <v>2024</v>
      </c>
      <c r="D129" s="18">
        <f>'Monthly Data'!N129</f>
        <v>28897756.003205769</v>
      </c>
      <c r="E129">
        <f>'Monthly Data'!AI129</f>
        <v>0</v>
      </c>
      <c r="F129" s="98">
        <f>'Monthly Data'!AD129</f>
        <v>95.018749999999983</v>
      </c>
      <c r="G129">
        <f>'Monthly Data'!AV129</f>
        <v>128</v>
      </c>
      <c r="H129">
        <f>'Monthly Data'!BO129</f>
        <v>31</v>
      </c>
      <c r="I129">
        <f>'Monthly Data'!BR129</f>
        <v>0</v>
      </c>
      <c r="J129">
        <f>'Monthly Data'!AT129</f>
        <v>877865</v>
      </c>
      <c r="K129">
        <f>'Monthly Data'!BJ129</f>
        <v>0</v>
      </c>
      <c r="M129" s="17">
        <f t="shared" si="20"/>
        <v>-9501475.1395959798</v>
      </c>
      <c r="N129" s="17">
        <f t="shared" si="31"/>
        <v>0</v>
      </c>
      <c r="O129" s="17">
        <f t="shared" si="32"/>
        <v>2072887.5044963127</v>
      </c>
      <c r="P129" s="17">
        <f t="shared" si="33"/>
        <v>-4597435.6823817212</v>
      </c>
      <c r="Q129" s="17">
        <f t="shared" si="34"/>
        <v>25636435.683383022</v>
      </c>
      <c r="R129" s="17">
        <f t="shared" si="35"/>
        <v>0</v>
      </c>
      <c r="S129" s="17">
        <f t="shared" si="36"/>
        <v>14968181.928835368</v>
      </c>
      <c r="T129" s="17">
        <f t="shared" si="37"/>
        <v>0</v>
      </c>
      <c r="U129" s="17">
        <f t="shared" si="38"/>
        <v>28578594.294737004</v>
      </c>
      <c r="V129" s="17">
        <f t="shared" si="39"/>
        <v>-319161.70846876502</v>
      </c>
      <c r="W129" s="29">
        <f t="shared" si="40"/>
        <v>1.1044515305387687E-2</v>
      </c>
    </row>
    <row r="130" spans="1:27" x14ac:dyDescent="0.2">
      <c r="A130" s="206">
        <f>'Monthly Data'!A130</f>
        <v>45536</v>
      </c>
      <c r="B130">
        <f>'Monthly Data'!C130</f>
        <v>9</v>
      </c>
      <c r="C130">
        <f>'Monthly Data'!B130</f>
        <v>2024</v>
      </c>
      <c r="D130" s="18">
        <f>'Monthly Data'!N130</f>
        <v>27520933.564274665</v>
      </c>
      <c r="E130">
        <f>'Monthly Data'!AI130</f>
        <v>3.9000000000000004</v>
      </c>
      <c r="F130" s="98">
        <f>'Monthly Data'!AD130</f>
        <v>44.406250000000014</v>
      </c>
      <c r="G130">
        <f>'Monthly Data'!AV130</f>
        <v>129</v>
      </c>
      <c r="H130">
        <f>'Monthly Data'!BO130</f>
        <v>30</v>
      </c>
      <c r="I130">
        <f>'Monthly Data'!BR130</f>
        <v>0</v>
      </c>
      <c r="J130">
        <f>'Monthly Data'!AT130</f>
        <v>877865</v>
      </c>
      <c r="K130">
        <f>'Monthly Data'!BJ130</f>
        <v>1</v>
      </c>
      <c r="M130" s="17">
        <f t="shared" si="20"/>
        <v>-9501475.1395959798</v>
      </c>
      <c r="N130" s="17">
        <f t="shared" si="31"/>
        <v>45792.567778801349</v>
      </c>
      <c r="O130" s="17">
        <f t="shared" si="32"/>
        <v>968747.33404238045</v>
      </c>
      <c r="P130" s="17">
        <f t="shared" si="33"/>
        <v>-4633353.1486503286</v>
      </c>
      <c r="Q130" s="17">
        <f t="shared" si="34"/>
        <v>24809453.88714486</v>
      </c>
      <c r="R130" s="17">
        <f t="shared" si="35"/>
        <v>0</v>
      </c>
      <c r="S130" s="17">
        <f t="shared" si="36"/>
        <v>14968181.928835368</v>
      </c>
      <c r="T130" s="17">
        <f t="shared" si="37"/>
        <v>413783.55369814899</v>
      </c>
      <c r="U130" s="17">
        <f t="shared" si="38"/>
        <v>26657347.429555103</v>
      </c>
      <c r="V130" s="17">
        <f t="shared" si="39"/>
        <v>-863586.13471956179</v>
      </c>
      <c r="W130" s="29">
        <f t="shared" si="40"/>
        <v>3.1379245645961514E-2</v>
      </c>
    </row>
    <row r="131" spans="1:27" x14ac:dyDescent="0.2">
      <c r="A131" s="206">
        <f>'Monthly Data'!A131</f>
        <v>45566</v>
      </c>
      <c r="B131">
        <f>'Monthly Data'!C131</f>
        <v>10</v>
      </c>
      <c r="C131">
        <f>'Monthly Data'!B131</f>
        <v>2024</v>
      </c>
      <c r="D131" s="18">
        <f>'Monthly Data'!N131</f>
        <v>27977111.705343559</v>
      </c>
      <c r="E131">
        <f>'Monthly Data'!AI131</f>
        <v>95.160416666666663</v>
      </c>
      <c r="F131" s="98">
        <f>'Monthly Data'!AD131</f>
        <v>0.19999999999999929</v>
      </c>
      <c r="G131">
        <f>'Monthly Data'!AV131</f>
        <v>130</v>
      </c>
      <c r="H131">
        <f>'Monthly Data'!BO131</f>
        <v>31</v>
      </c>
      <c r="I131">
        <f>'Monthly Data'!BR131</f>
        <v>0</v>
      </c>
      <c r="J131">
        <f>'Monthly Data'!AT131</f>
        <v>869576</v>
      </c>
      <c r="K131">
        <f>'Monthly Data'!BJ131</f>
        <v>1</v>
      </c>
      <c r="M131" s="17">
        <f t="shared" ref="M131:M132" si="41">$Z$7</f>
        <v>-9501475.1395959798</v>
      </c>
      <c r="N131" s="17">
        <f t="shared" si="31"/>
        <v>1117343.5461711052</v>
      </c>
      <c r="O131" s="17">
        <f t="shared" si="32"/>
        <v>4363.1125530409645</v>
      </c>
      <c r="P131" s="17">
        <f t="shared" si="33"/>
        <v>-4669270.614918936</v>
      </c>
      <c r="Q131" s="17">
        <f t="shared" si="34"/>
        <v>25636435.683383022</v>
      </c>
      <c r="R131" s="17">
        <f t="shared" si="35"/>
        <v>0</v>
      </c>
      <c r="S131" s="17">
        <f t="shared" si="36"/>
        <v>14826848.967607711</v>
      </c>
      <c r="T131" s="17">
        <f t="shared" si="37"/>
        <v>413783.55369814899</v>
      </c>
      <c r="U131" s="17">
        <f t="shared" si="38"/>
        <v>27414245.555199962</v>
      </c>
      <c r="V131" s="17">
        <f t="shared" si="39"/>
        <v>-562866.15014359728</v>
      </c>
      <c r="W131" s="29">
        <f t="shared" si="40"/>
        <v>2.011880840566152E-2</v>
      </c>
    </row>
    <row r="132" spans="1:27" x14ac:dyDescent="0.2">
      <c r="A132" s="206">
        <f>'Monthly Data'!A132</f>
        <v>45597</v>
      </c>
      <c r="B132">
        <f>'Monthly Data'!C132</f>
        <v>11</v>
      </c>
      <c r="C132">
        <f>'Monthly Data'!B132</f>
        <v>2024</v>
      </c>
      <c r="D132" s="18">
        <f>'Monthly Data'!N132</f>
        <v>28979419.546412461</v>
      </c>
      <c r="E132">
        <f>'Monthly Data'!AI132</f>
        <v>263.02291666666667</v>
      </c>
      <c r="F132" s="98">
        <f>'Monthly Data'!AD132</f>
        <v>0</v>
      </c>
      <c r="G132">
        <f>'Monthly Data'!AV132</f>
        <v>131</v>
      </c>
      <c r="H132">
        <f>'Monthly Data'!BO132</f>
        <v>30</v>
      </c>
      <c r="I132">
        <f>'Monthly Data'!BR132</f>
        <v>0</v>
      </c>
      <c r="J132">
        <f>'Monthly Data'!AT132</f>
        <v>869576</v>
      </c>
      <c r="K132">
        <f>'Monthly Data'!BJ132</f>
        <v>1</v>
      </c>
      <c r="M132" s="17">
        <f t="shared" si="41"/>
        <v>-9501475.1395959798</v>
      </c>
      <c r="N132" s="17">
        <f t="shared" si="31"/>
        <v>3088331.9843170135</v>
      </c>
      <c r="O132" s="17">
        <f t="shared" si="32"/>
        <v>0</v>
      </c>
      <c r="P132" s="17">
        <f t="shared" si="33"/>
        <v>-4705188.0811875425</v>
      </c>
      <c r="Q132" s="17">
        <f t="shared" si="34"/>
        <v>24809453.88714486</v>
      </c>
      <c r="R132" s="17">
        <f t="shared" si="35"/>
        <v>0</v>
      </c>
      <c r="S132" s="17">
        <f t="shared" si="36"/>
        <v>14826848.967607711</v>
      </c>
      <c r="T132" s="17">
        <f t="shared" si="37"/>
        <v>413783.55369814899</v>
      </c>
      <c r="U132" s="17">
        <f t="shared" si="38"/>
        <v>28517971.618286062</v>
      </c>
      <c r="V132" s="17">
        <f t="shared" si="39"/>
        <v>-461447.92812639847</v>
      </c>
      <c r="W132" s="29">
        <f t="shared" si="40"/>
        <v>1.592329782131623E-2</v>
      </c>
    </row>
    <row r="133" spans="1:27" x14ac:dyDescent="0.2">
      <c r="W133" s="32">
        <f>AVERAGE(W2:W121)</f>
        <v>1.7866873022496711E-2</v>
      </c>
    </row>
    <row r="135" spans="1:27" x14ac:dyDescent="0.2">
      <c r="X135">
        <v>1</v>
      </c>
      <c r="Y135" s="17">
        <f t="shared" ref="Y135:Y146" si="42">SUMIF($B:$B,$X135,V:V)</f>
        <v>-184642.38493520766</v>
      </c>
      <c r="Z135" s="30">
        <f t="shared" ref="Z135:Z146" si="43">SUMIF($B:$B,$X135,W:W)</f>
        <v>0.17934535137402793</v>
      </c>
      <c r="AA135" s="27"/>
    </row>
    <row r="136" spans="1:27" x14ac:dyDescent="0.2">
      <c r="X136">
        <v>2</v>
      </c>
      <c r="Y136" s="17">
        <f t="shared" si="42"/>
        <v>-542172.00220976397</v>
      </c>
      <c r="Z136" s="30">
        <f t="shared" si="43"/>
        <v>0.13424318116421757</v>
      </c>
      <c r="AA136" s="27"/>
    </row>
    <row r="137" spans="1:27" x14ac:dyDescent="0.2">
      <c r="X137">
        <v>3</v>
      </c>
      <c r="Y137" s="17">
        <f t="shared" si="42"/>
        <v>-3100058.8664273098</v>
      </c>
      <c r="Z137" s="30">
        <f t="shared" si="43"/>
        <v>0.14462774427467831</v>
      </c>
      <c r="AA137" s="27"/>
    </row>
    <row r="138" spans="1:27" x14ac:dyDescent="0.2">
      <c r="X138">
        <v>4</v>
      </c>
      <c r="Y138" s="17">
        <f t="shared" si="42"/>
        <v>3639039.3918821439</v>
      </c>
      <c r="Z138" s="30">
        <f t="shared" si="43"/>
        <v>0.21671277018749791</v>
      </c>
      <c r="AA138" s="27"/>
    </row>
    <row r="139" spans="1:27" x14ac:dyDescent="0.2">
      <c r="X139">
        <v>5</v>
      </c>
      <c r="Y139" s="17">
        <f t="shared" si="42"/>
        <v>2690325.5422790125</v>
      </c>
      <c r="Z139" s="30">
        <f t="shared" si="43"/>
        <v>0.26463838963725805</v>
      </c>
      <c r="AA139" s="27"/>
    </row>
    <row r="140" spans="1:27" x14ac:dyDescent="0.2">
      <c r="X140">
        <v>6</v>
      </c>
      <c r="Y140" s="17">
        <f t="shared" si="42"/>
        <v>852024.44832678139</v>
      </c>
      <c r="Z140" s="30">
        <f t="shared" si="43"/>
        <v>0.12420829981472518</v>
      </c>
      <c r="AA140" s="27"/>
    </row>
    <row r="141" spans="1:27" x14ac:dyDescent="0.2">
      <c r="X141">
        <v>7</v>
      </c>
      <c r="Y141" s="17">
        <f t="shared" si="42"/>
        <v>1966695.5614122786</v>
      </c>
      <c r="Z141" s="30">
        <f t="shared" si="43"/>
        <v>0.17909965854098098</v>
      </c>
      <c r="AA141" s="27"/>
    </row>
    <row r="142" spans="1:27" x14ac:dyDescent="0.2">
      <c r="X142">
        <v>8</v>
      </c>
      <c r="Y142" s="17">
        <f t="shared" si="42"/>
        <v>-1323112.1282318383</v>
      </c>
      <c r="Z142" s="30">
        <f t="shared" si="43"/>
        <v>0.22036536984723201</v>
      </c>
      <c r="AA142" s="27"/>
    </row>
    <row r="143" spans="1:27" x14ac:dyDescent="0.2">
      <c r="X143">
        <v>9</v>
      </c>
      <c r="Y143" s="17">
        <f t="shared" si="42"/>
        <v>-6470243.2182933949</v>
      </c>
      <c r="Z143" s="30">
        <f t="shared" si="43"/>
        <v>0.23735994694404244</v>
      </c>
      <c r="AA143" s="27"/>
    </row>
    <row r="144" spans="1:27" x14ac:dyDescent="0.2">
      <c r="X144">
        <v>10</v>
      </c>
      <c r="Y144" s="17">
        <f t="shared" si="42"/>
        <v>-1846529.0480638593</v>
      </c>
      <c r="Z144" s="30">
        <f t="shared" si="43"/>
        <v>0.23829587300712793</v>
      </c>
      <c r="AA144" s="27"/>
    </row>
    <row r="145" spans="24:27" x14ac:dyDescent="0.2">
      <c r="X145">
        <v>11</v>
      </c>
      <c r="Y145" s="17">
        <f t="shared" si="42"/>
        <v>-6049976.3038719147</v>
      </c>
      <c r="Z145" s="30">
        <f t="shared" si="43"/>
        <v>0.19688625958708689</v>
      </c>
      <c r="AA145" s="27"/>
    </row>
    <row r="146" spans="24:27" x14ac:dyDescent="0.2">
      <c r="X146">
        <v>12</v>
      </c>
      <c r="Y146" s="17">
        <f t="shared" si="42"/>
        <v>-2396327.5064043552</v>
      </c>
      <c r="Z146" s="30">
        <f t="shared" si="43"/>
        <v>0.11101183860525102</v>
      </c>
      <c r="AA146" s="27"/>
    </row>
    <row r="147" spans="24:27" x14ac:dyDescent="0.2">
      <c r="Y147" s="17"/>
      <c r="Z147" s="30"/>
    </row>
    <row r="148" spans="24:27" x14ac:dyDescent="0.2">
      <c r="X148">
        <v>2014</v>
      </c>
      <c r="Y148" s="17">
        <f t="shared" ref="Y148:Y157" si="44">SUMIF($C:$C,$X148,V:V)</f>
        <v>-5513848.9550536796</v>
      </c>
      <c r="Z148" s="31">
        <f t="shared" ref="Z148:Z157" si="45">SUMIF($C:$C,$X148,W:W)</f>
        <v>0.3204255799469557</v>
      </c>
    </row>
    <row r="149" spans="24:27" x14ac:dyDescent="0.2">
      <c r="X149">
        <f>X148+1</f>
        <v>2015</v>
      </c>
      <c r="Y149" s="17">
        <f t="shared" si="44"/>
        <v>1203485.8976627104</v>
      </c>
      <c r="Z149" s="31">
        <f t="shared" si="45"/>
        <v>0.21042679845117798</v>
      </c>
    </row>
    <row r="150" spans="24:27" x14ac:dyDescent="0.2">
      <c r="X150">
        <f t="shared" ref="X150:X157" si="46">X149+1</f>
        <v>2016</v>
      </c>
      <c r="Y150" s="17">
        <f t="shared" si="44"/>
        <v>6971675.3624002822</v>
      </c>
      <c r="Z150" s="31">
        <f t="shared" si="45"/>
        <v>0.27441873788202437</v>
      </c>
    </row>
    <row r="151" spans="24:27" x14ac:dyDescent="0.2">
      <c r="X151">
        <f t="shared" si="46"/>
        <v>2017</v>
      </c>
      <c r="Y151" s="17">
        <f t="shared" si="44"/>
        <v>-3502960.4231117107</v>
      </c>
      <c r="Z151" s="31">
        <f t="shared" si="45"/>
        <v>0.31784574547596128</v>
      </c>
    </row>
    <row r="152" spans="24:27" x14ac:dyDescent="0.2">
      <c r="X152">
        <f t="shared" si="46"/>
        <v>2018</v>
      </c>
      <c r="Y152" s="17">
        <f t="shared" si="44"/>
        <v>-7384024.3090565652</v>
      </c>
      <c r="Z152" s="31">
        <f t="shared" si="45"/>
        <v>0.25438172147805121</v>
      </c>
    </row>
    <row r="153" spans="24:27" x14ac:dyDescent="0.2">
      <c r="X153">
        <f t="shared" si="46"/>
        <v>2019</v>
      </c>
      <c r="Y153" s="17">
        <f t="shared" si="44"/>
        <v>715194.78030703217</v>
      </c>
      <c r="Z153" s="31">
        <f t="shared" si="45"/>
        <v>0.10313981830206879</v>
      </c>
    </row>
    <row r="154" spans="24:27" x14ac:dyDescent="0.2">
      <c r="X154">
        <f t="shared" si="46"/>
        <v>2020</v>
      </c>
      <c r="Y154" s="17">
        <f t="shared" si="44"/>
        <v>-526460.04275602475</v>
      </c>
      <c r="Z154" s="31">
        <f t="shared" si="45"/>
        <v>0.10120380719527149</v>
      </c>
    </row>
    <row r="155" spans="24:27" x14ac:dyDescent="0.2">
      <c r="X155">
        <f t="shared" si="46"/>
        <v>2021</v>
      </c>
      <c r="Y155" s="17">
        <f t="shared" si="44"/>
        <v>684220.18034316227</v>
      </c>
      <c r="Z155" s="31">
        <f t="shared" si="45"/>
        <v>0.26161719157623464</v>
      </c>
    </row>
    <row r="156" spans="24:27" x14ac:dyDescent="0.2">
      <c r="X156">
        <f t="shared" si="46"/>
        <v>2022</v>
      </c>
      <c r="Y156" s="17">
        <f t="shared" si="44"/>
        <v>-3997123.0987847783</v>
      </c>
      <c r="Z156" s="31">
        <f t="shared" si="45"/>
        <v>0.19755878190637338</v>
      </c>
    </row>
    <row r="157" spans="24:27" x14ac:dyDescent="0.2">
      <c r="X157">
        <f t="shared" si="46"/>
        <v>2023</v>
      </c>
      <c r="Y157" s="17">
        <f t="shared" si="44"/>
        <v>1159260.9944251329</v>
      </c>
      <c r="Z157" s="31">
        <f t="shared" si="45"/>
        <v>0.10300658048548605</v>
      </c>
    </row>
    <row r="158" spans="24:27" x14ac:dyDescent="0.2">
      <c r="Y158" s="17"/>
      <c r="Z158" s="3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3C80-2CF6-453F-B323-75E838CDBC6F}">
  <sheetPr codeName="Sheet14">
    <tabColor rgb="FFFF0000"/>
  </sheetPr>
  <dimension ref="B2:O17"/>
  <sheetViews>
    <sheetView workbookViewId="0">
      <selection activeCell="F18" sqref="F18"/>
    </sheetView>
  </sheetViews>
  <sheetFormatPr defaultColWidth="8.83203125" defaultRowHeight="14.25" x14ac:dyDescent="0.2"/>
  <cols>
    <col min="1" max="2" width="8.83203125" style="259"/>
    <col min="3" max="3" width="18.83203125" style="259" bestFit="1" customWidth="1"/>
    <col min="4" max="4" width="17.83203125" style="259" bestFit="1" customWidth="1"/>
    <col min="5" max="5" width="10.5" style="259" bestFit="1" customWidth="1"/>
    <col min="6" max="6" width="21.83203125" style="259" customWidth="1"/>
    <col min="7" max="7" width="8.83203125" style="259"/>
    <col min="8" max="8" width="18.83203125" style="259" bestFit="1" customWidth="1"/>
    <col min="9" max="9" width="17" style="259" customWidth="1"/>
    <col min="10" max="10" width="10.6640625" style="259" customWidth="1"/>
    <col min="11" max="11" width="20.5" style="259" customWidth="1"/>
    <col min="12" max="12" width="8.83203125" style="259"/>
    <col min="13" max="13" width="17" style="259" customWidth="1"/>
    <col min="14" max="14" width="16.33203125" style="259" customWidth="1"/>
    <col min="15" max="16384" width="8.83203125" style="259"/>
  </cols>
  <sheetData>
    <row r="2" spans="2:15" x14ac:dyDescent="0.2">
      <c r="B2" s="255"/>
      <c r="C2" s="461" t="s">
        <v>156</v>
      </c>
      <c r="D2" s="461"/>
      <c r="E2" s="256" t="s">
        <v>157</v>
      </c>
      <c r="G2" s="255"/>
      <c r="H2" s="461" t="s">
        <v>158</v>
      </c>
      <c r="I2" s="461"/>
      <c r="J2" s="256" t="s">
        <v>157</v>
      </c>
      <c r="L2" s="255"/>
      <c r="M2" s="461" t="s">
        <v>159</v>
      </c>
      <c r="N2" s="461"/>
      <c r="O2" s="256" t="s">
        <v>157</v>
      </c>
    </row>
    <row r="3" spans="2:15" x14ac:dyDescent="0.2">
      <c r="B3" s="256" t="s">
        <v>1</v>
      </c>
      <c r="C3" s="256" t="s">
        <v>160</v>
      </c>
      <c r="D3" s="260" t="s">
        <v>135</v>
      </c>
      <c r="E3" s="256" t="s">
        <v>161</v>
      </c>
      <c r="G3" s="256" t="s">
        <v>1</v>
      </c>
      <c r="H3" s="256" t="s">
        <v>160</v>
      </c>
      <c r="I3" s="260" t="s">
        <v>135</v>
      </c>
      <c r="J3" s="256" t="s">
        <v>161</v>
      </c>
      <c r="L3" s="256" t="s">
        <v>1</v>
      </c>
      <c r="M3" s="256" t="s">
        <v>160</v>
      </c>
      <c r="N3" s="260" t="s">
        <v>135</v>
      </c>
      <c r="O3" s="256" t="s">
        <v>161</v>
      </c>
    </row>
    <row r="4" spans="2:15" x14ac:dyDescent="0.2">
      <c r="B4" s="256">
        <v>2014</v>
      </c>
      <c r="C4" s="257">
        <f>SUMIF('Res Predicted Monthly'!$C:$C,B4,'Res Predicted Monthly'!D:D)</f>
        <v>403132038.27989262</v>
      </c>
      <c r="D4" s="257">
        <f>SUMIF('Res Predicted Monthly'!$C:$C,B4,'Res Predicted Monthly'!Q:Q)</f>
        <v>393536581.16585869</v>
      </c>
      <c r="E4" s="261">
        <f t="shared" ref="E4" si="0">ABS(C4-D4)/C4</f>
        <v>2.3802268742956764E-2</v>
      </c>
      <c r="G4" s="256">
        <v>2014</v>
      </c>
      <c r="H4" s="257">
        <f>SUMIF('GS&lt;50 Predicted Monthly'!$C:$C,G4,'GS&lt;50 Predicted Monthly'!D:D)</f>
        <v>144775515.90448689</v>
      </c>
      <c r="I4" s="257">
        <f>SUMIF('GS&lt;50 Predicted Monthly'!$C:$C,G4,'GS&lt;50 Predicted Monthly'!S:S)</f>
        <v>140795565.1963537</v>
      </c>
      <c r="J4" s="261">
        <f t="shared" ref="J4" si="1">ABS(H4-I4)/H4</f>
        <v>2.7490495773877216E-2</v>
      </c>
      <c r="L4" s="256">
        <v>2014</v>
      </c>
      <c r="M4" s="257">
        <f>SUMIF('GS&gt;50 Predicted Monthly'!$C:$C,L4,'GS&gt;50 Predicted Monthly'!D:D)</f>
        <v>379845703.71475601</v>
      </c>
      <c r="N4" s="257">
        <f>SUMIF('GS&gt;50 Predicted Monthly'!$C:$C,L4,'GS&gt;50 Predicted Monthly'!U:U)</f>
        <v>374331854.75970232</v>
      </c>
      <c r="O4" s="261">
        <f t="shared" ref="O4" si="2">ABS(M4-N4)/M4</f>
        <v>1.4516022956506296E-2</v>
      </c>
    </row>
    <row r="5" spans="2:15" x14ac:dyDescent="0.2">
      <c r="B5" s="255">
        <f>B4+1</f>
        <v>2015</v>
      </c>
      <c r="C5" s="257">
        <f>SUMIF('Res Predicted Monthly'!$C:$C,B5,'Res Predicted Monthly'!D:D)</f>
        <v>383395605.20649058</v>
      </c>
      <c r="D5" s="257">
        <f>SUMIF('Res Predicted Monthly'!$C:$C,B5,'Res Predicted Monthly'!Q:Q)</f>
        <v>386528973.29190582</v>
      </c>
      <c r="E5" s="261">
        <f>ABS(C5-D5)/C5</f>
        <v>8.1726760632210779E-3</v>
      </c>
      <c r="G5" s="255">
        <f>G4+1</f>
        <v>2015</v>
      </c>
      <c r="H5" s="257">
        <f>SUMIF('GS&lt;50 Predicted Monthly'!$C:$C,G5,'GS&lt;50 Predicted Monthly'!D:D)</f>
        <v>140222266.68900934</v>
      </c>
      <c r="I5" s="257">
        <f>SUMIF('GS&lt;50 Predicted Monthly'!$C:$C,G5,'GS&lt;50 Predicted Monthly'!S:S)</f>
        <v>139893552.26035181</v>
      </c>
      <c r="J5" s="261">
        <f>ABS(H5-I5)/H5</f>
        <v>2.3442384467123756E-3</v>
      </c>
      <c r="L5" s="255">
        <f>L4+1</f>
        <v>2015</v>
      </c>
      <c r="M5" s="257">
        <f>SUMIF('GS&gt;50 Predicted Monthly'!$C:$C,L5,'GS&gt;50 Predicted Monthly'!D:D)</f>
        <v>369248177.63044453</v>
      </c>
      <c r="N5" s="257">
        <f>SUMIF('GS&gt;50 Predicted Monthly'!$C:$C,L5,'GS&gt;50 Predicted Monthly'!U:U)</f>
        <v>370451663.52810711</v>
      </c>
      <c r="O5" s="261">
        <f>ABS(M5-N5)/M5</f>
        <v>3.2592873047759966E-3</v>
      </c>
    </row>
    <row r="6" spans="2:15" x14ac:dyDescent="0.2">
      <c r="B6" s="255">
        <f t="shared" ref="B6:B13" si="3">B5+1</f>
        <v>2016</v>
      </c>
      <c r="C6" s="257">
        <f>SUMIF('Res Predicted Monthly'!$C:$C,B6,'Res Predicted Monthly'!D:D)</f>
        <v>372680960.82052457</v>
      </c>
      <c r="D6" s="257">
        <f>SUMIF('Res Predicted Monthly'!$C:$C,B6,'Res Predicted Monthly'!Q:Q)</f>
        <v>385132015.34827828</v>
      </c>
      <c r="E6" s="261">
        <f>ABS(C6-D6)/C6</f>
        <v>3.3409419414236939E-2</v>
      </c>
      <c r="G6" s="255">
        <f t="shared" ref="G6:G13" si="4">G5+1</f>
        <v>2016</v>
      </c>
      <c r="H6" s="257">
        <f>SUMIF('GS&lt;50 Predicted Monthly'!$C:$C,G6,'GS&lt;50 Predicted Monthly'!D:D)</f>
        <v>137976305.66058198</v>
      </c>
      <c r="I6" s="257">
        <f>SUMIF('GS&lt;50 Predicted Monthly'!$C:$C,G6,'GS&lt;50 Predicted Monthly'!S:S)</f>
        <v>140304583.53645921</v>
      </c>
      <c r="J6" s="261">
        <f>ABS(H6-I6)/H6</f>
        <v>1.6874476126391823E-2</v>
      </c>
      <c r="L6" s="255">
        <f t="shared" ref="L6:L13" si="5">L5+1</f>
        <v>2016</v>
      </c>
      <c r="M6" s="257">
        <f>SUMIF('GS&gt;50 Predicted Monthly'!$C:$C,L6,'GS&gt;50 Predicted Monthly'!D:D)</f>
        <v>361799846.54898095</v>
      </c>
      <c r="N6" s="257">
        <f>SUMIF('GS&gt;50 Predicted Monthly'!$C:$C,L6,'GS&gt;50 Predicted Monthly'!U:U)</f>
        <v>368771521.9113813</v>
      </c>
      <c r="O6" s="261">
        <f>ABS(M6-N6)/M6</f>
        <v>1.9269425979307368E-2</v>
      </c>
    </row>
    <row r="7" spans="2:15" x14ac:dyDescent="0.2">
      <c r="B7" s="255">
        <f t="shared" si="3"/>
        <v>2017</v>
      </c>
      <c r="C7" s="257">
        <f>SUMIF('Res Predicted Monthly'!$C:$C,B7,'Res Predicted Monthly'!D:D)</f>
        <v>369829799.81823927</v>
      </c>
      <c r="D7" s="257">
        <f>SUMIF('Res Predicted Monthly'!$C:$C,B7,'Res Predicted Monthly'!Q:Q)</f>
        <v>381031146.37190473</v>
      </c>
      <c r="E7" s="261">
        <f>ABS(C7-D7)/C7</f>
        <v>3.0287842026712287E-2</v>
      </c>
      <c r="G7" s="255">
        <f t="shared" si="4"/>
        <v>2017</v>
      </c>
      <c r="H7" s="257">
        <f>SUMIF('GS&lt;50 Predicted Monthly'!$C:$C,G7,'GS&lt;50 Predicted Monthly'!D:D)</f>
        <v>136193398.73266414</v>
      </c>
      <c r="I7" s="257">
        <f>SUMIF('GS&lt;50 Predicted Monthly'!$C:$C,G7,'GS&lt;50 Predicted Monthly'!S:S)</f>
        <v>140132909.22196883</v>
      </c>
      <c r="J7" s="261">
        <f>ABS(H7-I7)/H7</f>
        <v>2.8925854894315473E-2</v>
      </c>
      <c r="L7" s="255">
        <f t="shared" si="5"/>
        <v>2017</v>
      </c>
      <c r="M7" s="257">
        <f>SUMIF('GS&gt;50 Predicted Monthly'!$C:$C,L7,'GS&gt;50 Predicted Monthly'!D:D)</f>
        <v>368140990.36126989</v>
      </c>
      <c r="N7" s="257">
        <f>SUMIF('GS&gt;50 Predicted Monthly'!$C:$C,L7,'GS&gt;50 Predicted Monthly'!U:U)</f>
        <v>364638029.93815809</v>
      </c>
      <c r="O7" s="261">
        <f>ABS(M7-N7)/M7</f>
        <v>9.5152686465970991E-3</v>
      </c>
    </row>
    <row r="8" spans="2:15" x14ac:dyDescent="0.2">
      <c r="B8" s="255">
        <f t="shared" si="3"/>
        <v>2018</v>
      </c>
      <c r="C8" s="257">
        <f>SUMIF('Res Predicted Monthly'!$C:$C,B8,'Res Predicted Monthly'!D:D)</f>
        <v>394628712.50136942</v>
      </c>
      <c r="D8" s="257">
        <f>SUMIF('Res Predicted Monthly'!$C:$C,B8,'Res Predicted Monthly'!Q:Q)</f>
        <v>395655985.42244071</v>
      </c>
      <c r="E8" s="261">
        <f>ABS(C8-D8)/C8</f>
        <v>2.6031378065723642E-3</v>
      </c>
      <c r="G8" s="255">
        <f t="shared" si="4"/>
        <v>2018</v>
      </c>
      <c r="H8" s="257">
        <f>SUMIF('GS&lt;50 Predicted Monthly'!$C:$C,G8,'GS&lt;50 Predicted Monthly'!D:D)</f>
        <v>143433730.17153588</v>
      </c>
      <c r="I8" s="257">
        <f>SUMIF('GS&lt;50 Predicted Monthly'!$C:$C,G8,'GS&lt;50 Predicted Monthly'!S:S)</f>
        <v>144152921.73181018</v>
      </c>
      <c r="J8" s="261">
        <f>ABS(H8-I8)/H8</f>
        <v>5.0141034428526979E-3</v>
      </c>
      <c r="L8" s="255">
        <f t="shared" si="5"/>
        <v>2018</v>
      </c>
      <c r="M8" s="257">
        <f>SUMIF('GS&gt;50 Predicted Monthly'!$C:$C,L8,'GS&gt;50 Predicted Monthly'!D:D)</f>
        <v>379431024.56766933</v>
      </c>
      <c r="N8" s="257">
        <f>SUMIF('GS&gt;50 Predicted Monthly'!$C:$C,L8,'GS&gt;50 Predicted Monthly'!U:U)</f>
        <v>372047000.25861275</v>
      </c>
      <c r="O8" s="261">
        <f>ABS(M8-N8)/M8</f>
        <v>1.9460781620243291E-2</v>
      </c>
    </row>
    <row r="9" spans="2:15" x14ac:dyDescent="0.2">
      <c r="B9" s="255">
        <f t="shared" si="3"/>
        <v>2019</v>
      </c>
      <c r="C9" s="257">
        <f>SUMIF('Res Predicted Monthly'!$C:$C,B9,'Res Predicted Monthly'!D:D)</f>
        <v>394708090.06152463</v>
      </c>
      <c r="D9" s="257">
        <f>SUMIF('Res Predicted Monthly'!$C:$C,B9,'Res Predicted Monthly'!Q:Q)</f>
        <v>393513472.08144194</v>
      </c>
      <c r="E9" s="261">
        <f>ABS(C9-D9)/C9</f>
        <v>3.0265860015599912E-3</v>
      </c>
      <c r="G9" s="255">
        <f t="shared" si="4"/>
        <v>2019</v>
      </c>
      <c r="H9" s="257">
        <f>SUMIF('GS&lt;50 Predicted Monthly'!$C:$C,G9,'GS&lt;50 Predicted Monthly'!D:D)</f>
        <v>142154564.4249801</v>
      </c>
      <c r="I9" s="257">
        <f>SUMIF('GS&lt;50 Predicted Monthly'!$C:$C,G9,'GS&lt;50 Predicted Monthly'!S:S)</f>
        <v>144661589.28326273</v>
      </c>
      <c r="J9" s="261">
        <f>ABS(H9-I9)/H9</f>
        <v>1.7635908269450395E-2</v>
      </c>
      <c r="L9" s="255">
        <f t="shared" si="5"/>
        <v>2019</v>
      </c>
      <c r="M9" s="257">
        <f>SUMIF('GS&gt;50 Predicted Monthly'!$C:$C,L9,'GS&gt;50 Predicted Monthly'!D:D)</f>
        <v>367979309.9317748</v>
      </c>
      <c r="N9" s="257">
        <f>SUMIF('GS&gt;50 Predicted Monthly'!$C:$C,L9,'GS&gt;50 Predicted Monthly'!U:U)</f>
        <v>368694504.71208185</v>
      </c>
      <c r="O9" s="261">
        <f>ABS(M9-N9)/M9</f>
        <v>1.9435733504681424E-3</v>
      </c>
    </row>
    <row r="10" spans="2:15" x14ac:dyDescent="0.2">
      <c r="B10" s="255">
        <f t="shared" si="3"/>
        <v>2020</v>
      </c>
      <c r="C10" s="257">
        <f>SUMIF('Res Predicted Monthly'!$C:$C,B10,'Res Predicted Monthly'!D:D)</f>
        <v>401224607.66385794</v>
      </c>
      <c r="D10" s="257">
        <f>SUMIF('Res Predicted Monthly'!$C:$C,B10,'Res Predicted Monthly'!Q:Q)</f>
        <v>406739448.00037962</v>
      </c>
      <c r="E10" s="261">
        <f t="shared" ref="E10:E12" si="6">ABS(C10-D10)/C10</f>
        <v>1.3745020198616443E-2</v>
      </c>
      <c r="G10" s="255">
        <f t="shared" si="4"/>
        <v>2020</v>
      </c>
      <c r="H10" s="257">
        <f>SUMIF('GS&lt;50 Predicted Monthly'!$C:$C,G10,'GS&lt;50 Predicted Monthly'!D:D)</f>
        <v>135252892.39325041</v>
      </c>
      <c r="I10" s="257">
        <f>SUMIF('GS&lt;50 Predicted Monthly'!$C:$C,G10,'GS&lt;50 Predicted Monthly'!S:S)</f>
        <v>133919901.03306448</v>
      </c>
      <c r="J10" s="261">
        <f t="shared" ref="J10:J12" si="7">ABS(H10-I10)/H10</f>
        <v>9.8555479043673459E-3</v>
      </c>
      <c r="L10" s="255">
        <f t="shared" si="5"/>
        <v>2020</v>
      </c>
      <c r="M10" s="257">
        <f>SUMIF('GS&gt;50 Predicted Monthly'!$C:$C,L10,'GS&gt;50 Predicted Monthly'!D:D)</f>
        <v>341945307.8402977</v>
      </c>
      <c r="N10" s="257">
        <f>SUMIF('GS&gt;50 Predicted Monthly'!$C:$C,L10,'GS&gt;50 Predicted Monthly'!U:U)</f>
        <v>341418847.79754168</v>
      </c>
      <c r="O10" s="261">
        <f t="shared" ref="O10:O12" si="8">ABS(M10-N10)/M10</f>
        <v>1.5396030613231844E-3</v>
      </c>
    </row>
    <row r="11" spans="2:15" x14ac:dyDescent="0.2">
      <c r="B11" s="255">
        <f t="shared" si="3"/>
        <v>2021</v>
      </c>
      <c r="C11" s="257">
        <f>SUMIF('Res Predicted Monthly'!$C:$C,B11,'Res Predicted Monthly'!D:D)</f>
        <v>393847303.53980166</v>
      </c>
      <c r="D11" s="257">
        <f>SUMIF('Res Predicted Monthly'!$C:$C,B11,'Res Predicted Monthly'!Q:Q)</f>
        <v>396163832.68166488</v>
      </c>
      <c r="E11" s="261">
        <f t="shared" si="6"/>
        <v>5.8817951044550483E-3</v>
      </c>
      <c r="G11" s="255">
        <f t="shared" si="4"/>
        <v>2021</v>
      </c>
      <c r="H11" s="257">
        <f>SUMIF('GS&lt;50 Predicted Monthly'!$C:$C,G11,'GS&lt;50 Predicted Monthly'!D:D)</f>
        <v>135115825.34231359</v>
      </c>
      <c r="I11" s="257">
        <f>SUMIF('GS&lt;50 Predicted Monthly'!$C:$C,G11,'GS&lt;50 Predicted Monthly'!S:S)</f>
        <v>134136783.81149325</v>
      </c>
      <c r="J11" s="261">
        <f t="shared" si="7"/>
        <v>7.2459427187004577E-3</v>
      </c>
      <c r="L11" s="255">
        <f t="shared" si="5"/>
        <v>2021</v>
      </c>
      <c r="M11" s="257">
        <f>SUMIF('GS&gt;50 Predicted Monthly'!$C:$C,L11,'GS&gt;50 Predicted Monthly'!D:D)</f>
        <v>341315977.82147092</v>
      </c>
      <c r="N11" s="257">
        <f>SUMIF('GS&gt;50 Predicted Monthly'!$C:$C,L11,'GS&gt;50 Predicted Monthly'!U:U)</f>
        <v>342000198.00181401</v>
      </c>
      <c r="O11" s="261">
        <f t="shared" si="8"/>
        <v>2.0046532386508446E-3</v>
      </c>
    </row>
    <row r="12" spans="2:15" x14ac:dyDescent="0.2">
      <c r="B12" s="255">
        <f t="shared" si="3"/>
        <v>2022</v>
      </c>
      <c r="C12" s="257">
        <f>SUMIF('Res Predicted Monthly'!$C:$C,B12,'Res Predicted Monthly'!D:D)</f>
        <v>399947164.57277584</v>
      </c>
      <c r="D12" s="257">
        <f>SUMIF('Res Predicted Monthly'!$C:$C,B12,'Res Predicted Monthly'!Q:Q)</f>
        <v>398788162.02812636</v>
      </c>
      <c r="E12" s="261">
        <f t="shared" si="6"/>
        <v>2.8978891396505588E-3</v>
      </c>
      <c r="G12" s="255">
        <f t="shared" si="4"/>
        <v>2022</v>
      </c>
      <c r="H12" s="257">
        <f>SUMIF('GS&lt;50 Predicted Monthly'!$C:$C,G12,'GS&lt;50 Predicted Monthly'!D:D)</f>
        <v>140068404.7414996</v>
      </c>
      <c r="I12" s="257">
        <f>SUMIF('GS&lt;50 Predicted Monthly'!$C:$C,G12,'GS&lt;50 Predicted Monthly'!S:S)</f>
        <v>141814221.51962373</v>
      </c>
      <c r="J12" s="261">
        <f t="shared" si="7"/>
        <v>1.2464029852742883E-2</v>
      </c>
      <c r="L12" s="255">
        <f t="shared" si="5"/>
        <v>2022</v>
      </c>
      <c r="M12" s="257">
        <f>SUMIF('GS&gt;50 Predicted Monthly'!$C:$C,L12,'GS&gt;50 Predicted Monthly'!D:D)</f>
        <v>357405365.22598392</v>
      </c>
      <c r="N12" s="257">
        <f>SUMIF('GS&gt;50 Predicted Monthly'!$C:$C,L12,'GS&gt;50 Predicted Monthly'!U:U)</f>
        <v>353408242.12719923</v>
      </c>
      <c r="O12" s="261">
        <f t="shared" si="8"/>
        <v>1.1183724386054875E-2</v>
      </c>
    </row>
    <row r="13" spans="2:15" x14ac:dyDescent="0.2">
      <c r="B13" s="255">
        <f t="shared" si="3"/>
        <v>2023</v>
      </c>
      <c r="C13" s="257">
        <f>SUMIF('Res Predicted Monthly'!$C:$C,B13,'Res Predicted Monthly'!D:D)</f>
        <v>391723558.33080918</v>
      </c>
      <c r="D13" s="257">
        <f>SUMIF('Res Predicted Monthly'!$C:$C,B13,'Res Predicted Monthly'!Q:Q)</f>
        <v>382910124.05789053</v>
      </c>
      <c r="E13" s="261">
        <f>ABS(C13-D13)/C13</f>
        <v>2.2499117261351249E-2</v>
      </c>
      <c r="G13" s="255">
        <f t="shared" si="4"/>
        <v>2023</v>
      </c>
      <c r="H13" s="257">
        <f>SUMIF('GS&lt;50 Predicted Monthly'!$C:$C,G13,'GS&lt;50 Predicted Monthly'!D:D)</f>
        <v>145114394.44845957</v>
      </c>
      <c r="I13" s="257">
        <f>SUMIF('GS&lt;50 Predicted Monthly'!$C:$C,G13,'GS&lt;50 Predicted Monthly'!S:S)</f>
        <v>144641071.62758398</v>
      </c>
      <c r="J13" s="261">
        <f>ABS(H13-I13)/H13</f>
        <v>3.2617220550349721E-3</v>
      </c>
      <c r="L13" s="255">
        <f t="shared" si="5"/>
        <v>2023</v>
      </c>
      <c r="M13" s="257">
        <f>SUMIF('GS&gt;50 Predicted Monthly'!$C:$C,L13,'GS&gt;50 Predicted Monthly'!D:D)</f>
        <v>351577807.48348111</v>
      </c>
      <c r="N13" s="257">
        <f>SUMIF('GS&gt;50 Predicted Monthly'!$C:$C,L13,'GS&gt;50 Predicted Monthly'!U:U)</f>
        <v>352737068.47790623</v>
      </c>
      <c r="O13" s="261">
        <f>ABS(M13-N13)/M13</f>
        <v>3.2973099261380027E-3</v>
      </c>
    </row>
    <row r="14" spans="2:15" x14ac:dyDescent="0.2">
      <c r="B14" s="255" t="s">
        <v>97</v>
      </c>
      <c r="C14" s="257">
        <f>SUM(C4:C13)</f>
        <v>3905117840.7952852</v>
      </c>
      <c r="D14" s="257">
        <f>SUM(D4:D13)</f>
        <v>3919999740.4498916</v>
      </c>
      <c r="E14" s="261">
        <f>ABS(C14-D14)/C14</f>
        <v>3.810870826775259E-3</v>
      </c>
      <c r="G14" s="255" t="s">
        <v>97</v>
      </c>
      <c r="H14" s="257">
        <f>SUM(H4:H13)</f>
        <v>1400307298.5087814</v>
      </c>
      <c r="I14" s="257">
        <f>SUM(I4:I13)</f>
        <v>1404453099.221972</v>
      </c>
      <c r="J14" s="261">
        <f t="shared" ref="J14" si="9">ABS(H14-I14)/H14</f>
        <v>2.9606363671784838E-3</v>
      </c>
      <c r="L14" s="255" t="s">
        <v>97</v>
      </c>
      <c r="M14" s="257">
        <f>SUM(M4:M13)</f>
        <v>3618689511.1261292</v>
      </c>
      <c r="N14" s="257">
        <f>SUM(N4:N13)</f>
        <v>3608498931.5125041</v>
      </c>
      <c r="O14" s="261">
        <f t="shared" ref="O14" si="10">ABS(M14-N14)/M14</f>
        <v>2.8160967063609061E-3</v>
      </c>
    </row>
    <row r="15" spans="2:15" x14ac:dyDescent="0.2">
      <c r="B15" s="255"/>
      <c r="C15" s="255"/>
      <c r="D15" s="255"/>
      <c r="E15" s="255"/>
      <c r="G15" s="255"/>
      <c r="H15" s="255"/>
      <c r="I15" s="255"/>
      <c r="J15" s="255"/>
      <c r="L15" s="255"/>
      <c r="M15" s="255"/>
      <c r="N15" s="255"/>
      <c r="O15" s="255"/>
    </row>
    <row r="16" spans="2:15" x14ac:dyDescent="0.2">
      <c r="B16" s="462" t="s">
        <v>162</v>
      </c>
      <c r="C16" s="462"/>
      <c r="D16" s="462"/>
      <c r="E16" s="258">
        <f>AVERAGE(E4:E13)</f>
        <v>1.4632575175933272E-2</v>
      </c>
      <c r="G16" s="462" t="s">
        <v>162</v>
      </c>
      <c r="H16" s="462"/>
      <c r="I16" s="462"/>
      <c r="J16" s="258">
        <f>AVERAGE(J4:J13)</f>
        <v>1.3111231948444565E-2</v>
      </c>
      <c r="L16" s="462" t="s">
        <v>162</v>
      </c>
      <c r="M16" s="462"/>
      <c r="N16" s="462"/>
      <c r="O16" s="258">
        <f>AVERAGE(O4:O13)</f>
        <v>8.5989650470065081E-3</v>
      </c>
    </row>
    <row r="17" spans="2:15" x14ac:dyDescent="0.2">
      <c r="B17" s="462" t="s">
        <v>163</v>
      </c>
      <c r="C17" s="462"/>
      <c r="D17" s="462"/>
      <c r="E17" s="258">
        <f>'Res Predicted Monthly'!S133</f>
        <v>2.7277371935068691E-2</v>
      </c>
      <c r="G17" s="462" t="s">
        <v>163</v>
      </c>
      <c r="H17" s="462"/>
      <c r="I17" s="462"/>
      <c r="J17" s="258">
        <f>'GS&lt;50 Predicted Monthly'!U133</f>
        <v>2.2172383057089202E-2</v>
      </c>
      <c r="L17" s="462" t="s">
        <v>163</v>
      </c>
      <c r="M17" s="462"/>
      <c r="N17" s="462"/>
      <c r="O17" s="258">
        <f>'GS&gt;50 Predicted Monthly'!W133</f>
        <v>1.7866873022496711E-2</v>
      </c>
    </row>
  </sheetData>
  <mergeCells count="9">
    <mergeCell ref="M2:N2"/>
    <mergeCell ref="L16:N16"/>
    <mergeCell ref="L17:N17"/>
    <mergeCell ref="C2:D2"/>
    <mergeCell ref="B16:D16"/>
    <mergeCell ref="B17:D17"/>
    <mergeCell ref="H2:I2"/>
    <mergeCell ref="G16:I16"/>
    <mergeCell ref="G17:I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CC264BBED9C34284609B6FACE239A4" ma:contentTypeVersion="4" ma:contentTypeDescription="Create a new document." ma:contentTypeScope="" ma:versionID="73f6d36ec82be77d04a6a8bc7797cbe2">
  <xsd:schema xmlns:xsd="http://www.w3.org/2001/XMLSchema" xmlns:xs="http://www.w3.org/2001/XMLSchema" xmlns:p="http://schemas.microsoft.com/office/2006/metadata/properties" xmlns:ns2="77e6a0f2-55ff-42a5-9a68-2fc1c0f9e282" targetNamespace="http://schemas.microsoft.com/office/2006/metadata/properties" ma:root="true" ma:fieldsID="351e4622012de6b56ff1c494637534f1" ns2:_="">
    <xsd:import namespace="77e6a0f2-55ff-42a5-9a68-2fc1c0f9e2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6a0f2-55ff-42a5-9a68-2fc1c0f9e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1C51B4-845F-4F41-A8F1-BD3D8DDFC556}">
  <ds:schemaRefs>
    <ds:schemaRef ds:uri="http://www.w3.org/XML/1998/namespace"/>
    <ds:schemaRef ds:uri="http://purl.org/dc/elements/1.1/"/>
    <ds:schemaRef ds:uri="http://schemas.microsoft.com/office/2006/documentManagement/types"/>
    <ds:schemaRef ds:uri="d265fba4-040f-4092-900a-6e75cd43b7d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4DE8609-A5B5-42F0-BA4C-327D58C95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6a0f2-55ff-42a5-9a68-2fc1c0f9e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EE0020-409E-449E-8743-B278F8A06B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Monthly Data</vt:lpstr>
      <vt:lpstr>CDM</vt:lpstr>
      <vt:lpstr>Economic</vt:lpstr>
      <vt:lpstr>Weather</vt:lpstr>
      <vt:lpstr>2019-20 CDM</vt:lpstr>
      <vt:lpstr>Res Predicted Monthly</vt:lpstr>
      <vt:lpstr>GS&lt;50 Predicted Monthly</vt:lpstr>
      <vt:lpstr>GS&gt;50 Predicted Monthly</vt:lpstr>
      <vt:lpstr>Model Summary</vt:lpstr>
      <vt:lpstr>Res Normalized</vt:lpstr>
      <vt:lpstr>GS&lt;50 Normalized</vt:lpstr>
      <vt:lpstr>GS&gt;50 Normalized</vt:lpstr>
      <vt:lpstr>EV Data</vt:lpstr>
      <vt:lpstr>EV Forecast</vt:lpstr>
      <vt:lpstr>Heating</vt:lpstr>
      <vt:lpstr>Total Additional Loads</vt:lpstr>
      <vt:lpstr>Normalized Annual Summary</vt:lpstr>
      <vt:lpstr>Customer Count</vt:lpstr>
      <vt:lpstr>kW Forecast</vt:lpstr>
      <vt:lpstr>CDM Framework</vt:lpstr>
      <vt:lpstr>CDM Adjustment</vt:lpstr>
      <vt:lpstr>Summary Tables</vt:lpstr>
      <vt:lpstr>Res Weather Normalized</vt:lpstr>
      <vt:lpstr>GS&lt;50 Weather Normalized</vt:lpstr>
      <vt:lpstr>GS&gt;50 Weather Normalized</vt:lpstr>
      <vt:lpstr>App.2IB</vt:lpstr>
      <vt:lpstr>LRAMVA</vt:lpstr>
      <vt:lpstr>LRAMVA!_Hlk33611143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Blair</dc:creator>
  <cp:keywords/>
  <dc:description/>
  <cp:lastModifiedBy>Chisholm, David</cp:lastModifiedBy>
  <cp:revision/>
  <dcterms:created xsi:type="dcterms:W3CDTF">2018-12-19T20:07:02Z</dcterms:created>
  <dcterms:modified xsi:type="dcterms:W3CDTF">2025-03-12T14:24:15Z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0x01010006CC264BBED9C34284609B6FACE239A4</vt:lpwstr>
  </property>
</Properties>
</file>