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1_{9783DA96-488A-47F9-B5E6-58A9FCD94CCE}" xr6:coauthVersionLast="47" xr6:coauthVersionMax="47" xr10:uidLastSave="{00000000-0000-0000-0000-000000000000}"/>
  <bookViews>
    <workbookView xWindow="28680" yWindow="-120" windowWidth="29040" windowHeight="175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 WN" sheetId="79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Summary'!$A$3:$M$43</definedName>
    <definedName name="_xlnm.Print_Area" localSheetId="2">'Power Purchased Model'!$A$1:$K$168</definedName>
    <definedName name="_xlnm.Print_Area" localSheetId="3">'Power Purchased Model WN'!$A$1:$K$168</definedName>
    <definedName name="_xlnm.Print_Area" localSheetId="5">'Rate Class Customer Model'!$A$1:$I$34</definedName>
    <definedName name="_xlnm.Print_Area" localSheetId="4">'Rate Class Energy Model'!#REF!</definedName>
    <definedName name="_xlnm.Print_Area" localSheetId="6">'Rate Class Load Model'!$A$1:$H$30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Model'!$A:$K,'Power Purchased Model'!$1:$2</definedName>
    <definedName name="_xlnm.Print_Titles" localSheetId="3">'Power Purchased Model WN'!$A:$K,'Power Purchased Model 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7" l="1"/>
  <c r="C33" i="17"/>
  <c r="D33" i="17"/>
  <c r="E33" i="17"/>
  <c r="F33" i="17"/>
  <c r="G33" i="17"/>
  <c r="L153" i="79"/>
  <c r="L154" i="79"/>
  <c r="L155" i="79"/>
  <c r="L156" i="79"/>
  <c r="L157" i="79"/>
  <c r="L158" i="79"/>
  <c r="L159" i="79"/>
  <c r="L160" i="79"/>
  <c r="L161" i="79"/>
  <c r="L162" i="79"/>
  <c r="L152" i="79"/>
  <c r="J153" i="79"/>
  <c r="J154" i="79"/>
  <c r="J155" i="79"/>
  <c r="J156" i="79"/>
  <c r="J157" i="79"/>
  <c r="J158" i="79"/>
  <c r="J159" i="79"/>
  <c r="J160" i="79"/>
  <c r="J161" i="79"/>
  <c r="J162" i="79"/>
  <c r="J152" i="79"/>
  <c r="C16" i="79"/>
  <c r="C28" i="79" s="1"/>
  <c r="C17" i="79"/>
  <c r="C18" i="79"/>
  <c r="C19" i="79"/>
  <c r="C20" i="79"/>
  <c r="C21" i="79"/>
  <c r="C22" i="79"/>
  <c r="C23" i="79"/>
  <c r="I23" i="79" s="1"/>
  <c r="J23" i="79" s="1"/>
  <c r="C24" i="79"/>
  <c r="C25" i="79"/>
  <c r="C26" i="79"/>
  <c r="C27" i="79"/>
  <c r="C39" i="79" s="1"/>
  <c r="I39" i="79" s="1"/>
  <c r="J39" i="79" s="1"/>
  <c r="C29" i="79"/>
  <c r="C41" i="79" s="1"/>
  <c r="C53" i="79" s="1"/>
  <c r="C65" i="79" s="1"/>
  <c r="C77" i="79" s="1"/>
  <c r="C30" i="79"/>
  <c r="C42" i="79" s="1"/>
  <c r="C54" i="79" s="1"/>
  <c r="C66" i="79" s="1"/>
  <c r="C78" i="79" s="1"/>
  <c r="C90" i="79" s="1"/>
  <c r="C31" i="79"/>
  <c r="C43" i="79" s="1"/>
  <c r="C55" i="79" s="1"/>
  <c r="C67" i="79" s="1"/>
  <c r="C79" i="79" s="1"/>
  <c r="C91" i="79" s="1"/>
  <c r="C32" i="79"/>
  <c r="C44" i="79" s="1"/>
  <c r="C56" i="79" s="1"/>
  <c r="C33" i="79"/>
  <c r="C34" i="79"/>
  <c r="C46" i="79" s="1"/>
  <c r="C58" i="79" s="1"/>
  <c r="C70" i="79" s="1"/>
  <c r="C82" i="79" s="1"/>
  <c r="C94" i="79" s="1"/>
  <c r="C35" i="79"/>
  <c r="C47" i="79" s="1"/>
  <c r="C36" i="79"/>
  <c r="C48" i="79" s="1"/>
  <c r="C60" i="79" s="1"/>
  <c r="C72" i="79" s="1"/>
  <c r="C84" i="79" s="1"/>
  <c r="C96" i="79" s="1"/>
  <c r="C108" i="79" s="1"/>
  <c r="C120" i="79" s="1"/>
  <c r="C132" i="79" s="1"/>
  <c r="C144" i="79" s="1"/>
  <c r="C37" i="79"/>
  <c r="C49" i="79" s="1"/>
  <c r="C61" i="79" s="1"/>
  <c r="C73" i="79" s="1"/>
  <c r="C38" i="79"/>
  <c r="C50" i="79" s="1"/>
  <c r="C62" i="79" s="1"/>
  <c r="C74" i="79" s="1"/>
  <c r="C15" i="79"/>
  <c r="C4" i="79"/>
  <c r="C5" i="79"/>
  <c r="C6" i="79"/>
  <c r="C7" i="79"/>
  <c r="C8" i="79"/>
  <c r="C9" i="79"/>
  <c r="C10" i="79"/>
  <c r="C11" i="79"/>
  <c r="C12" i="79"/>
  <c r="C13" i="79"/>
  <c r="C14" i="79"/>
  <c r="I3" i="79"/>
  <c r="I13" i="79"/>
  <c r="C3" i="79"/>
  <c r="G134" i="79"/>
  <c r="B134" i="79"/>
  <c r="G133" i="79"/>
  <c r="B133" i="79"/>
  <c r="G132" i="79"/>
  <c r="B132" i="79"/>
  <c r="G131" i="79"/>
  <c r="B131" i="79"/>
  <c r="G130" i="79"/>
  <c r="B130" i="79"/>
  <c r="G129" i="79"/>
  <c r="B129" i="79"/>
  <c r="G128" i="79"/>
  <c r="B128" i="79"/>
  <c r="G127" i="79"/>
  <c r="B127" i="79"/>
  <c r="G126" i="79"/>
  <c r="B126" i="79"/>
  <c r="G125" i="79"/>
  <c r="B125" i="79"/>
  <c r="G124" i="79"/>
  <c r="B124" i="79"/>
  <c r="G123" i="79"/>
  <c r="B123" i="79"/>
  <c r="G122" i="79"/>
  <c r="B122" i="79"/>
  <c r="G121" i="79"/>
  <c r="B121" i="79"/>
  <c r="G120" i="79"/>
  <c r="B120" i="79"/>
  <c r="G119" i="79"/>
  <c r="B119" i="79"/>
  <c r="G118" i="79"/>
  <c r="B118" i="79"/>
  <c r="G117" i="79"/>
  <c r="B117" i="79"/>
  <c r="G116" i="79"/>
  <c r="B116" i="79"/>
  <c r="G115" i="79"/>
  <c r="B115" i="79"/>
  <c r="G114" i="79"/>
  <c r="B114" i="79"/>
  <c r="G113" i="79"/>
  <c r="B113" i="79"/>
  <c r="G112" i="79"/>
  <c r="B112" i="79"/>
  <c r="G111" i="79"/>
  <c r="B111" i="79"/>
  <c r="G110" i="79"/>
  <c r="B110" i="79"/>
  <c r="G109" i="79"/>
  <c r="B109" i="79"/>
  <c r="G108" i="79"/>
  <c r="B108" i="79"/>
  <c r="G107" i="79"/>
  <c r="B107" i="79"/>
  <c r="G106" i="79"/>
  <c r="B106" i="79"/>
  <c r="G105" i="79"/>
  <c r="B105" i="79"/>
  <c r="G104" i="79"/>
  <c r="B104" i="79"/>
  <c r="G103" i="79"/>
  <c r="B103" i="79"/>
  <c r="G102" i="79"/>
  <c r="B102" i="79"/>
  <c r="G101" i="79"/>
  <c r="B101" i="79"/>
  <c r="G100" i="79"/>
  <c r="B100" i="79"/>
  <c r="G99" i="79"/>
  <c r="B99" i="79"/>
  <c r="G98" i="79"/>
  <c r="B98" i="79"/>
  <c r="G97" i="79"/>
  <c r="B97" i="79"/>
  <c r="G96" i="79"/>
  <c r="B96" i="79"/>
  <c r="G95" i="79"/>
  <c r="B95" i="79"/>
  <c r="G94" i="79"/>
  <c r="B94" i="79"/>
  <c r="G93" i="79"/>
  <c r="B93" i="79"/>
  <c r="G92" i="79"/>
  <c r="B92" i="79"/>
  <c r="G91" i="79"/>
  <c r="B91" i="79"/>
  <c r="G90" i="79"/>
  <c r="B90" i="79"/>
  <c r="G89" i="79"/>
  <c r="B89" i="79"/>
  <c r="G88" i="79"/>
  <c r="B88" i="79"/>
  <c r="G87" i="79"/>
  <c r="B87" i="79"/>
  <c r="G86" i="79"/>
  <c r="B86" i="79"/>
  <c r="G85" i="79"/>
  <c r="B85" i="79"/>
  <c r="G84" i="79"/>
  <c r="B84" i="79"/>
  <c r="G83" i="79"/>
  <c r="B83" i="79"/>
  <c r="G82" i="79"/>
  <c r="B82" i="79"/>
  <c r="G81" i="79"/>
  <c r="B81" i="79"/>
  <c r="G80" i="79"/>
  <c r="B80" i="79"/>
  <c r="G79" i="79"/>
  <c r="B79" i="79"/>
  <c r="G78" i="79"/>
  <c r="B78" i="79"/>
  <c r="G77" i="79"/>
  <c r="B77" i="79"/>
  <c r="G76" i="79"/>
  <c r="B76" i="79"/>
  <c r="G75" i="79"/>
  <c r="B75" i="79"/>
  <c r="G74" i="79"/>
  <c r="B74" i="79"/>
  <c r="G73" i="79"/>
  <c r="B73" i="79"/>
  <c r="G72" i="79"/>
  <c r="B72" i="79"/>
  <c r="G71" i="79"/>
  <c r="B71" i="79"/>
  <c r="G70" i="79"/>
  <c r="B70" i="79"/>
  <c r="G69" i="79"/>
  <c r="B69" i="79"/>
  <c r="G68" i="79"/>
  <c r="B68" i="79"/>
  <c r="G67" i="79"/>
  <c r="B67" i="79"/>
  <c r="G66" i="79"/>
  <c r="B66" i="79"/>
  <c r="G65" i="79"/>
  <c r="B65" i="79"/>
  <c r="B157" i="79" s="1"/>
  <c r="G64" i="79"/>
  <c r="B64" i="79"/>
  <c r="G63" i="79"/>
  <c r="B63" i="79"/>
  <c r="G62" i="79"/>
  <c r="B62" i="79"/>
  <c r="G61" i="79"/>
  <c r="B61" i="79"/>
  <c r="G60" i="79"/>
  <c r="B60" i="79"/>
  <c r="G59" i="79"/>
  <c r="B59" i="79"/>
  <c r="G58" i="79"/>
  <c r="B58" i="79"/>
  <c r="G57" i="79"/>
  <c r="B57" i="79"/>
  <c r="G56" i="79"/>
  <c r="B56" i="79"/>
  <c r="G55" i="79"/>
  <c r="B55" i="79"/>
  <c r="B156" i="79" s="1"/>
  <c r="G54" i="79"/>
  <c r="B54" i="79"/>
  <c r="G53" i="79"/>
  <c r="B53" i="79"/>
  <c r="G52" i="79"/>
  <c r="B52" i="79"/>
  <c r="G51" i="79"/>
  <c r="B51" i="79"/>
  <c r="G50" i="79"/>
  <c r="B50" i="79"/>
  <c r="G49" i="79"/>
  <c r="B49" i="79"/>
  <c r="G48" i="79"/>
  <c r="B48" i="79"/>
  <c r="G47" i="79"/>
  <c r="B47" i="79"/>
  <c r="G46" i="79"/>
  <c r="B46" i="79"/>
  <c r="G45" i="79"/>
  <c r="B45" i="79"/>
  <c r="G44" i="79"/>
  <c r="B44" i="79"/>
  <c r="G43" i="79"/>
  <c r="B43" i="79"/>
  <c r="G42" i="79"/>
  <c r="B42" i="79"/>
  <c r="G41" i="79"/>
  <c r="B41" i="79"/>
  <c r="G40" i="79"/>
  <c r="B40" i="79"/>
  <c r="G39" i="79"/>
  <c r="B39" i="79"/>
  <c r="G38" i="79"/>
  <c r="B38" i="79"/>
  <c r="G37" i="79"/>
  <c r="B37" i="79"/>
  <c r="G36" i="79"/>
  <c r="B36" i="79"/>
  <c r="G35" i="79"/>
  <c r="B35" i="79"/>
  <c r="G34" i="79"/>
  <c r="B34" i="79"/>
  <c r="G33" i="79"/>
  <c r="B33" i="79"/>
  <c r="G32" i="79"/>
  <c r="B32" i="79"/>
  <c r="G31" i="79"/>
  <c r="B31" i="79"/>
  <c r="G30" i="79"/>
  <c r="B30" i="79"/>
  <c r="G29" i="79"/>
  <c r="B29" i="79"/>
  <c r="G28" i="79"/>
  <c r="B28" i="79"/>
  <c r="G27" i="79"/>
  <c r="I27" i="79" s="1"/>
  <c r="B27" i="79"/>
  <c r="G26" i="79"/>
  <c r="I26" i="79" s="1"/>
  <c r="B26" i="79"/>
  <c r="G25" i="79"/>
  <c r="B25" i="79"/>
  <c r="G24" i="79"/>
  <c r="B24" i="79"/>
  <c r="G23" i="79"/>
  <c r="B23" i="79"/>
  <c r="G22" i="79"/>
  <c r="I22" i="79" s="1"/>
  <c r="J22" i="79" s="1"/>
  <c r="B22" i="79"/>
  <c r="G21" i="79"/>
  <c r="I21" i="79" s="1"/>
  <c r="J21" i="79" s="1"/>
  <c r="B21" i="79"/>
  <c r="G20" i="79"/>
  <c r="I20" i="79" s="1"/>
  <c r="B20" i="79"/>
  <c r="G19" i="79"/>
  <c r="I19" i="79" s="1"/>
  <c r="B19" i="79"/>
  <c r="G18" i="79"/>
  <c r="I18" i="79" s="1"/>
  <c r="J18" i="79" s="1"/>
  <c r="B18" i="79"/>
  <c r="G17" i="79"/>
  <c r="I17" i="79" s="1"/>
  <c r="J17" i="79" s="1"/>
  <c r="B17" i="79"/>
  <c r="G16" i="79"/>
  <c r="B16" i="79"/>
  <c r="G15" i="79"/>
  <c r="I15" i="79" s="1"/>
  <c r="J15" i="79" s="1"/>
  <c r="B15" i="79"/>
  <c r="G14" i="79"/>
  <c r="I14" i="79" s="1"/>
  <c r="J14" i="79" s="1"/>
  <c r="B14" i="79"/>
  <c r="G13" i="79"/>
  <c r="B13" i="79"/>
  <c r="G12" i="79"/>
  <c r="I12" i="79" s="1"/>
  <c r="B12" i="79"/>
  <c r="G11" i="79"/>
  <c r="I11" i="79" s="1"/>
  <c r="J11" i="79" s="1"/>
  <c r="B11" i="79"/>
  <c r="G10" i="79"/>
  <c r="B10" i="79"/>
  <c r="G9" i="79"/>
  <c r="B9" i="79"/>
  <c r="G8" i="79"/>
  <c r="B8" i="79"/>
  <c r="G7" i="79"/>
  <c r="B7" i="79"/>
  <c r="G6" i="79"/>
  <c r="B6" i="79"/>
  <c r="G5" i="79"/>
  <c r="B5" i="79"/>
  <c r="B152" i="79" s="1"/>
  <c r="G4" i="79"/>
  <c r="B4" i="79"/>
  <c r="G3" i="79"/>
  <c r="B3" i="79"/>
  <c r="C86" i="79" l="1"/>
  <c r="C98" i="79" s="1"/>
  <c r="C110" i="79" s="1"/>
  <c r="C122" i="79" s="1"/>
  <c r="C134" i="79" s="1"/>
  <c r="C146" i="79" s="1"/>
  <c r="I74" i="79"/>
  <c r="J74" i="79" s="1"/>
  <c r="C85" i="79"/>
  <c r="C97" i="79" s="1"/>
  <c r="I73" i="79"/>
  <c r="J73" i="79" s="1"/>
  <c r="I47" i="79"/>
  <c r="J47" i="79" s="1"/>
  <c r="C59" i="79"/>
  <c r="C106" i="79"/>
  <c r="C118" i="79" s="1"/>
  <c r="C130" i="79" s="1"/>
  <c r="C142" i="79" s="1"/>
  <c r="I94" i="79"/>
  <c r="J94" i="79" s="1"/>
  <c r="M94" i="79" s="1"/>
  <c r="C68" i="79"/>
  <c r="I56" i="79"/>
  <c r="J56" i="79" s="1"/>
  <c r="N56" i="79" s="1"/>
  <c r="O56" i="79" s="1"/>
  <c r="C103" i="79"/>
  <c r="I91" i="79"/>
  <c r="J91" i="79" s="1"/>
  <c r="M91" i="79" s="1"/>
  <c r="I90" i="79"/>
  <c r="J90" i="79" s="1"/>
  <c r="C102" i="79"/>
  <c r="C114" i="79" s="1"/>
  <c r="C89" i="79"/>
  <c r="C101" i="79" s="1"/>
  <c r="I77" i="79"/>
  <c r="J77" i="79" s="1"/>
  <c r="M77" i="79" s="1"/>
  <c r="C40" i="79"/>
  <c r="I28" i="79"/>
  <c r="J28" i="79" s="1"/>
  <c r="M28" i="79" s="1"/>
  <c r="I110" i="79"/>
  <c r="I120" i="79"/>
  <c r="I82" i="79"/>
  <c r="I33" i="79"/>
  <c r="J33" i="79" s="1"/>
  <c r="K33" i="79" s="1"/>
  <c r="L33" i="79" s="1"/>
  <c r="C45" i="79"/>
  <c r="C57" i="79" s="1"/>
  <c r="C69" i="79" s="1"/>
  <c r="I132" i="79"/>
  <c r="J132" i="79" s="1"/>
  <c r="I35" i="79"/>
  <c r="J35" i="79" s="1"/>
  <c r="K35" i="79" s="1"/>
  <c r="L35" i="79" s="1"/>
  <c r="I44" i="79"/>
  <c r="J44" i="79" s="1"/>
  <c r="I122" i="79"/>
  <c r="J122" i="79" s="1"/>
  <c r="K122" i="79" s="1"/>
  <c r="L122" i="79" s="1"/>
  <c r="I36" i="79"/>
  <c r="J36" i="79" s="1"/>
  <c r="K36" i="79" s="1"/>
  <c r="L36" i="79" s="1"/>
  <c r="I45" i="79"/>
  <c r="J45" i="79" s="1"/>
  <c r="N45" i="79" s="1"/>
  <c r="O45" i="79" s="1"/>
  <c r="I55" i="79"/>
  <c r="J55" i="79" s="1"/>
  <c r="I84" i="79"/>
  <c r="J84" i="79" s="1"/>
  <c r="I16" i="79"/>
  <c r="J16" i="79" s="1"/>
  <c r="I46" i="79"/>
  <c r="J46" i="79" s="1"/>
  <c r="I65" i="79"/>
  <c r="J65" i="79" s="1"/>
  <c r="I85" i="79"/>
  <c r="J85" i="79" s="1"/>
  <c r="I134" i="79"/>
  <c r="I37" i="79"/>
  <c r="J37" i="79" s="1"/>
  <c r="I75" i="79"/>
  <c r="I66" i="79"/>
  <c r="J66" i="79" s="1"/>
  <c r="I86" i="79"/>
  <c r="J86" i="79" s="1"/>
  <c r="I57" i="79"/>
  <c r="J57" i="79" s="1"/>
  <c r="I29" i="79"/>
  <c r="J29" i="79" s="1"/>
  <c r="K29" i="79" s="1"/>
  <c r="L29" i="79" s="1"/>
  <c r="I38" i="79"/>
  <c r="J38" i="79" s="1"/>
  <c r="N39" i="79" s="1"/>
  <c r="O39" i="79" s="1"/>
  <c r="I67" i="79"/>
  <c r="J67" i="79" s="1"/>
  <c r="K67" i="79" s="1"/>
  <c r="L67" i="79" s="1"/>
  <c r="I87" i="79"/>
  <c r="I48" i="79"/>
  <c r="J48" i="79" s="1"/>
  <c r="I58" i="79"/>
  <c r="J58" i="79" s="1"/>
  <c r="K58" i="79" s="1"/>
  <c r="L58" i="79" s="1"/>
  <c r="I96" i="79"/>
  <c r="J96" i="79" s="1"/>
  <c r="C51" i="79"/>
  <c r="C63" i="79" s="1"/>
  <c r="C75" i="79" s="1"/>
  <c r="C87" i="79" s="1"/>
  <c r="C99" i="79" s="1"/>
  <c r="C111" i="79" s="1"/>
  <c r="I30" i="79"/>
  <c r="J30" i="79" s="1"/>
  <c r="N30" i="79" s="1"/>
  <c r="O30" i="79" s="1"/>
  <c r="I49" i="79"/>
  <c r="I78" i="79"/>
  <c r="J78" i="79" s="1"/>
  <c r="I50" i="79"/>
  <c r="J50" i="79" s="1"/>
  <c r="I31" i="79"/>
  <c r="J31" i="79" s="1"/>
  <c r="I60" i="79"/>
  <c r="J60" i="79" s="1"/>
  <c r="I79" i="79"/>
  <c r="J79" i="79" s="1"/>
  <c r="I32" i="79"/>
  <c r="I51" i="79"/>
  <c r="J51" i="79" s="1"/>
  <c r="I70" i="79"/>
  <c r="J70" i="79" s="1"/>
  <c r="I41" i="79"/>
  <c r="I61" i="79"/>
  <c r="J61" i="79" s="1"/>
  <c r="I24" i="79"/>
  <c r="J24" i="79" s="1"/>
  <c r="I42" i="79"/>
  <c r="J42" i="79" s="1"/>
  <c r="I62" i="79"/>
  <c r="J62" i="79" s="1"/>
  <c r="I98" i="79"/>
  <c r="I53" i="79"/>
  <c r="J53" i="79" s="1"/>
  <c r="I72" i="79"/>
  <c r="J72" i="79" s="1"/>
  <c r="M72" i="79" s="1"/>
  <c r="I108" i="79"/>
  <c r="J108" i="79" s="1"/>
  <c r="M108" i="79" s="1"/>
  <c r="I25" i="79"/>
  <c r="I153" i="79" s="1"/>
  <c r="I34" i="79"/>
  <c r="J34" i="79" s="1"/>
  <c r="K34" i="79" s="1"/>
  <c r="L34" i="79" s="1"/>
  <c r="I43" i="79"/>
  <c r="J43" i="79" s="1"/>
  <c r="K43" i="79" s="1"/>
  <c r="L43" i="79" s="1"/>
  <c r="I63" i="79"/>
  <c r="I99" i="79"/>
  <c r="I54" i="79"/>
  <c r="J54" i="79" s="1"/>
  <c r="I118" i="79"/>
  <c r="J118" i="79" s="1"/>
  <c r="I7" i="79"/>
  <c r="J7" i="79" s="1"/>
  <c r="M7" i="79" s="1"/>
  <c r="I9" i="79"/>
  <c r="J9" i="79" s="1"/>
  <c r="I10" i="79"/>
  <c r="J10" i="79" s="1"/>
  <c r="N10" i="79" s="1"/>
  <c r="O10" i="79" s="1"/>
  <c r="I4" i="79"/>
  <c r="J4" i="79" s="1"/>
  <c r="K4" i="79" s="1"/>
  <c r="L4" i="79" s="1"/>
  <c r="I5" i="79"/>
  <c r="J5" i="79" s="1"/>
  <c r="N5" i="79" s="1"/>
  <c r="O5" i="79" s="1"/>
  <c r="I6" i="79"/>
  <c r="J6" i="79" s="1"/>
  <c r="K6" i="79" s="1"/>
  <c r="L6" i="79" s="1"/>
  <c r="I8" i="79"/>
  <c r="I152" i="79" s="1"/>
  <c r="M90" i="79"/>
  <c r="K90" i="79"/>
  <c r="L90" i="79" s="1"/>
  <c r="N15" i="79"/>
  <c r="O15" i="79" s="1"/>
  <c r="M15" i="79"/>
  <c r="K15" i="79"/>
  <c r="L15" i="79" s="1"/>
  <c r="M11" i="79"/>
  <c r="K11" i="79"/>
  <c r="L11" i="79" s="1"/>
  <c r="N24" i="79"/>
  <c r="O24" i="79" s="1"/>
  <c r="M24" i="79"/>
  <c r="K24" i="79"/>
  <c r="L24" i="79" s="1"/>
  <c r="M58" i="79"/>
  <c r="N29" i="79"/>
  <c r="O29" i="79" s="1"/>
  <c r="M29" i="79"/>
  <c r="J98" i="79"/>
  <c r="K14" i="79"/>
  <c r="L14" i="79" s="1"/>
  <c r="M14" i="79"/>
  <c r="N61" i="79"/>
  <c r="O61" i="79" s="1"/>
  <c r="M61" i="79"/>
  <c r="K61" i="79"/>
  <c r="L61" i="79" s="1"/>
  <c r="J32" i="79"/>
  <c r="N62" i="79"/>
  <c r="O62" i="79" s="1"/>
  <c r="M62" i="79"/>
  <c r="K62" i="79"/>
  <c r="L62" i="79" s="1"/>
  <c r="M79" i="79"/>
  <c r="K79" i="79"/>
  <c r="L79" i="79" s="1"/>
  <c r="J27" i="79"/>
  <c r="K118" i="79"/>
  <c r="L118" i="79" s="1"/>
  <c r="K31" i="79"/>
  <c r="L31" i="79" s="1"/>
  <c r="M70" i="79"/>
  <c r="K70" i="79"/>
  <c r="L70" i="79" s="1"/>
  <c r="M50" i="79"/>
  <c r="K50" i="79"/>
  <c r="L50" i="79" s="1"/>
  <c r="M122" i="79"/>
  <c r="N22" i="79"/>
  <c r="O22" i="79" s="1"/>
  <c r="K22" i="79"/>
  <c r="L22" i="79" s="1"/>
  <c r="M22" i="79"/>
  <c r="M43" i="79"/>
  <c r="J75" i="79"/>
  <c r="N43" i="79"/>
  <c r="O43" i="79" s="1"/>
  <c r="M67" i="79"/>
  <c r="K85" i="79"/>
  <c r="L85" i="79" s="1"/>
  <c r="M85" i="79"/>
  <c r="M132" i="79"/>
  <c r="K132" i="79"/>
  <c r="L132" i="79" s="1"/>
  <c r="M16" i="79"/>
  <c r="K16" i="79"/>
  <c r="L16" i="79" s="1"/>
  <c r="N16" i="79"/>
  <c r="O16" i="79" s="1"/>
  <c r="N17" i="79"/>
  <c r="O17" i="79" s="1"/>
  <c r="M17" i="79"/>
  <c r="K17" i="79"/>
  <c r="L17" i="79" s="1"/>
  <c r="N47" i="79"/>
  <c r="O47" i="79" s="1"/>
  <c r="M47" i="79"/>
  <c r="K47" i="79"/>
  <c r="L47" i="79" s="1"/>
  <c r="N18" i="79"/>
  <c r="O18" i="79" s="1"/>
  <c r="M18" i="79"/>
  <c r="K18" i="79"/>
  <c r="L18" i="79" s="1"/>
  <c r="J134" i="79"/>
  <c r="J19" i="79"/>
  <c r="J20" i="79"/>
  <c r="B155" i="79"/>
  <c r="J41" i="79"/>
  <c r="M73" i="79"/>
  <c r="K73" i="79"/>
  <c r="L73" i="79" s="1"/>
  <c r="B165" i="79"/>
  <c r="M21" i="79"/>
  <c r="K21" i="79"/>
  <c r="L21" i="79" s="1"/>
  <c r="K74" i="79"/>
  <c r="L74" i="79" s="1"/>
  <c r="J25" i="79"/>
  <c r="M33" i="79"/>
  <c r="J82" i="79"/>
  <c r="K91" i="79"/>
  <c r="L91" i="79" s="1"/>
  <c r="N91" i="79"/>
  <c r="O91" i="79" s="1"/>
  <c r="K30" i="79"/>
  <c r="L30" i="79" s="1"/>
  <c r="N46" i="79"/>
  <c r="O46" i="79" s="1"/>
  <c r="M46" i="79"/>
  <c r="K46" i="79"/>
  <c r="L46" i="79" s="1"/>
  <c r="B162" i="79"/>
  <c r="B161" i="79"/>
  <c r="N86" i="79"/>
  <c r="O86" i="79" s="1"/>
  <c r="M86" i="79"/>
  <c r="K86" i="79"/>
  <c r="L86" i="79" s="1"/>
  <c r="B160" i="79"/>
  <c r="B159" i="79"/>
  <c r="M74" i="79"/>
  <c r="J12" i="79"/>
  <c r="B158" i="79"/>
  <c r="K96" i="79"/>
  <c r="L96" i="79" s="1"/>
  <c r="M96" i="79"/>
  <c r="N34" i="79"/>
  <c r="O34" i="79" s="1"/>
  <c r="M34" i="79"/>
  <c r="M30" i="79"/>
  <c r="M42" i="79"/>
  <c r="K42" i="79"/>
  <c r="L42" i="79" s="1"/>
  <c r="N51" i="79"/>
  <c r="O51" i="79" s="1"/>
  <c r="M51" i="79"/>
  <c r="K51" i="79"/>
  <c r="L51" i="79" s="1"/>
  <c r="M39" i="79"/>
  <c r="K39" i="79"/>
  <c r="L39" i="79" s="1"/>
  <c r="J49" i="79"/>
  <c r="J120" i="79"/>
  <c r="J13" i="79"/>
  <c r="N14" i="79" s="1"/>
  <c r="O14" i="79" s="1"/>
  <c r="J26" i="79"/>
  <c r="J3" i="79"/>
  <c r="M23" i="79"/>
  <c r="K23" i="79"/>
  <c r="L23" i="79" s="1"/>
  <c r="N23" i="79"/>
  <c r="O23" i="79" s="1"/>
  <c r="B154" i="79"/>
  <c r="J110" i="79"/>
  <c r="B153" i="79"/>
  <c r="N78" i="79" l="1"/>
  <c r="O78" i="79" s="1"/>
  <c r="M78" i="79"/>
  <c r="K78" i="79"/>
  <c r="L78" i="79" s="1"/>
  <c r="N73" i="79"/>
  <c r="O73" i="79" s="1"/>
  <c r="I40" i="79"/>
  <c r="C52" i="79"/>
  <c r="N58" i="79"/>
  <c r="O58" i="79" s="1"/>
  <c r="C113" i="79"/>
  <c r="I101" i="79"/>
  <c r="J101" i="79" s="1"/>
  <c r="M53" i="79"/>
  <c r="I114" i="79"/>
  <c r="J114" i="79" s="1"/>
  <c r="C126" i="79"/>
  <c r="K72" i="79"/>
  <c r="L72" i="79" s="1"/>
  <c r="M118" i="79"/>
  <c r="C115" i="79"/>
  <c r="I103" i="79"/>
  <c r="J103" i="79" s="1"/>
  <c r="N37" i="79"/>
  <c r="O37" i="79" s="1"/>
  <c r="K54" i="79"/>
  <c r="L54" i="79" s="1"/>
  <c r="M54" i="79"/>
  <c r="N54" i="79"/>
  <c r="O54" i="79" s="1"/>
  <c r="C80" i="79"/>
  <c r="I68" i="79"/>
  <c r="J68" i="79" s="1"/>
  <c r="K53" i="79"/>
  <c r="L53" i="79" s="1"/>
  <c r="K57" i="79"/>
  <c r="L57" i="79" s="1"/>
  <c r="M57" i="79"/>
  <c r="N57" i="79"/>
  <c r="O57" i="79" s="1"/>
  <c r="M45" i="79"/>
  <c r="K56" i="79"/>
  <c r="L56" i="79" s="1"/>
  <c r="M38" i="79"/>
  <c r="J99" i="79"/>
  <c r="K45" i="79"/>
  <c r="L45" i="79" s="1"/>
  <c r="M56" i="79"/>
  <c r="K38" i="79"/>
  <c r="L38" i="79" s="1"/>
  <c r="K28" i="79"/>
  <c r="L28" i="79" s="1"/>
  <c r="M35" i="79"/>
  <c r="J87" i="79"/>
  <c r="M87" i="79" s="1"/>
  <c r="N38" i="79"/>
  <c r="O38" i="79" s="1"/>
  <c r="I69" i="79"/>
  <c r="J69" i="79" s="1"/>
  <c r="C81" i="79"/>
  <c r="J63" i="79"/>
  <c r="M63" i="79" s="1"/>
  <c r="N35" i="79"/>
  <c r="O35" i="79" s="1"/>
  <c r="M60" i="79"/>
  <c r="K60" i="79"/>
  <c r="L60" i="79" s="1"/>
  <c r="N31" i="79"/>
  <c r="O31" i="79" s="1"/>
  <c r="M31" i="79"/>
  <c r="K37" i="79"/>
  <c r="L37" i="79" s="1"/>
  <c r="M37" i="79"/>
  <c r="K77" i="79"/>
  <c r="L77" i="79" s="1"/>
  <c r="N79" i="79"/>
  <c r="O79" i="79" s="1"/>
  <c r="M84" i="79"/>
  <c r="K84" i="79"/>
  <c r="L84" i="79" s="1"/>
  <c r="N85" i="79"/>
  <c r="O85" i="79" s="1"/>
  <c r="N55" i="79"/>
  <c r="O55" i="79" s="1"/>
  <c r="M55" i="79"/>
  <c r="K55" i="79"/>
  <c r="L55" i="79" s="1"/>
  <c r="N36" i="79"/>
  <c r="O36" i="79" s="1"/>
  <c r="M36" i="79"/>
  <c r="K108" i="79"/>
  <c r="L108" i="79" s="1"/>
  <c r="I89" i="79"/>
  <c r="J89" i="79" s="1"/>
  <c r="K94" i="79"/>
  <c r="L94" i="79" s="1"/>
  <c r="I102" i="79"/>
  <c r="J102" i="79" s="1"/>
  <c r="I154" i="79"/>
  <c r="I59" i="79"/>
  <c r="J59" i="79" s="1"/>
  <c r="C71" i="79"/>
  <c r="N33" i="79"/>
  <c r="O33" i="79" s="1"/>
  <c r="C123" i="79"/>
  <c r="I111" i="79"/>
  <c r="C109" i="79"/>
  <c r="I97" i="79"/>
  <c r="J97" i="79" s="1"/>
  <c r="I106" i="79"/>
  <c r="J106" i="79" s="1"/>
  <c r="I130" i="79"/>
  <c r="J130" i="79" s="1"/>
  <c r="N74" i="79"/>
  <c r="O74" i="79" s="1"/>
  <c r="K7" i="79"/>
  <c r="L7" i="79" s="1"/>
  <c r="M6" i="79"/>
  <c r="N11" i="79"/>
  <c r="O11" i="79" s="1"/>
  <c r="N6" i="79"/>
  <c r="O6" i="79" s="1"/>
  <c r="M4" i="79"/>
  <c r="N4" i="79"/>
  <c r="O4" i="79" s="1"/>
  <c r="M5" i="79"/>
  <c r="N7" i="79"/>
  <c r="O7" i="79" s="1"/>
  <c r="K5" i="79"/>
  <c r="L5" i="79" s="1"/>
  <c r="M10" i="79"/>
  <c r="K10" i="79"/>
  <c r="L10" i="79" s="1"/>
  <c r="J8" i="79"/>
  <c r="K8" i="79" s="1"/>
  <c r="L8" i="79" s="1"/>
  <c r="K98" i="79"/>
  <c r="L98" i="79" s="1"/>
  <c r="M98" i="79"/>
  <c r="N75" i="79"/>
  <c r="O75" i="79" s="1"/>
  <c r="M75" i="79"/>
  <c r="K75" i="79"/>
  <c r="L75" i="79" s="1"/>
  <c r="K82" i="79"/>
  <c r="L82" i="79" s="1"/>
  <c r="M82" i="79"/>
  <c r="M66" i="79"/>
  <c r="K66" i="79"/>
  <c r="L66" i="79" s="1"/>
  <c r="N66" i="79"/>
  <c r="O66" i="79" s="1"/>
  <c r="K49" i="79"/>
  <c r="L49" i="79" s="1"/>
  <c r="M49" i="79"/>
  <c r="N49" i="79"/>
  <c r="O49" i="79" s="1"/>
  <c r="M41" i="79"/>
  <c r="K41" i="79"/>
  <c r="L41" i="79" s="1"/>
  <c r="N42" i="79"/>
  <c r="O42" i="79" s="1"/>
  <c r="N27" i="79"/>
  <c r="O27" i="79" s="1"/>
  <c r="M27" i="79"/>
  <c r="K27" i="79"/>
  <c r="L27" i="79" s="1"/>
  <c r="N28" i="79"/>
  <c r="O28" i="79" s="1"/>
  <c r="M99" i="79"/>
  <c r="K99" i="79"/>
  <c r="L99" i="79" s="1"/>
  <c r="N99" i="79"/>
  <c r="O99" i="79" s="1"/>
  <c r="K65" i="79"/>
  <c r="L65" i="79" s="1"/>
  <c r="M65" i="79"/>
  <c r="M44" i="79"/>
  <c r="K44" i="79"/>
  <c r="L44" i="79" s="1"/>
  <c r="N44" i="79"/>
  <c r="O44" i="79" s="1"/>
  <c r="N67" i="79"/>
  <c r="O67" i="79" s="1"/>
  <c r="M110" i="79"/>
  <c r="K110" i="79"/>
  <c r="L110" i="79" s="1"/>
  <c r="K3" i="79"/>
  <c r="L3" i="79" s="1"/>
  <c r="M3" i="79"/>
  <c r="K102" i="79"/>
  <c r="L102" i="79" s="1"/>
  <c r="M102" i="79"/>
  <c r="N102" i="79"/>
  <c r="O102" i="79" s="1"/>
  <c r="K32" i="79"/>
  <c r="L32" i="79" s="1"/>
  <c r="N32" i="79"/>
  <c r="O32" i="79" s="1"/>
  <c r="M32" i="79"/>
  <c r="N13" i="79"/>
  <c r="O13" i="79" s="1"/>
  <c r="M13" i="79"/>
  <c r="K13" i="79"/>
  <c r="L13" i="79" s="1"/>
  <c r="K120" i="79"/>
  <c r="L120" i="79" s="1"/>
  <c r="M120" i="79"/>
  <c r="M12" i="79"/>
  <c r="K12" i="79"/>
  <c r="L12" i="79" s="1"/>
  <c r="N12" i="79"/>
  <c r="O12" i="79" s="1"/>
  <c r="K25" i="79"/>
  <c r="L25" i="79" s="1"/>
  <c r="N25" i="79"/>
  <c r="O25" i="79" s="1"/>
  <c r="M25" i="79"/>
  <c r="K48" i="79"/>
  <c r="L48" i="79" s="1"/>
  <c r="N48" i="79"/>
  <c r="O48" i="79" s="1"/>
  <c r="M48" i="79"/>
  <c r="N50" i="79"/>
  <c r="O50" i="79" s="1"/>
  <c r="K9" i="79"/>
  <c r="L9" i="79" s="1"/>
  <c r="M9" i="79"/>
  <c r="M20" i="79"/>
  <c r="K20" i="79"/>
  <c r="L20" i="79" s="1"/>
  <c r="N20" i="79"/>
  <c r="O20" i="79" s="1"/>
  <c r="K26" i="79"/>
  <c r="L26" i="79" s="1"/>
  <c r="N26" i="79"/>
  <c r="O26" i="79" s="1"/>
  <c r="M26" i="79"/>
  <c r="N103" i="79"/>
  <c r="O103" i="79" s="1"/>
  <c r="N21" i="79"/>
  <c r="O21" i="79" s="1"/>
  <c r="N19" i="79"/>
  <c r="O19" i="79" s="1"/>
  <c r="M19" i="79"/>
  <c r="K19" i="79"/>
  <c r="L19" i="79" s="1"/>
  <c r="M134" i="79"/>
  <c r="K134" i="79"/>
  <c r="L134" i="79" s="1"/>
  <c r="M89" i="79" l="1"/>
  <c r="K89" i="79"/>
  <c r="L89" i="79" s="1"/>
  <c r="N90" i="79"/>
  <c r="O90" i="79" s="1"/>
  <c r="M69" i="79"/>
  <c r="K69" i="79"/>
  <c r="L69" i="79" s="1"/>
  <c r="N69" i="79"/>
  <c r="O69" i="79" s="1"/>
  <c r="N70" i="79"/>
  <c r="O70" i="79" s="1"/>
  <c r="K103" i="79"/>
  <c r="L103" i="79" s="1"/>
  <c r="M103" i="79"/>
  <c r="C127" i="79"/>
  <c r="I115" i="79"/>
  <c r="J115" i="79" s="1"/>
  <c r="K87" i="79"/>
  <c r="L87" i="79" s="1"/>
  <c r="N87" i="79"/>
  <c r="O87" i="79" s="1"/>
  <c r="C138" i="79"/>
  <c r="I126" i="79"/>
  <c r="J126" i="79" s="1"/>
  <c r="N114" i="79"/>
  <c r="O114" i="79" s="1"/>
  <c r="M114" i="79"/>
  <c r="K114" i="79"/>
  <c r="L114" i="79" s="1"/>
  <c r="K130" i="79"/>
  <c r="L130" i="79" s="1"/>
  <c r="M130" i="79"/>
  <c r="M101" i="79"/>
  <c r="K101" i="79"/>
  <c r="L101" i="79" s="1"/>
  <c r="K106" i="79"/>
  <c r="L106" i="79" s="1"/>
  <c r="M106" i="79"/>
  <c r="C125" i="79"/>
  <c r="I113" i="79"/>
  <c r="J113" i="79" s="1"/>
  <c r="M97" i="79"/>
  <c r="N97" i="79"/>
  <c r="O97" i="79" s="1"/>
  <c r="K97" i="79"/>
  <c r="L97" i="79" s="1"/>
  <c r="C121" i="79"/>
  <c r="I109" i="79"/>
  <c r="J109" i="79" s="1"/>
  <c r="N63" i="79"/>
  <c r="O63" i="79" s="1"/>
  <c r="J111" i="79"/>
  <c r="C64" i="79"/>
  <c r="I52" i="79"/>
  <c r="K63" i="79"/>
  <c r="L63" i="79" s="1"/>
  <c r="C135" i="79"/>
  <c r="I123" i="79"/>
  <c r="J40" i="79"/>
  <c r="I155" i="79"/>
  <c r="N98" i="79"/>
  <c r="O98" i="79" s="1"/>
  <c r="C83" i="79"/>
  <c r="I71" i="79"/>
  <c r="J71" i="79" s="1"/>
  <c r="K59" i="79"/>
  <c r="L59" i="79" s="1"/>
  <c r="N59" i="79"/>
  <c r="O59" i="79" s="1"/>
  <c r="M59" i="79"/>
  <c r="N60" i="79"/>
  <c r="O60" i="79" s="1"/>
  <c r="K68" i="79"/>
  <c r="L68" i="79" s="1"/>
  <c r="N68" i="79"/>
  <c r="O68" i="79" s="1"/>
  <c r="M68" i="79"/>
  <c r="I80" i="79"/>
  <c r="J80" i="79" s="1"/>
  <c r="C92" i="79"/>
  <c r="I81" i="79"/>
  <c r="J81" i="79" s="1"/>
  <c r="C93" i="79"/>
  <c r="N8" i="79"/>
  <c r="O8" i="79" s="1"/>
  <c r="N9" i="79"/>
  <c r="O9" i="79" s="1"/>
  <c r="M8" i="79"/>
  <c r="J123" i="79" l="1"/>
  <c r="J52" i="79"/>
  <c r="I156" i="79"/>
  <c r="C76" i="79"/>
  <c r="I64" i="79"/>
  <c r="C105" i="79"/>
  <c r="I93" i="79"/>
  <c r="J93" i="79" s="1"/>
  <c r="K111" i="79"/>
  <c r="L111" i="79" s="1"/>
  <c r="N111" i="79"/>
  <c r="O111" i="79" s="1"/>
  <c r="M111" i="79"/>
  <c r="K81" i="79"/>
  <c r="L81" i="79" s="1"/>
  <c r="N81" i="79"/>
  <c r="O81" i="79" s="1"/>
  <c r="M81" i="79"/>
  <c r="N82" i="79"/>
  <c r="O82" i="79" s="1"/>
  <c r="C104" i="79"/>
  <c r="I92" i="79"/>
  <c r="J92" i="79" s="1"/>
  <c r="K109" i="79"/>
  <c r="L109" i="79" s="1"/>
  <c r="N109" i="79"/>
  <c r="O109" i="79" s="1"/>
  <c r="M109" i="79"/>
  <c r="N110" i="79"/>
  <c r="O110" i="79" s="1"/>
  <c r="C133" i="79"/>
  <c r="I121" i="79"/>
  <c r="J121" i="79" s="1"/>
  <c r="K115" i="79"/>
  <c r="L115" i="79" s="1"/>
  <c r="M115" i="79"/>
  <c r="N115" i="79"/>
  <c r="O115" i="79" s="1"/>
  <c r="C139" i="79"/>
  <c r="I127" i="79"/>
  <c r="J127" i="79" s="1"/>
  <c r="M113" i="79"/>
  <c r="K113" i="79"/>
  <c r="L113" i="79" s="1"/>
  <c r="C137" i="79"/>
  <c r="I125" i="79"/>
  <c r="J125" i="79" s="1"/>
  <c r="M71" i="79"/>
  <c r="K71" i="79"/>
  <c r="L71" i="79" s="1"/>
  <c r="N72" i="79"/>
  <c r="O72" i="79" s="1"/>
  <c r="N71" i="79"/>
  <c r="O71" i="79" s="1"/>
  <c r="C95" i="79"/>
  <c r="I83" i="79"/>
  <c r="J83" i="79" s="1"/>
  <c r="N40" i="79"/>
  <c r="O40" i="79" s="1"/>
  <c r="K40" i="79"/>
  <c r="L40" i="79" s="1"/>
  <c r="M40" i="79"/>
  <c r="N41" i="79"/>
  <c r="O41" i="79" s="1"/>
  <c r="K126" i="79"/>
  <c r="L126" i="79" s="1"/>
  <c r="M126" i="79"/>
  <c r="K80" i="79"/>
  <c r="L80" i="79" s="1"/>
  <c r="M80" i="79"/>
  <c r="N80" i="79"/>
  <c r="O80" i="79" s="1"/>
  <c r="C116" i="79" l="1"/>
  <c r="I104" i="79"/>
  <c r="J104" i="79" s="1"/>
  <c r="M125" i="79"/>
  <c r="K125" i="79"/>
  <c r="L125" i="79" s="1"/>
  <c r="N127" i="79"/>
  <c r="O127" i="79" s="1"/>
  <c r="M127" i="79"/>
  <c r="K127" i="79"/>
  <c r="L127" i="79" s="1"/>
  <c r="C117" i="79"/>
  <c r="I105" i="79"/>
  <c r="J105" i="79" s="1"/>
  <c r="C88" i="79"/>
  <c r="I76" i="79"/>
  <c r="N52" i="79"/>
  <c r="O52" i="79" s="1"/>
  <c r="M52" i="79"/>
  <c r="K52" i="79"/>
  <c r="L52" i="79" s="1"/>
  <c r="N53" i="79"/>
  <c r="O53" i="79" s="1"/>
  <c r="M121" i="79"/>
  <c r="K121" i="79"/>
  <c r="L121" i="79" s="1"/>
  <c r="N122" i="79"/>
  <c r="O122" i="79" s="1"/>
  <c r="N121" i="79"/>
  <c r="O121" i="79" s="1"/>
  <c r="M83" i="79"/>
  <c r="K83" i="79"/>
  <c r="L83" i="79" s="1"/>
  <c r="N83" i="79"/>
  <c r="O83" i="79" s="1"/>
  <c r="N84" i="79"/>
  <c r="O84" i="79" s="1"/>
  <c r="C107" i="79"/>
  <c r="I95" i="79"/>
  <c r="J95" i="79" s="1"/>
  <c r="J64" i="79"/>
  <c r="I157" i="79"/>
  <c r="N126" i="79"/>
  <c r="O126" i="79" s="1"/>
  <c r="C145" i="79"/>
  <c r="I133" i="79"/>
  <c r="J133" i="79" s="1"/>
  <c r="K123" i="79"/>
  <c r="L123" i="79" s="1"/>
  <c r="N123" i="79"/>
  <c r="O123" i="79" s="1"/>
  <c r="M123" i="79"/>
  <c r="N92" i="79"/>
  <c r="O92" i="79" s="1"/>
  <c r="M92" i="79"/>
  <c r="K92" i="79"/>
  <c r="L92" i="79" s="1"/>
  <c r="K93" i="79"/>
  <c r="L93" i="79" s="1"/>
  <c r="M93" i="79"/>
  <c r="N93" i="79"/>
  <c r="O93" i="79" s="1"/>
  <c r="N94" i="79"/>
  <c r="O94" i="79" s="1"/>
  <c r="J76" i="79" l="1"/>
  <c r="I158" i="79"/>
  <c r="I88" i="79"/>
  <c r="C100" i="79"/>
  <c r="N105" i="79"/>
  <c r="O105" i="79" s="1"/>
  <c r="M105" i="79"/>
  <c r="K105" i="79"/>
  <c r="L105" i="79" s="1"/>
  <c r="N106" i="79"/>
  <c r="O106" i="79" s="1"/>
  <c r="N133" i="79"/>
  <c r="O133" i="79" s="1"/>
  <c r="K133" i="79"/>
  <c r="L133" i="79" s="1"/>
  <c r="M133" i="79"/>
  <c r="N134" i="79"/>
  <c r="O134" i="79" s="1"/>
  <c r="C129" i="79"/>
  <c r="I117" i="79"/>
  <c r="J117" i="79" s="1"/>
  <c r="K64" i="79"/>
  <c r="L64" i="79" s="1"/>
  <c r="M64" i="79"/>
  <c r="N64" i="79"/>
  <c r="O64" i="79" s="1"/>
  <c r="N65" i="79"/>
  <c r="O65" i="79" s="1"/>
  <c r="K95" i="79"/>
  <c r="L95" i="79" s="1"/>
  <c r="N95" i="79"/>
  <c r="O95" i="79" s="1"/>
  <c r="M95" i="79"/>
  <c r="N96" i="79"/>
  <c r="O96" i="79" s="1"/>
  <c r="I107" i="79"/>
  <c r="J107" i="79" s="1"/>
  <c r="C119" i="79"/>
  <c r="M104" i="79"/>
  <c r="N104" i="79"/>
  <c r="O104" i="79" s="1"/>
  <c r="K104" i="79"/>
  <c r="L104" i="79" s="1"/>
  <c r="C128" i="79"/>
  <c r="I116" i="79"/>
  <c r="J116" i="79" s="1"/>
  <c r="M117" i="79" l="1"/>
  <c r="K117" i="79"/>
  <c r="L117" i="79" s="1"/>
  <c r="N117" i="79"/>
  <c r="O117" i="79" s="1"/>
  <c r="N118" i="79"/>
  <c r="O118" i="79" s="1"/>
  <c r="C141" i="79"/>
  <c r="I129" i="79"/>
  <c r="J129" i="79" s="1"/>
  <c r="M116" i="79"/>
  <c r="K116" i="79"/>
  <c r="L116" i="79" s="1"/>
  <c r="N116" i="79"/>
  <c r="O116" i="79" s="1"/>
  <c r="C140" i="79"/>
  <c r="I128" i="79"/>
  <c r="J128" i="79" s="1"/>
  <c r="C131" i="79"/>
  <c r="I119" i="79"/>
  <c r="J119" i="79" s="1"/>
  <c r="N107" i="79"/>
  <c r="O107" i="79" s="1"/>
  <c r="M107" i="79"/>
  <c r="K107" i="79"/>
  <c r="L107" i="79" s="1"/>
  <c r="N108" i="79"/>
  <c r="O108" i="79" s="1"/>
  <c r="C112" i="79"/>
  <c r="I100" i="79"/>
  <c r="J88" i="79"/>
  <c r="I159" i="79"/>
  <c r="K76" i="79"/>
  <c r="L76" i="79" s="1"/>
  <c r="M76" i="79"/>
  <c r="N76" i="79"/>
  <c r="O76" i="79" s="1"/>
  <c r="N77" i="79"/>
  <c r="O77" i="79" s="1"/>
  <c r="K88" i="79" l="1"/>
  <c r="L88" i="79" s="1"/>
  <c r="M88" i="79"/>
  <c r="N88" i="79"/>
  <c r="O88" i="79" s="1"/>
  <c r="N89" i="79"/>
  <c r="O89" i="79" s="1"/>
  <c r="J100" i="79"/>
  <c r="I160" i="79"/>
  <c r="C124" i="79"/>
  <c r="I112" i="79"/>
  <c r="K119" i="79"/>
  <c r="L119" i="79" s="1"/>
  <c r="N119" i="79"/>
  <c r="O119" i="79" s="1"/>
  <c r="M119" i="79"/>
  <c r="N120" i="79"/>
  <c r="O120" i="79" s="1"/>
  <c r="C143" i="79"/>
  <c r="I131" i="79"/>
  <c r="J131" i="79" s="1"/>
  <c r="K128" i="79"/>
  <c r="L128" i="79" s="1"/>
  <c r="M128" i="79"/>
  <c r="N128" i="79"/>
  <c r="O128" i="79" s="1"/>
  <c r="M129" i="79"/>
  <c r="N129" i="79"/>
  <c r="O129" i="79" s="1"/>
  <c r="K129" i="79"/>
  <c r="L129" i="79" s="1"/>
  <c r="N130" i="79"/>
  <c r="O130" i="79" s="1"/>
  <c r="N132" i="79" l="1"/>
  <c r="O132" i="79" s="1"/>
  <c r="M131" i="79"/>
  <c r="K131" i="79"/>
  <c r="L131" i="79" s="1"/>
  <c r="N131" i="79"/>
  <c r="O131" i="79" s="1"/>
  <c r="J112" i="79"/>
  <c r="I161" i="79"/>
  <c r="C136" i="79"/>
  <c r="I124" i="79"/>
  <c r="N100" i="79"/>
  <c r="O100" i="79" s="1"/>
  <c r="M100" i="79"/>
  <c r="K100" i="79"/>
  <c r="L100" i="79" s="1"/>
  <c r="N101" i="79"/>
  <c r="O101" i="79" s="1"/>
  <c r="J124" i="79" l="1"/>
  <c r="I162" i="79"/>
  <c r="I165" i="79" s="1"/>
  <c r="J165" i="79" s="1"/>
  <c r="M112" i="79"/>
  <c r="N112" i="79"/>
  <c r="O112" i="79" s="1"/>
  <c r="K112" i="79"/>
  <c r="L112" i="79" s="1"/>
  <c r="N113" i="79"/>
  <c r="O113" i="79" s="1"/>
  <c r="L135" i="79" l="1"/>
  <c r="R26" i="79" s="1"/>
  <c r="O135" i="79"/>
  <c r="R28" i="79" s="1"/>
  <c r="M124" i="79"/>
  <c r="M135" i="79" s="1"/>
  <c r="R29" i="79" s="1"/>
  <c r="K124" i="79"/>
  <c r="L124" i="79" s="1"/>
  <c r="N124" i="79"/>
  <c r="O124" i="79" s="1"/>
  <c r="N125" i="79"/>
  <c r="O125" i="79" s="1"/>
  <c r="R31" i="79" l="1"/>
  <c r="I4" i="72" l="1"/>
  <c r="I5" i="72"/>
  <c r="I6" i="72"/>
  <c r="I7" i="72"/>
  <c r="I8" i="72"/>
  <c r="I9" i="72"/>
  <c r="I10" i="72"/>
  <c r="I11" i="72"/>
  <c r="I12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54" i="72"/>
  <c r="I55" i="72"/>
  <c r="I56" i="72"/>
  <c r="I57" i="72"/>
  <c r="I58" i="72"/>
  <c r="I59" i="72"/>
  <c r="I60" i="72"/>
  <c r="I61" i="72"/>
  <c r="I62" i="72"/>
  <c r="I63" i="72"/>
  <c r="I64" i="72"/>
  <c r="I65" i="72"/>
  <c r="I66" i="72"/>
  <c r="I67" i="72"/>
  <c r="I68" i="72"/>
  <c r="I69" i="72"/>
  <c r="I70" i="72"/>
  <c r="I71" i="72"/>
  <c r="I72" i="72"/>
  <c r="I73" i="72"/>
  <c r="I74" i="72"/>
  <c r="I75" i="72"/>
  <c r="I76" i="72"/>
  <c r="I77" i="72"/>
  <c r="I78" i="72"/>
  <c r="I79" i="72"/>
  <c r="I80" i="72"/>
  <c r="I81" i="72"/>
  <c r="I82" i="72"/>
  <c r="I83" i="72"/>
  <c r="I84" i="72"/>
  <c r="I85" i="72"/>
  <c r="I86" i="72"/>
  <c r="I87" i="72"/>
  <c r="I88" i="72"/>
  <c r="I89" i="72"/>
  <c r="I90" i="72"/>
  <c r="I91" i="72"/>
  <c r="I92" i="72"/>
  <c r="I93" i="72"/>
  <c r="I94" i="72"/>
  <c r="I95" i="72"/>
  <c r="I96" i="72"/>
  <c r="I97" i="72"/>
  <c r="I98" i="72"/>
  <c r="I99" i="72"/>
  <c r="I100" i="72"/>
  <c r="I101" i="72"/>
  <c r="I102" i="72"/>
  <c r="I103" i="72"/>
  <c r="I104" i="72"/>
  <c r="I105" i="72"/>
  <c r="I106" i="72"/>
  <c r="I107" i="72"/>
  <c r="I108" i="72"/>
  <c r="I109" i="72"/>
  <c r="I110" i="72"/>
  <c r="I111" i="72"/>
  <c r="I112" i="72"/>
  <c r="I113" i="72"/>
  <c r="I114" i="72"/>
  <c r="I115" i="72"/>
  <c r="I116" i="72"/>
  <c r="I117" i="72"/>
  <c r="I118" i="72"/>
  <c r="I119" i="72"/>
  <c r="I120" i="72"/>
  <c r="I121" i="72"/>
  <c r="I122" i="72"/>
  <c r="I123" i="72"/>
  <c r="I124" i="72"/>
  <c r="I125" i="72"/>
  <c r="I126" i="72"/>
  <c r="I127" i="72"/>
  <c r="I128" i="72"/>
  <c r="I129" i="72"/>
  <c r="I130" i="72"/>
  <c r="I131" i="72"/>
  <c r="I132" i="72"/>
  <c r="I133" i="72"/>
  <c r="I134" i="72"/>
  <c r="I3" i="72"/>
  <c r="M3" i="17" l="1"/>
  <c r="O4" i="17" s="1"/>
  <c r="G4" i="72"/>
  <c r="G5" i="72"/>
  <c r="G6" i="72"/>
  <c r="G7" i="72"/>
  <c r="G8" i="72"/>
  <c r="G9" i="72"/>
  <c r="G10" i="72"/>
  <c r="G11" i="72"/>
  <c r="G12" i="72"/>
  <c r="G13" i="72"/>
  <c r="G14" i="72"/>
  <c r="G15" i="72"/>
  <c r="G16" i="72"/>
  <c r="G17" i="72"/>
  <c r="G18" i="72"/>
  <c r="G19" i="72"/>
  <c r="G20" i="72"/>
  <c r="G21" i="72"/>
  <c r="G22" i="72"/>
  <c r="G23" i="72"/>
  <c r="G24" i="72"/>
  <c r="G25" i="72"/>
  <c r="G26" i="72"/>
  <c r="G27" i="72"/>
  <c r="G28" i="72"/>
  <c r="G29" i="72"/>
  <c r="G30" i="72"/>
  <c r="G31" i="72"/>
  <c r="G32" i="72"/>
  <c r="G33" i="72"/>
  <c r="G34" i="72"/>
  <c r="G35" i="72"/>
  <c r="G36" i="72"/>
  <c r="G37" i="72"/>
  <c r="G38" i="72"/>
  <c r="G39" i="72"/>
  <c r="G40" i="72"/>
  <c r="G41" i="72"/>
  <c r="G42" i="72"/>
  <c r="G43" i="72"/>
  <c r="G44" i="72"/>
  <c r="G45" i="72"/>
  <c r="G46" i="72"/>
  <c r="G47" i="72"/>
  <c r="G48" i="72"/>
  <c r="G49" i="72"/>
  <c r="G50" i="72"/>
  <c r="G51" i="72"/>
  <c r="G52" i="72"/>
  <c r="G53" i="72"/>
  <c r="G54" i="72"/>
  <c r="G55" i="72"/>
  <c r="G56" i="72"/>
  <c r="G57" i="72"/>
  <c r="G58" i="72"/>
  <c r="G59" i="72"/>
  <c r="G60" i="72"/>
  <c r="G61" i="72"/>
  <c r="G62" i="72"/>
  <c r="G63" i="72"/>
  <c r="G64" i="72"/>
  <c r="G65" i="72"/>
  <c r="G66" i="72"/>
  <c r="G67" i="72"/>
  <c r="G68" i="72"/>
  <c r="G69" i="72"/>
  <c r="G70" i="72"/>
  <c r="G71" i="72"/>
  <c r="G72" i="72"/>
  <c r="G73" i="72"/>
  <c r="G74" i="72"/>
  <c r="G75" i="72"/>
  <c r="G76" i="72"/>
  <c r="G77" i="72"/>
  <c r="G78" i="72"/>
  <c r="G79" i="72"/>
  <c r="G80" i="72"/>
  <c r="G81" i="72"/>
  <c r="G82" i="72"/>
  <c r="G83" i="72"/>
  <c r="G84" i="72"/>
  <c r="G85" i="72"/>
  <c r="G86" i="72"/>
  <c r="G87" i="72"/>
  <c r="G88" i="72"/>
  <c r="G89" i="72"/>
  <c r="G90" i="72"/>
  <c r="G91" i="72"/>
  <c r="G92" i="72"/>
  <c r="G93" i="72"/>
  <c r="G94" i="72"/>
  <c r="G95" i="72"/>
  <c r="G96" i="72"/>
  <c r="G97" i="72"/>
  <c r="G98" i="72"/>
  <c r="G99" i="72"/>
  <c r="G100" i="72"/>
  <c r="G101" i="72"/>
  <c r="G102" i="72"/>
  <c r="G103" i="72"/>
  <c r="G104" i="72"/>
  <c r="G105" i="72"/>
  <c r="G106" i="72"/>
  <c r="G107" i="72"/>
  <c r="G108" i="72"/>
  <c r="G109" i="72"/>
  <c r="G110" i="72"/>
  <c r="G111" i="72"/>
  <c r="G112" i="72"/>
  <c r="G113" i="72"/>
  <c r="G114" i="72"/>
  <c r="G115" i="72"/>
  <c r="G116" i="72"/>
  <c r="G117" i="72"/>
  <c r="G118" i="72"/>
  <c r="G119" i="72"/>
  <c r="G120" i="72"/>
  <c r="G121" i="72"/>
  <c r="G122" i="72"/>
  <c r="G123" i="72"/>
  <c r="G124" i="72"/>
  <c r="G125" i="72"/>
  <c r="G126" i="72"/>
  <c r="G127" i="72"/>
  <c r="G128" i="72"/>
  <c r="G129" i="72"/>
  <c r="G130" i="72"/>
  <c r="G131" i="72"/>
  <c r="G132" i="72"/>
  <c r="G133" i="72"/>
  <c r="G134" i="72"/>
  <c r="G3" i="72"/>
  <c r="G135" i="72" l="1"/>
  <c r="I135" i="72" s="1"/>
  <c r="G135" i="79"/>
  <c r="I135" i="79" s="1"/>
  <c r="O5" i="17"/>
  <c r="G136" i="72" l="1"/>
  <c r="I136" i="72" s="1"/>
  <c r="G136" i="79"/>
  <c r="I136" i="79" s="1"/>
  <c r="O6" i="17"/>
  <c r="G137" i="79" s="1"/>
  <c r="I137" i="79" s="1"/>
  <c r="O7" i="17" l="1"/>
  <c r="G138" i="79" s="1"/>
  <c r="I138" i="79" s="1"/>
  <c r="G137" i="72"/>
  <c r="I137" i="72" s="1"/>
  <c r="O8" i="17" l="1"/>
  <c r="G139" i="79" s="1"/>
  <c r="I139" i="79" s="1"/>
  <c r="G138" i="72"/>
  <c r="I138" i="72" s="1"/>
  <c r="O9" i="17" l="1"/>
  <c r="G140" i="79" s="1"/>
  <c r="I140" i="79" s="1"/>
  <c r="G139" i="72"/>
  <c r="I139" i="72" s="1"/>
  <c r="O10" i="17" l="1"/>
  <c r="G141" i="79" s="1"/>
  <c r="I141" i="79" s="1"/>
  <c r="G140" i="72"/>
  <c r="I140" i="72" s="1"/>
  <c r="O11" i="17" l="1"/>
  <c r="G142" i="79" s="1"/>
  <c r="I142" i="79" s="1"/>
  <c r="G141" i="72"/>
  <c r="I141" i="72" s="1"/>
  <c r="O12" i="17" l="1"/>
  <c r="G143" i="79" s="1"/>
  <c r="I143" i="79" s="1"/>
  <c r="G142" i="72"/>
  <c r="I142" i="72" s="1"/>
  <c r="O13" i="17" l="1"/>
  <c r="G144" i="79" s="1"/>
  <c r="I144" i="79" s="1"/>
  <c r="G143" i="72"/>
  <c r="I143" i="72" s="1"/>
  <c r="O14" i="17" l="1"/>
  <c r="G145" i="79" s="1"/>
  <c r="I145" i="79" s="1"/>
  <c r="G144" i="72"/>
  <c r="I144" i="72" s="1"/>
  <c r="O15" i="17" l="1"/>
  <c r="G146" i="79" s="1"/>
  <c r="I146" i="79" s="1"/>
  <c r="G145" i="72"/>
  <c r="I145" i="72" s="1"/>
  <c r="I150" i="79" l="1"/>
  <c r="I163" i="79"/>
  <c r="I167" i="79" s="1"/>
  <c r="G146" i="72"/>
  <c r="I146" i="72" s="1"/>
  <c r="O17" i="17"/>
  <c r="J167" i="79" l="1"/>
  <c r="C135" i="72"/>
  <c r="C136" i="72"/>
  <c r="C137" i="72"/>
  <c r="C138" i="72"/>
  <c r="C139" i="72"/>
  <c r="C140" i="72"/>
  <c r="C141" i="72"/>
  <c r="C142" i="72"/>
  <c r="C143" i="72"/>
  <c r="C144" i="72"/>
  <c r="C145" i="72"/>
  <c r="C146" i="72"/>
  <c r="L37" i="11"/>
  <c r="L32" i="11"/>
  <c r="L28" i="11"/>
  <c r="L23" i="11"/>
  <c r="L19" i="11"/>
  <c r="L15" i="11"/>
  <c r="B123" i="72"/>
  <c r="B162" i="72" s="1"/>
  <c r="B124" i="72"/>
  <c r="B125" i="72"/>
  <c r="B126" i="72"/>
  <c r="B127" i="72"/>
  <c r="B128" i="72"/>
  <c r="B129" i="72"/>
  <c r="B130" i="72"/>
  <c r="B131" i="72"/>
  <c r="B132" i="72"/>
  <c r="B133" i="72"/>
  <c r="B134" i="72"/>
  <c r="M22" i="9"/>
  <c r="M23" i="9" s="1"/>
  <c r="L22" i="9"/>
  <c r="L23" i="9" s="1"/>
  <c r="K22" i="9"/>
  <c r="K23" i="9" s="1"/>
  <c r="G13" i="9"/>
  <c r="M13" i="9"/>
  <c r="L13" i="9"/>
  <c r="K13" i="9"/>
  <c r="J13" i="9"/>
  <c r="I13" i="9"/>
  <c r="H13" i="9"/>
  <c r="A27" i="17"/>
  <c r="G13" i="17"/>
  <c r="F13" i="17"/>
  <c r="E13" i="17"/>
  <c r="D13" i="17"/>
  <c r="J22" i="9" s="1"/>
  <c r="J23" i="9" s="1"/>
  <c r="C13" i="17"/>
  <c r="I22" i="9" s="1"/>
  <c r="I23" i="9" s="1"/>
  <c r="B13" i="17"/>
  <c r="H22" i="9" s="1"/>
  <c r="H23" i="9" s="1"/>
  <c r="B13" i="9" l="1"/>
  <c r="F13" i="9" s="1"/>
  <c r="L4" i="11"/>
  <c r="G15" i="73"/>
  <c r="F15" i="73"/>
  <c r="E15" i="73"/>
  <c r="D15" i="73"/>
  <c r="C15" i="73"/>
  <c r="B15" i="73"/>
  <c r="C45" i="9" l="1"/>
  <c r="U47" i="73" l="1"/>
  <c r="U24" i="73"/>
  <c r="U35" i="73"/>
  <c r="U143" i="73"/>
  <c r="U107" i="73"/>
  <c r="U119" i="73"/>
  <c r="U131" i="73"/>
  <c r="A13" i="18" l="1"/>
  <c r="A12" i="18"/>
  <c r="A26" i="18" s="1"/>
  <c r="A11" i="18"/>
  <c r="D11" i="18" s="1"/>
  <c r="A10" i="18"/>
  <c r="C10" i="18" s="1"/>
  <c r="J33" i="11" s="1"/>
  <c r="A9" i="18"/>
  <c r="B9" i="18" s="1"/>
  <c r="A8" i="18"/>
  <c r="C8" i="18" s="1"/>
  <c r="H33" i="11" s="1"/>
  <c r="A7" i="18"/>
  <c r="A21" i="18" s="1"/>
  <c r="A6" i="18"/>
  <c r="A20" i="18" s="1"/>
  <c r="A5" i="18"/>
  <c r="A19" i="18" s="1"/>
  <c r="A4" i="18"/>
  <c r="A18" i="18" s="1"/>
  <c r="A3" i="18"/>
  <c r="C3" i="18" s="1"/>
  <c r="C33" i="11" s="1"/>
  <c r="A2" i="18"/>
  <c r="D2" i="18" s="1"/>
  <c r="D1" i="18"/>
  <c r="B1" i="18"/>
  <c r="A26" i="17"/>
  <c r="A25" i="17"/>
  <c r="A24" i="17"/>
  <c r="A23" i="17"/>
  <c r="A22" i="17"/>
  <c r="A21" i="17"/>
  <c r="A20" i="17"/>
  <c r="A19" i="17"/>
  <c r="A18" i="17"/>
  <c r="G12" i="17"/>
  <c r="G27" i="17" s="1"/>
  <c r="F12" i="17"/>
  <c r="E12" i="17"/>
  <c r="F11" i="17"/>
  <c r="E11" i="17"/>
  <c r="F10" i="17"/>
  <c r="I31" i="11" s="1"/>
  <c r="D10" i="17"/>
  <c r="G9" i="17"/>
  <c r="H36" i="11" s="1"/>
  <c r="D9" i="17"/>
  <c r="B9" i="17"/>
  <c r="F8" i="17"/>
  <c r="G31" i="11" s="1"/>
  <c r="G7" i="17"/>
  <c r="F36" i="11" s="1"/>
  <c r="D7" i="17"/>
  <c r="F22" i="11" s="1"/>
  <c r="B7" i="17"/>
  <c r="G5" i="17"/>
  <c r="D36" i="11" s="1"/>
  <c r="E5" i="17"/>
  <c r="D5" i="17"/>
  <c r="G4" i="17"/>
  <c r="C36" i="11" s="1"/>
  <c r="F4" i="17"/>
  <c r="C31" i="11" s="1"/>
  <c r="C4" i="17"/>
  <c r="G3" i="17"/>
  <c r="B36" i="11" s="1"/>
  <c r="F3" i="17"/>
  <c r="B31" i="11" s="1"/>
  <c r="G2" i="17"/>
  <c r="F2" i="17"/>
  <c r="C1" i="18" s="1"/>
  <c r="E2" i="17"/>
  <c r="D2" i="17"/>
  <c r="C2" i="17"/>
  <c r="B2" i="17"/>
  <c r="A40" i="9"/>
  <c r="A36" i="9"/>
  <c r="I34" i="9"/>
  <c r="H34" i="9"/>
  <c r="A32" i="9"/>
  <c r="A28" i="9"/>
  <c r="A23" i="9"/>
  <c r="M12" i="9"/>
  <c r="L12" i="9"/>
  <c r="K32" i="11" s="1"/>
  <c r="K12" i="9"/>
  <c r="J12" i="9"/>
  <c r="I12" i="9"/>
  <c r="K19" i="11" s="1"/>
  <c r="H12" i="9"/>
  <c r="M11" i="9"/>
  <c r="J37" i="11" s="1"/>
  <c r="L11" i="9"/>
  <c r="J32" i="11" s="1"/>
  <c r="K11" i="9"/>
  <c r="J28" i="11" s="1"/>
  <c r="J11" i="9"/>
  <c r="I11" i="9"/>
  <c r="H11" i="9"/>
  <c r="G11" i="9" s="1"/>
  <c r="M10" i="9"/>
  <c r="L10" i="9"/>
  <c r="I32" i="11" s="1"/>
  <c r="K10" i="9"/>
  <c r="J10" i="9"/>
  <c r="I10" i="9"/>
  <c r="I19" i="11" s="1"/>
  <c r="H10" i="9"/>
  <c r="B10" i="9"/>
  <c r="M9" i="9"/>
  <c r="L9" i="9"/>
  <c r="H32" i="11" s="1"/>
  <c r="K9" i="9"/>
  <c r="H28" i="11" s="1"/>
  <c r="J9" i="9"/>
  <c r="I9" i="9"/>
  <c r="H19" i="11" s="1"/>
  <c r="H9" i="9"/>
  <c r="H15" i="11" s="1"/>
  <c r="M8" i="9"/>
  <c r="G37" i="11" s="1"/>
  <c r="L8" i="9"/>
  <c r="K8" i="9"/>
  <c r="G28" i="11" s="1"/>
  <c r="J8" i="9"/>
  <c r="I8" i="9"/>
  <c r="H8" i="9"/>
  <c r="G15" i="11" s="1"/>
  <c r="M7" i="9"/>
  <c r="L7" i="9"/>
  <c r="F32" i="11" s="1"/>
  <c r="K7" i="9"/>
  <c r="J7" i="9"/>
  <c r="I7" i="9"/>
  <c r="H7" i="9"/>
  <c r="F15" i="11" s="1"/>
  <c r="B7" i="9"/>
  <c r="M6" i="9"/>
  <c r="E37" i="11" s="1"/>
  <c r="L6" i="9"/>
  <c r="E32" i="11" s="1"/>
  <c r="K6" i="9"/>
  <c r="E28" i="11" s="1"/>
  <c r="J6" i="9"/>
  <c r="E23" i="11" s="1"/>
  <c r="I6" i="9"/>
  <c r="H6" i="9"/>
  <c r="E15" i="11" s="1"/>
  <c r="M5" i="9"/>
  <c r="L5" i="9"/>
  <c r="D32" i="11" s="1"/>
  <c r="K5" i="9"/>
  <c r="D28" i="11" s="1"/>
  <c r="J5" i="9"/>
  <c r="I5" i="9"/>
  <c r="D19" i="11" s="1"/>
  <c r="H5" i="9"/>
  <c r="M4" i="9"/>
  <c r="L4" i="9"/>
  <c r="K4" i="9"/>
  <c r="C28" i="11" s="1"/>
  <c r="J4" i="9"/>
  <c r="C23" i="11" s="1"/>
  <c r="I4" i="9"/>
  <c r="C19" i="11" s="1"/>
  <c r="H4" i="9"/>
  <c r="C15" i="11" s="1"/>
  <c r="M3" i="9"/>
  <c r="L3" i="9"/>
  <c r="K3" i="9"/>
  <c r="B28" i="11" s="1"/>
  <c r="J3" i="9"/>
  <c r="B23" i="11" s="1"/>
  <c r="I3" i="9"/>
  <c r="H3" i="9"/>
  <c r="G3" i="9" s="1"/>
  <c r="M2" i="9"/>
  <c r="L2" i="9"/>
  <c r="K2" i="9"/>
  <c r="J2" i="9"/>
  <c r="I2" i="9"/>
  <c r="H2" i="9"/>
  <c r="J134" i="72"/>
  <c r="J133" i="72"/>
  <c r="J132" i="72"/>
  <c r="J131" i="72"/>
  <c r="J130" i="72"/>
  <c r="J129" i="72"/>
  <c r="J128" i="72"/>
  <c r="J127" i="72"/>
  <c r="J126" i="72"/>
  <c r="J125" i="72"/>
  <c r="J124" i="72"/>
  <c r="J123" i="72"/>
  <c r="B122" i="72"/>
  <c r="B121" i="72"/>
  <c r="B120" i="72"/>
  <c r="B119" i="72"/>
  <c r="B118" i="72"/>
  <c r="B117" i="72"/>
  <c r="B116" i="72"/>
  <c r="B115" i="72"/>
  <c r="B114" i="72"/>
  <c r="B113" i="72"/>
  <c r="B112" i="72"/>
  <c r="B111" i="72"/>
  <c r="B161" i="72" s="1"/>
  <c r="B110" i="72"/>
  <c r="B109" i="72"/>
  <c r="B108" i="72"/>
  <c r="B107" i="72"/>
  <c r="B106" i="72"/>
  <c r="B105" i="72"/>
  <c r="B104" i="72"/>
  <c r="B103" i="72"/>
  <c r="B102" i="72"/>
  <c r="B101" i="72"/>
  <c r="B100" i="72"/>
  <c r="B160" i="72" s="1"/>
  <c r="B99" i="72"/>
  <c r="B98" i="72"/>
  <c r="B97" i="72"/>
  <c r="B96" i="72"/>
  <c r="B95" i="72"/>
  <c r="B94" i="72"/>
  <c r="B93" i="72"/>
  <c r="B92" i="72"/>
  <c r="B91" i="72"/>
  <c r="B90" i="72"/>
  <c r="B89" i="72"/>
  <c r="B159" i="72" s="1"/>
  <c r="I4" i="11" s="1"/>
  <c r="B88" i="72"/>
  <c r="B87" i="72"/>
  <c r="B86" i="72"/>
  <c r="B85" i="72"/>
  <c r="B84" i="72"/>
  <c r="B83" i="72"/>
  <c r="B82" i="72"/>
  <c r="B81" i="72"/>
  <c r="B80" i="72"/>
  <c r="B79" i="72"/>
  <c r="B78" i="72"/>
  <c r="B158" i="72" s="1"/>
  <c r="B77" i="72"/>
  <c r="B76" i="72"/>
  <c r="B75" i="72"/>
  <c r="B74" i="72"/>
  <c r="B73" i="72"/>
  <c r="B72" i="72"/>
  <c r="B71" i="72"/>
  <c r="B70" i="72"/>
  <c r="B69" i="72"/>
  <c r="B68" i="72"/>
  <c r="B67" i="72"/>
  <c r="B157" i="72" s="1"/>
  <c r="B66" i="72"/>
  <c r="B65" i="72"/>
  <c r="B64" i="72"/>
  <c r="B63" i="72"/>
  <c r="B62" i="72"/>
  <c r="B61" i="72"/>
  <c r="B60" i="72"/>
  <c r="B59" i="72"/>
  <c r="B58" i="72"/>
  <c r="B57" i="72"/>
  <c r="B56" i="72"/>
  <c r="B156" i="72" s="1"/>
  <c r="F4" i="11" s="1"/>
  <c r="B55" i="72"/>
  <c r="B54" i="72"/>
  <c r="B53" i="72"/>
  <c r="B52" i="72"/>
  <c r="B51" i="72"/>
  <c r="B50" i="72"/>
  <c r="B49" i="72"/>
  <c r="B48" i="72"/>
  <c r="B47" i="72"/>
  <c r="B46" i="72"/>
  <c r="B45" i="72"/>
  <c r="B155" i="72" s="1"/>
  <c r="B44" i="72"/>
  <c r="B43" i="72"/>
  <c r="B42" i="72"/>
  <c r="B41" i="72"/>
  <c r="B40" i="72"/>
  <c r="B39" i="72"/>
  <c r="B38" i="72"/>
  <c r="B37" i="72"/>
  <c r="B36" i="72"/>
  <c r="B35" i="72"/>
  <c r="B34" i="72"/>
  <c r="B154" i="72" s="1"/>
  <c r="B33" i="72"/>
  <c r="B32" i="72"/>
  <c r="B31" i="72"/>
  <c r="B30" i="72"/>
  <c r="B29" i="72"/>
  <c r="B28" i="72"/>
  <c r="B27" i="72"/>
  <c r="B26" i="72"/>
  <c r="B25" i="72"/>
  <c r="B24" i="72"/>
  <c r="B23" i="72"/>
  <c r="B153" i="72" s="1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B152" i="72" s="1"/>
  <c r="H56" i="11"/>
  <c r="I55" i="11"/>
  <c r="H55" i="11"/>
  <c r="M54" i="11"/>
  <c r="L54" i="11"/>
  <c r="I54" i="11"/>
  <c r="H54" i="11"/>
  <c r="M53" i="11"/>
  <c r="I53" i="11"/>
  <c r="H53" i="11"/>
  <c r="H52" i="11"/>
  <c r="M51" i="11"/>
  <c r="M55" i="11" s="1"/>
  <c r="L51" i="11"/>
  <c r="L55" i="11" s="1"/>
  <c r="I51" i="11"/>
  <c r="H51" i="11"/>
  <c r="M50" i="11"/>
  <c r="L50" i="11"/>
  <c r="I50" i="11"/>
  <c r="M49" i="11"/>
  <c r="L49" i="11"/>
  <c r="L53" i="11" s="1"/>
  <c r="I49" i="11"/>
  <c r="K37" i="11"/>
  <c r="I37" i="11"/>
  <c r="H37" i="11"/>
  <c r="F37" i="11"/>
  <c r="C37" i="11"/>
  <c r="B37" i="11"/>
  <c r="A35" i="11"/>
  <c r="A30" i="11"/>
  <c r="I28" i="11"/>
  <c r="F28" i="11"/>
  <c r="A26" i="11"/>
  <c r="K23" i="11"/>
  <c r="J23" i="11"/>
  <c r="I23" i="11"/>
  <c r="H23" i="11"/>
  <c r="G23" i="11"/>
  <c r="F23" i="11"/>
  <c r="D23" i="11"/>
  <c r="D22" i="11"/>
  <c r="A21" i="11"/>
  <c r="J19" i="11"/>
  <c r="G19" i="11"/>
  <c r="F19" i="11"/>
  <c r="E19" i="11"/>
  <c r="B19" i="11"/>
  <c r="A17" i="11"/>
  <c r="J15" i="11"/>
  <c r="B15" i="11"/>
  <c r="A13" i="11"/>
  <c r="R21" i="73"/>
  <c r="O21" i="73"/>
  <c r="M21" i="73"/>
  <c r="J21" i="73"/>
  <c r="H21" i="73"/>
  <c r="F21" i="73"/>
  <c r="G14" i="73"/>
  <c r="F14" i="73"/>
  <c r="E14" i="73"/>
  <c r="D14" i="73"/>
  <c r="D12" i="17" s="1"/>
  <c r="D27" i="17" s="1"/>
  <c r="C14" i="73"/>
  <c r="C12" i="17" s="1"/>
  <c r="C27" i="17" s="1"/>
  <c r="B14" i="73"/>
  <c r="B12" i="17" s="1"/>
  <c r="B27" i="17" s="1"/>
  <c r="G13" i="73"/>
  <c r="G11" i="17" s="1"/>
  <c r="F13" i="73"/>
  <c r="E13" i="73"/>
  <c r="D13" i="73"/>
  <c r="D11" i="17" s="1"/>
  <c r="C13" i="73"/>
  <c r="C11" i="17" s="1"/>
  <c r="B13" i="73"/>
  <c r="B11" i="17" s="1"/>
  <c r="G12" i="73"/>
  <c r="G10" i="17" s="1"/>
  <c r="F12" i="73"/>
  <c r="E12" i="73"/>
  <c r="E10" i="17" s="1"/>
  <c r="D12" i="73"/>
  <c r="C12" i="73"/>
  <c r="C10" i="17" s="1"/>
  <c r="B12" i="73"/>
  <c r="B10" i="17" s="1"/>
  <c r="G11" i="73"/>
  <c r="F11" i="73"/>
  <c r="F9" i="17" s="1"/>
  <c r="E11" i="73"/>
  <c r="E9" i="17" s="1"/>
  <c r="D11" i="73"/>
  <c r="C11" i="73"/>
  <c r="C9" i="17" s="1"/>
  <c r="B11" i="73"/>
  <c r="G10" i="73"/>
  <c r="G8" i="17" s="1"/>
  <c r="F10" i="73"/>
  <c r="E10" i="73"/>
  <c r="E8" i="17" s="1"/>
  <c r="D10" i="73"/>
  <c r="D8" i="17" s="1"/>
  <c r="C10" i="73"/>
  <c r="C8" i="17" s="1"/>
  <c r="B10" i="73"/>
  <c r="B8" i="17" s="1"/>
  <c r="G9" i="73"/>
  <c r="F9" i="73"/>
  <c r="F7" i="17" s="1"/>
  <c r="E9" i="73"/>
  <c r="E7" i="17" s="1"/>
  <c r="D9" i="73"/>
  <c r="C9" i="73"/>
  <c r="C7" i="17" s="1"/>
  <c r="B9" i="73"/>
  <c r="G8" i="73"/>
  <c r="G6" i="17" s="1"/>
  <c r="F8" i="73"/>
  <c r="F6" i="17" s="1"/>
  <c r="E8" i="73"/>
  <c r="E6" i="17" s="1"/>
  <c r="E27" i="11" s="1"/>
  <c r="D8" i="73"/>
  <c r="D6" i="17" s="1"/>
  <c r="C8" i="73"/>
  <c r="C6" i="17" s="1"/>
  <c r="B8" i="73"/>
  <c r="B6" i="17" s="1"/>
  <c r="G7" i="73"/>
  <c r="F7" i="73"/>
  <c r="F5" i="17" s="1"/>
  <c r="E7" i="73"/>
  <c r="D7" i="73"/>
  <c r="C7" i="73"/>
  <c r="C5" i="17" s="1"/>
  <c r="B7" i="73"/>
  <c r="B5" i="17" s="1"/>
  <c r="G6" i="73"/>
  <c r="F6" i="73"/>
  <c r="E6" i="73"/>
  <c r="E4" i="17" s="1"/>
  <c r="D6" i="73"/>
  <c r="D4" i="17" s="1"/>
  <c r="C6" i="73"/>
  <c r="B6" i="73"/>
  <c r="B4" i="17" s="1"/>
  <c r="G5" i="73"/>
  <c r="F5" i="73"/>
  <c r="E5" i="73"/>
  <c r="E3" i="17" s="1"/>
  <c r="B27" i="11" s="1"/>
  <c r="D5" i="73"/>
  <c r="D3" i="17" s="1"/>
  <c r="B22" i="11" s="1"/>
  <c r="C5" i="73"/>
  <c r="C3" i="17" s="1"/>
  <c r="B18" i="11" s="1"/>
  <c r="B5" i="73"/>
  <c r="B3" i="17" s="1"/>
  <c r="B5" i="18" l="1"/>
  <c r="B19" i="18" s="1"/>
  <c r="D5" i="18"/>
  <c r="D19" i="18" s="1"/>
  <c r="C18" i="17"/>
  <c r="A22" i="18"/>
  <c r="A24" i="18"/>
  <c r="B5" i="9"/>
  <c r="D4" i="11"/>
  <c r="C4" i="11"/>
  <c r="B4" i="9"/>
  <c r="B165" i="72"/>
  <c r="B3" i="9"/>
  <c r="B4" i="11"/>
  <c r="J67" i="72"/>
  <c r="K67" i="72" s="1"/>
  <c r="L67" i="72" s="1"/>
  <c r="J24" i="72"/>
  <c r="M24" i="72" s="1"/>
  <c r="B6" i="9"/>
  <c r="E4" i="11"/>
  <c r="G4" i="11"/>
  <c r="B8" i="9"/>
  <c r="B9" i="9"/>
  <c r="H4" i="11"/>
  <c r="J4" i="11"/>
  <c r="B11" i="9"/>
  <c r="F11" i="9" s="1"/>
  <c r="J12" i="72"/>
  <c r="J23" i="72"/>
  <c r="M23" i="72" s="1"/>
  <c r="J34" i="72"/>
  <c r="K34" i="72" s="1"/>
  <c r="L34" i="72" s="1"/>
  <c r="J45" i="72"/>
  <c r="M45" i="72" s="1"/>
  <c r="J56" i="72"/>
  <c r="K56" i="72" s="1"/>
  <c r="L56" i="72" s="1"/>
  <c r="J78" i="72"/>
  <c r="K78" i="72" s="1"/>
  <c r="L78" i="72" s="1"/>
  <c r="J89" i="72"/>
  <c r="M89" i="72" s="1"/>
  <c r="J100" i="72"/>
  <c r="K100" i="72" s="1"/>
  <c r="L100" i="72" s="1"/>
  <c r="J13" i="72"/>
  <c r="M13" i="72" s="1"/>
  <c r="J35" i="72"/>
  <c r="M35" i="72" s="1"/>
  <c r="J46" i="72"/>
  <c r="M46" i="72" s="1"/>
  <c r="J79" i="72"/>
  <c r="M79" i="72" s="1"/>
  <c r="J90" i="72"/>
  <c r="J101" i="72"/>
  <c r="K101" i="72" s="1"/>
  <c r="L101" i="72" s="1"/>
  <c r="J112" i="72"/>
  <c r="K112" i="72" s="1"/>
  <c r="L112" i="72" s="1"/>
  <c r="J3" i="72"/>
  <c r="M3" i="72" s="1"/>
  <c r="J14" i="72"/>
  <c r="N14" i="72" s="1"/>
  <c r="O14" i="72" s="1"/>
  <c r="J25" i="72"/>
  <c r="K25" i="72" s="1"/>
  <c r="L25" i="72" s="1"/>
  <c r="J36" i="72"/>
  <c r="N36" i="72" s="1"/>
  <c r="O36" i="72" s="1"/>
  <c r="J47" i="72"/>
  <c r="M47" i="72" s="1"/>
  <c r="J58" i="72"/>
  <c r="K58" i="72" s="1"/>
  <c r="L58" i="72" s="1"/>
  <c r="J69" i="72"/>
  <c r="K69" i="72" s="1"/>
  <c r="L69" i="72" s="1"/>
  <c r="J80" i="72"/>
  <c r="M80" i="72" s="1"/>
  <c r="J91" i="72"/>
  <c r="M91" i="72" s="1"/>
  <c r="J102" i="72"/>
  <c r="J113" i="72"/>
  <c r="J4" i="72"/>
  <c r="M4" i="72" s="1"/>
  <c r="J15" i="72"/>
  <c r="K15" i="72" s="1"/>
  <c r="L15" i="72" s="1"/>
  <c r="J26" i="72"/>
  <c r="M26" i="72" s="1"/>
  <c r="J37" i="72"/>
  <c r="J48" i="72"/>
  <c r="M48" i="72" s="1"/>
  <c r="J59" i="72"/>
  <c r="K59" i="72" s="1"/>
  <c r="L59" i="72" s="1"/>
  <c r="J81" i="72"/>
  <c r="M81" i="72" s="1"/>
  <c r="J5" i="72"/>
  <c r="M5" i="72" s="1"/>
  <c r="J60" i="72"/>
  <c r="M60" i="72" s="1"/>
  <c r="J104" i="72"/>
  <c r="M104" i="72" s="1"/>
  <c r="J39" i="72"/>
  <c r="M39" i="72" s="1"/>
  <c r="J94" i="72"/>
  <c r="M94" i="72" s="1"/>
  <c r="J18" i="72"/>
  <c r="J62" i="72"/>
  <c r="K62" i="72" s="1"/>
  <c r="L62" i="72" s="1"/>
  <c r="J106" i="72"/>
  <c r="M106" i="72" s="1"/>
  <c r="J8" i="72"/>
  <c r="M8" i="72" s="1"/>
  <c r="J74" i="72"/>
  <c r="K74" i="72" s="1"/>
  <c r="L74" i="72" s="1"/>
  <c r="J64" i="72"/>
  <c r="K64" i="72" s="1"/>
  <c r="L64" i="72" s="1"/>
  <c r="J86" i="72"/>
  <c r="M86" i="72" s="1"/>
  <c r="J108" i="72"/>
  <c r="K108" i="72" s="1"/>
  <c r="L108" i="72" s="1"/>
  <c r="J119" i="72"/>
  <c r="J70" i="72"/>
  <c r="K70" i="72" s="1"/>
  <c r="L70" i="72" s="1"/>
  <c r="J92" i="72"/>
  <c r="J103" i="72"/>
  <c r="M103" i="72" s="1"/>
  <c r="J114" i="72"/>
  <c r="M114" i="72" s="1"/>
  <c r="J16" i="72"/>
  <c r="M16" i="72" s="1"/>
  <c r="J27" i="72"/>
  <c r="M27" i="72" s="1"/>
  <c r="J38" i="72"/>
  <c r="M38" i="72" s="1"/>
  <c r="J49" i="72"/>
  <c r="M49" i="72" s="1"/>
  <c r="J71" i="72"/>
  <c r="M71" i="72" s="1"/>
  <c r="J82" i="72"/>
  <c r="J93" i="72"/>
  <c r="M93" i="72" s="1"/>
  <c r="J115" i="72"/>
  <c r="N115" i="72" s="1"/>
  <c r="O115" i="72" s="1"/>
  <c r="J6" i="72"/>
  <c r="J17" i="72"/>
  <c r="M17" i="72" s="1"/>
  <c r="J28" i="72"/>
  <c r="M28" i="72" s="1"/>
  <c r="J50" i="72"/>
  <c r="N50" i="72" s="1"/>
  <c r="O50" i="72" s="1"/>
  <c r="J61" i="72"/>
  <c r="M61" i="72" s="1"/>
  <c r="J72" i="72"/>
  <c r="M72" i="72" s="1"/>
  <c r="J83" i="72"/>
  <c r="M83" i="72" s="1"/>
  <c r="J105" i="72"/>
  <c r="J116" i="72"/>
  <c r="M116" i="72" s="1"/>
  <c r="J7" i="72"/>
  <c r="J29" i="72"/>
  <c r="M29" i="72" s="1"/>
  <c r="J40" i="72"/>
  <c r="J51" i="72"/>
  <c r="M51" i="72" s="1"/>
  <c r="J73" i="72"/>
  <c r="M73" i="72" s="1"/>
  <c r="J84" i="72"/>
  <c r="M84" i="72" s="1"/>
  <c r="J95" i="72"/>
  <c r="M95" i="72" s="1"/>
  <c r="J117" i="72"/>
  <c r="M117" i="72" s="1"/>
  <c r="J19" i="72"/>
  <c r="M19" i="72" s="1"/>
  <c r="J30" i="72"/>
  <c r="M30" i="72" s="1"/>
  <c r="J41" i="72"/>
  <c r="M41" i="72" s="1"/>
  <c r="J52" i="72"/>
  <c r="M52" i="72" s="1"/>
  <c r="J63" i="72"/>
  <c r="J85" i="72"/>
  <c r="M85" i="72" s="1"/>
  <c r="J96" i="72"/>
  <c r="M96" i="72" s="1"/>
  <c r="J107" i="72"/>
  <c r="J118" i="72"/>
  <c r="N118" i="72" s="1"/>
  <c r="O118" i="72" s="1"/>
  <c r="J9" i="72"/>
  <c r="M9" i="72" s="1"/>
  <c r="J20" i="72"/>
  <c r="M20" i="72" s="1"/>
  <c r="J31" i="72"/>
  <c r="N31" i="72" s="1"/>
  <c r="O31" i="72" s="1"/>
  <c r="J42" i="72"/>
  <c r="J53" i="72"/>
  <c r="K53" i="72" s="1"/>
  <c r="L53" i="72" s="1"/>
  <c r="J97" i="72"/>
  <c r="J10" i="72"/>
  <c r="J32" i="72"/>
  <c r="J43" i="72"/>
  <c r="M43" i="72" s="1"/>
  <c r="J54" i="72"/>
  <c r="M54" i="72" s="1"/>
  <c r="J65" i="72"/>
  <c r="M65" i="72" s="1"/>
  <c r="J76" i="72"/>
  <c r="K76" i="72" s="1"/>
  <c r="L76" i="72" s="1"/>
  <c r="J98" i="72"/>
  <c r="K98" i="72" s="1"/>
  <c r="L98" i="72" s="1"/>
  <c r="J109" i="72"/>
  <c r="M109" i="72" s="1"/>
  <c r="J120" i="72"/>
  <c r="M120" i="72" s="1"/>
  <c r="J11" i="72"/>
  <c r="M11" i="72" s="1"/>
  <c r="J22" i="72"/>
  <c r="M22" i="72" s="1"/>
  <c r="J33" i="72"/>
  <c r="M33" i="72" s="1"/>
  <c r="J44" i="72"/>
  <c r="M44" i="72" s="1"/>
  <c r="J55" i="72"/>
  <c r="N55" i="72" s="1"/>
  <c r="O55" i="72" s="1"/>
  <c r="J66" i="72"/>
  <c r="J77" i="72"/>
  <c r="M77" i="72" s="1"/>
  <c r="J88" i="72"/>
  <c r="N89" i="72" s="1"/>
  <c r="O89" i="72" s="1"/>
  <c r="J110" i="72"/>
  <c r="N110" i="72" s="1"/>
  <c r="O110" i="72" s="1"/>
  <c r="J121" i="72"/>
  <c r="N121" i="72" s="1"/>
  <c r="O121" i="72" s="1"/>
  <c r="M125" i="72"/>
  <c r="N125" i="72"/>
  <c r="O125" i="72" s="1"/>
  <c r="K125" i="72"/>
  <c r="L125" i="72" s="1"/>
  <c r="N127" i="72"/>
  <c r="O127" i="72" s="1"/>
  <c r="M127" i="72"/>
  <c r="K127" i="72"/>
  <c r="L127" i="72" s="1"/>
  <c r="N131" i="72"/>
  <c r="O131" i="72" s="1"/>
  <c r="M131" i="72"/>
  <c r="K131" i="72"/>
  <c r="L131" i="72" s="1"/>
  <c r="N132" i="72"/>
  <c r="O132" i="72" s="1"/>
  <c r="M132" i="72"/>
  <c r="K132" i="72"/>
  <c r="L132" i="72" s="1"/>
  <c r="N133" i="72"/>
  <c r="O133" i="72" s="1"/>
  <c r="M133" i="72"/>
  <c r="K133" i="72"/>
  <c r="L133" i="72" s="1"/>
  <c r="N134" i="72"/>
  <c r="O134" i="72" s="1"/>
  <c r="M134" i="72"/>
  <c r="K134" i="72"/>
  <c r="L134" i="72" s="1"/>
  <c r="M126" i="72"/>
  <c r="K126" i="72"/>
  <c r="L126" i="72" s="1"/>
  <c r="N126" i="72"/>
  <c r="O126" i="72" s="1"/>
  <c r="N129" i="72"/>
  <c r="O129" i="72" s="1"/>
  <c r="M129" i="72"/>
  <c r="K129" i="72"/>
  <c r="L129" i="72" s="1"/>
  <c r="M123" i="72"/>
  <c r="K123" i="72"/>
  <c r="L123" i="72" s="1"/>
  <c r="M128" i="72"/>
  <c r="K128" i="72"/>
  <c r="L128" i="72" s="1"/>
  <c r="N128" i="72"/>
  <c r="O128" i="72" s="1"/>
  <c r="N130" i="72"/>
  <c r="O130" i="72" s="1"/>
  <c r="M130" i="72"/>
  <c r="K130" i="72"/>
  <c r="L130" i="72" s="1"/>
  <c r="M124" i="72"/>
  <c r="K124" i="72"/>
  <c r="L124" i="72" s="1"/>
  <c r="N124" i="72"/>
  <c r="O124" i="72" s="1"/>
  <c r="N18" i="72"/>
  <c r="O18" i="72" s="1"/>
  <c r="I153" i="72"/>
  <c r="I156" i="72"/>
  <c r="M15" i="72"/>
  <c r="I157" i="72"/>
  <c r="I159" i="72"/>
  <c r="M108" i="72"/>
  <c r="I155" i="72"/>
  <c r="J21" i="72"/>
  <c r="M78" i="72"/>
  <c r="M105" i="72"/>
  <c r="K105" i="72"/>
  <c r="L105" i="72" s="1"/>
  <c r="K54" i="72"/>
  <c r="L54" i="72" s="1"/>
  <c r="J87" i="72"/>
  <c r="I154" i="72"/>
  <c r="J57" i="72"/>
  <c r="K86" i="72"/>
  <c r="L86" i="72" s="1"/>
  <c r="J68" i="72"/>
  <c r="I152" i="72"/>
  <c r="I158" i="72"/>
  <c r="J75" i="72"/>
  <c r="I160" i="72"/>
  <c r="J99" i="72"/>
  <c r="J122" i="72"/>
  <c r="M122" i="72" s="1"/>
  <c r="I161" i="72"/>
  <c r="J111" i="72"/>
  <c r="I162" i="72"/>
  <c r="I150" i="72"/>
  <c r="I163" i="72"/>
  <c r="A25" i="18"/>
  <c r="D12" i="18"/>
  <c r="D26" i="18" s="1"/>
  <c r="C12" i="18"/>
  <c r="C26" i="18" s="1"/>
  <c r="B12" i="18"/>
  <c r="B26" i="18" s="1"/>
  <c r="D8" i="18"/>
  <c r="H38" i="11" s="1"/>
  <c r="D3" i="18"/>
  <c r="D17" i="18" s="1"/>
  <c r="E25" i="17"/>
  <c r="K27" i="11"/>
  <c r="E27" i="17"/>
  <c r="K31" i="11"/>
  <c r="F27" i="17"/>
  <c r="C5" i="18"/>
  <c r="E33" i="11" s="1"/>
  <c r="B3" i="18"/>
  <c r="E3" i="18" s="1"/>
  <c r="C47" i="11" s="1"/>
  <c r="D24" i="17"/>
  <c r="B7" i="18"/>
  <c r="G24" i="11" s="1"/>
  <c r="K36" i="11"/>
  <c r="C7" i="18"/>
  <c r="G33" i="11" s="1"/>
  <c r="D19" i="17"/>
  <c r="B8" i="18"/>
  <c r="H24" i="11" s="1"/>
  <c r="H43" i="11" s="1"/>
  <c r="B21" i="17"/>
  <c r="D10" i="18"/>
  <c r="A17" i="18"/>
  <c r="B6" i="18"/>
  <c r="B20" i="18" s="1"/>
  <c r="B23" i="17"/>
  <c r="K38" i="11"/>
  <c r="D16" i="18"/>
  <c r="B38" i="11"/>
  <c r="B4" i="18"/>
  <c r="C4" i="18"/>
  <c r="D33" i="11" s="1"/>
  <c r="D4" i="18"/>
  <c r="D38" i="11" s="1"/>
  <c r="B10" i="18"/>
  <c r="J24" i="11" s="1"/>
  <c r="B11" i="18"/>
  <c r="C38" i="11"/>
  <c r="C11" i="18"/>
  <c r="A23" i="18"/>
  <c r="C9" i="18"/>
  <c r="I33" i="11" s="1"/>
  <c r="D9" i="18"/>
  <c r="I38" i="11" s="1"/>
  <c r="E38" i="11"/>
  <c r="C6" i="18"/>
  <c r="C20" i="18" s="1"/>
  <c r="D6" i="18"/>
  <c r="F38" i="11" s="1"/>
  <c r="A16" i="18"/>
  <c r="D18" i="18"/>
  <c r="B2" i="18"/>
  <c r="B24" i="11" s="1"/>
  <c r="D7" i="18"/>
  <c r="G38" i="11" s="1"/>
  <c r="C2" i="18"/>
  <c r="C16" i="18" s="1"/>
  <c r="E24" i="11"/>
  <c r="G36" i="11"/>
  <c r="G22" i="17"/>
  <c r="I36" i="11"/>
  <c r="G24" i="17"/>
  <c r="G26" i="17"/>
  <c r="J36" i="11"/>
  <c r="G25" i="17"/>
  <c r="G20" i="17"/>
  <c r="E36" i="11"/>
  <c r="D25" i="18"/>
  <c r="D37" i="11"/>
  <c r="G18" i="17"/>
  <c r="G19" i="17"/>
  <c r="G21" i="17"/>
  <c r="G23" i="17"/>
  <c r="D22" i="18"/>
  <c r="F19" i="17"/>
  <c r="D31" i="11"/>
  <c r="H31" i="11"/>
  <c r="F23" i="17"/>
  <c r="F20" i="17"/>
  <c r="E31" i="11"/>
  <c r="F31" i="11"/>
  <c r="F22" i="17"/>
  <c r="F21" i="17"/>
  <c r="G6" i="9"/>
  <c r="E46" i="11" s="1"/>
  <c r="F18" i="17"/>
  <c r="F25" i="17"/>
  <c r="F24" i="17"/>
  <c r="C17" i="18"/>
  <c r="F26" i="17"/>
  <c r="J31" i="11"/>
  <c r="G12" i="9"/>
  <c r="K10" i="11" s="1"/>
  <c r="E20" i="17"/>
  <c r="B32" i="11"/>
  <c r="C32" i="11"/>
  <c r="G8" i="9"/>
  <c r="G10" i="11" s="1"/>
  <c r="E21" i="17"/>
  <c r="F27" i="11"/>
  <c r="C27" i="11"/>
  <c r="E18" i="17"/>
  <c r="G27" i="11"/>
  <c r="E22" i="17"/>
  <c r="H27" i="11"/>
  <c r="E23" i="17"/>
  <c r="E24" i="17"/>
  <c r="I27" i="11"/>
  <c r="D27" i="11"/>
  <c r="J27" i="11"/>
  <c r="C22" i="18"/>
  <c r="G32" i="11"/>
  <c r="G42" i="11" s="1"/>
  <c r="G10" i="9"/>
  <c r="I10" i="11" s="1"/>
  <c r="E19" i="17"/>
  <c r="C24" i="18"/>
  <c r="G5" i="9"/>
  <c r="D10" i="11" s="1"/>
  <c r="E26" i="17"/>
  <c r="K28" i="11"/>
  <c r="D20" i="17"/>
  <c r="D21" i="17"/>
  <c r="E22" i="11"/>
  <c r="D23" i="17"/>
  <c r="D25" i="17"/>
  <c r="J22" i="11"/>
  <c r="D18" i="17"/>
  <c r="C22" i="11"/>
  <c r="G22" i="11"/>
  <c r="D22" i="17"/>
  <c r="K22" i="11"/>
  <c r="D26" i="17"/>
  <c r="H22" i="11"/>
  <c r="B23" i="18"/>
  <c r="I22" i="11"/>
  <c r="I24" i="11"/>
  <c r="J62" i="11"/>
  <c r="B42" i="11"/>
  <c r="C25" i="17"/>
  <c r="J18" i="11"/>
  <c r="G18" i="11"/>
  <c r="C22" i="17"/>
  <c r="C26" i="17"/>
  <c r="K18" i="11"/>
  <c r="D18" i="11"/>
  <c r="C19" i="17"/>
  <c r="E18" i="11"/>
  <c r="C20" i="17"/>
  <c r="H18" i="11"/>
  <c r="C23" i="17"/>
  <c r="C24" i="17"/>
  <c r="I18" i="11"/>
  <c r="F18" i="11"/>
  <c r="C21" i="17"/>
  <c r="C42" i="11"/>
  <c r="F42" i="11"/>
  <c r="E42" i="11"/>
  <c r="C18" i="11"/>
  <c r="B12" i="9"/>
  <c r="F12" i="9" s="1"/>
  <c r="K4" i="11"/>
  <c r="B24" i="17"/>
  <c r="I14" i="11"/>
  <c r="F14" i="11"/>
  <c r="K15" i="11"/>
  <c r="K62" i="11" s="1"/>
  <c r="H11" i="17"/>
  <c r="J45" i="11" s="1"/>
  <c r="J14" i="11"/>
  <c r="B25" i="17"/>
  <c r="H3" i="17"/>
  <c r="B45" i="11" s="1"/>
  <c r="B14" i="11"/>
  <c r="B41" i="11" s="1"/>
  <c r="J10" i="11"/>
  <c r="J46" i="11"/>
  <c r="H62" i="11"/>
  <c r="H42" i="11"/>
  <c r="B46" i="11"/>
  <c r="B10" i="11"/>
  <c r="B18" i="17"/>
  <c r="H4" i="17"/>
  <c r="C45" i="11" s="1"/>
  <c r="C14" i="11"/>
  <c r="B22" i="17"/>
  <c r="G14" i="11"/>
  <c r="H8" i="17"/>
  <c r="G45" i="11" s="1"/>
  <c r="H12" i="17"/>
  <c r="K45" i="11" s="1"/>
  <c r="K14" i="11"/>
  <c r="B26" i="17"/>
  <c r="B19" i="17"/>
  <c r="D14" i="11"/>
  <c r="H5" i="17"/>
  <c r="D45" i="11" s="1"/>
  <c r="E14" i="11"/>
  <c r="B20" i="17"/>
  <c r="H6" i="17"/>
  <c r="E45" i="11" s="1"/>
  <c r="H14" i="11"/>
  <c r="G4" i="9"/>
  <c r="H9" i="17"/>
  <c r="H45" i="11" s="1"/>
  <c r="G9" i="9"/>
  <c r="J42" i="11"/>
  <c r="G7" i="9"/>
  <c r="F7" i="9" s="1"/>
  <c r="H10" i="17"/>
  <c r="I45" i="11" s="1"/>
  <c r="D15" i="11"/>
  <c r="H7" i="17"/>
  <c r="F45" i="11" s="1"/>
  <c r="K42" i="11"/>
  <c r="F3" i="9"/>
  <c r="I15" i="11"/>
  <c r="N92" i="72" l="1"/>
  <c r="O92" i="72" s="1"/>
  <c r="K65" i="72"/>
  <c r="L65" i="72" s="1"/>
  <c r="N27" i="72"/>
  <c r="O27" i="72" s="1"/>
  <c r="N67" i="72"/>
  <c r="O67" i="72" s="1"/>
  <c r="N19" i="72"/>
  <c r="O19" i="72" s="1"/>
  <c r="N6" i="72"/>
  <c r="O6" i="72" s="1"/>
  <c r="K29" i="72"/>
  <c r="L29" i="72" s="1"/>
  <c r="K116" i="72"/>
  <c r="L116" i="72" s="1"/>
  <c r="N16" i="72"/>
  <c r="O16" i="72" s="1"/>
  <c r="K95" i="72"/>
  <c r="L95" i="72" s="1"/>
  <c r="K73" i="72"/>
  <c r="L73" i="72" s="1"/>
  <c r="M100" i="72"/>
  <c r="K24" i="72"/>
  <c r="L24" i="72" s="1"/>
  <c r="N13" i="72"/>
  <c r="O13" i="72" s="1"/>
  <c r="M76" i="72"/>
  <c r="K104" i="72"/>
  <c r="L104" i="72" s="1"/>
  <c r="K117" i="72"/>
  <c r="L117" i="72" s="1"/>
  <c r="K26" i="72"/>
  <c r="L26" i="72" s="1"/>
  <c r="K115" i="72"/>
  <c r="L115" i="72" s="1"/>
  <c r="K46" i="72"/>
  <c r="L46" i="72" s="1"/>
  <c r="K43" i="72"/>
  <c r="L43" i="72" s="1"/>
  <c r="M59" i="72"/>
  <c r="K35" i="72"/>
  <c r="L35" i="72" s="1"/>
  <c r="M101" i="72"/>
  <c r="M67" i="72"/>
  <c r="K41" i="72"/>
  <c r="L41" i="72" s="1"/>
  <c r="N37" i="72"/>
  <c r="O37" i="72" s="1"/>
  <c r="M115" i="72"/>
  <c r="K37" i="72"/>
  <c r="L37" i="72" s="1"/>
  <c r="N79" i="72"/>
  <c r="O79" i="72" s="1"/>
  <c r="K38" i="72"/>
  <c r="L38" i="72" s="1"/>
  <c r="K71" i="72"/>
  <c r="L71" i="72" s="1"/>
  <c r="M37" i="72"/>
  <c r="K84" i="72"/>
  <c r="L84" i="72" s="1"/>
  <c r="N17" i="72"/>
  <c r="O17" i="72" s="1"/>
  <c r="N78" i="72"/>
  <c r="O78" i="72" s="1"/>
  <c r="N95" i="72"/>
  <c r="O95" i="72" s="1"/>
  <c r="K55" i="72"/>
  <c r="L55" i="72" s="1"/>
  <c r="M55" i="72"/>
  <c r="K89" i="72"/>
  <c r="L89" i="72" s="1"/>
  <c r="N82" i="72"/>
  <c r="O82" i="72" s="1"/>
  <c r="N90" i="72"/>
  <c r="O90" i="72" s="1"/>
  <c r="N20" i="72"/>
  <c r="O20" i="72" s="1"/>
  <c r="K5" i="72"/>
  <c r="L5" i="72" s="1"/>
  <c r="N44" i="72"/>
  <c r="O44" i="72" s="1"/>
  <c r="N72" i="72"/>
  <c r="O72" i="72" s="1"/>
  <c r="K44" i="72"/>
  <c r="L44" i="72" s="1"/>
  <c r="K19" i="72"/>
  <c r="L19" i="72" s="1"/>
  <c r="N40" i="72"/>
  <c r="O40" i="72" s="1"/>
  <c r="N94" i="72"/>
  <c r="O94" i="72" s="1"/>
  <c r="K51" i="72"/>
  <c r="L51" i="72" s="1"/>
  <c r="K13" i="72"/>
  <c r="L13" i="72" s="1"/>
  <c r="K114" i="72"/>
  <c r="L114" i="72" s="1"/>
  <c r="N33" i="72"/>
  <c r="O33" i="72" s="1"/>
  <c r="M36" i="72"/>
  <c r="N10" i="72"/>
  <c r="O10" i="72" s="1"/>
  <c r="N114" i="72"/>
  <c r="O114" i="72" s="1"/>
  <c r="K36" i="72"/>
  <c r="L36" i="72" s="1"/>
  <c r="N51" i="72"/>
  <c r="O51" i="72" s="1"/>
  <c r="N15" i="72"/>
  <c r="O15" i="72" s="1"/>
  <c r="K103" i="72"/>
  <c r="L103" i="72" s="1"/>
  <c r="N98" i="72"/>
  <c r="O98" i="72" s="1"/>
  <c r="N7" i="72"/>
  <c r="O7" i="72" s="1"/>
  <c r="N119" i="72"/>
  <c r="O119" i="72" s="1"/>
  <c r="N102" i="72"/>
  <c r="O102" i="72" s="1"/>
  <c r="K16" i="72"/>
  <c r="L16" i="72" s="1"/>
  <c r="M98" i="72"/>
  <c r="N108" i="72"/>
  <c r="O108" i="72" s="1"/>
  <c r="N9" i="72"/>
  <c r="O9" i="72" s="1"/>
  <c r="K94" i="72"/>
  <c r="L94" i="72" s="1"/>
  <c r="K49" i="72"/>
  <c r="L49" i="72" s="1"/>
  <c r="N49" i="72"/>
  <c r="O49" i="72" s="1"/>
  <c r="N34" i="72"/>
  <c r="O34" i="72" s="1"/>
  <c r="C13" i="9"/>
  <c r="C18" i="9" s="1"/>
  <c r="M121" i="72"/>
  <c r="M112" i="72"/>
  <c r="L5" i="11"/>
  <c r="K121" i="72"/>
  <c r="L121" i="72" s="1"/>
  <c r="N43" i="72"/>
  <c r="O43" i="72" s="1"/>
  <c r="N105" i="72"/>
  <c r="O105" i="72" s="1"/>
  <c r="N12" i="72"/>
  <c r="O12" i="72" s="1"/>
  <c r="E43" i="11"/>
  <c r="C19" i="18"/>
  <c r="E5" i="18"/>
  <c r="E47" i="11" s="1"/>
  <c r="N8" i="72"/>
  <c r="O8" i="72" s="1"/>
  <c r="N35" i="72"/>
  <c r="O35" i="72" s="1"/>
  <c r="N107" i="72"/>
  <c r="O107" i="72" s="1"/>
  <c r="K9" i="72"/>
  <c r="L9" i="72" s="1"/>
  <c r="N23" i="72"/>
  <c r="O23" i="72" s="1"/>
  <c r="M25" i="72"/>
  <c r="K7" i="72"/>
  <c r="L7" i="72" s="1"/>
  <c r="K23" i="72"/>
  <c r="L23" i="72" s="1"/>
  <c r="N54" i="72"/>
  <c r="O54" i="72" s="1"/>
  <c r="N63" i="72"/>
  <c r="O63" i="72" s="1"/>
  <c r="M7" i="72"/>
  <c r="M40" i="72"/>
  <c r="K83" i="72"/>
  <c r="L83" i="72" s="1"/>
  <c r="K42" i="72"/>
  <c r="L42" i="72" s="1"/>
  <c r="K88" i="72"/>
  <c r="L88" i="72" s="1"/>
  <c r="N83" i="72"/>
  <c r="O83" i="72" s="1"/>
  <c r="M42" i="72"/>
  <c r="M88" i="72"/>
  <c r="M82" i="72"/>
  <c r="K93" i="72"/>
  <c r="L93" i="72" s="1"/>
  <c r="N42" i="72"/>
  <c r="O42" i="72" s="1"/>
  <c r="N71" i="72"/>
  <c r="O71" i="72" s="1"/>
  <c r="K28" i="72"/>
  <c r="L28" i="72" s="1"/>
  <c r="K81" i="72"/>
  <c r="L81" i="72" s="1"/>
  <c r="N64" i="72"/>
  <c r="O64" i="72" s="1"/>
  <c r="M62" i="72"/>
  <c r="K30" i="72"/>
  <c r="L30" i="72" s="1"/>
  <c r="M18" i="72"/>
  <c r="N104" i="72"/>
  <c r="O104" i="72" s="1"/>
  <c r="K18" i="72"/>
  <c r="L18" i="72" s="1"/>
  <c r="K27" i="72"/>
  <c r="L27" i="72" s="1"/>
  <c r="K82" i="72"/>
  <c r="L82" i="72" s="1"/>
  <c r="K66" i="72"/>
  <c r="L66" i="72" s="1"/>
  <c r="K14" i="72"/>
  <c r="L14" i="72" s="1"/>
  <c r="K48" i="72"/>
  <c r="L48" i="72" s="1"/>
  <c r="N84" i="72"/>
  <c r="O84" i="72" s="1"/>
  <c r="N38" i="72"/>
  <c r="O38" i="72" s="1"/>
  <c r="M70" i="72"/>
  <c r="N62" i="72"/>
  <c r="O62" i="72" s="1"/>
  <c r="K20" i="72"/>
  <c r="L20" i="72" s="1"/>
  <c r="K22" i="72"/>
  <c r="L22" i="72" s="1"/>
  <c r="N66" i="72"/>
  <c r="O66" i="72" s="1"/>
  <c r="M14" i="72"/>
  <c r="N25" i="72"/>
  <c r="O25" i="72" s="1"/>
  <c r="N109" i="72"/>
  <c r="O109" i="72" s="1"/>
  <c r="N106" i="72"/>
  <c r="O106" i="72" s="1"/>
  <c r="N4" i="72"/>
  <c r="O4" i="72" s="1"/>
  <c r="M32" i="72"/>
  <c r="N30" i="72"/>
  <c r="O30" i="72" s="1"/>
  <c r="K80" i="72"/>
  <c r="L80" i="72" s="1"/>
  <c r="M69" i="72"/>
  <c r="N113" i="72"/>
  <c r="O113" i="72" s="1"/>
  <c r="N86" i="72"/>
  <c r="O86" i="72" s="1"/>
  <c r="N5" i="72"/>
  <c r="O5" i="72" s="1"/>
  <c r="K92" i="72"/>
  <c r="L92" i="72" s="1"/>
  <c r="N80" i="72"/>
  <c r="O80" i="72" s="1"/>
  <c r="M34" i="72"/>
  <c r="M50" i="72"/>
  <c r="M53" i="72"/>
  <c r="M31" i="72"/>
  <c r="N61" i="72"/>
  <c r="O61" i="72" s="1"/>
  <c r="K17" i="72"/>
  <c r="L17" i="72" s="1"/>
  <c r="N24" i="72"/>
  <c r="O24" i="72" s="1"/>
  <c r="M74" i="72"/>
  <c r="K3" i="72"/>
  <c r="L3" i="72" s="1"/>
  <c r="M58" i="72"/>
  <c r="K39" i="72"/>
  <c r="L39" i="72" s="1"/>
  <c r="N97" i="72"/>
  <c r="O97" i="72" s="1"/>
  <c r="M102" i="72"/>
  <c r="N74" i="72"/>
  <c r="O74" i="72" s="1"/>
  <c r="K120" i="72"/>
  <c r="L120" i="72" s="1"/>
  <c r="N85" i="72"/>
  <c r="O85" i="72" s="1"/>
  <c r="K33" i="72"/>
  <c r="L33" i="72" s="1"/>
  <c r="K107" i="72"/>
  <c r="L107" i="72" s="1"/>
  <c r="K50" i="72"/>
  <c r="L50" i="72" s="1"/>
  <c r="N96" i="72"/>
  <c r="O96" i="72" s="1"/>
  <c r="K106" i="72"/>
  <c r="L106" i="72" s="1"/>
  <c r="K118" i="72"/>
  <c r="L118" i="72" s="1"/>
  <c r="N46" i="72"/>
  <c r="O46" i="72" s="1"/>
  <c r="K97" i="72"/>
  <c r="L97" i="72" s="1"/>
  <c r="K102" i="72"/>
  <c r="L102" i="72" s="1"/>
  <c r="K79" i="72"/>
  <c r="L79" i="72" s="1"/>
  <c r="N76" i="72"/>
  <c r="O76" i="72" s="1"/>
  <c r="M107" i="72"/>
  <c r="N112" i="72"/>
  <c r="O112" i="72" s="1"/>
  <c r="K96" i="72"/>
  <c r="L96" i="72" s="1"/>
  <c r="M118" i="72"/>
  <c r="K91" i="72"/>
  <c r="L91" i="72" s="1"/>
  <c r="M97" i="72"/>
  <c r="K119" i="72"/>
  <c r="L119" i="72" s="1"/>
  <c r="K40" i="72"/>
  <c r="L40" i="72" s="1"/>
  <c r="K32" i="72"/>
  <c r="L32" i="72" s="1"/>
  <c r="N32" i="72"/>
  <c r="O32" i="72" s="1"/>
  <c r="C4" i="9"/>
  <c r="D4" i="9" s="1"/>
  <c r="E4" i="9" s="1"/>
  <c r="N117" i="72"/>
  <c r="O117" i="72" s="1"/>
  <c r="N93" i="72"/>
  <c r="O93" i="72" s="1"/>
  <c r="K113" i="72"/>
  <c r="L113" i="72" s="1"/>
  <c r="N53" i="72"/>
  <c r="O53" i="72" s="1"/>
  <c r="M64" i="72"/>
  <c r="N120" i="72"/>
  <c r="O120" i="72" s="1"/>
  <c r="N69" i="72"/>
  <c r="O69" i="72" s="1"/>
  <c r="M113" i="72"/>
  <c r="C10" i="9"/>
  <c r="D10" i="9" s="1"/>
  <c r="E10" i="9" s="1"/>
  <c r="N116" i="72"/>
  <c r="O116" i="72" s="1"/>
  <c r="N65" i="72"/>
  <c r="O65" i="72" s="1"/>
  <c r="N41" i="72"/>
  <c r="O41" i="72" s="1"/>
  <c r="G5" i="11"/>
  <c r="G6" i="11" s="1"/>
  <c r="M92" i="72"/>
  <c r="N28" i="72"/>
  <c r="O28" i="72" s="1"/>
  <c r="K110" i="72"/>
  <c r="L110" i="72" s="1"/>
  <c r="M66" i="72"/>
  <c r="K31" i="72"/>
  <c r="L31" i="72" s="1"/>
  <c r="N59" i="72"/>
  <c r="O59" i="72" s="1"/>
  <c r="N81" i="72"/>
  <c r="O81" i="72" s="1"/>
  <c r="N26" i="72"/>
  <c r="O26" i="72" s="1"/>
  <c r="M110" i="72"/>
  <c r="K10" i="72"/>
  <c r="L10" i="72" s="1"/>
  <c r="N48" i="72"/>
  <c r="O48" i="72" s="1"/>
  <c r="M10" i="72"/>
  <c r="N70" i="72"/>
  <c r="O70" i="72" s="1"/>
  <c r="M12" i="72"/>
  <c r="N56" i="72"/>
  <c r="O56" i="72" s="1"/>
  <c r="N88" i="72"/>
  <c r="O88" i="72" s="1"/>
  <c r="N11" i="72"/>
  <c r="O11" i="72" s="1"/>
  <c r="K61" i="72"/>
  <c r="L61" i="72" s="1"/>
  <c r="N103" i="72"/>
  <c r="O103" i="72" s="1"/>
  <c r="K85" i="72"/>
  <c r="L85" i="72" s="1"/>
  <c r="K12" i="72"/>
  <c r="L12" i="72" s="1"/>
  <c r="N39" i="72"/>
  <c r="O39" i="72" s="1"/>
  <c r="K4" i="72"/>
  <c r="L4" i="72" s="1"/>
  <c r="M56" i="72"/>
  <c r="N45" i="72"/>
  <c r="O45" i="72" s="1"/>
  <c r="N73" i="72"/>
  <c r="O73" i="72" s="1"/>
  <c r="K63" i="72"/>
  <c r="L63" i="72" s="1"/>
  <c r="N77" i="72"/>
  <c r="O77" i="72" s="1"/>
  <c r="K47" i="72"/>
  <c r="L47" i="72" s="1"/>
  <c r="K90" i="72"/>
  <c r="L90" i="72" s="1"/>
  <c r="N91" i="72"/>
  <c r="O91" i="72" s="1"/>
  <c r="K6" i="72"/>
  <c r="L6" i="72" s="1"/>
  <c r="M119" i="72"/>
  <c r="N60" i="72"/>
  <c r="O60" i="72" s="1"/>
  <c r="K45" i="72"/>
  <c r="L45" i="72" s="1"/>
  <c r="M63" i="72"/>
  <c r="K8" i="72"/>
  <c r="L8" i="72" s="1"/>
  <c r="N52" i="72"/>
  <c r="O52" i="72" s="1"/>
  <c r="K77" i="72"/>
  <c r="L77" i="72" s="1"/>
  <c r="N47" i="72"/>
  <c r="O47" i="72" s="1"/>
  <c r="K11" i="72"/>
  <c r="L11" i="72" s="1"/>
  <c r="M90" i="72"/>
  <c r="M6" i="72"/>
  <c r="K60" i="72"/>
  <c r="L60" i="72" s="1"/>
  <c r="F9" i="9"/>
  <c r="N29" i="72"/>
  <c r="O29" i="72" s="1"/>
  <c r="K52" i="72"/>
  <c r="L52" i="72" s="1"/>
  <c r="K109" i="72"/>
  <c r="L109" i="72" s="1"/>
  <c r="K72" i="72"/>
  <c r="L72" i="72" s="1"/>
  <c r="C7" i="9"/>
  <c r="D7" i="9" s="1"/>
  <c r="E7" i="9" s="1"/>
  <c r="N101" i="72"/>
  <c r="O101" i="72" s="1"/>
  <c r="F5" i="11"/>
  <c r="F6" i="11" s="1"/>
  <c r="C5" i="11"/>
  <c r="C6" i="11" s="1"/>
  <c r="I165" i="72"/>
  <c r="J165" i="72" s="1"/>
  <c r="C8" i="9"/>
  <c r="D8" i="9" s="1"/>
  <c r="E8" i="9" s="1"/>
  <c r="N123" i="72"/>
  <c r="O123" i="72" s="1"/>
  <c r="N122" i="72"/>
  <c r="O122" i="72" s="1"/>
  <c r="I5" i="11"/>
  <c r="I6" i="11" s="1"/>
  <c r="M75" i="72"/>
  <c r="K75" i="72"/>
  <c r="L75" i="72" s="1"/>
  <c r="N75" i="72"/>
  <c r="O75" i="72" s="1"/>
  <c r="M57" i="72"/>
  <c r="N57" i="72"/>
  <c r="O57" i="72" s="1"/>
  <c r="N58" i="72"/>
  <c r="O58" i="72" s="1"/>
  <c r="K57" i="72"/>
  <c r="L57" i="72" s="1"/>
  <c r="H5" i="11"/>
  <c r="H6" i="11" s="1"/>
  <c r="C9" i="9"/>
  <c r="D9" i="9" s="1"/>
  <c r="E9" i="9" s="1"/>
  <c r="K111" i="72"/>
  <c r="L111" i="72" s="1"/>
  <c r="N111" i="72"/>
  <c r="O111" i="72" s="1"/>
  <c r="M111" i="72"/>
  <c r="K5" i="11"/>
  <c r="K6" i="11" s="1"/>
  <c r="C12" i="9"/>
  <c r="D12" i="9" s="1"/>
  <c r="E12" i="9" s="1"/>
  <c r="N68" i="72"/>
  <c r="O68" i="72" s="1"/>
  <c r="M68" i="72"/>
  <c r="K68" i="72"/>
  <c r="L68" i="72" s="1"/>
  <c r="K122" i="72"/>
  <c r="L122" i="72" s="1"/>
  <c r="M99" i="72"/>
  <c r="K99" i="72"/>
  <c r="L99" i="72" s="1"/>
  <c r="N99" i="72"/>
  <c r="O99" i="72" s="1"/>
  <c r="N100" i="72"/>
  <c r="O100" i="72" s="1"/>
  <c r="N87" i="72"/>
  <c r="O87" i="72" s="1"/>
  <c r="M87" i="72"/>
  <c r="K87" i="72"/>
  <c r="L87" i="72" s="1"/>
  <c r="E5" i="11"/>
  <c r="E6" i="11" s="1"/>
  <c r="C6" i="9"/>
  <c r="D6" i="9" s="1"/>
  <c r="E6" i="9" s="1"/>
  <c r="D5" i="11"/>
  <c r="D6" i="11" s="1"/>
  <c r="C5" i="9"/>
  <c r="D5" i="9" s="1"/>
  <c r="E5" i="9" s="1"/>
  <c r="N21" i="72"/>
  <c r="O21" i="72" s="1"/>
  <c r="M21" i="72"/>
  <c r="K21" i="72"/>
  <c r="L21" i="72" s="1"/>
  <c r="C3" i="9"/>
  <c r="D3" i="9" s="1"/>
  <c r="E3" i="9" s="1"/>
  <c r="B5" i="11"/>
  <c r="B6" i="11" s="1"/>
  <c r="J5" i="11"/>
  <c r="J6" i="11" s="1"/>
  <c r="C11" i="9"/>
  <c r="D11" i="9" s="1"/>
  <c r="E11" i="9" s="1"/>
  <c r="N22" i="72"/>
  <c r="O22" i="72" s="1"/>
  <c r="C14" i="9"/>
  <c r="C19" i="9" s="1"/>
  <c r="M5" i="11"/>
  <c r="I167" i="72"/>
  <c r="J167" i="72" s="1"/>
  <c r="G43" i="11"/>
  <c r="B17" i="18"/>
  <c r="D20" i="18"/>
  <c r="E9" i="18"/>
  <c r="I47" i="11" s="1"/>
  <c r="B22" i="18"/>
  <c r="C24" i="11"/>
  <c r="C43" i="11" s="1"/>
  <c r="C60" i="11" s="1"/>
  <c r="B21" i="18"/>
  <c r="E7" i="18"/>
  <c r="G47" i="11" s="1"/>
  <c r="E60" i="11"/>
  <c r="C21" i="18"/>
  <c r="D21" i="18"/>
  <c r="D30" i="18" s="1"/>
  <c r="F31" i="17"/>
  <c r="F14" i="17" s="1"/>
  <c r="G31" i="17"/>
  <c r="F24" i="11"/>
  <c r="E31" i="17"/>
  <c r="M27" i="11" s="1"/>
  <c r="C31" i="17"/>
  <c r="M18" i="11" s="1"/>
  <c r="B31" i="17"/>
  <c r="H28" i="9" s="1"/>
  <c r="J38" i="11"/>
  <c r="J43" i="11" s="1"/>
  <c r="D24" i="18"/>
  <c r="D31" i="17"/>
  <c r="M22" i="11" s="1"/>
  <c r="E8" i="18"/>
  <c r="H47" i="11" s="1"/>
  <c r="H60" i="11" s="1"/>
  <c r="I43" i="11"/>
  <c r="I60" i="11" s="1"/>
  <c r="B16" i="18"/>
  <c r="C23" i="18"/>
  <c r="B25" i="18"/>
  <c r="K24" i="11"/>
  <c r="E4" i="18"/>
  <c r="D47" i="11" s="1"/>
  <c r="D24" i="11"/>
  <c r="D43" i="11" s="1"/>
  <c r="F33" i="11"/>
  <c r="D23" i="18"/>
  <c r="K33" i="11"/>
  <c r="C25" i="18"/>
  <c r="E6" i="18"/>
  <c r="F47" i="11" s="1"/>
  <c r="C18" i="18"/>
  <c r="C30" i="18" s="1"/>
  <c r="E10" i="18"/>
  <c r="J47" i="11" s="1"/>
  <c r="B24" i="18"/>
  <c r="E2" i="18"/>
  <c r="B47" i="11" s="1"/>
  <c r="B33" i="11"/>
  <c r="B43" i="11" s="1"/>
  <c r="E11" i="18"/>
  <c r="K47" i="11" s="1"/>
  <c r="B18" i="18"/>
  <c r="L36" i="11"/>
  <c r="G46" i="11"/>
  <c r="D42" i="11"/>
  <c r="F5" i="9"/>
  <c r="I46" i="11"/>
  <c r="F10" i="9"/>
  <c r="E59" i="11"/>
  <c r="F8" i="9"/>
  <c r="K46" i="11"/>
  <c r="K59" i="11" s="1"/>
  <c r="L31" i="11"/>
  <c r="E10" i="11"/>
  <c r="G60" i="11"/>
  <c r="F6" i="9"/>
  <c r="D46" i="11"/>
  <c r="D59" i="11" s="1"/>
  <c r="L27" i="11"/>
  <c r="B59" i="11"/>
  <c r="D41" i="11"/>
  <c r="D58" i="11" s="1"/>
  <c r="J41" i="11"/>
  <c r="J58" i="11" s="1"/>
  <c r="L22" i="11"/>
  <c r="C41" i="11"/>
  <c r="C58" i="11" s="1"/>
  <c r="G59" i="11"/>
  <c r="K41" i="11"/>
  <c r="K58" i="11" s="1"/>
  <c r="G41" i="11"/>
  <c r="G58" i="11" s="1"/>
  <c r="L18" i="11"/>
  <c r="F41" i="11"/>
  <c r="F58" i="11" s="1"/>
  <c r="B58" i="11"/>
  <c r="I41" i="11"/>
  <c r="I58" i="11" s="1"/>
  <c r="H41" i="11"/>
  <c r="H58" i="11" s="1"/>
  <c r="E41" i="11"/>
  <c r="E58" i="11" s="1"/>
  <c r="H13" i="17"/>
  <c r="L45" i="11" s="1"/>
  <c r="L14" i="11"/>
  <c r="I62" i="11"/>
  <c r="I42" i="11"/>
  <c r="I59" i="11" s="1"/>
  <c r="H46" i="11"/>
  <c r="H59" i="11" s="1"/>
  <c r="H10" i="11"/>
  <c r="F46" i="11"/>
  <c r="F59" i="11" s="1"/>
  <c r="F10" i="11"/>
  <c r="J59" i="11"/>
  <c r="C10" i="11"/>
  <c r="F4" i="9"/>
  <c r="C46" i="11"/>
  <c r="C59" i="11" s="1"/>
  <c r="D13" i="9" l="1"/>
  <c r="E13" i="9" s="1"/>
  <c r="B30" i="18"/>
  <c r="M36" i="11"/>
  <c r="M28" i="9"/>
  <c r="M36" i="9" s="1"/>
  <c r="F16" i="9"/>
  <c r="G14" i="9" s="1"/>
  <c r="O135" i="72"/>
  <c r="L135" i="72"/>
  <c r="R26" i="72" s="1"/>
  <c r="M135" i="72"/>
  <c r="R29" i="72" s="1"/>
  <c r="R28" i="72"/>
  <c r="D28" i="18"/>
  <c r="M31" i="11"/>
  <c r="L28" i="9"/>
  <c r="L36" i="9" s="1"/>
  <c r="B60" i="11"/>
  <c r="J60" i="11"/>
  <c r="C28" i="18"/>
  <c r="F43" i="11"/>
  <c r="F60" i="11"/>
  <c r="K43" i="11"/>
  <c r="K60" i="11" s="1"/>
  <c r="J28" i="9"/>
  <c r="J36" i="9" s="1"/>
  <c r="D60" i="11"/>
  <c r="B28" i="18"/>
  <c r="K28" i="9"/>
  <c r="K36" i="9" s="1"/>
  <c r="L41" i="11"/>
  <c r="L58" i="11" s="1"/>
  <c r="I28" i="9"/>
  <c r="I36" i="9" s="1"/>
  <c r="H36" i="9"/>
  <c r="I14" i="17"/>
  <c r="H14" i="17"/>
  <c r="M45" i="11" s="1"/>
  <c r="M14" i="11"/>
  <c r="J14" i="17" l="1"/>
  <c r="O18" i="17"/>
  <c r="O19" i="17" s="1"/>
  <c r="R31" i="72"/>
  <c r="M41" i="11"/>
  <c r="M58" i="11" s="1"/>
  <c r="N36" i="9"/>
  <c r="G28" i="9"/>
  <c r="M10" i="11"/>
  <c r="G32" i="9"/>
  <c r="G19" i="9"/>
  <c r="M46" i="11"/>
  <c r="G18" i="9"/>
  <c r="L46" i="11"/>
  <c r="L10" i="11"/>
  <c r="G36" i="9" l="1"/>
  <c r="I40" i="9" s="1"/>
  <c r="I32" i="9" s="1"/>
  <c r="M19" i="11" s="1"/>
  <c r="H40" i="9" l="1"/>
  <c r="H32" i="9" s="1"/>
  <c r="J40" i="9"/>
  <c r="J32" i="9" s="1"/>
  <c r="K40" i="9"/>
  <c r="K32" i="9" s="1"/>
  <c r="M28" i="11" s="1"/>
  <c r="M40" i="9"/>
  <c r="M32" i="9" s="1"/>
  <c r="L40" i="9"/>
  <c r="L32" i="9" s="1"/>
  <c r="L33" i="11"/>
  <c r="L38" i="11"/>
  <c r="E12" i="18"/>
  <c r="L24" i="11"/>
  <c r="G40" i="9" l="1"/>
  <c r="M32" i="11"/>
  <c r="C13" i="18"/>
  <c r="M33" i="11" s="1"/>
  <c r="M37" i="11"/>
  <c r="D13" i="18"/>
  <c r="M38" i="11" s="1"/>
  <c r="M23" i="11"/>
  <c r="B13" i="18"/>
  <c r="N32" i="9"/>
  <c r="O32" i="9" s="1"/>
  <c r="P32" i="9" s="1"/>
  <c r="M15" i="11"/>
  <c r="L43" i="11"/>
  <c r="L47" i="11"/>
  <c r="H49" i="11"/>
  <c r="E13" i="18" l="1"/>
  <c r="M24" i="11"/>
  <c r="M43" i="11" s="1"/>
  <c r="L62" i="11"/>
  <c r="L42" i="11"/>
  <c r="L59" i="11" s="1"/>
  <c r="M62" i="11"/>
  <c r="M42" i="11"/>
  <c r="M59" i="11" s="1"/>
  <c r="L60" i="11"/>
  <c r="M47" i="11" l="1"/>
  <c r="M60" i="11" s="1"/>
  <c r="H50" i="11"/>
</calcChain>
</file>

<file path=xl/sharedStrings.xml><?xml version="1.0" encoding="utf-8"?>
<sst xmlns="http://schemas.openxmlformats.org/spreadsheetml/2006/main" count="377" uniqueCount="143">
  <si>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</si>
  <si>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</si>
  <si>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</si>
  <si>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</si>
  <si>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</si>
  <si>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</si>
  <si>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</si>
  <si>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</si>
  <si>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</si>
  <si>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</si>
  <si>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</si>
  <si>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</si>
  <si>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</si>
  <si>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</si>
  <si>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</si>
  <si>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</si>
  <si>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</si>
  <si>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</si>
  <si>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</si>
  <si>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</si>
  <si>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</si>
  <si>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</si>
  <si>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</si>
  <si>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</si>
  <si>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</si>
  <si>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</si>
  <si>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</si>
  <si>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</si>
  <si>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</si>
  <si>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</si>
  <si>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</si>
  <si>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</si>
  <si>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</si>
  <si>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</si>
  <si>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</si>
  <si>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</si>
  <si>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</si>
  <si>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</si>
  <si>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</si>
  <si>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</si>
  <si>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</si>
  <si>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</si>
  <si>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</si>
  <si>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</si>
  <si>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</si>
  <si>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</si>
  <si>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</si>
  <si>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</si>
  <si>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</si>
  <si>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</si>
  <si>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</si>
  <si>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</si>
  <si>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</si>
  <si>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</si>
  <si>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</si>
  <si>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</si>
  <si>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</si>
  <si>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</si>
  <si>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</si>
  <si>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</si>
  <si>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</si>
  <si>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</si>
  <si>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</si>
  <si>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</si>
  <si>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</si>
  <si>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</si>
  <si>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</si>
  <si>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</si>
  <si>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</si>
  <si>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</si>
  <si>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</si>
  <si>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</si>
  <si>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</si>
  <si>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</si>
  <si>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</si>
  <si>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</si>
  <si>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</si>
  <si>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</si>
  <si>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</si>
  <si>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</si>
  <si>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</si>
  <si>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</si>
  <si>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</si>
  <si>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</si>
  <si>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</si>
  <si>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</si>
  <si>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</si>
  <si>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</si>
  <si>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</si>
  <si>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Geomean Monthly Escalation</t>
  </si>
  <si>
    <t>Days in Month</t>
  </si>
  <si>
    <t>Average Customer / Connection Count</t>
  </si>
  <si>
    <t>Month</t>
  </si>
  <si>
    <t>Weather Normal</t>
  </si>
  <si>
    <t xml:space="preserve">2020 Actual </t>
  </si>
  <si>
    <t>2015 Actual</t>
  </si>
  <si>
    <t>2025 Test</t>
  </si>
  <si>
    <t>2014 Actual</t>
  </si>
  <si>
    <t>Sentinel Lighting</t>
  </si>
  <si>
    <t>Street Lighting</t>
  </si>
  <si>
    <t>*Obtained from Beatrice Station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</si>
  <si>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</si>
  <si>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</si>
  <si>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</si>
  <si>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</si>
  <si>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</si>
  <si>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</si>
  <si>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</si>
  <si>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2023 Actual</t>
  </si>
  <si>
    <t>Lakeland Power Weather Normal Load Forecast for 2025 Rate Application</t>
  </si>
  <si>
    <t>Summer Flag</t>
  </si>
  <si>
    <t>Heating Degree Days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</si>
  <si>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</si>
  <si>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</si>
  <si>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</si>
  <si>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</si>
  <si>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</si>
  <si>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</si>
  <si>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Sum of Squared Difference of Residuals</t>
  </si>
  <si>
    <t>Sum of Squared Residuals</t>
  </si>
  <si>
    <t>Durbin-Watson Calculation</t>
  </si>
  <si>
    <t>2024 Actual</t>
  </si>
  <si>
    <t>Last 11 years</t>
  </si>
  <si>
    <t>11-year average</t>
  </si>
  <si>
    <t>Customers</t>
  </si>
  <si>
    <t>Covid Flag</t>
  </si>
  <si>
    <t>Monthly Growth 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</si>
  <si>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</si>
  <si>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</si>
  <si>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</si>
  <si>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</si>
  <si>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</si>
  <si>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</si>
  <si>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</si>
  <si>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</si>
  <si>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</si>
  <si>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</si>
  <si>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</si>
  <si>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Average </t>
  </si>
  <si>
    <t>2024
Yr End</t>
  </si>
  <si>
    <t>Weather</t>
  </si>
  <si>
    <t>Factor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</si>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</sst>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;\-#,##0.0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60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10" applyNumberFormat="0" applyAlignment="0" applyProtection="0"/>
    <xf numFmtId="0" fontId="30" fillId="11" borderId="13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10" applyNumberFormat="0" applyAlignment="0" applyProtection="0"/>
    <xf numFmtId="0" fontId="29" fillId="0" borderId="12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4" applyNumberFormat="0" applyFont="0" applyAlignment="0" applyProtection="0"/>
    <xf numFmtId="0" fontId="27" fillId="10" borderId="11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6">
      <alignment horizontal="center" vertical="center"/>
    </xf>
    <xf numFmtId="0" fontId="19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4" fillId="10" borderId="10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0" fontId="45" fillId="11" borderId="13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1" fillId="9" borderId="10" applyNumberFormat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34" fillId="12" borderId="14" applyNumberFormat="0" applyFon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0" fontId="54" fillId="10" borderId="11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7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8" applyNumberFormat="0" applyFill="0" applyAlignment="0" applyProtection="0"/>
    <xf numFmtId="0" fontId="20" fillId="0" borderId="7" applyNumberFormat="0" applyFill="0" applyAlignment="0" applyProtection="0"/>
    <xf numFmtId="0" fontId="4" fillId="0" borderId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0" applyNumberFormat="0" applyAlignment="0" applyProtection="0"/>
    <xf numFmtId="0" fontId="27" fillId="10" borderId="11" applyNumberFormat="0" applyAlignment="0" applyProtection="0"/>
    <xf numFmtId="0" fontId="28" fillId="10" borderId="10" applyNumberFormat="0" applyAlignment="0" applyProtection="0"/>
    <xf numFmtId="0" fontId="29" fillId="0" borderId="12" applyNumberFormat="0" applyFill="0" applyAlignment="0" applyProtection="0"/>
    <xf numFmtId="0" fontId="30" fillId="11" borderId="13" applyNumberFormat="0" applyAlignment="0" applyProtection="0"/>
    <xf numFmtId="0" fontId="31" fillId="0" borderId="0" applyNumberFormat="0" applyFill="0" applyBorder="0" applyAlignment="0" applyProtection="0"/>
    <xf numFmtId="0" fontId="4" fillId="12" borderId="14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4" applyNumberFormat="0" applyAlignment="0" applyProtection="0"/>
    <xf numFmtId="0" fontId="61" fillId="60" borderId="18" applyNumberFormat="0" applyAlignment="0" applyProtection="0"/>
    <xf numFmtId="0" fontId="67" fillId="46" borderId="17" applyNumberFormat="0" applyAlignment="0" applyProtection="0"/>
    <xf numFmtId="0" fontId="9" fillId="62" borderId="23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21" applyNumberFormat="0" applyFill="0" applyAlignment="0" applyProtection="0"/>
    <xf numFmtId="0" fontId="65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7" applyNumberFormat="0" applyAlignment="0" applyProtection="0"/>
    <xf numFmtId="0" fontId="67" fillId="46" borderId="17" applyNumberFormat="0" applyAlignment="0" applyProtection="0"/>
    <xf numFmtId="0" fontId="67" fillId="4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7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6" fillId="0" borderId="0"/>
    <xf numFmtId="179" fontId="78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2" fillId="0" borderId="0"/>
    <xf numFmtId="0" fontId="9" fillId="0" borderId="0"/>
    <xf numFmtId="0" fontId="9" fillId="0" borderId="0"/>
    <xf numFmtId="0" fontId="72" fillId="0" borderId="50" applyNumberFormat="0" applyFill="0" applyAlignment="0" applyProtection="0"/>
    <xf numFmtId="0" fontId="60" fillId="59" borderId="42" applyNumberFormat="0" applyAlignment="0" applyProtection="0"/>
    <xf numFmtId="0" fontId="70" fillId="59" borderId="49" applyNumberFormat="0" applyAlignment="0" applyProtection="0"/>
    <xf numFmtId="0" fontId="67" fillId="46" borderId="47" applyNumberFormat="0" applyAlignment="0" applyProtection="0"/>
    <xf numFmtId="0" fontId="60" fillId="59" borderId="47" applyNumberFormat="0" applyAlignment="0" applyProtection="0"/>
    <xf numFmtId="0" fontId="67" fillId="46" borderId="42" applyNumberFormat="0" applyAlignment="0" applyProtection="0"/>
    <xf numFmtId="0" fontId="9" fillId="62" borderId="43" applyNumberFormat="0" applyFont="0" applyAlignment="0" applyProtection="0"/>
    <xf numFmtId="0" fontId="70" fillId="59" borderId="44" applyNumberFormat="0" applyAlignment="0" applyProtection="0"/>
    <xf numFmtId="0" fontId="72" fillId="0" borderId="45" applyNumberFormat="0" applyFill="0" applyAlignment="0" applyProtection="0"/>
    <xf numFmtId="0" fontId="9" fillId="0" borderId="0"/>
    <xf numFmtId="0" fontId="1" fillId="0" borderId="0"/>
    <xf numFmtId="0" fontId="67" fillId="46" borderId="47" applyNumberFormat="0" applyAlignment="0" applyProtection="0"/>
    <xf numFmtId="0" fontId="9" fillId="62" borderId="48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47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46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43" applyNumberFormat="0" applyFont="0" applyAlignment="0" applyProtection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47" applyNumberFormat="0" applyAlignment="0" applyProtection="0"/>
    <xf numFmtId="10" fontId="15" fillId="38" borderId="41" applyNumberFormat="0" applyBorder="0" applyAlignment="0" applyProtection="0"/>
    <xf numFmtId="0" fontId="9" fillId="0" borderId="0"/>
    <xf numFmtId="0" fontId="67" fillId="46" borderId="47" applyNumberFormat="0" applyAlignment="0" applyProtection="0"/>
    <xf numFmtId="0" fontId="9" fillId="62" borderId="48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3" fillId="0" borderId="0"/>
    <xf numFmtId="0" fontId="83" fillId="0" borderId="0"/>
    <xf numFmtId="9" fontId="38" fillId="0" borderId="0" applyFont="0" applyFill="0" applyBorder="0" applyAlignment="0" applyProtection="0"/>
    <xf numFmtId="0" fontId="83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9" fillId="0" borderId="0" xfId="736" applyFont="1"/>
    <xf numFmtId="0" fontId="9" fillId="0" borderId="0" xfId="736" applyFont="1" applyAlignment="1">
      <alignment horizontal="center" vertical="center"/>
    </xf>
    <xf numFmtId="0" fontId="9" fillId="0" borderId="0" xfId="736" applyFont="1" applyAlignment="1">
      <alignment vertical="center"/>
    </xf>
    <xf numFmtId="0" fontId="9" fillId="0" borderId="0" xfId="736" applyFont="1" applyAlignment="1">
      <alignment horizontal="center"/>
    </xf>
    <xf numFmtId="0" fontId="9" fillId="0" borderId="0" xfId="1526" applyFont="1"/>
    <xf numFmtId="0" fontId="75" fillId="40" borderId="1" xfId="1524" applyFont="1" applyFill="1" applyBorder="1" applyAlignment="1">
      <alignment horizontal="center" vertical="center" wrapText="1"/>
    </xf>
    <xf numFmtId="0" fontId="77" fillId="0" borderId="0" xfId="1526" applyFont="1" applyAlignment="1">
      <alignment horizontal="left" vertical="center"/>
    </xf>
    <xf numFmtId="0" fontId="75" fillId="0" borderId="0" xfId="1524" applyFont="1" applyAlignment="1">
      <alignment horizontal="center" vertical="center" wrapText="1"/>
    </xf>
    <xf numFmtId="0" fontId="9" fillId="0" borderId="1" xfId="1526" applyFont="1" applyBorder="1" applyAlignment="1">
      <alignment horizontal="center"/>
    </xf>
    <xf numFmtId="0" fontId="9" fillId="0" borderId="30" xfId="1526" applyFont="1" applyBorder="1" applyAlignment="1">
      <alignment horizontal="center"/>
    </xf>
    <xf numFmtId="1" fontId="9" fillId="0" borderId="31" xfId="1526" applyNumberFormat="1" applyFont="1" applyBorder="1" applyAlignment="1">
      <alignment horizontal="center"/>
    </xf>
    <xf numFmtId="0" fontId="9" fillId="0" borderId="32" xfId="1526" applyFont="1" applyBorder="1" applyAlignment="1">
      <alignment horizontal="left"/>
    </xf>
    <xf numFmtId="2" fontId="16" fillId="0" borderId="31" xfId="1526" applyNumberFormat="1" applyFont="1" applyBorder="1" applyAlignment="1">
      <alignment horizontal="center"/>
    </xf>
    <xf numFmtId="0" fontId="9" fillId="0" borderId="30" xfId="1526" applyFont="1" applyBorder="1" applyAlignment="1">
      <alignment horizontal="left"/>
    </xf>
    <xf numFmtId="0" fontId="9" fillId="0" borderId="33" xfId="1526" applyFont="1" applyBorder="1" applyAlignment="1">
      <alignment horizontal="center"/>
    </xf>
    <xf numFmtId="2" fontId="16" fillId="0" borderId="34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center"/>
    </xf>
    <xf numFmtId="2" fontId="16" fillId="0" borderId="30" xfId="1526" applyNumberFormat="1" applyFont="1" applyBorder="1" applyAlignment="1">
      <alignment horizontal="center"/>
    </xf>
    <xf numFmtId="0" fontId="9" fillId="0" borderId="6" xfId="1526" applyFont="1" applyBorder="1" applyAlignment="1">
      <alignment horizontal="left"/>
    </xf>
    <xf numFmtId="2" fontId="16" fillId="0" borderId="35" xfId="1526" applyNumberFormat="1" applyFont="1" applyBorder="1" applyAlignment="1">
      <alignment horizontal="center"/>
    </xf>
    <xf numFmtId="0" fontId="9" fillId="0" borderId="31" xfId="1526" applyFont="1" applyBorder="1" applyAlignment="1">
      <alignment horizontal="left"/>
    </xf>
    <xf numFmtId="0" fontId="12" fillId="0" borderId="1" xfId="1526" applyFont="1" applyBorder="1" applyAlignment="1">
      <alignment horizontal="center"/>
    </xf>
    <xf numFmtId="17" fontId="9" fillId="0" borderId="1" xfId="1526" applyNumberFormat="1" applyFont="1" applyBorder="1" applyAlignment="1">
      <alignment horizontal="left"/>
    </xf>
    <xf numFmtId="0" fontId="9" fillId="0" borderId="0" xfId="1526" applyFont="1" applyAlignment="1">
      <alignment horizontal="center"/>
    </xf>
    <xf numFmtId="1" fontId="9" fillId="64" borderId="36" xfId="1527" applyNumberFormat="1" applyFont="1" applyFill="1" applyBorder="1" applyAlignment="1">
      <alignment horizontal="center"/>
    </xf>
    <xf numFmtId="1" fontId="9" fillId="64" borderId="5" xfId="1527" applyNumberFormat="1" applyFont="1" applyFill="1" applyBorder="1" applyAlignment="1">
      <alignment horizontal="center"/>
    </xf>
    <xf numFmtId="1" fontId="9" fillId="64" borderId="37" xfId="1526" applyNumberFormat="1" applyFont="1" applyFill="1" applyBorder="1" applyAlignment="1">
      <alignment horizontal="center"/>
    </xf>
    <xf numFmtId="1" fontId="9" fillId="64" borderId="36" xfId="1526" applyNumberFormat="1" applyFont="1" applyFill="1" applyBorder="1" applyAlignment="1">
      <alignment horizontal="center"/>
    </xf>
    <xf numFmtId="1" fontId="9" fillId="64" borderId="1" xfId="1526" applyNumberFormat="1" applyFont="1" applyFill="1" applyBorder="1" applyAlignment="1">
      <alignment horizontal="center"/>
    </xf>
    <xf numFmtId="1" fontId="9" fillId="64" borderId="4" xfId="1526" applyNumberFormat="1" applyFont="1" applyFill="1" applyBorder="1" applyAlignment="1">
      <alignment horizontal="center"/>
    </xf>
    <xf numFmtId="17" fontId="9" fillId="0" borderId="0" xfId="1526" applyNumberFormat="1" applyFont="1" applyAlignment="1">
      <alignment horizontal="left"/>
    </xf>
    <xf numFmtId="1" fontId="9" fillId="65" borderId="36" xfId="1527" applyNumberFormat="1" applyFont="1" applyFill="1" applyBorder="1" applyAlignment="1">
      <alignment horizontal="center"/>
    </xf>
    <xf numFmtId="1" fontId="9" fillId="65" borderId="5" xfId="1527" applyNumberFormat="1" applyFont="1" applyFill="1" applyBorder="1" applyAlignment="1">
      <alignment horizontal="center"/>
    </xf>
    <xf numFmtId="1" fontId="9" fillId="65" borderId="37" xfId="1526" applyNumberFormat="1" applyFont="1" applyFill="1" applyBorder="1" applyAlignment="1">
      <alignment horizontal="center"/>
    </xf>
    <xf numFmtId="1" fontId="9" fillId="65" borderId="36" xfId="1526" applyNumberFormat="1" applyFont="1" applyFill="1" applyBorder="1" applyAlignment="1">
      <alignment horizontal="center"/>
    </xf>
    <xf numFmtId="1" fontId="9" fillId="65" borderId="1" xfId="1526" applyNumberFormat="1" applyFont="1" applyFill="1" applyBorder="1" applyAlignment="1">
      <alignment horizontal="center"/>
    </xf>
    <xf numFmtId="1" fontId="9" fillId="65" borderId="4" xfId="1526" applyNumberFormat="1" applyFont="1" applyFill="1" applyBorder="1" applyAlignment="1">
      <alignment horizontal="center"/>
    </xf>
    <xf numFmtId="1" fontId="9" fillId="65" borderId="26" xfId="1527" applyNumberFormat="1" applyFont="1" applyFill="1" applyBorder="1" applyAlignment="1">
      <alignment horizontal="center"/>
    </xf>
    <xf numFmtId="1" fontId="9" fillId="65" borderId="27" xfId="1526" applyNumberFormat="1" applyFont="1" applyFill="1" applyBorder="1" applyAlignment="1">
      <alignment horizontal="center"/>
    </xf>
    <xf numFmtId="1" fontId="9" fillId="65" borderId="26" xfId="1526" applyNumberFormat="1" applyFont="1" applyFill="1" applyBorder="1" applyAlignment="1">
      <alignment horizontal="center"/>
    </xf>
    <xf numFmtId="1" fontId="9" fillId="65" borderId="29" xfId="1526" applyNumberFormat="1" applyFont="1" applyFill="1" applyBorder="1" applyAlignment="1">
      <alignment horizontal="center"/>
    </xf>
    <xf numFmtId="1" fontId="9" fillId="65" borderId="38" xfId="1526" applyNumberFormat="1" applyFont="1" applyFill="1" applyBorder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0" fontId="9" fillId="4" borderId="0" xfId="0" applyFont="1" applyFill="1" applyAlignment="1">
      <alignment horizontal="left"/>
    </xf>
    <xf numFmtId="0" fontId="9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0" fillId="0" borderId="0" xfId="0" applyFont="1"/>
    <xf numFmtId="12" fontId="10" fillId="0" borderId="1" xfId="0" applyNumberFormat="1" applyFont="1" applyBorder="1" applyAlignment="1">
      <alignment horizontal="center" vertical="center"/>
    </xf>
    <xf numFmtId="0" fontId="75" fillId="68" borderId="6" xfId="1524" applyFont="1" applyFill="1" applyBorder="1" applyAlignment="1">
      <alignment horizontal="center" vertical="center" wrapText="1"/>
    </xf>
    <xf numFmtId="1" fontId="9" fillId="63" borderId="1" xfId="736" applyNumberFormat="1" applyFont="1" applyFill="1" applyBorder="1" applyAlignment="1">
      <alignment horizontal="center"/>
    </xf>
    <xf numFmtId="0" fontId="12" fillId="69" borderId="1" xfId="736" applyFont="1" applyFill="1" applyBorder="1" applyAlignment="1">
      <alignment horizontal="center"/>
    </xf>
    <xf numFmtId="0" fontId="75" fillId="40" borderId="6" xfId="1524" applyFont="1" applyFill="1" applyBorder="1" applyAlignment="1">
      <alignment horizontal="center" vertical="center" wrapText="1"/>
    </xf>
    <xf numFmtId="0" fontId="75" fillId="68" borderId="30" xfId="1524" applyFont="1" applyFill="1" applyBorder="1" applyAlignment="1">
      <alignment horizontal="center" vertical="center" wrapText="1"/>
    </xf>
    <xf numFmtId="1" fontId="75" fillId="68" borderId="31" xfId="1524" applyNumberFormat="1" applyFont="1" applyFill="1" applyBorder="1" applyAlignment="1">
      <alignment horizontal="center" vertical="center" wrapText="1"/>
    </xf>
    <xf numFmtId="0" fontId="75" fillId="68" borderId="26" xfId="1524" applyFont="1" applyFill="1" applyBorder="1" applyAlignment="1">
      <alignment horizontal="center" vertical="center" wrapText="1"/>
    </xf>
    <xf numFmtId="1" fontId="75" fillId="68" borderId="27" xfId="1524" applyNumberFormat="1" applyFont="1" applyFill="1" applyBorder="1" applyAlignment="1">
      <alignment horizontal="center" vertical="center" wrapText="1"/>
    </xf>
    <xf numFmtId="0" fontId="75" fillId="68" borderId="28" xfId="1524" applyFont="1" applyFill="1" applyBorder="1" applyAlignment="1">
      <alignment horizontal="center" vertical="center" wrapText="1"/>
    </xf>
    <xf numFmtId="0" fontId="75" fillId="68" borderId="27" xfId="1524" applyFont="1" applyFill="1" applyBorder="1" applyAlignment="1">
      <alignment horizontal="center" vertical="center" wrapText="1"/>
    </xf>
    <xf numFmtId="0" fontId="75" fillId="68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9" fillId="0" borderId="0" xfId="736" applyNumberFormat="1" applyFont="1"/>
    <xf numFmtId="3" fontId="10" fillId="7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37" fontId="9" fillId="0" borderId="41" xfId="0" applyNumberFormat="1" applyFont="1" applyBorder="1" applyAlignment="1">
      <alignment horizontal="center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3" fontId="0" fillId="0" borderId="2" xfId="0" applyNumberFormat="1" applyBorder="1"/>
    <xf numFmtId="3" fontId="10" fillId="0" borderId="0" xfId="0" applyNumberFormat="1" applyFont="1" applyAlignment="1">
      <alignment horizontal="center"/>
    </xf>
    <xf numFmtId="0" fontId="11" fillId="0" borderId="46" xfId="0" applyFont="1" applyBorder="1" applyAlignment="1">
      <alignment horizontal="center" vertical="center" wrapText="1"/>
    </xf>
    <xf numFmtId="37" fontId="9" fillId="0" borderId="46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9" fillId="0" borderId="35" xfId="0" applyFont="1" applyBorder="1" applyAlignment="1">
      <alignment horizontal="right"/>
    </xf>
    <xf numFmtId="3" fontId="0" fillId="0" borderId="35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80" fontId="9" fillId="0" borderId="46" xfId="0" applyNumberFormat="1" applyFont="1" applyBorder="1" applyAlignment="1">
      <alignment horizontal="center"/>
    </xf>
    <xf numFmtId="12" fontId="0" fillId="0" borderId="0" xfId="0" applyNumberFormat="1" applyAlignment="1">
      <alignment horizontal="center"/>
    </xf>
    <xf numFmtId="167" fontId="0" fillId="0" borderId="0" xfId="0" applyNumberFormat="1"/>
    <xf numFmtId="0" fontId="81" fillId="67" borderId="51" xfId="1524" applyFont="1" applyFill="1" applyBorder="1" applyAlignment="1">
      <alignment horizontal="center" vertical="center"/>
    </xf>
    <xf numFmtId="0" fontId="81" fillId="67" borderId="52" xfId="1524" applyFont="1" applyFill="1" applyBorder="1" applyAlignment="1">
      <alignment horizontal="center" vertical="center"/>
    </xf>
    <xf numFmtId="0" fontId="81" fillId="67" borderId="53" xfId="1524" applyFont="1" applyFill="1" applyBorder="1" applyAlignment="1">
      <alignment horizontal="center" vertical="center"/>
    </xf>
    <xf numFmtId="0" fontId="81" fillId="67" borderId="1" xfId="1524" applyFont="1" applyFill="1" applyBorder="1" applyAlignment="1">
      <alignment horizontal="center" vertical="center" wrapText="1"/>
    </xf>
    <xf numFmtId="0" fontId="81" fillId="67" borderId="51" xfId="1524" applyFont="1" applyFill="1" applyBorder="1" applyAlignment="1">
      <alignment horizontal="center" vertical="center" wrapText="1"/>
    </xf>
    <xf numFmtId="0" fontId="81" fillId="67" borderId="53" xfId="1524" applyFont="1" applyFill="1" applyBorder="1" applyAlignment="1">
      <alignment horizontal="center" vertical="center" wrapText="1"/>
    </xf>
    <xf numFmtId="0" fontId="75" fillId="68" borderId="40" xfId="1524" applyFont="1" applyFill="1" applyBorder="1" applyAlignment="1">
      <alignment horizontal="center" vertical="center" wrapText="1"/>
    </xf>
    <xf numFmtId="0" fontId="75" fillId="68" borderId="35" xfId="1524" applyFont="1" applyFill="1" applyBorder="1" applyAlignment="1">
      <alignment horizontal="center" vertical="center" wrapText="1"/>
    </xf>
    <xf numFmtId="0" fontId="75" fillId="68" borderId="39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4" fillId="0" borderId="0" xfId="0" applyFont="1" applyAlignment="1">
      <alignment horizontal="center"/>
    </xf>
  </cellXfs>
  <cellStyles count="1660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4" xr:uid="{48A3E1BD-70CA-45CC-A563-B7F8349A20E2}"/>
    <cellStyle name="Normal 57" xfId="1655" xr:uid="{E8F97C2F-954C-41DF-A884-7353801A97C3}"/>
    <cellStyle name="Normal 58" xfId="1657" xr:uid="{AB3C08B4-7190-4D4C-8967-7767C57E1587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50" xfId="1656" xr:uid="{FF74C78B-97AF-4B74-9835-2777537B4F78}"/>
    <cellStyle name="Percent 51" xfId="1658" xr:uid="{2DD4260E-C036-4567-AD29-8B91710E508B}"/>
    <cellStyle name="Percent 52" xfId="1659" xr:uid="{068C6EAA-415F-488C-85C3-7276C9FC409C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V155"/>
  <sheetViews>
    <sheetView showGridLines="0" topLeftCell="A119" zoomScale="80" zoomScaleNormal="80" workbookViewId="0">
      <selection activeCell="C140" sqref="C140"/>
    </sheetView>
  </sheetViews>
  <sheetFormatPr defaultRowHeight="12.75" x14ac:dyDescent="0.2"/>
  <cols>
    <col min="1" max="3" width="14.5703125" style="57" customWidth="1"/>
    <col min="4" max="6" width="14.5703125" style="60" customWidth="1"/>
    <col min="7" max="8" width="14.5703125" style="57" customWidth="1"/>
    <col min="9" max="12" width="14" style="57" customWidth="1"/>
    <col min="13" max="13" width="14.5703125" style="58" bestFit="1" customWidth="1"/>
    <col min="14" max="20" width="14" style="57" customWidth="1"/>
    <col min="21" max="22" width="13.28515625" style="57" customWidth="1"/>
    <col min="23" max="247" width="9.140625" style="57"/>
    <col min="248" max="248" width="31" style="57" customWidth="1"/>
    <col min="249" max="249" width="18.5703125" style="57" customWidth="1"/>
    <col min="250" max="250" width="3.85546875" style="57" customWidth="1"/>
    <col min="251" max="251" width="18.7109375" style="57" customWidth="1"/>
    <col min="252" max="260" width="14" style="57" customWidth="1"/>
    <col min="261" max="261" width="13" style="57" bestFit="1" customWidth="1"/>
    <col min="262" max="262" width="14.5703125" style="57" bestFit="1" customWidth="1"/>
    <col min="263" max="263" width="12.140625" style="57" bestFit="1" customWidth="1"/>
    <col min="264" max="274" width="14" style="57" customWidth="1"/>
    <col min="275" max="278" width="13.28515625" style="57" customWidth="1"/>
    <col min="279" max="503" width="9.140625" style="57"/>
    <col min="504" max="504" width="31" style="57" customWidth="1"/>
    <col min="505" max="505" width="18.5703125" style="57" customWidth="1"/>
    <col min="506" max="506" width="3.85546875" style="57" customWidth="1"/>
    <col min="507" max="507" width="18.7109375" style="57" customWidth="1"/>
    <col min="508" max="516" width="14" style="57" customWidth="1"/>
    <col min="517" max="517" width="13" style="57" bestFit="1" customWidth="1"/>
    <col min="518" max="518" width="14.5703125" style="57" bestFit="1" customWidth="1"/>
    <col min="519" max="519" width="12.140625" style="57" bestFit="1" customWidth="1"/>
    <col min="520" max="530" width="14" style="57" customWidth="1"/>
    <col min="531" max="534" width="13.28515625" style="57" customWidth="1"/>
    <col min="535" max="759" width="9.140625" style="57"/>
    <col min="760" max="760" width="31" style="57" customWidth="1"/>
    <col min="761" max="761" width="18.5703125" style="57" customWidth="1"/>
    <col min="762" max="762" width="3.85546875" style="57" customWidth="1"/>
    <col min="763" max="763" width="18.7109375" style="57" customWidth="1"/>
    <col min="764" max="772" width="14" style="57" customWidth="1"/>
    <col min="773" max="773" width="13" style="57" bestFit="1" customWidth="1"/>
    <col min="774" max="774" width="14.5703125" style="57" bestFit="1" customWidth="1"/>
    <col min="775" max="775" width="12.140625" style="57" bestFit="1" customWidth="1"/>
    <col min="776" max="786" width="14" style="57" customWidth="1"/>
    <col min="787" max="790" width="13.28515625" style="57" customWidth="1"/>
    <col min="791" max="1015" width="9.140625" style="57"/>
    <col min="1016" max="1016" width="31" style="57" customWidth="1"/>
    <col min="1017" max="1017" width="18.5703125" style="57" customWidth="1"/>
    <col min="1018" max="1018" width="3.85546875" style="57" customWidth="1"/>
    <col min="1019" max="1019" width="18.7109375" style="57" customWidth="1"/>
    <col min="1020" max="1028" width="14" style="57" customWidth="1"/>
    <col min="1029" max="1029" width="13" style="57" bestFit="1" customWidth="1"/>
    <col min="1030" max="1030" width="14.5703125" style="57" bestFit="1" customWidth="1"/>
    <col min="1031" max="1031" width="12.140625" style="57" bestFit="1" customWidth="1"/>
    <col min="1032" max="1042" width="14" style="57" customWidth="1"/>
    <col min="1043" max="1046" width="13.28515625" style="57" customWidth="1"/>
    <col min="1047" max="1271" width="9.140625" style="57"/>
    <col min="1272" max="1272" width="31" style="57" customWidth="1"/>
    <col min="1273" max="1273" width="18.5703125" style="57" customWidth="1"/>
    <col min="1274" max="1274" width="3.85546875" style="57" customWidth="1"/>
    <col min="1275" max="1275" width="18.7109375" style="57" customWidth="1"/>
    <col min="1276" max="1284" width="14" style="57" customWidth="1"/>
    <col min="1285" max="1285" width="13" style="57" bestFit="1" customWidth="1"/>
    <col min="1286" max="1286" width="14.5703125" style="57" bestFit="1" customWidth="1"/>
    <col min="1287" max="1287" width="12.140625" style="57" bestFit="1" customWidth="1"/>
    <col min="1288" max="1298" width="14" style="57" customWidth="1"/>
    <col min="1299" max="1302" width="13.28515625" style="57" customWidth="1"/>
    <col min="1303" max="1527" width="9.140625" style="57"/>
    <col min="1528" max="1528" width="31" style="57" customWidth="1"/>
    <col min="1529" max="1529" width="18.5703125" style="57" customWidth="1"/>
    <col min="1530" max="1530" width="3.85546875" style="57" customWidth="1"/>
    <col min="1531" max="1531" width="18.7109375" style="57" customWidth="1"/>
    <col min="1532" max="1540" width="14" style="57" customWidth="1"/>
    <col min="1541" max="1541" width="13" style="57" bestFit="1" customWidth="1"/>
    <col min="1542" max="1542" width="14.5703125" style="57" bestFit="1" customWidth="1"/>
    <col min="1543" max="1543" width="12.140625" style="57" bestFit="1" customWidth="1"/>
    <col min="1544" max="1554" width="14" style="57" customWidth="1"/>
    <col min="1555" max="1558" width="13.28515625" style="57" customWidth="1"/>
    <col min="1559" max="1783" width="9.140625" style="57"/>
    <col min="1784" max="1784" width="31" style="57" customWidth="1"/>
    <col min="1785" max="1785" width="18.5703125" style="57" customWidth="1"/>
    <col min="1786" max="1786" width="3.85546875" style="57" customWidth="1"/>
    <col min="1787" max="1787" width="18.7109375" style="57" customWidth="1"/>
    <col min="1788" max="1796" width="14" style="57" customWidth="1"/>
    <col min="1797" max="1797" width="13" style="57" bestFit="1" customWidth="1"/>
    <col min="1798" max="1798" width="14.5703125" style="57" bestFit="1" customWidth="1"/>
    <col min="1799" max="1799" width="12.140625" style="57" bestFit="1" customWidth="1"/>
    <col min="1800" max="1810" width="14" style="57" customWidth="1"/>
    <col min="1811" max="1814" width="13.28515625" style="57" customWidth="1"/>
    <col min="1815" max="2039" width="9.140625" style="57"/>
    <col min="2040" max="2040" width="31" style="57" customWidth="1"/>
    <col min="2041" max="2041" width="18.5703125" style="57" customWidth="1"/>
    <col min="2042" max="2042" width="3.85546875" style="57" customWidth="1"/>
    <col min="2043" max="2043" width="18.7109375" style="57" customWidth="1"/>
    <col min="2044" max="2052" width="14" style="57" customWidth="1"/>
    <col min="2053" max="2053" width="13" style="57" bestFit="1" customWidth="1"/>
    <col min="2054" max="2054" width="14.5703125" style="57" bestFit="1" customWidth="1"/>
    <col min="2055" max="2055" width="12.140625" style="57" bestFit="1" customWidth="1"/>
    <col min="2056" max="2066" width="14" style="57" customWidth="1"/>
    <col min="2067" max="2070" width="13.28515625" style="57" customWidth="1"/>
    <col min="2071" max="2295" width="9.140625" style="57"/>
    <col min="2296" max="2296" width="31" style="57" customWidth="1"/>
    <col min="2297" max="2297" width="18.5703125" style="57" customWidth="1"/>
    <col min="2298" max="2298" width="3.85546875" style="57" customWidth="1"/>
    <col min="2299" max="2299" width="18.7109375" style="57" customWidth="1"/>
    <col min="2300" max="2308" width="14" style="57" customWidth="1"/>
    <col min="2309" max="2309" width="13" style="57" bestFit="1" customWidth="1"/>
    <col min="2310" max="2310" width="14.5703125" style="57" bestFit="1" customWidth="1"/>
    <col min="2311" max="2311" width="12.140625" style="57" bestFit="1" customWidth="1"/>
    <col min="2312" max="2322" width="14" style="57" customWidth="1"/>
    <col min="2323" max="2326" width="13.28515625" style="57" customWidth="1"/>
    <col min="2327" max="2551" width="9.140625" style="57"/>
    <col min="2552" max="2552" width="31" style="57" customWidth="1"/>
    <col min="2553" max="2553" width="18.5703125" style="57" customWidth="1"/>
    <col min="2554" max="2554" width="3.85546875" style="57" customWidth="1"/>
    <col min="2555" max="2555" width="18.7109375" style="57" customWidth="1"/>
    <col min="2556" max="2564" width="14" style="57" customWidth="1"/>
    <col min="2565" max="2565" width="13" style="57" bestFit="1" customWidth="1"/>
    <col min="2566" max="2566" width="14.5703125" style="57" bestFit="1" customWidth="1"/>
    <col min="2567" max="2567" width="12.140625" style="57" bestFit="1" customWidth="1"/>
    <col min="2568" max="2578" width="14" style="57" customWidth="1"/>
    <col min="2579" max="2582" width="13.28515625" style="57" customWidth="1"/>
    <col min="2583" max="2807" width="9.140625" style="57"/>
    <col min="2808" max="2808" width="31" style="57" customWidth="1"/>
    <col min="2809" max="2809" width="18.5703125" style="57" customWidth="1"/>
    <col min="2810" max="2810" width="3.85546875" style="57" customWidth="1"/>
    <col min="2811" max="2811" width="18.7109375" style="57" customWidth="1"/>
    <col min="2812" max="2820" width="14" style="57" customWidth="1"/>
    <col min="2821" max="2821" width="13" style="57" bestFit="1" customWidth="1"/>
    <col min="2822" max="2822" width="14.5703125" style="57" bestFit="1" customWidth="1"/>
    <col min="2823" max="2823" width="12.140625" style="57" bestFit="1" customWidth="1"/>
    <col min="2824" max="2834" width="14" style="57" customWidth="1"/>
    <col min="2835" max="2838" width="13.28515625" style="57" customWidth="1"/>
    <col min="2839" max="3063" width="9.140625" style="57"/>
    <col min="3064" max="3064" width="31" style="57" customWidth="1"/>
    <col min="3065" max="3065" width="18.5703125" style="57" customWidth="1"/>
    <col min="3066" max="3066" width="3.85546875" style="57" customWidth="1"/>
    <col min="3067" max="3067" width="18.7109375" style="57" customWidth="1"/>
    <col min="3068" max="3076" width="14" style="57" customWidth="1"/>
    <col min="3077" max="3077" width="13" style="57" bestFit="1" customWidth="1"/>
    <col min="3078" max="3078" width="14.5703125" style="57" bestFit="1" customWidth="1"/>
    <col min="3079" max="3079" width="12.140625" style="57" bestFit="1" customWidth="1"/>
    <col min="3080" max="3090" width="14" style="57" customWidth="1"/>
    <col min="3091" max="3094" width="13.28515625" style="57" customWidth="1"/>
    <col min="3095" max="3319" width="9.140625" style="57"/>
    <col min="3320" max="3320" width="31" style="57" customWidth="1"/>
    <col min="3321" max="3321" width="18.5703125" style="57" customWidth="1"/>
    <col min="3322" max="3322" width="3.85546875" style="57" customWidth="1"/>
    <col min="3323" max="3323" width="18.7109375" style="57" customWidth="1"/>
    <col min="3324" max="3332" width="14" style="57" customWidth="1"/>
    <col min="3333" max="3333" width="13" style="57" bestFit="1" customWidth="1"/>
    <col min="3334" max="3334" width="14.5703125" style="57" bestFit="1" customWidth="1"/>
    <col min="3335" max="3335" width="12.140625" style="57" bestFit="1" customWidth="1"/>
    <col min="3336" max="3346" width="14" style="57" customWidth="1"/>
    <col min="3347" max="3350" width="13.28515625" style="57" customWidth="1"/>
    <col min="3351" max="3575" width="9.140625" style="57"/>
    <col min="3576" max="3576" width="31" style="57" customWidth="1"/>
    <col min="3577" max="3577" width="18.5703125" style="57" customWidth="1"/>
    <col min="3578" max="3578" width="3.85546875" style="57" customWidth="1"/>
    <col min="3579" max="3579" width="18.7109375" style="57" customWidth="1"/>
    <col min="3580" max="3588" width="14" style="57" customWidth="1"/>
    <col min="3589" max="3589" width="13" style="57" bestFit="1" customWidth="1"/>
    <col min="3590" max="3590" width="14.5703125" style="57" bestFit="1" customWidth="1"/>
    <col min="3591" max="3591" width="12.140625" style="57" bestFit="1" customWidth="1"/>
    <col min="3592" max="3602" width="14" style="57" customWidth="1"/>
    <col min="3603" max="3606" width="13.28515625" style="57" customWidth="1"/>
    <col min="3607" max="3831" width="9.140625" style="57"/>
    <col min="3832" max="3832" width="31" style="57" customWidth="1"/>
    <col min="3833" max="3833" width="18.5703125" style="57" customWidth="1"/>
    <col min="3834" max="3834" width="3.85546875" style="57" customWidth="1"/>
    <col min="3835" max="3835" width="18.7109375" style="57" customWidth="1"/>
    <col min="3836" max="3844" width="14" style="57" customWidth="1"/>
    <col min="3845" max="3845" width="13" style="57" bestFit="1" customWidth="1"/>
    <col min="3846" max="3846" width="14.5703125" style="57" bestFit="1" customWidth="1"/>
    <col min="3847" max="3847" width="12.140625" style="57" bestFit="1" customWidth="1"/>
    <col min="3848" max="3858" width="14" style="57" customWidth="1"/>
    <col min="3859" max="3862" width="13.28515625" style="57" customWidth="1"/>
    <col min="3863" max="4087" width="9.140625" style="57"/>
    <col min="4088" max="4088" width="31" style="57" customWidth="1"/>
    <col min="4089" max="4089" width="18.5703125" style="57" customWidth="1"/>
    <col min="4090" max="4090" width="3.85546875" style="57" customWidth="1"/>
    <col min="4091" max="4091" width="18.7109375" style="57" customWidth="1"/>
    <col min="4092" max="4100" width="14" style="57" customWidth="1"/>
    <col min="4101" max="4101" width="13" style="57" bestFit="1" customWidth="1"/>
    <col min="4102" max="4102" width="14.5703125" style="57" bestFit="1" customWidth="1"/>
    <col min="4103" max="4103" width="12.140625" style="57" bestFit="1" customWidth="1"/>
    <col min="4104" max="4114" width="14" style="57" customWidth="1"/>
    <col min="4115" max="4118" width="13.28515625" style="57" customWidth="1"/>
    <col min="4119" max="4343" width="9.140625" style="57"/>
    <col min="4344" max="4344" width="31" style="57" customWidth="1"/>
    <col min="4345" max="4345" width="18.5703125" style="57" customWidth="1"/>
    <col min="4346" max="4346" width="3.85546875" style="57" customWidth="1"/>
    <col min="4347" max="4347" width="18.7109375" style="57" customWidth="1"/>
    <col min="4348" max="4356" width="14" style="57" customWidth="1"/>
    <col min="4357" max="4357" width="13" style="57" bestFit="1" customWidth="1"/>
    <col min="4358" max="4358" width="14.5703125" style="57" bestFit="1" customWidth="1"/>
    <col min="4359" max="4359" width="12.140625" style="57" bestFit="1" customWidth="1"/>
    <col min="4360" max="4370" width="14" style="57" customWidth="1"/>
    <col min="4371" max="4374" width="13.28515625" style="57" customWidth="1"/>
    <col min="4375" max="4599" width="9.140625" style="57"/>
    <col min="4600" max="4600" width="31" style="57" customWidth="1"/>
    <col min="4601" max="4601" width="18.5703125" style="57" customWidth="1"/>
    <col min="4602" max="4602" width="3.85546875" style="57" customWidth="1"/>
    <col min="4603" max="4603" width="18.7109375" style="57" customWidth="1"/>
    <col min="4604" max="4612" width="14" style="57" customWidth="1"/>
    <col min="4613" max="4613" width="13" style="57" bestFit="1" customWidth="1"/>
    <col min="4614" max="4614" width="14.5703125" style="57" bestFit="1" customWidth="1"/>
    <col min="4615" max="4615" width="12.140625" style="57" bestFit="1" customWidth="1"/>
    <col min="4616" max="4626" width="14" style="57" customWidth="1"/>
    <col min="4627" max="4630" width="13.28515625" style="57" customWidth="1"/>
    <col min="4631" max="4855" width="9.140625" style="57"/>
    <col min="4856" max="4856" width="31" style="57" customWidth="1"/>
    <col min="4857" max="4857" width="18.5703125" style="57" customWidth="1"/>
    <col min="4858" max="4858" width="3.85546875" style="57" customWidth="1"/>
    <col min="4859" max="4859" width="18.7109375" style="57" customWidth="1"/>
    <col min="4860" max="4868" width="14" style="57" customWidth="1"/>
    <col min="4869" max="4869" width="13" style="57" bestFit="1" customWidth="1"/>
    <col min="4870" max="4870" width="14.5703125" style="57" bestFit="1" customWidth="1"/>
    <col min="4871" max="4871" width="12.140625" style="57" bestFit="1" customWidth="1"/>
    <col min="4872" max="4882" width="14" style="57" customWidth="1"/>
    <col min="4883" max="4886" width="13.28515625" style="57" customWidth="1"/>
    <col min="4887" max="5111" width="9.140625" style="57"/>
    <col min="5112" max="5112" width="31" style="57" customWidth="1"/>
    <col min="5113" max="5113" width="18.5703125" style="57" customWidth="1"/>
    <col min="5114" max="5114" width="3.85546875" style="57" customWidth="1"/>
    <col min="5115" max="5115" width="18.7109375" style="57" customWidth="1"/>
    <col min="5116" max="5124" width="14" style="57" customWidth="1"/>
    <col min="5125" max="5125" width="13" style="57" bestFit="1" customWidth="1"/>
    <col min="5126" max="5126" width="14.5703125" style="57" bestFit="1" customWidth="1"/>
    <col min="5127" max="5127" width="12.140625" style="57" bestFit="1" customWidth="1"/>
    <col min="5128" max="5138" width="14" style="57" customWidth="1"/>
    <col min="5139" max="5142" width="13.28515625" style="57" customWidth="1"/>
    <col min="5143" max="5367" width="9.140625" style="57"/>
    <col min="5368" max="5368" width="31" style="57" customWidth="1"/>
    <col min="5369" max="5369" width="18.5703125" style="57" customWidth="1"/>
    <col min="5370" max="5370" width="3.85546875" style="57" customWidth="1"/>
    <col min="5371" max="5371" width="18.7109375" style="57" customWidth="1"/>
    <col min="5372" max="5380" width="14" style="57" customWidth="1"/>
    <col min="5381" max="5381" width="13" style="57" bestFit="1" customWidth="1"/>
    <col min="5382" max="5382" width="14.5703125" style="57" bestFit="1" customWidth="1"/>
    <col min="5383" max="5383" width="12.140625" style="57" bestFit="1" customWidth="1"/>
    <col min="5384" max="5394" width="14" style="57" customWidth="1"/>
    <col min="5395" max="5398" width="13.28515625" style="57" customWidth="1"/>
    <col min="5399" max="5623" width="9.140625" style="57"/>
    <col min="5624" max="5624" width="31" style="57" customWidth="1"/>
    <col min="5625" max="5625" width="18.5703125" style="57" customWidth="1"/>
    <col min="5626" max="5626" width="3.85546875" style="57" customWidth="1"/>
    <col min="5627" max="5627" width="18.7109375" style="57" customWidth="1"/>
    <col min="5628" max="5636" width="14" style="57" customWidth="1"/>
    <col min="5637" max="5637" width="13" style="57" bestFit="1" customWidth="1"/>
    <col min="5638" max="5638" width="14.5703125" style="57" bestFit="1" customWidth="1"/>
    <col min="5639" max="5639" width="12.140625" style="57" bestFit="1" customWidth="1"/>
    <col min="5640" max="5650" width="14" style="57" customWidth="1"/>
    <col min="5651" max="5654" width="13.28515625" style="57" customWidth="1"/>
    <col min="5655" max="5879" width="9.140625" style="57"/>
    <col min="5880" max="5880" width="31" style="57" customWidth="1"/>
    <col min="5881" max="5881" width="18.5703125" style="57" customWidth="1"/>
    <col min="5882" max="5882" width="3.85546875" style="57" customWidth="1"/>
    <col min="5883" max="5883" width="18.7109375" style="57" customWidth="1"/>
    <col min="5884" max="5892" width="14" style="57" customWidth="1"/>
    <col min="5893" max="5893" width="13" style="57" bestFit="1" customWidth="1"/>
    <col min="5894" max="5894" width="14.5703125" style="57" bestFit="1" customWidth="1"/>
    <col min="5895" max="5895" width="12.140625" style="57" bestFit="1" customWidth="1"/>
    <col min="5896" max="5906" width="14" style="57" customWidth="1"/>
    <col min="5907" max="5910" width="13.28515625" style="57" customWidth="1"/>
    <col min="5911" max="6135" width="9.140625" style="57"/>
    <col min="6136" max="6136" width="31" style="57" customWidth="1"/>
    <col min="6137" max="6137" width="18.5703125" style="57" customWidth="1"/>
    <col min="6138" max="6138" width="3.85546875" style="57" customWidth="1"/>
    <col min="6139" max="6139" width="18.7109375" style="57" customWidth="1"/>
    <col min="6140" max="6148" width="14" style="57" customWidth="1"/>
    <col min="6149" max="6149" width="13" style="57" bestFit="1" customWidth="1"/>
    <col min="6150" max="6150" width="14.5703125" style="57" bestFit="1" customWidth="1"/>
    <col min="6151" max="6151" width="12.140625" style="57" bestFit="1" customWidth="1"/>
    <col min="6152" max="6162" width="14" style="57" customWidth="1"/>
    <col min="6163" max="6166" width="13.28515625" style="57" customWidth="1"/>
    <col min="6167" max="6391" width="9.140625" style="57"/>
    <col min="6392" max="6392" width="31" style="57" customWidth="1"/>
    <col min="6393" max="6393" width="18.5703125" style="57" customWidth="1"/>
    <col min="6394" max="6394" width="3.85546875" style="57" customWidth="1"/>
    <col min="6395" max="6395" width="18.7109375" style="57" customWidth="1"/>
    <col min="6396" max="6404" width="14" style="57" customWidth="1"/>
    <col min="6405" max="6405" width="13" style="57" bestFit="1" customWidth="1"/>
    <col min="6406" max="6406" width="14.5703125" style="57" bestFit="1" customWidth="1"/>
    <col min="6407" max="6407" width="12.140625" style="57" bestFit="1" customWidth="1"/>
    <col min="6408" max="6418" width="14" style="57" customWidth="1"/>
    <col min="6419" max="6422" width="13.28515625" style="57" customWidth="1"/>
    <col min="6423" max="6647" width="9.140625" style="57"/>
    <col min="6648" max="6648" width="31" style="57" customWidth="1"/>
    <col min="6649" max="6649" width="18.5703125" style="57" customWidth="1"/>
    <col min="6650" max="6650" width="3.85546875" style="57" customWidth="1"/>
    <col min="6651" max="6651" width="18.7109375" style="57" customWidth="1"/>
    <col min="6652" max="6660" width="14" style="57" customWidth="1"/>
    <col min="6661" max="6661" width="13" style="57" bestFit="1" customWidth="1"/>
    <col min="6662" max="6662" width="14.5703125" style="57" bestFit="1" customWidth="1"/>
    <col min="6663" max="6663" width="12.140625" style="57" bestFit="1" customWidth="1"/>
    <col min="6664" max="6674" width="14" style="57" customWidth="1"/>
    <col min="6675" max="6678" width="13.28515625" style="57" customWidth="1"/>
    <col min="6679" max="6903" width="9.140625" style="57"/>
    <col min="6904" max="6904" width="31" style="57" customWidth="1"/>
    <col min="6905" max="6905" width="18.5703125" style="57" customWidth="1"/>
    <col min="6906" max="6906" width="3.85546875" style="57" customWidth="1"/>
    <col min="6907" max="6907" width="18.7109375" style="57" customWidth="1"/>
    <col min="6908" max="6916" width="14" style="57" customWidth="1"/>
    <col min="6917" max="6917" width="13" style="57" bestFit="1" customWidth="1"/>
    <col min="6918" max="6918" width="14.5703125" style="57" bestFit="1" customWidth="1"/>
    <col min="6919" max="6919" width="12.140625" style="57" bestFit="1" customWidth="1"/>
    <col min="6920" max="6930" width="14" style="57" customWidth="1"/>
    <col min="6931" max="6934" width="13.28515625" style="57" customWidth="1"/>
    <col min="6935" max="7159" width="9.140625" style="57"/>
    <col min="7160" max="7160" width="31" style="57" customWidth="1"/>
    <col min="7161" max="7161" width="18.5703125" style="57" customWidth="1"/>
    <col min="7162" max="7162" width="3.85546875" style="57" customWidth="1"/>
    <col min="7163" max="7163" width="18.7109375" style="57" customWidth="1"/>
    <col min="7164" max="7172" width="14" style="57" customWidth="1"/>
    <col min="7173" max="7173" width="13" style="57" bestFit="1" customWidth="1"/>
    <col min="7174" max="7174" width="14.5703125" style="57" bestFit="1" customWidth="1"/>
    <col min="7175" max="7175" width="12.140625" style="57" bestFit="1" customWidth="1"/>
    <col min="7176" max="7186" width="14" style="57" customWidth="1"/>
    <col min="7187" max="7190" width="13.28515625" style="57" customWidth="1"/>
    <col min="7191" max="7415" width="9.140625" style="57"/>
    <col min="7416" max="7416" width="31" style="57" customWidth="1"/>
    <col min="7417" max="7417" width="18.5703125" style="57" customWidth="1"/>
    <col min="7418" max="7418" width="3.85546875" style="57" customWidth="1"/>
    <col min="7419" max="7419" width="18.7109375" style="57" customWidth="1"/>
    <col min="7420" max="7428" width="14" style="57" customWidth="1"/>
    <col min="7429" max="7429" width="13" style="57" bestFit="1" customWidth="1"/>
    <col min="7430" max="7430" width="14.5703125" style="57" bestFit="1" customWidth="1"/>
    <col min="7431" max="7431" width="12.140625" style="57" bestFit="1" customWidth="1"/>
    <col min="7432" max="7442" width="14" style="57" customWidth="1"/>
    <col min="7443" max="7446" width="13.28515625" style="57" customWidth="1"/>
    <col min="7447" max="7671" width="9.140625" style="57"/>
    <col min="7672" max="7672" width="31" style="57" customWidth="1"/>
    <col min="7673" max="7673" width="18.5703125" style="57" customWidth="1"/>
    <col min="7674" max="7674" width="3.85546875" style="57" customWidth="1"/>
    <col min="7675" max="7675" width="18.7109375" style="57" customWidth="1"/>
    <col min="7676" max="7684" width="14" style="57" customWidth="1"/>
    <col min="7685" max="7685" width="13" style="57" bestFit="1" customWidth="1"/>
    <col min="7686" max="7686" width="14.5703125" style="57" bestFit="1" customWidth="1"/>
    <col min="7687" max="7687" width="12.140625" style="57" bestFit="1" customWidth="1"/>
    <col min="7688" max="7698" width="14" style="57" customWidth="1"/>
    <col min="7699" max="7702" width="13.28515625" style="57" customWidth="1"/>
    <col min="7703" max="7927" width="9.140625" style="57"/>
    <col min="7928" max="7928" width="31" style="57" customWidth="1"/>
    <col min="7929" max="7929" width="18.5703125" style="57" customWidth="1"/>
    <col min="7930" max="7930" width="3.85546875" style="57" customWidth="1"/>
    <col min="7931" max="7931" width="18.7109375" style="57" customWidth="1"/>
    <col min="7932" max="7940" width="14" style="57" customWidth="1"/>
    <col min="7941" max="7941" width="13" style="57" bestFit="1" customWidth="1"/>
    <col min="7942" max="7942" width="14.5703125" style="57" bestFit="1" customWidth="1"/>
    <col min="7943" max="7943" width="12.140625" style="57" bestFit="1" customWidth="1"/>
    <col min="7944" max="7954" width="14" style="57" customWidth="1"/>
    <col min="7955" max="7958" width="13.28515625" style="57" customWidth="1"/>
    <col min="7959" max="8183" width="9.140625" style="57"/>
    <col min="8184" max="8184" width="31" style="57" customWidth="1"/>
    <col min="8185" max="8185" width="18.5703125" style="57" customWidth="1"/>
    <col min="8186" max="8186" width="3.85546875" style="57" customWidth="1"/>
    <col min="8187" max="8187" width="18.7109375" style="57" customWidth="1"/>
    <col min="8188" max="8196" width="14" style="57" customWidth="1"/>
    <col min="8197" max="8197" width="13" style="57" bestFit="1" customWidth="1"/>
    <col min="8198" max="8198" width="14.5703125" style="57" bestFit="1" customWidth="1"/>
    <col min="8199" max="8199" width="12.140625" style="57" bestFit="1" customWidth="1"/>
    <col min="8200" max="8210" width="14" style="57" customWidth="1"/>
    <col min="8211" max="8214" width="13.28515625" style="57" customWidth="1"/>
    <col min="8215" max="8439" width="9.140625" style="57"/>
    <col min="8440" max="8440" width="31" style="57" customWidth="1"/>
    <col min="8441" max="8441" width="18.5703125" style="57" customWidth="1"/>
    <col min="8442" max="8442" width="3.85546875" style="57" customWidth="1"/>
    <col min="8443" max="8443" width="18.7109375" style="57" customWidth="1"/>
    <col min="8444" max="8452" width="14" style="57" customWidth="1"/>
    <col min="8453" max="8453" width="13" style="57" bestFit="1" customWidth="1"/>
    <col min="8454" max="8454" width="14.5703125" style="57" bestFit="1" customWidth="1"/>
    <col min="8455" max="8455" width="12.140625" style="57" bestFit="1" customWidth="1"/>
    <col min="8456" max="8466" width="14" style="57" customWidth="1"/>
    <col min="8467" max="8470" width="13.28515625" style="57" customWidth="1"/>
    <col min="8471" max="8695" width="9.140625" style="57"/>
    <col min="8696" max="8696" width="31" style="57" customWidth="1"/>
    <col min="8697" max="8697" width="18.5703125" style="57" customWidth="1"/>
    <col min="8698" max="8698" width="3.85546875" style="57" customWidth="1"/>
    <col min="8699" max="8699" width="18.7109375" style="57" customWidth="1"/>
    <col min="8700" max="8708" width="14" style="57" customWidth="1"/>
    <col min="8709" max="8709" width="13" style="57" bestFit="1" customWidth="1"/>
    <col min="8710" max="8710" width="14.5703125" style="57" bestFit="1" customWidth="1"/>
    <col min="8711" max="8711" width="12.140625" style="57" bestFit="1" customWidth="1"/>
    <col min="8712" max="8722" width="14" style="57" customWidth="1"/>
    <col min="8723" max="8726" width="13.28515625" style="57" customWidth="1"/>
    <col min="8727" max="8951" width="9.140625" style="57"/>
    <col min="8952" max="8952" width="31" style="57" customWidth="1"/>
    <col min="8953" max="8953" width="18.5703125" style="57" customWidth="1"/>
    <col min="8954" max="8954" width="3.85546875" style="57" customWidth="1"/>
    <col min="8955" max="8955" width="18.7109375" style="57" customWidth="1"/>
    <col min="8956" max="8964" width="14" style="57" customWidth="1"/>
    <col min="8965" max="8965" width="13" style="57" bestFit="1" customWidth="1"/>
    <col min="8966" max="8966" width="14.5703125" style="57" bestFit="1" customWidth="1"/>
    <col min="8967" max="8967" width="12.140625" style="57" bestFit="1" customWidth="1"/>
    <col min="8968" max="8978" width="14" style="57" customWidth="1"/>
    <col min="8979" max="8982" width="13.28515625" style="57" customWidth="1"/>
    <col min="8983" max="9207" width="9.140625" style="57"/>
    <col min="9208" max="9208" width="31" style="57" customWidth="1"/>
    <col min="9209" max="9209" width="18.5703125" style="57" customWidth="1"/>
    <col min="9210" max="9210" width="3.85546875" style="57" customWidth="1"/>
    <col min="9211" max="9211" width="18.7109375" style="57" customWidth="1"/>
    <col min="9212" max="9220" width="14" style="57" customWidth="1"/>
    <col min="9221" max="9221" width="13" style="57" bestFit="1" customWidth="1"/>
    <col min="9222" max="9222" width="14.5703125" style="57" bestFit="1" customWidth="1"/>
    <col min="9223" max="9223" width="12.140625" style="57" bestFit="1" customWidth="1"/>
    <col min="9224" max="9234" width="14" style="57" customWidth="1"/>
    <col min="9235" max="9238" width="13.28515625" style="57" customWidth="1"/>
    <col min="9239" max="9463" width="9.140625" style="57"/>
    <col min="9464" max="9464" width="31" style="57" customWidth="1"/>
    <col min="9465" max="9465" width="18.5703125" style="57" customWidth="1"/>
    <col min="9466" max="9466" width="3.85546875" style="57" customWidth="1"/>
    <col min="9467" max="9467" width="18.7109375" style="57" customWidth="1"/>
    <col min="9468" max="9476" width="14" style="57" customWidth="1"/>
    <col min="9477" max="9477" width="13" style="57" bestFit="1" customWidth="1"/>
    <col min="9478" max="9478" width="14.5703125" style="57" bestFit="1" customWidth="1"/>
    <col min="9479" max="9479" width="12.140625" style="57" bestFit="1" customWidth="1"/>
    <col min="9480" max="9490" width="14" style="57" customWidth="1"/>
    <col min="9491" max="9494" width="13.28515625" style="57" customWidth="1"/>
    <col min="9495" max="9719" width="9.140625" style="57"/>
    <col min="9720" max="9720" width="31" style="57" customWidth="1"/>
    <col min="9721" max="9721" width="18.5703125" style="57" customWidth="1"/>
    <col min="9722" max="9722" width="3.85546875" style="57" customWidth="1"/>
    <col min="9723" max="9723" width="18.7109375" style="57" customWidth="1"/>
    <col min="9724" max="9732" width="14" style="57" customWidth="1"/>
    <col min="9733" max="9733" width="13" style="57" bestFit="1" customWidth="1"/>
    <col min="9734" max="9734" width="14.5703125" style="57" bestFit="1" customWidth="1"/>
    <col min="9735" max="9735" width="12.140625" style="57" bestFit="1" customWidth="1"/>
    <col min="9736" max="9746" width="14" style="57" customWidth="1"/>
    <col min="9747" max="9750" width="13.28515625" style="57" customWidth="1"/>
    <col min="9751" max="9975" width="9.140625" style="57"/>
    <col min="9976" max="9976" width="31" style="57" customWidth="1"/>
    <col min="9977" max="9977" width="18.5703125" style="57" customWidth="1"/>
    <col min="9978" max="9978" width="3.85546875" style="57" customWidth="1"/>
    <col min="9979" max="9979" width="18.7109375" style="57" customWidth="1"/>
    <col min="9980" max="9988" width="14" style="57" customWidth="1"/>
    <col min="9989" max="9989" width="13" style="57" bestFit="1" customWidth="1"/>
    <col min="9990" max="9990" width="14.5703125" style="57" bestFit="1" customWidth="1"/>
    <col min="9991" max="9991" width="12.140625" style="57" bestFit="1" customWidth="1"/>
    <col min="9992" max="10002" width="14" style="57" customWidth="1"/>
    <col min="10003" max="10006" width="13.28515625" style="57" customWidth="1"/>
    <col min="10007" max="10231" width="9.140625" style="57"/>
    <col min="10232" max="10232" width="31" style="57" customWidth="1"/>
    <col min="10233" max="10233" width="18.5703125" style="57" customWidth="1"/>
    <col min="10234" max="10234" width="3.85546875" style="57" customWidth="1"/>
    <col min="10235" max="10235" width="18.7109375" style="57" customWidth="1"/>
    <col min="10236" max="10244" width="14" style="57" customWidth="1"/>
    <col min="10245" max="10245" width="13" style="57" bestFit="1" customWidth="1"/>
    <col min="10246" max="10246" width="14.5703125" style="57" bestFit="1" customWidth="1"/>
    <col min="10247" max="10247" width="12.140625" style="57" bestFit="1" customWidth="1"/>
    <col min="10248" max="10258" width="14" style="57" customWidth="1"/>
    <col min="10259" max="10262" width="13.28515625" style="57" customWidth="1"/>
    <col min="10263" max="10487" width="9.140625" style="57"/>
    <col min="10488" max="10488" width="31" style="57" customWidth="1"/>
    <col min="10489" max="10489" width="18.5703125" style="57" customWidth="1"/>
    <col min="10490" max="10490" width="3.85546875" style="57" customWidth="1"/>
    <col min="10491" max="10491" width="18.7109375" style="57" customWidth="1"/>
    <col min="10492" max="10500" width="14" style="57" customWidth="1"/>
    <col min="10501" max="10501" width="13" style="57" bestFit="1" customWidth="1"/>
    <col min="10502" max="10502" width="14.5703125" style="57" bestFit="1" customWidth="1"/>
    <col min="10503" max="10503" width="12.140625" style="57" bestFit="1" customWidth="1"/>
    <col min="10504" max="10514" width="14" style="57" customWidth="1"/>
    <col min="10515" max="10518" width="13.28515625" style="57" customWidth="1"/>
    <col min="10519" max="10743" width="9.140625" style="57"/>
    <col min="10744" max="10744" width="31" style="57" customWidth="1"/>
    <col min="10745" max="10745" width="18.5703125" style="57" customWidth="1"/>
    <col min="10746" max="10746" width="3.85546875" style="57" customWidth="1"/>
    <col min="10747" max="10747" width="18.7109375" style="57" customWidth="1"/>
    <col min="10748" max="10756" width="14" style="57" customWidth="1"/>
    <col min="10757" max="10757" width="13" style="57" bestFit="1" customWidth="1"/>
    <col min="10758" max="10758" width="14.5703125" style="57" bestFit="1" customWidth="1"/>
    <col min="10759" max="10759" width="12.140625" style="57" bestFit="1" customWidth="1"/>
    <col min="10760" max="10770" width="14" style="57" customWidth="1"/>
    <col min="10771" max="10774" width="13.28515625" style="57" customWidth="1"/>
    <col min="10775" max="10999" width="9.140625" style="57"/>
    <col min="11000" max="11000" width="31" style="57" customWidth="1"/>
    <col min="11001" max="11001" width="18.5703125" style="57" customWidth="1"/>
    <col min="11002" max="11002" width="3.85546875" style="57" customWidth="1"/>
    <col min="11003" max="11003" width="18.7109375" style="57" customWidth="1"/>
    <col min="11004" max="11012" width="14" style="57" customWidth="1"/>
    <col min="11013" max="11013" width="13" style="57" bestFit="1" customWidth="1"/>
    <col min="11014" max="11014" width="14.5703125" style="57" bestFit="1" customWidth="1"/>
    <col min="11015" max="11015" width="12.140625" style="57" bestFit="1" customWidth="1"/>
    <col min="11016" max="11026" width="14" style="57" customWidth="1"/>
    <col min="11027" max="11030" width="13.28515625" style="57" customWidth="1"/>
    <col min="11031" max="11255" width="9.140625" style="57"/>
    <col min="11256" max="11256" width="31" style="57" customWidth="1"/>
    <col min="11257" max="11257" width="18.5703125" style="57" customWidth="1"/>
    <col min="11258" max="11258" width="3.85546875" style="57" customWidth="1"/>
    <col min="11259" max="11259" width="18.7109375" style="57" customWidth="1"/>
    <col min="11260" max="11268" width="14" style="57" customWidth="1"/>
    <col min="11269" max="11269" width="13" style="57" bestFit="1" customWidth="1"/>
    <col min="11270" max="11270" width="14.5703125" style="57" bestFit="1" customWidth="1"/>
    <col min="11271" max="11271" width="12.140625" style="57" bestFit="1" customWidth="1"/>
    <col min="11272" max="11282" width="14" style="57" customWidth="1"/>
    <col min="11283" max="11286" width="13.28515625" style="57" customWidth="1"/>
    <col min="11287" max="11511" width="9.140625" style="57"/>
    <col min="11512" max="11512" width="31" style="57" customWidth="1"/>
    <col min="11513" max="11513" width="18.5703125" style="57" customWidth="1"/>
    <col min="11514" max="11514" width="3.85546875" style="57" customWidth="1"/>
    <col min="11515" max="11515" width="18.7109375" style="57" customWidth="1"/>
    <col min="11516" max="11524" width="14" style="57" customWidth="1"/>
    <col min="11525" max="11525" width="13" style="57" bestFit="1" customWidth="1"/>
    <col min="11526" max="11526" width="14.5703125" style="57" bestFit="1" customWidth="1"/>
    <col min="11527" max="11527" width="12.140625" style="57" bestFit="1" customWidth="1"/>
    <col min="11528" max="11538" width="14" style="57" customWidth="1"/>
    <col min="11539" max="11542" width="13.28515625" style="57" customWidth="1"/>
    <col min="11543" max="11767" width="9.140625" style="57"/>
    <col min="11768" max="11768" width="31" style="57" customWidth="1"/>
    <col min="11769" max="11769" width="18.5703125" style="57" customWidth="1"/>
    <col min="11770" max="11770" width="3.85546875" style="57" customWidth="1"/>
    <col min="11771" max="11771" width="18.7109375" style="57" customWidth="1"/>
    <col min="11772" max="11780" width="14" style="57" customWidth="1"/>
    <col min="11781" max="11781" width="13" style="57" bestFit="1" customWidth="1"/>
    <col min="11782" max="11782" width="14.5703125" style="57" bestFit="1" customWidth="1"/>
    <col min="11783" max="11783" width="12.140625" style="57" bestFit="1" customWidth="1"/>
    <col min="11784" max="11794" width="14" style="57" customWidth="1"/>
    <col min="11795" max="11798" width="13.28515625" style="57" customWidth="1"/>
    <col min="11799" max="12023" width="9.140625" style="57"/>
    <col min="12024" max="12024" width="31" style="57" customWidth="1"/>
    <col min="12025" max="12025" width="18.5703125" style="57" customWidth="1"/>
    <col min="12026" max="12026" width="3.85546875" style="57" customWidth="1"/>
    <col min="12027" max="12027" width="18.7109375" style="57" customWidth="1"/>
    <col min="12028" max="12036" width="14" style="57" customWidth="1"/>
    <col min="12037" max="12037" width="13" style="57" bestFit="1" customWidth="1"/>
    <col min="12038" max="12038" width="14.5703125" style="57" bestFit="1" customWidth="1"/>
    <col min="12039" max="12039" width="12.140625" style="57" bestFit="1" customWidth="1"/>
    <col min="12040" max="12050" width="14" style="57" customWidth="1"/>
    <col min="12051" max="12054" width="13.28515625" style="57" customWidth="1"/>
    <col min="12055" max="12279" width="9.140625" style="57"/>
    <col min="12280" max="12280" width="31" style="57" customWidth="1"/>
    <col min="12281" max="12281" width="18.5703125" style="57" customWidth="1"/>
    <col min="12282" max="12282" width="3.85546875" style="57" customWidth="1"/>
    <col min="12283" max="12283" width="18.7109375" style="57" customWidth="1"/>
    <col min="12284" max="12292" width="14" style="57" customWidth="1"/>
    <col min="12293" max="12293" width="13" style="57" bestFit="1" customWidth="1"/>
    <col min="12294" max="12294" width="14.5703125" style="57" bestFit="1" customWidth="1"/>
    <col min="12295" max="12295" width="12.140625" style="57" bestFit="1" customWidth="1"/>
    <col min="12296" max="12306" width="14" style="57" customWidth="1"/>
    <col min="12307" max="12310" width="13.28515625" style="57" customWidth="1"/>
    <col min="12311" max="12535" width="9.140625" style="57"/>
    <col min="12536" max="12536" width="31" style="57" customWidth="1"/>
    <col min="12537" max="12537" width="18.5703125" style="57" customWidth="1"/>
    <col min="12538" max="12538" width="3.85546875" style="57" customWidth="1"/>
    <col min="12539" max="12539" width="18.7109375" style="57" customWidth="1"/>
    <col min="12540" max="12548" width="14" style="57" customWidth="1"/>
    <col min="12549" max="12549" width="13" style="57" bestFit="1" customWidth="1"/>
    <col min="12550" max="12550" width="14.5703125" style="57" bestFit="1" customWidth="1"/>
    <col min="12551" max="12551" width="12.140625" style="57" bestFit="1" customWidth="1"/>
    <col min="12552" max="12562" width="14" style="57" customWidth="1"/>
    <col min="12563" max="12566" width="13.28515625" style="57" customWidth="1"/>
    <col min="12567" max="12791" width="9.140625" style="57"/>
    <col min="12792" max="12792" width="31" style="57" customWidth="1"/>
    <col min="12793" max="12793" width="18.5703125" style="57" customWidth="1"/>
    <col min="12794" max="12794" width="3.85546875" style="57" customWidth="1"/>
    <col min="12795" max="12795" width="18.7109375" style="57" customWidth="1"/>
    <col min="12796" max="12804" width="14" style="57" customWidth="1"/>
    <col min="12805" max="12805" width="13" style="57" bestFit="1" customWidth="1"/>
    <col min="12806" max="12806" width="14.5703125" style="57" bestFit="1" customWidth="1"/>
    <col min="12807" max="12807" width="12.140625" style="57" bestFit="1" customWidth="1"/>
    <col min="12808" max="12818" width="14" style="57" customWidth="1"/>
    <col min="12819" max="12822" width="13.28515625" style="57" customWidth="1"/>
    <col min="12823" max="13047" width="9.140625" style="57"/>
    <col min="13048" max="13048" width="31" style="57" customWidth="1"/>
    <col min="13049" max="13049" width="18.5703125" style="57" customWidth="1"/>
    <col min="13050" max="13050" width="3.85546875" style="57" customWidth="1"/>
    <col min="13051" max="13051" width="18.7109375" style="57" customWidth="1"/>
    <col min="13052" max="13060" width="14" style="57" customWidth="1"/>
    <col min="13061" max="13061" width="13" style="57" bestFit="1" customWidth="1"/>
    <col min="13062" max="13062" width="14.5703125" style="57" bestFit="1" customWidth="1"/>
    <col min="13063" max="13063" width="12.140625" style="57" bestFit="1" customWidth="1"/>
    <col min="13064" max="13074" width="14" style="57" customWidth="1"/>
    <col min="13075" max="13078" width="13.28515625" style="57" customWidth="1"/>
    <col min="13079" max="13303" width="9.140625" style="57"/>
    <col min="13304" max="13304" width="31" style="57" customWidth="1"/>
    <col min="13305" max="13305" width="18.5703125" style="57" customWidth="1"/>
    <col min="13306" max="13306" width="3.85546875" style="57" customWidth="1"/>
    <col min="13307" max="13307" width="18.7109375" style="57" customWidth="1"/>
    <col min="13308" max="13316" width="14" style="57" customWidth="1"/>
    <col min="13317" max="13317" width="13" style="57" bestFit="1" customWidth="1"/>
    <col min="13318" max="13318" width="14.5703125" style="57" bestFit="1" customWidth="1"/>
    <col min="13319" max="13319" width="12.140625" style="57" bestFit="1" customWidth="1"/>
    <col min="13320" max="13330" width="14" style="57" customWidth="1"/>
    <col min="13331" max="13334" width="13.28515625" style="57" customWidth="1"/>
    <col min="13335" max="13559" width="9.140625" style="57"/>
    <col min="13560" max="13560" width="31" style="57" customWidth="1"/>
    <col min="13561" max="13561" width="18.5703125" style="57" customWidth="1"/>
    <col min="13562" max="13562" width="3.85546875" style="57" customWidth="1"/>
    <col min="13563" max="13563" width="18.7109375" style="57" customWidth="1"/>
    <col min="13564" max="13572" width="14" style="57" customWidth="1"/>
    <col min="13573" max="13573" width="13" style="57" bestFit="1" customWidth="1"/>
    <col min="13574" max="13574" width="14.5703125" style="57" bestFit="1" customWidth="1"/>
    <col min="13575" max="13575" width="12.140625" style="57" bestFit="1" customWidth="1"/>
    <col min="13576" max="13586" width="14" style="57" customWidth="1"/>
    <col min="13587" max="13590" width="13.28515625" style="57" customWidth="1"/>
    <col min="13591" max="13815" width="9.140625" style="57"/>
    <col min="13816" max="13816" width="31" style="57" customWidth="1"/>
    <col min="13817" max="13817" width="18.5703125" style="57" customWidth="1"/>
    <col min="13818" max="13818" width="3.85546875" style="57" customWidth="1"/>
    <col min="13819" max="13819" width="18.7109375" style="57" customWidth="1"/>
    <col min="13820" max="13828" width="14" style="57" customWidth="1"/>
    <col min="13829" max="13829" width="13" style="57" bestFit="1" customWidth="1"/>
    <col min="13830" max="13830" width="14.5703125" style="57" bestFit="1" customWidth="1"/>
    <col min="13831" max="13831" width="12.140625" style="57" bestFit="1" customWidth="1"/>
    <col min="13832" max="13842" width="14" style="57" customWidth="1"/>
    <col min="13843" max="13846" width="13.28515625" style="57" customWidth="1"/>
    <col min="13847" max="14071" width="9.140625" style="57"/>
    <col min="14072" max="14072" width="31" style="57" customWidth="1"/>
    <col min="14073" max="14073" width="18.5703125" style="57" customWidth="1"/>
    <col min="14074" max="14074" width="3.85546875" style="57" customWidth="1"/>
    <col min="14075" max="14075" width="18.7109375" style="57" customWidth="1"/>
    <col min="14076" max="14084" width="14" style="57" customWidth="1"/>
    <col min="14085" max="14085" width="13" style="57" bestFit="1" customWidth="1"/>
    <col min="14086" max="14086" width="14.5703125" style="57" bestFit="1" customWidth="1"/>
    <col min="14087" max="14087" width="12.140625" style="57" bestFit="1" customWidth="1"/>
    <col min="14088" max="14098" width="14" style="57" customWidth="1"/>
    <col min="14099" max="14102" width="13.28515625" style="57" customWidth="1"/>
    <col min="14103" max="14327" width="9.140625" style="57"/>
    <col min="14328" max="14328" width="31" style="57" customWidth="1"/>
    <col min="14329" max="14329" width="18.5703125" style="57" customWidth="1"/>
    <col min="14330" max="14330" width="3.85546875" style="57" customWidth="1"/>
    <col min="14331" max="14331" width="18.7109375" style="57" customWidth="1"/>
    <col min="14332" max="14340" width="14" style="57" customWidth="1"/>
    <col min="14341" max="14341" width="13" style="57" bestFit="1" customWidth="1"/>
    <col min="14342" max="14342" width="14.5703125" style="57" bestFit="1" customWidth="1"/>
    <col min="14343" max="14343" width="12.140625" style="57" bestFit="1" customWidth="1"/>
    <col min="14344" max="14354" width="14" style="57" customWidth="1"/>
    <col min="14355" max="14358" width="13.28515625" style="57" customWidth="1"/>
    <col min="14359" max="14583" width="9.140625" style="57"/>
    <col min="14584" max="14584" width="31" style="57" customWidth="1"/>
    <col min="14585" max="14585" width="18.5703125" style="57" customWidth="1"/>
    <col min="14586" max="14586" width="3.85546875" style="57" customWidth="1"/>
    <col min="14587" max="14587" width="18.7109375" style="57" customWidth="1"/>
    <col min="14588" max="14596" width="14" style="57" customWidth="1"/>
    <col min="14597" max="14597" width="13" style="57" bestFit="1" customWidth="1"/>
    <col min="14598" max="14598" width="14.5703125" style="57" bestFit="1" customWidth="1"/>
    <col min="14599" max="14599" width="12.140625" style="57" bestFit="1" customWidth="1"/>
    <col min="14600" max="14610" width="14" style="57" customWidth="1"/>
    <col min="14611" max="14614" width="13.28515625" style="57" customWidth="1"/>
    <col min="14615" max="14839" width="9.140625" style="57"/>
    <col min="14840" max="14840" width="31" style="57" customWidth="1"/>
    <col min="14841" max="14841" width="18.5703125" style="57" customWidth="1"/>
    <col min="14842" max="14842" width="3.85546875" style="57" customWidth="1"/>
    <col min="14843" max="14843" width="18.7109375" style="57" customWidth="1"/>
    <col min="14844" max="14852" width="14" style="57" customWidth="1"/>
    <col min="14853" max="14853" width="13" style="57" bestFit="1" customWidth="1"/>
    <col min="14854" max="14854" width="14.5703125" style="57" bestFit="1" customWidth="1"/>
    <col min="14855" max="14855" width="12.140625" style="57" bestFit="1" customWidth="1"/>
    <col min="14856" max="14866" width="14" style="57" customWidth="1"/>
    <col min="14867" max="14870" width="13.28515625" style="57" customWidth="1"/>
    <col min="14871" max="15095" width="9.140625" style="57"/>
    <col min="15096" max="15096" width="31" style="57" customWidth="1"/>
    <col min="15097" max="15097" width="18.5703125" style="57" customWidth="1"/>
    <col min="15098" max="15098" width="3.85546875" style="57" customWidth="1"/>
    <col min="15099" max="15099" width="18.7109375" style="57" customWidth="1"/>
    <col min="15100" max="15108" width="14" style="57" customWidth="1"/>
    <col min="15109" max="15109" width="13" style="57" bestFit="1" customWidth="1"/>
    <col min="15110" max="15110" width="14.5703125" style="57" bestFit="1" customWidth="1"/>
    <col min="15111" max="15111" width="12.140625" style="57" bestFit="1" customWidth="1"/>
    <col min="15112" max="15122" width="14" style="57" customWidth="1"/>
    <col min="15123" max="15126" width="13.28515625" style="57" customWidth="1"/>
    <col min="15127" max="15351" width="9.140625" style="57"/>
    <col min="15352" max="15352" width="31" style="57" customWidth="1"/>
    <col min="15353" max="15353" width="18.5703125" style="57" customWidth="1"/>
    <col min="15354" max="15354" width="3.85546875" style="57" customWidth="1"/>
    <col min="15355" max="15355" width="18.7109375" style="57" customWidth="1"/>
    <col min="15356" max="15364" width="14" style="57" customWidth="1"/>
    <col min="15365" max="15365" width="13" style="57" bestFit="1" customWidth="1"/>
    <col min="15366" max="15366" width="14.5703125" style="57" bestFit="1" customWidth="1"/>
    <col min="15367" max="15367" width="12.140625" style="57" bestFit="1" customWidth="1"/>
    <col min="15368" max="15378" width="14" style="57" customWidth="1"/>
    <col min="15379" max="15382" width="13.28515625" style="57" customWidth="1"/>
    <col min="15383" max="15607" width="9.140625" style="57"/>
    <col min="15608" max="15608" width="31" style="57" customWidth="1"/>
    <col min="15609" max="15609" width="18.5703125" style="57" customWidth="1"/>
    <col min="15610" max="15610" width="3.85546875" style="57" customWidth="1"/>
    <col min="15611" max="15611" width="18.7109375" style="57" customWidth="1"/>
    <col min="15612" max="15620" width="14" style="57" customWidth="1"/>
    <col min="15621" max="15621" width="13" style="57" bestFit="1" customWidth="1"/>
    <col min="15622" max="15622" width="14.5703125" style="57" bestFit="1" customWidth="1"/>
    <col min="15623" max="15623" width="12.140625" style="57" bestFit="1" customWidth="1"/>
    <col min="15624" max="15634" width="14" style="57" customWidth="1"/>
    <col min="15635" max="15638" width="13.28515625" style="57" customWidth="1"/>
    <col min="15639" max="15863" width="9.140625" style="57"/>
    <col min="15864" max="15864" width="31" style="57" customWidth="1"/>
    <col min="15865" max="15865" width="18.5703125" style="57" customWidth="1"/>
    <col min="15866" max="15866" width="3.85546875" style="57" customWidth="1"/>
    <col min="15867" max="15867" width="18.7109375" style="57" customWidth="1"/>
    <col min="15868" max="15876" width="14" style="57" customWidth="1"/>
    <col min="15877" max="15877" width="13" style="57" bestFit="1" customWidth="1"/>
    <col min="15878" max="15878" width="14.5703125" style="57" bestFit="1" customWidth="1"/>
    <col min="15879" max="15879" width="12.140625" style="57" bestFit="1" customWidth="1"/>
    <col min="15880" max="15890" width="14" style="57" customWidth="1"/>
    <col min="15891" max="15894" width="13.28515625" style="57" customWidth="1"/>
    <col min="15895" max="16119" width="9.140625" style="57"/>
    <col min="16120" max="16120" width="31" style="57" customWidth="1"/>
    <col min="16121" max="16121" width="18.5703125" style="57" customWidth="1"/>
    <col min="16122" max="16122" width="3.85546875" style="57" customWidth="1"/>
    <col min="16123" max="16123" width="18.7109375" style="57" customWidth="1"/>
    <col min="16124" max="16132" width="14" style="57" customWidth="1"/>
    <col min="16133" max="16133" width="13" style="57" bestFit="1" customWidth="1"/>
    <col min="16134" max="16134" width="14.5703125" style="57" bestFit="1" customWidth="1"/>
    <col min="16135" max="16135" width="12.140625" style="57" bestFit="1" customWidth="1"/>
    <col min="16136" max="16146" width="14" style="57" customWidth="1"/>
    <col min="16147" max="16150" width="13.28515625" style="57" customWidth="1"/>
    <col min="16151" max="16384" width="9.140625" style="57"/>
  </cols>
  <sheetData>
    <row r="1" spans="1:20" x14ac:dyDescent="0.2">
      <c r="D1" s="57"/>
      <c r="E1" s="57"/>
      <c r="F1" s="57"/>
    </row>
    <row r="2" spans="1:20" x14ac:dyDescent="0.2">
      <c r="D2" s="57"/>
      <c r="E2" s="57"/>
      <c r="F2" s="57"/>
      <c r="P2"/>
      <c r="Q2"/>
      <c r="R2"/>
      <c r="S2"/>
      <c r="T2"/>
    </row>
    <row r="3" spans="1:20" s="59" customFormat="1" ht="15.75" customHeight="1" x14ac:dyDescent="0.2">
      <c r="A3" s="148" t="s">
        <v>91</v>
      </c>
      <c r="B3" s="149"/>
      <c r="C3" s="149"/>
      <c r="D3" s="149"/>
      <c r="E3" s="149"/>
      <c r="F3" s="149"/>
      <c r="G3" s="150"/>
      <c r="H3"/>
      <c r="I3"/>
      <c r="J3"/>
      <c r="K3"/>
      <c r="L3"/>
    </row>
    <row r="4" spans="1:20" ht="44.25" customHeight="1" x14ac:dyDescent="0.2">
      <c r="A4" s="110" t="s">
        <v>68</v>
      </c>
      <c r="B4" s="110" t="s">
        <v>57</v>
      </c>
      <c r="C4" s="110" t="s">
        <v>69</v>
      </c>
      <c r="D4" s="110" t="s">
        <v>70</v>
      </c>
      <c r="E4" s="110" t="s">
        <v>71</v>
      </c>
      <c r="F4" s="110" t="s">
        <v>98</v>
      </c>
      <c r="G4" s="110" t="s">
        <v>99</v>
      </c>
      <c r="H4"/>
      <c r="I4"/>
      <c r="J4"/>
      <c r="K4"/>
      <c r="L4"/>
      <c r="M4" s="57"/>
    </row>
    <row r="5" spans="1:20" x14ac:dyDescent="0.2">
      <c r="A5" s="112">
        <v>2014</v>
      </c>
      <c r="B5" s="111">
        <f>AVERAGEIF($A$24:$A$143,$A5,G$24:G$143)</f>
        <v>10964.083333333334</v>
      </c>
      <c r="C5" s="111">
        <f>AVERAGEIF($A$24:$A$143,$A5,I$24:I$143)</f>
        <v>2106</v>
      </c>
      <c r="D5" s="111">
        <f>AVERAGEIF($A$24:$A$143,$A5,L$24:L$143)</f>
        <v>172</v>
      </c>
      <c r="E5" s="111">
        <f>AVERAGEIF($A$24:$A$143,$A5,N$24:N$143)</f>
        <v>54.75</v>
      </c>
      <c r="F5" s="111">
        <f>AVERAGEIF($A$24:$A$143,$A5,Q$24:Q$143)</f>
        <v>56.666666666666664</v>
      </c>
      <c r="G5" s="111">
        <f>AVERAGEIF($A$24:$A$143,$A5,T$24:T$143)</f>
        <v>2843.6666666666665</v>
      </c>
      <c r="H5"/>
      <c r="I5"/>
      <c r="J5"/>
      <c r="K5"/>
      <c r="L5"/>
      <c r="M5" s="57"/>
    </row>
    <row r="6" spans="1:20" x14ac:dyDescent="0.2">
      <c r="A6" s="112">
        <v>2015</v>
      </c>
      <c r="B6" s="111">
        <f t="shared" ref="B6:B14" si="0">AVERAGEIF($A$24:$A$143,$A6,G$24:G$143)</f>
        <v>11020.916666666666</v>
      </c>
      <c r="C6" s="111">
        <f t="shared" ref="C6:C14" si="1">AVERAGEIF($A$24:$A$143,$A6,I$24:I$143)</f>
        <v>2132.5833333333335</v>
      </c>
      <c r="D6" s="111">
        <f t="shared" ref="D6:D14" si="2">AVERAGEIF($A$24:$A$143,$A6,L$24:L$143)</f>
        <v>155.83333333333334</v>
      </c>
      <c r="E6" s="111">
        <f t="shared" ref="E6:E14" si="3">AVERAGEIF($A$24:$A$143,$A6,N$24:N$143)</f>
        <v>52.166666666666664</v>
      </c>
      <c r="F6" s="111">
        <f t="shared" ref="F6:F14" si="4">AVERAGEIF($A$24:$A$143,$A6,Q$24:Q$143)</f>
        <v>53</v>
      </c>
      <c r="G6" s="111">
        <f t="shared" ref="G6:G14" si="5">AVERAGEIF($A$24:$A$143,$A6,T$24:T$143)</f>
        <v>2766.0833333333335</v>
      </c>
      <c r="H6"/>
      <c r="I6"/>
      <c r="J6"/>
      <c r="K6"/>
      <c r="L6"/>
      <c r="M6" s="57"/>
    </row>
    <row r="7" spans="1:20" x14ac:dyDescent="0.2">
      <c r="A7" s="112">
        <v>2016</v>
      </c>
      <c r="B7" s="111">
        <f t="shared" si="0"/>
        <v>11078.416666666666</v>
      </c>
      <c r="C7" s="111">
        <f t="shared" si="1"/>
        <v>2137.6666666666665</v>
      </c>
      <c r="D7" s="111">
        <f t="shared" si="2"/>
        <v>149.33333333333334</v>
      </c>
      <c r="E7" s="111">
        <f t="shared" si="3"/>
        <v>51</v>
      </c>
      <c r="F7" s="111">
        <f t="shared" si="4"/>
        <v>52.333333333333336</v>
      </c>
      <c r="G7" s="111">
        <f t="shared" si="5"/>
        <v>2679.1666666666665</v>
      </c>
      <c r="H7"/>
      <c r="I7"/>
      <c r="J7"/>
      <c r="K7"/>
      <c r="L7"/>
      <c r="M7" s="57"/>
    </row>
    <row r="8" spans="1:20" x14ac:dyDescent="0.2">
      <c r="A8" s="112">
        <v>2017</v>
      </c>
      <c r="B8" s="111">
        <f t="shared" si="0"/>
        <v>11168.75</v>
      </c>
      <c r="C8" s="111">
        <f t="shared" si="1"/>
        <v>2144.4166666666665</v>
      </c>
      <c r="D8" s="111">
        <f t="shared" si="2"/>
        <v>137.91666666666666</v>
      </c>
      <c r="E8" s="111">
        <f t="shared" si="3"/>
        <v>51</v>
      </c>
      <c r="F8" s="111">
        <f t="shared" si="4"/>
        <v>45.5</v>
      </c>
      <c r="G8" s="111">
        <f t="shared" si="5"/>
        <v>2848.3333333333335</v>
      </c>
      <c r="H8"/>
      <c r="I8"/>
      <c r="J8"/>
      <c r="K8"/>
      <c r="L8"/>
      <c r="M8" s="57"/>
    </row>
    <row r="9" spans="1:20" x14ac:dyDescent="0.2">
      <c r="A9" s="112">
        <v>2018</v>
      </c>
      <c r="B9" s="111">
        <f t="shared" si="0"/>
        <v>11288.666666666666</v>
      </c>
      <c r="C9" s="111">
        <f t="shared" si="1"/>
        <v>2158.8333333333335</v>
      </c>
      <c r="D9" s="111">
        <f t="shared" si="2"/>
        <v>137.5</v>
      </c>
      <c r="E9" s="111">
        <f t="shared" si="3"/>
        <v>51</v>
      </c>
      <c r="F9" s="111">
        <f t="shared" si="4"/>
        <v>44</v>
      </c>
      <c r="G9" s="111">
        <f t="shared" si="5"/>
        <v>2849</v>
      </c>
      <c r="H9"/>
      <c r="I9"/>
      <c r="J9"/>
      <c r="K9"/>
      <c r="L9"/>
      <c r="M9" s="57"/>
    </row>
    <row r="10" spans="1:20" x14ac:dyDescent="0.2">
      <c r="A10" s="112">
        <v>2019</v>
      </c>
      <c r="B10" s="111">
        <f t="shared" si="0"/>
        <v>11429.75</v>
      </c>
      <c r="C10" s="111">
        <f t="shared" si="1"/>
        <v>2154.3333333333335</v>
      </c>
      <c r="D10" s="111">
        <f t="shared" si="2"/>
        <v>136.66666666666666</v>
      </c>
      <c r="E10" s="111">
        <f t="shared" si="3"/>
        <v>54.583333333333336</v>
      </c>
      <c r="F10" s="111">
        <f t="shared" si="4"/>
        <v>41.25</v>
      </c>
      <c r="G10" s="111">
        <f t="shared" si="5"/>
        <v>2849.1666666666665</v>
      </c>
      <c r="H10"/>
      <c r="I10"/>
      <c r="J10"/>
      <c r="K10"/>
      <c r="L10"/>
      <c r="M10" s="57"/>
    </row>
    <row r="11" spans="1:20" x14ac:dyDescent="0.2">
      <c r="A11" s="112">
        <v>2020</v>
      </c>
      <c r="B11" s="111">
        <f t="shared" si="0"/>
        <v>11566</v>
      </c>
      <c r="C11" s="111">
        <f t="shared" si="1"/>
        <v>2155.3333333333335</v>
      </c>
      <c r="D11" s="111">
        <f t="shared" si="2"/>
        <v>135.83333333333334</v>
      </c>
      <c r="E11" s="111">
        <f t="shared" si="3"/>
        <v>56</v>
      </c>
      <c r="F11" s="111">
        <f t="shared" si="4"/>
        <v>40</v>
      </c>
      <c r="G11" s="111">
        <f t="shared" si="5"/>
        <v>2851</v>
      </c>
      <c r="H11"/>
      <c r="I11"/>
      <c r="J11"/>
      <c r="K11"/>
      <c r="L11"/>
      <c r="M11" s="57"/>
    </row>
    <row r="12" spans="1:20" x14ac:dyDescent="0.2">
      <c r="A12" s="112">
        <v>2021</v>
      </c>
      <c r="B12" s="111">
        <f t="shared" si="0"/>
        <v>11725.916666666666</v>
      </c>
      <c r="C12" s="111">
        <f t="shared" si="1"/>
        <v>2190.8333333333335</v>
      </c>
      <c r="D12" s="111">
        <f t="shared" si="2"/>
        <v>130.75</v>
      </c>
      <c r="E12" s="111">
        <f t="shared" si="3"/>
        <v>64.5</v>
      </c>
      <c r="F12" s="111">
        <f t="shared" si="4"/>
        <v>40</v>
      </c>
      <c r="G12" s="111">
        <f t="shared" si="5"/>
        <v>2851</v>
      </c>
      <c r="H12"/>
      <c r="I12"/>
      <c r="J12"/>
      <c r="K12"/>
      <c r="L12"/>
      <c r="M12" s="57"/>
    </row>
    <row r="13" spans="1:20" x14ac:dyDescent="0.2">
      <c r="A13" s="112">
        <v>2022</v>
      </c>
      <c r="B13" s="111">
        <f t="shared" si="0"/>
        <v>11911.916666666666</v>
      </c>
      <c r="C13" s="111">
        <f t="shared" si="1"/>
        <v>2205.1666666666665</v>
      </c>
      <c r="D13" s="111">
        <f t="shared" si="2"/>
        <v>129.08333333333334</v>
      </c>
      <c r="E13" s="111">
        <f t="shared" si="3"/>
        <v>64.25</v>
      </c>
      <c r="F13" s="111">
        <f t="shared" si="4"/>
        <v>37.583333333333336</v>
      </c>
      <c r="G13" s="111">
        <f t="shared" si="5"/>
        <v>2851</v>
      </c>
      <c r="H13"/>
      <c r="I13"/>
      <c r="J13"/>
      <c r="K13"/>
      <c r="L13"/>
      <c r="M13" s="57"/>
    </row>
    <row r="14" spans="1:20" x14ac:dyDescent="0.2">
      <c r="A14" s="112">
        <v>2023</v>
      </c>
      <c r="B14" s="111">
        <f t="shared" si="0"/>
        <v>12125.25</v>
      </c>
      <c r="C14" s="111">
        <f t="shared" si="1"/>
        <v>2206.4166666666665</v>
      </c>
      <c r="D14" s="111">
        <f t="shared" si="2"/>
        <v>130.08333333333334</v>
      </c>
      <c r="E14" s="111">
        <f t="shared" si="3"/>
        <v>63.333333333333336</v>
      </c>
      <c r="F14" s="111">
        <f t="shared" si="4"/>
        <v>32.5</v>
      </c>
      <c r="G14" s="111">
        <f t="shared" si="5"/>
        <v>2851</v>
      </c>
      <c r="H14"/>
      <c r="I14"/>
      <c r="J14"/>
      <c r="K14"/>
      <c r="L14"/>
      <c r="M14" s="57"/>
    </row>
    <row r="15" spans="1:20" x14ac:dyDescent="0.2">
      <c r="A15" s="112">
        <v>2024</v>
      </c>
      <c r="B15" s="111">
        <f>AVERAGEIF($A$24:$A$155,$A15,G$24:G$155)</f>
        <v>12332.666666666666</v>
      </c>
      <c r="C15" s="111">
        <f>AVERAGEIF($A$24:$A$155,$A15,I$24:I$155)</f>
        <v>2226.1666666666665</v>
      </c>
      <c r="D15" s="111">
        <f>AVERAGEIF($A$24:$A$155,$A15,L$24:L$155)</f>
        <v>132.25</v>
      </c>
      <c r="E15" s="111">
        <f>AVERAGEIF($A$24:$A$155,$A15,N$24:N$155)</f>
        <v>63</v>
      </c>
      <c r="F15" s="111">
        <f>AVERAGEIF($A$24:$A$155,$A15,Q$24:Q$155)</f>
        <v>32.666666666666664</v>
      </c>
      <c r="G15" s="111">
        <f>AVERAGEIF($A$24:$A$155,$A15,T$24:T$155)</f>
        <v>2851</v>
      </c>
      <c r="H15"/>
      <c r="I15"/>
      <c r="J15"/>
      <c r="K15"/>
      <c r="L15"/>
      <c r="M15" s="57"/>
    </row>
    <row r="16" spans="1:20" x14ac:dyDescent="0.2">
      <c r="A16"/>
      <c r="B16"/>
      <c r="D16"/>
      <c r="E16"/>
      <c r="F16"/>
      <c r="G16"/>
      <c r="H16"/>
      <c r="I16" s="41"/>
      <c r="J16"/>
      <c r="K16"/>
      <c r="L16"/>
      <c r="M16"/>
      <c r="N16"/>
      <c r="O16"/>
      <c r="P16"/>
      <c r="Q16"/>
      <c r="R16"/>
      <c r="S16"/>
    </row>
    <row r="17" spans="1:22" x14ac:dyDescent="0.2">
      <c r="A17"/>
      <c r="B17" s="4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22" x14ac:dyDescent="0.2">
      <c r="A18"/>
      <c r="B18"/>
      <c r="D18"/>
      <c r="E18"/>
      <c r="F18"/>
      <c r="G18" s="41"/>
      <c r="H18"/>
      <c r="I18"/>
      <c r="J18"/>
      <c r="K18"/>
      <c r="L18"/>
      <c r="M18"/>
      <c r="N18"/>
      <c r="O18"/>
      <c r="P18"/>
      <c r="Q18"/>
      <c r="R18"/>
      <c r="S18"/>
    </row>
    <row r="20" spans="1:22" ht="15.75" x14ac:dyDescent="0.2">
      <c r="A20" s="151" t="s">
        <v>72</v>
      </c>
      <c r="B20" s="151"/>
      <c r="C20" s="61"/>
      <c r="D20" s="152" t="s">
        <v>73</v>
      </c>
      <c r="E20" s="153"/>
      <c r="F20" s="151" t="s">
        <v>74</v>
      </c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1:22" ht="22.5" x14ac:dyDescent="0.2">
      <c r="A21" s="113"/>
      <c r="B21" s="113"/>
      <c r="C21" s="63"/>
      <c r="D21" s="114" t="s">
        <v>75</v>
      </c>
      <c r="E21" s="115"/>
      <c r="F21" s="155" t="str">
        <f>B4</f>
        <v>Residential</v>
      </c>
      <c r="G21" s="156"/>
      <c r="H21" s="154" t="str">
        <f>C4</f>
        <v>General Service &lt; 50 kW</v>
      </c>
      <c r="I21" s="156"/>
      <c r="J21" s="154" t="str">
        <f>D4</f>
        <v>General Service &gt; 50 to 4999 kW</v>
      </c>
      <c r="K21" s="155"/>
      <c r="L21" s="156"/>
      <c r="M21" s="154" t="str">
        <f>E4</f>
        <v>USL</v>
      </c>
      <c r="N21" s="156"/>
      <c r="O21" s="154" t="str">
        <f>F4</f>
        <v>Sentinel Lighting</v>
      </c>
      <c r="P21" s="155"/>
      <c r="Q21" s="156"/>
      <c r="R21" s="154" t="str">
        <f>G4</f>
        <v>Street Lighting</v>
      </c>
      <c r="S21" s="155"/>
      <c r="T21" s="156"/>
    </row>
    <row r="22" spans="1:22" ht="34.5" thickBot="1" x14ac:dyDescent="0.25">
      <c r="A22" s="62"/>
      <c r="B22" s="62"/>
      <c r="C22" s="64"/>
      <c r="D22" s="116" t="s">
        <v>46</v>
      </c>
      <c r="E22" s="117"/>
      <c r="F22" s="118" t="s">
        <v>46</v>
      </c>
      <c r="G22" s="119" t="s">
        <v>76</v>
      </c>
      <c r="H22" s="116" t="s">
        <v>46</v>
      </c>
      <c r="I22" s="119" t="s">
        <v>76</v>
      </c>
      <c r="J22" s="116" t="s">
        <v>46</v>
      </c>
      <c r="K22" s="120" t="s">
        <v>47</v>
      </c>
      <c r="L22" s="119" t="s">
        <v>76</v>
      </c>
      <c r="M22" s="116" t="s">
        <v>46</v>
      </c>
      <c r="N22" s="119" t="s">
        <v>77</v>
      </c>
      <c r="O22" s="116" t="s">
        <v>46</v>
      </c>
      <c r="P22" s="120" t="s">
        <v>47</v>
      </c>
      <c r="Q22" s="119" t="s">
        <v>76</v>
      </c>
      <c r="R22" s="116" t="s">
        <v>46</v>
      </c>
      <c r="S22" s="120" t="s">
        <v>47</v>
      </c>
      <c r="T22" s="119" t="s">
        <v>76</v>
      </c>
    </row>
    <row r="23" spans="1:22" x14ac:dyDescent="0.2">
      <c r="A23" s="65" t="s">
        <v>63</v>
      </c>
      <c r="B23" s="65" t="s">
        <v>92</v>
      </c>
      <c r="C23" s="64"/>
      <c r="D23" s="66"/>
      <c r="E23" s="67"/>
      <c r="F23" s="68"/>
      <c r="G23" s="69"/>
      <c r="H23" s="70"/>
      <c r="I23" s="69"/>
      <c r="J23" s="70"/>
      <c r="K23" s="71"/>
      <c r="L23" s="72"/>
      <c r="M23" s="74"/>
      <c r="N23" s="73"/>
      <c r="O23" s="74"/>
      <c r="P23" s="76"/>
      <c r="Q23" s="77"/>
      <c r="R23" s="74"/>
      <c r="S23" s="75"/>
      <c r="T23" s="69"/>
    </row>
    <row r="24" spans="1:22" x14ac:dyDescent="0.2">
      <c r="A24" s="78">
        <v>2014</v>
      </c>
      <c r="B24" s="79" t="s">
        <v>78</v>
      </c>
      <c r="C24" s="80"/>
      <c r="D24" s="81">
        <v>35005917</v>
      </c>
      <c r="E24" s="81"/>
      <c r="F24" s="82">
        <v>15094589.382763438</v>
      </c>
      <c r="G24" s="83">
        <v>10951</v>
      </c>
      <c r="H24" s="81">
        <v>6383202.7170219291</v>
      </c>
      <c r="I24" s="83">
        <v>2100</v>
      </c>
      <c r="J24" s="84">
        <v>10877889.20781571</v>
      </c>
      <c r="K24" s="85">
        <v>23851.56</v>
      </c>
      <c r="L24" s="83">
        <v>172</v>
      </c>
      <c r="M24" s="81">
        <v>15114.006383569249</v>
      </c>
      <c r="N24" s="83">
        <v>56</v>
      </c>
      <c r="O24" s="84">
        <v>4218.48580997317</v>
      </c>
      <c r="P24" s="86">
        <v>11.718016138814361</v>
      </c>
      <c r="Q24" s="83">
        <v>57</v>
      </c>
      <c r="R24" s="84">
        <v>256046.34953557223</v>
      </c>
      <c r="S24" s="85">
        <v>552.86</v>
      </c>
      <c r="T24" s="83">
        <v>2852</v>
      </c>
      <c r="U24" s="122">
        <f>G24+I24+L24</f>
        <v>13223</v>
      </c>
      <c r="V24" s="122"/>
    </row>
    <row r="25" spans="1:22" x14ac:dyDescent="0.2">
      <c r="A25" s="78">
        <v>2014</v>
      </c>
      <c r="B25" s="79" t="s">
        <v>79</v>
      </c>
      <c r="C25" s="87"/>
      <c r="D25" s="88">
        <v>30863808</v>
      </c>
      <c r="E25" s="88"/>
      <c r="F25" s="89">
        <v>12803913.190357108</v>
      </c>
      <c r="G25" s="90">
        <v>10948</v>
      </c>
      <c r="H25" s="88">
        <v>5641962.1343843099</v>
      </c>
      <c r="I25" s="90">
        <v>2099</v>
      </c>
      <c r="J25" s="91">
        <v>9969282.7410306223</v>
      </c>
      <c r="K25" s="92">
        <v>23912.420000000002</v>
      </c>
      <c r="L25" s="90">
        <v>172</v>
      </c>
      <c r="M25" s="88">
        <v>15114.006383569249</v>
      </c>
      <c r="N25" s="90">
        <v>56</v>
      </c>
      <c r="O25" s="91">
        <v>4218.48580997317</v>
      </c>
      <c r="P25" s="93">
        <v>11.718016138814361</v>
      </c>
      <c r="Q25" s="90">
        <v>57</v>
      </c>
      <c r="R25" s="91">
        <v>226313.55166527891</v>
      </c>
      <c r="S25" s="92">
        <v>552.86</v>
      </c>
      <c r="T25" s="90">
        <v>2852</v>
      </c>
      <c r="V25" s="122"/>
    </row>
    <row r="26" spans="1:22" x14ac:dyDescent="0.2">
      <c r="A26" s="78">
        <v>2014</v>
      </c>
      <c r="B26" s="79" t="s">
        <v>80</v>
      </c>
      <c r="C26" s="87"/>
      <c r="D26" s="88">
        <v>32142987</v>
      </c>
      <c r="E26" s="88"/>
      <c r="F26" s="89">
        <v>12827196.253946707</v>
      </c>
      <c r="G26" s="90">
        <v>10949</v>
      </c>
      <c r="H26" s="88">
        <v>5855163.49531224</v>
      </c>
      <c r="I26" s="90">
        <v>2098</v>
      </c>
      <c r="J26" s="91">
        <v>10915846.448511425</v>
      </c>
      <c r="K26" s="92">
        <v>23709.120000000003</v>
      </c>
      <c r="L26" s="90">
        <v>172</v>
      </c>
      <c r="M26" s="88">
        <v>15114.006383569249</v>
      </c>
      <c r="N26" s="90">
        <v>56</v>
      </c>
      <c r="O26" s="91">
        <v>4218.48580997317</v>
      </c>
      <c r="P26" s="93">
        <v>11.718016138814361</v>
      </c>
      <c r="Q26" s="90">
        <v>57</v>
      </c>
      <c r="R26" s="91">
        <v>214357.65619298734</v>
      </c>
      <c r="S26" s="92">
        <v>552.86</v>
      </c>
      <c r="T26" s="90">
        <v>2852</v>
      </c>
      <c r="V26" s="122"/>
    </row>
    <row r="27" spans="1:22" x14ac:dyDescent="0.2">
      <c r="A27" s="78">
        <v>2014</v>
      </c>
      <c r="B27" s="79" t="s">
        <v>81</v>
      </c>
      <c r="C27" s="87"/>
      <c r="D27" s="88">
        <v>25688722</v>
      </c>
      <c r="E27" s="88"/>
      <c r="F27" s="89">
        <v>9507309.2910037972</v>
      </c>
      <c r="G27" s="90">
        <v>10949</v>
      </c>
      <c r="H27" s="88">
        <v>4702930.33585901</v>
      </c>
      <c r="I27" s="90">
        <v>2107</v>
      </c>
      <c r="J27" s="91">
        <v>9712427.3622786552</v>
      </c>
      <c r="K27" s="92">
        <v>22640.25</v>
      </c>
      <c r="L27" s="90">
        <v>172</v>
      </c>
      <c r="M27" s="88">
        <v>15114.006383569249</v>
      </c>
      <c r="N27" s="90">
        <v>56</v>
      </c>
      <c r="O27" s="91">
        <v>4218.48580997317</v>
      </c>
      <c r="P27" s="93">
        <v>11.718016138814361</v>
      </c>
      <c r="Q27" s="90">
        <v>57</v>
      </c>
      <c r="R27" s="91">
        <v>182086.68714034601</v>
      </c>
      <c r="S27" s="92">
        <v>552.86</v>
      </c>
      <c r="T27" s="90">
        <v>2852</v>
      </c>
      <c r="V27" s="122"/>
    </row>
    <row r="28" spans="1:22" x14ac:dyDescent="0.2">
      <c r="A28" s="78">
        <v>2014</v>
      </c>
      <c r="B28" s="79" t="s">
        <v>45</v>
      </c>
      <c r="C28" s="87"/>
      <c r="D28" s="88">
        <v>22896808</v>
      </c>
      <c r="E28" s="88"/>
      <c r="F28" s="89">
        <v>7229742.7856425159</v>
      </c>
      <c r="G28" s="90">
        <v>10944</v>
      </c>
      <c r="H28" s="88">
        <v>4157732.5021805898</v>
      </c>
      <c r="I28" s="90">
        <v>2106</v>
      </c>
      <c r="J28" s="91">
        <v>9845385.2209455073</v>
      </c>
      <c r="K28" s="92">
        <v>24146.22</v>
      </c>
      <c r="L28" s="90">
        <v>172</v>
      </c>
      <c r="M28" s="88">
        <v>15114.006383569249</v>
      </c>
      <c r="N28" s="90">
        <v>56</v>
      </c>
      <c r="O28" s="91">
        <v>4218.48580997317</v>
      </c>
      <c r="P28" s="93">
        <v>11.718016138814361</v>
      </c>
      <c r="Q28" s="90">
        <v>57</v>
      </c>
      <c r="R28" s="91">
        <v>164981.7054500879</v>
      </c>
      <c r="S28" s="92">
        <v>552.86</v>
      </c>
      <c r="T28" s="90">
        <v>2852</v>
      </c>
      <c r="V28" s="122"/>
    </row>
    <row r="29" spans="1:22" x14ac:dyDescent="0.2">
      <c r="A29" s="78">
        <v>2014</v>
      </c>
      <c r="B29" s="79" t="s">
        <v>82</v>
      </c>
      <c r="C29" s="87"/>
      <c r="D29" s="88">
        <v>22467129</v>
      </c>
      <c r="E29" s="88"/>
      <c r="F29" s="89">
        <v>6471676.4542631172</v>
      </c>
      <c r="G29" s="90">
        <v>10968</v>
      </c>
      <c r="H29" s="88">
        <v>4245293.00994357</v>
      </c>
      <c r="I29" s="90">
        <v>2105</v>
      </c>
      <c r="J29" s="91">
        <v>9986224.4736145809</v>
      </c>
      <c r="K29" s="92">
        <v>25681.079999999998</v>
      </c>
      <c r="L29" s="90">
        <v>172</v>
      </c>
      <c r="M29" s="88">
        <v>15114.006383569249</v>
      </c>
      <c r="N29" s="90">
        <v>56</v>
      </c>
      <c r="O29" s="91">
        <v>4168.3228420760479</v>
      </c>
      <c r="P29" s="93">
        <v>11.578674561322357</v>
      </c>
      <c r="Q29" s="90">
        <v>56</v>
      </c>
      <c r="R29" s="91">
        <v>145726.03909149783</v>
      </c>
      <c r="S29" s="92">
        <v>551.86</v>
      </c>
      <c r="T29" s="90">
        <v>2836</v>
      </c>
      <c r="V29" s="122"/>
    </row>
    <row r="30" spans="1:22" x14ac:dyDescent="0.2">
      <c r="A30" s="78">
        <v>2014</v>
      </c>
      <c r="B30" s="79" t="s">
        <v>83</v>
      </c>
      <c r="C30" s="87"/>
      <c r="D30" s="88">
        <v>23174494</v>
      </c>
      <c r="E30" s="88"/>
      <c r="F30" s="89">
        <v>6701854.6872032564</v>
      </c>
      <c r="G30" s="90">
        <v>10964</v>
      </c>
      <c r="H30" s="88">
        <v>4441903.9089212697</v>
      </c>
      <c r="I30" s="90">
        <v>2110</v>
      </c>
      <c r="J30" s="91">
        <v>10347381.624896847</v>
      </c>
      <c r="K30" s="92">
        <v>24263.59</v>
      </c>
      <c r="L30" s="90">
        <v>172</v>
      </c>
      <c r="M30" s="88">
        <v>15114.006383569249</v>
      </c>
      <c r="N30" s="90">
        <v>56</v>
      </c>
      <c r="O30" s="91">
        <v>4210.4421463595154</v>
      </c>
      <c r="P30" s="93">
        <v>11.69567262877643</v>
      </c>
      <c r="Q30" s="90">
        <v>58</v>
      </c>
      <c r="R30" s="91">
        <v>151735.49563326858</v>
      </c>
      <c r="S30" s="92">
        <v>549.01</v>
      </c>
      <c r="T30" s="90">
        <v>2838</v>
      </c>
      <c r="V30" s="122"/>
    </row>
    <row r="31" spans="1:22" x14ac:dyDescent="0.2">
      <c r="A31" s="78">
        <v>2014</v>
      </c>
      <c r="B31" s="79" t="s">
        <v>84</v>
      </c>
      <c r="C31" s="87"/>
      <c r="D31" s="88">
        <v>23391322</v>
      </c>
      <c r="E31" s="88"/>
      <c r="F31" s="89">
        <v>6774992.2205930268</v>
      </c>
      <c r="G31" s="90">
        <v>10966</v>
      </c>
      <c r="H31" s="88">
        <v>4367697.4063299093</v>
      </c>
      <c r="I31" s="90">
        <v>2112</v>
      </c>
      <c r="J31" s="91">
        <v>10325524.62498381</v>
      </c>
      <c r="K31" s="92">
        <v>24329.230000000003</v>
      </c>
      <c r="L31" s="90">
        <v>171</v>
      </c>
      <c r="M31" s="88">
        <v>15114.006383569249</v>
      </c>
      <c r="N31" s="90">
        <v>56</v>
      </c>
      <c r="O31" s="91">
        <v>4142.882146359515</v>
      </c>
      <c r="P31" s="93">
        <v>11.508005962109763</v>
      </c>
      <c r="Q31" s="90">
        <v>57</v>
      </c>
      <c r="R31" s="91">
        <v>169308.74913035432</v>
      </c>
      <c r="S31" s="92">
        <v>549.01</v>
      </c>
      <c r="T31" s="90">
        <v>2838</v>
      </c>
      <c r="V31" s="122"/>
    </row>
    <row r="32" spans="1:22" x14ac:dyDescent="0.2">
      <c r="A32" s="78">
        <v>2014</v>
      </c>
      <c r="B32" s="79" t="s">
        <v>85</v>
      </c>
      <c r="C32" s="87"/>
      <c r="D32" s="88">
        <v>22126761</v>
      </c>
      <c r="E32" s="88"/>
      <c r="F32" s="89">
        <v>6559011.4612110266</v>
      </c>
      <c r="G32" s="90">
        <v>10970</v>
      </c>
      <c r="H32" s="88">
        <v>3955556.4792089928</v>
      </c>
      <c r="I32" s="90">
        <v>2111</v>
      </c>
      <c r="J32" s="91">
        <v>9951408.9532121383</v>
      </c>
      <c r="K32" s="92">
        <v>24863.46</v>
      </c>
      <c r="L32" s="90">
        <v>172</v>
      </c>
      <c r="M32" s="88">
        <v>14826.005273383293</v>
      </c>
      <c r="N32" s="90">
        <v>53</v>
      </c>
      <c r="O32" s="91">
        <v>4108.6821463595152</v>
      </c>
      <c r="P32" s="93">
        <v>11.413005962109764</v>
      </c>
      <c r="Q32" s="90">
        <v>56</v>
      </c>
      <c r="R32" s="91">
        <v>187116.26953742251</v>
      </c>
      <c r="S32" s="92">
        <v>549.01</v>
      </c>
      <c r="T32" s="90">
        <v>2838</v>
      </c>
      <c r="V32" s="122"/>
    </row>
    <row r="33" spans="1:22" x14ac:dyDescent="0.2">
      <c r="A33" s="78">
        <v>2014</v>
      </c>
      <c r="B33" s="79" t="s">
        <v>86</v>
      </c>
      <c r="C33" s="87"/>
      <c r="D33" s="88">
        <v>23838442</v>
      </c>
      <c r="E33" s="88"/>
      <c r="F33" s="89">
        <v>7825270.6172051057</v>
      </c>
      <c r="G33" s="90">
        <v>10986</v>
      </c>
      <c r="H33" s="88">
        <v>4172827.8742048298</v>
      </c>
      <c r="I33" s="90">
        <v>2114</v>
      </c>
      <c r="J33" s="91">
        <v>9952029.8687427137</v>
      </c>
      <c r="K33" s="92">
        <v>23611.82</v>
      </c>
      <c r="L33" s="90">
        <v>172</v>
      </c>
      <c r="M33" s="88">
        <v>14826.005273383293</v>
      </c>
      <c r="N33" s="90">
        <v>52</v>
      </c>
      <c r="O33" s="91">
        <v>4178.2221463595151</v>
      </c>
      <c r="P33" s="93">
        <v>11.606172628776431</v>
      </c>
      <c r="Q33" s="90">
        <v>58</v>
      </c>
      <c r="R33" s="91">
        <v>218907.53751873437</v>
      </c>
      <c r="S33" s="92">
        <v>549.01</v>
      </c>
      <c r="T33" s="90">
        <v>2838</v>
      </c>
      <c r="V33" s="122"/>
    </row>
    <row r="34" spans="1:22" x14ac:dyDescent="0.2">
      <c r="A34" s="78">
        <v>2014</v>
      </c>
      <c r="B34" s="79" t="s">
        <v>87</v>
      </c>
      <c r="C34" s="87"/>
      <c r="D34" s="88">
        <v>27733031</v>
      </c>
      <c r="E34" s="88"/>
      <c r="F34" s="89">
        <v>10474665.054135446</v>
      </c>
      <c r="G34" s="90">
        <v>10988</v>
      </c>
      <c r="H34" s="88">
        <v>4964751.8762327693</v>
      </c>
      <c r="I34" s="90">
        <v>2105</v>
      </c>
      <c r="J34" s="91">
        <v>10127920.746343788</v>
      </c>
      <c r="K34" s="92">
        <v>23798.89</v>
      </c>
      <c r="L34" s="90">
        <v>172</v>
      </c>
      <c r="M34" s="88">
        <v>14826.005273383293</v>
      </c>
      <c r="N34" s="90">
        <v>52</v>
      </c>
      <c r="O34" s="91">
        <v>4067.2821463595151</v>
      </c>
      <c r="P34" s="93">
        <v>11.298005962109764</v>
      </c>
      <c r="Q34" s="90">
        <v>56</v>
      </c>
      <c r="R34" s="91">
        <v>235342.33102599686</v>
      </c>
      <c r="S34" s="92">
        <v>549.01</v>
      </c>
      <c r="T34" s="90">
        <v>2838</v>
      </c>
      <c r="V34" s="122"/>
    </row>
    <row r="35" spans="1:22" x14ac:dyDescent="0.2">
      <c r="A35" s="78">
        <v>2014</v>
      </c>
      <c r="B35" s="79" t="s">
        <v>88</v>
      </c>
      <c r="C35" s="87"/>
      <c r="D35" s="88">
        <v>29820236</v>
      </c>
      <c r="E35" s="88"/>
      <c r="F35" s="89">
        <v>12163160.826666666</v>
      </c>
      <c r="G35" s="90">
        <v>10986</v>
      </c>
      <c r="H35" s="88">
        <v>5554460.3599999994</v>
      </c>
      <c r="I35" s="90">
        <v>2105</v>
      </c>
      <c r="J35" s="91">
        <v>9874407.9550000001</v>
      </c>
      <c r="K35" s="92">
        <v>23453.059999999998</v>
      </c>
      <c r="L35" s="90">
        <v>173</v>
      </c>
      <c r="M35" s="88">
        <v>14775</v>
      </c>
      <c r="N35" s="90">
        <v>52</v>
      </c>
      <c r="O35" s="91">
        <v>4035.6000000000004</v>
      </c>
      <c r="P35" s="93">
        <v>11.21</v>
      </c>
      <c r="Q35" s="90">
        <v>54</v>
      </c>
      <c r="R35" s="91">
        <v>253712.38999999998</v>
      </c>
      <c r="S35" s="92">
        <v>549.01</v>
      </c>
      <c r="T35" s="90">
        <v>2838</v>
      </c>
      <c r="U35" s="122">
        <f>G35+I35+L35</f>
        <v>13264</v>
      </c>
      <c r="V35" s="122"/>
    </row>
    <row r="36" spans="1:22" x14ac:dyDescent="0.2">
      <c r="A36" s="78">
        <v>2015</v>
      </c>
      <c r="B36" s="79" t="s">
        <v>78</v>
      </c>
      <c r="C36" s="87"/>
      <c r="D36" s="81">
        <v>33934616</v>
      </c>
      <c r="E36" s="81"/>
      <c r="F36" s="82">
        <v>14436422.183333334</v>
      </c>
      <c r="G36" s="83">
        <v>11011</v>
      </c>
      <c r="H36" s="81">
        <v>6273396.0733333332</v>
      </c>
      <c r="I36" s="83">
        <v>2120</v>
      </c>
      <c r="J36" s="84">
        <v>10633876.550000001</v>
      </c>
      <c r="K36" s="85">
        <v>24028.12</v>
      </c>
      <c r="L36" s="83">
        <v>172</v>
      </c>
      <c r="M36" s="81">
        <v>14775</v>
      </c>
      <c r="N36" s="83">
        <v>55</v>
      </c>
      <c r="O36" s="84">
        <v>4093.24</v>
      </c>
      <c r="P36" s="86">
        <v>11.370111111111111</v>
      </c>
      <c r="Q36" s="83">
        <v>53</v>
      </c>
      <c r="R36" s="84">
        <v>249473.40999999997</v>
      </c>
      <c r="S36" s="85">
        <v>549.01</v>
      </c>
      <c r="T36" s="83">
        <v>2838</v>
      </c>
      <c r="V36" s="122"/>
    </row>
    <row r="37" spans="1:22" x14ac:dyDescent="0.2">
      <c r="A37" s="78">
        <v>2015</v>
      </c>
      <c r="B37" s="79" t="s">
        <v>79</v>
      </c>
      <c r="C37" s="87"/>
      <c r="D37" s="88">
        <v>32617573</v>
      </c>
      <c r="E37" s="88"/>
      <c r="F37" s="89">
        <v>13756630.153333332</v>
      </c>
      <c r="G37" s="90">
        <v>11004</v>
      </c>
      <c r="H37" s="88">
        <v>6052263.6033333326</v>
      </c>
      <c r="I37" s="90">
        <v>2119</v>
      </c>
      <c r="J37" s="91">
        <v>10191380.690000001</v>
      </c>
      <c r="K37" s="92">
        <v>24332.559999999998</v>
      </c>
      <c r="L37" s="90">
        <v>172</v>
      </c>
      <c r="M37" s="88">
        <v>14775</v>
      </c>
      <c r="N37" s="90">
        <v>55</v>
      </c>
      <c r="O37" s="91">
        <v>4151.2</v>
      </c>
      <c r="P37" s="93">
        <v>11.531111111111112</v>
      </c>
      <c r="Q37" s="90">
        <v>53</v>
      </c>
      <c r="R37" s="91">
        <v>217782.39999999999</v>
      </c>
      <c r="S37" s="92">
        <v>549.01</v>
      </c>
      <c r="T37" s="90">
        <v>2838</v>
      </c>
      <c r="V37" s="122"/>
    </row>
    <row r="38" spans="1:22" x14ac:dyDescent="0.2">
      <c r="A38" s="78">
        <v>2015</v>
      </c>
      <c r="B38" s="79" t="s">
        <v>80</v>
      </c>
      <c r="C38" s="87"/>
      <c r="D38" s="88">
        <v>30305598</v>
      </c>
      <c r="E38" s="88"/>
      <c r="F38" s="89">
        <v>11761672.763333334</v>
      </c>
      <c r="G38" s="90">
        <v>11001</v>
      </c>
      <c r="H38" s="88">
        <v>5608955.3133333335</v>
      </c>
      <c r="I38" s="90">
        <v>2117</v>
      </c>
      <c r="J38" s="91">
        <v>10735159.67</v>
      </c>
      <c r="K38" s="92">
        <v>23775.199999999997</v>
      </c>
      <c r="L38" s="90">
        <v>172</v>
      </c>
      <c r="M38" s="88">
        <v>14775</v>
      </c>
      <c r="N38" s="90">
        <v>52</v>
      </c>
      <c r="O38" s="91">
        <v>4123.4799999999996</v>
      </c>
      <c r="P38" s="93">
        <v>11.454111111111111</v>
      </c>
      <c r="Q38" s="90">
        <v>53</v>
      </c>
      <c r="R38" s="91">
        <v>205202.71000000002</v>
      </c>
      <c r="S38" s="92">
        <v>549.01</v>
      </c>
      <c r="T38" s="90">
        <v>2838</v>
      </c>
      <c r="V38" s="122"/>
    </row>
    <row r="39" spans="1:22" x14ac:dyDescent="0.2">
      <c r="A39" s="78">
        <v>2015</v>
      </c>
      <c r="B39" s="79" t="s">
        <v>81</v>
      </c>
      <c r="C39" s="87"/>
      <c r="D39" s="88">
        <v>24419034</v>
      </c>
      <c r="E39" s="88"/>
      <c r="F39" s="89">
        <v>8713121.3133333325</v>
      </c>
      <c r="G39" s="90">
        <v>10997</v>
      </c>
      <c r="H39" s="88">
        <v>4575738.7833333332</v>
      </c>
      <c r="I39" s="90">
        <v>2135</v>
      </c>
      <c r="J39" s="91">
        <v>9408817.4100000001</v>
      </c>
      <c r="K39" s="92">
        <v>23001.02</v>
      </c>
      <c r="L39" s="90">
        <v>152</v>
      </c>
      <c r="M39" s="88">
        <v>14775</v>
      </c>
      <c r="N39" s="90">
        <v>52</v>
      </c>
      <c r="O39" s="91">
        <v>4123.4799999999996</v>
      </c>
      <c r="P39" s="93">
        <v>11.454111111111111</v>
      </c>
      <c r="Q39" s="90">
        <v>53</v>
      </c>
      <c r="R39" s="91">
        <v>176881.31</v>
      </c>
      <c r="S39" s="92">
        <v>549.01</v>
      </c>
      <c r="T39" s="90">
        <v>2838</v>
      </c>
      <c r="V39" s="122"/>
    </row>
    <row r="40" spans="1:22" x14ac:dyDescent="0.2">
      <c r="A40" s="78">
        <v>2015</v>
      </c>
      <c r="B40" s="79" t="s">
        <v>45</v>
      </c>
      <c r="C40" s="87"/>
      <c r="D40" s="88">
        <v>22122315</v>
      </c>
      <c r="E40" s="88"/>
      <c r="F40" s="89">
        <v>6781613.9533333331</v>
      </c>
      <c r="G40" s="90">
        <v>10999</v>
      </c>
      <c r="H40" s="88">
        <v>4211249.7833333332</v>
      </c>
      <c r="I40" s="90">
        <v>2136</v>
      </c>
      <c r="J40" s="91">
        <v>9734230.8300000001</v>
      </c>
      <c r="K40" s="92">
        <v>24032.35</v>
      </c>
      <c r="L40" s="90">
        <v>151</v>
      </c>
      <c r="M40" s="88">
        <v>14775</v>
      </c>
      <c r="N40" s="90">
        <v>52</v>
      </c>
      <c r="O40" s="91">
        <v>4123.4799999999996</v>
      </c>
      <c r="P40" s="93">
        <v>11.454111111111111</v>
      </c>
      <c r="Q40" s="90">
        <v>53</v>
      </c>
      <c r="R40" s="91">
        <v>159984.52000000002</v>
      </c>
      <c r="S40" s="92">
        <v>548.71</v>
      </c>
      <c r="T40" s="90">
        <v>2838</v>
      </c>
      <c r="V40" s="122"/>
    </row>
    <row r="41" spans="1:22" x14ac:dyDescent="0.2">
      <c r="A41" s="78">
        <v>2015</v>
      </c>
      <c r="B41" s="79" t="s">
        <v>82</v>
      </c>
      <c r="C41" s="87"/>
      <c r="D41" s="88">
        <v>21687054</v>
      </c>
      <c r="E41" s="88"/>
      <c r="F41" s="89">
        <v>6191305.6533333333</v>
      </c>
      <c r="G41" s="90">
        <v>10998</v>
      </c>
      <c r="H41" s="88">
        <v>4199520.1133333333</v>
      </c>
      <c r="I41" s="90">
        <v>2138</v>
      </c>
      <c r="J41" s="91">
        <v>9814614.9299999997</v>
      </c>
      <c r="K41" s="92">
        <v>23434.58</v>
      </c>
      <c r="L41" s="90">
        <v>150</v>
      </c>
      <c r="M41" s="88">
        <v>14775</v>
      </c>
      <c r="N41" s="90">
        <v>52</v>
      </c>
      <c r="O41" s="91">
        <v>4123.4799999999996</v>
      </c>
      <c r="P41" s="93">
        <v>11.454111111111111</v>
      </c>
      <c r="Q41" s="90">
        <v>53</v>
      </c>
      <c r="R41" s="91">
        <v>145088.54</v>
      </c>
      <c r="S41" s="92">
        <v>547.80999999999995</v>
      </c>
      <c r="T41" s="90">
        <v>2838</v>
      </c>
      <c r="V41" s="122"/>
    </row>
    <row r="42" spans="1:22" x14ac:dyDescent="0.2">
      <c r="A42" s="78">
        <v>2015</v>
      </c>
      <c r="B42" s="79" t="s">
        <v>83</v>
      </c>
      <c r="C42" s="87"/>
      <c r="D42" s="88">
        <v>23793533</v>
      </c>
      <c r="E42" s="88"/>
      <c r="F42" s="89">
        <v>6892136.9033333333</v>
      </c>
      <c r="G42" s="90">
        <v>11048</v>
      </c>
      <c r="H42" s="88">
        <v>4833132.0333333332</v>
      </c>
      <c r="I42" s="90">
        <v>2139</v>
      </c>
      <c r="J42" s="91">
        <v>10221738.110000001</v>
      </c>
      <c r="K42" s="92">
        <v>23341.550000000003</v>
      </c>
      <c r="L42" s="90">
        <v>150</v>
      </c>
      <c r="M42" s="88">
        <v>14775</v>
      </c>
      <c r="N42" s="90">
        <v>52</v>
      </c>
      <c r="O42" s="91">
        <v>4123.4799999999996</v>
      </c>
      <c r="P42" s="93">
        <v>11.454111111111111</v>
      </c>
      <c r="Q42" s="90">
        <v>53</v>
      </c>
      <c r="R42" s="91">
        <v>153248.09</v>
      </c>
      <c r="S42" s="92">
        <v>547.80999999999995</v>
      </c>
      <c r="T42" s="90">
        <v>2838</v>
      </c>
      <c r="V42" s="122"/>
    </row>
    <row r="43" spans="1:22" x14ac:dyDescent="0.2">
      <c r="A43" s="78">
        <v>2015</v>
      </c>
      <c r="B43" s="79" t="s">
        <v>84</v>
      </c>
      <c r="C43" s="87"/>
      <c r="D43" s="88">
        <v>23664046</v>
      </c>
      <c r="E43" s="88"/>
      <c r="F43" s="89">
        <v>6785288.8233333332</v>
      </c>
      <c r="G43" s="90">
        <v>11019</v>
      </c>
      <c r="H43" s="88">
        <v>4639927.2533333329</v>
      </c>
      <c r="I43" s="90">
        <v>2139</v>
      </c>
      <c r="J43" s="91">
        <v>10193769.550000001</v>
      </c>
      <c r="K43" s="92">
        <v>24101.799999999996</v>
      </c>
      <c r="L43" s="90">
        <v>150</v>
      </c>
      <c r="M43" s="88">
        <v>14775</v>
      </c>
      <c r="N43" s="90">
        <v>52</v>
      </c>
      <c r="O43" s="91">
        <v>4123.4799999999996</v>
      </c>
      <c r="P43" s="93">
        <v>11.454111111111111</v>
      </c>
      <c r="Q43" s="90">
        <v>53</v>
      </c>
      <c r="R43" s="91">
        <v>140055.19</v>
      </c>
      <c r="S43" s="92">
        <v>547.80999999999995</v>
      </c>
      <c r="T43" s="90">
        <v>2667</v>
      </c>
      <c r="V43" s="122"/>
    </row>
    <row r="44" spans="1:22" x14ac:dyDescent="0.2">
      <c r="A44" s="78">
        <v>2015</v>
      </c>
      <c r="B44" s="79" t="s">
        <v>85</v>
      </c>
      <c r="C44" s="87"/>
      <c r="D44" s="88">
        <v>21503656</v>
      </c>
      <c r="E44" s="88"/>
      <c r="F44" s="89">
        <v>6501595.0033333329</v>
      </c>
      <c r="G44" s="90">
        <v>11025</v>
      </c>
      <c r="H44" s="88">
        <v>4347395.4133333331</v>
      </c>
      <c r="I44" s="90">
        <v>2137</v>
      </c>
      <c r="J44" s="91">
        <v>10050542.870000001</v>
      </c>
      <c r="K44" s="92">
        <v>26106.910000000003</v>
      </c>
      <c r="L44" s="90">
        <v>151</v>
      </c>
      <c r="M44" s="88">
        <v>13839</v>
      </c>
      <c r="N44" s="90">
        <v>51</v>
      </c>
      <c r="O44" s="91">
        <v>4123.4799999999996</v>
      </c>
      <c r="P44" s="93">
        <v>11.454111111111111</v>
      </c>
      <c r="Q44" s="90">
        <v>53</v>
      </c>
      <c r="R44" s="91">
        <v>135697.81</v>
      </c>
      <c r="S44" s="92">
        <v>411.86</v>
      </c>
      <c r="T44" s="90">
        <v>2667</v>
      </c>
      <c r="V44" s="122"/>
    </row>
    <row r="45" spans="1:22" x14ac:dyDescent="0.2">
      <c r="A45" s="78">
        <v>2015</v>
      </c>
      <c r="B45" s="79" t="s">
        <v>86</v>
      </c>
      <c r="C45" s="87"/>
      <c r="D45" s="88">
        <v>24025252</v>
      </c>
      <c r="E45" s="88"/>
      <c r="F45" s="89">
        <v>7439233.3751438614</v>
      </c>
      <c r="G45" s="90">
        <v>11037</v>
      </c>
      <c r="H45" s="88">
        <v>3654710.9645665651</v>
      </c>
      <c r="I45" s="90">
        <v>2135</v>
      </c>
      <c r="J45" s="91">
        <v>8863760.9153140895</v>
      </c>
      <c r="K45" s="92">
        <v>21646.68</v>
      </c>
      <c r="L45" s="90">
        <v>150</v>
      </c>
      <c r="M45" s="88">
        <v>13789</v>
      </c>
      <c r="N45" s="90">
        <v>51</v>
      </c>
      <c r="O45" s="91">
        <v>3752.6800000000003</v>
      </c>
      <c r="P45" s="93">
        <v>10.42411111111111</v>
      </c>
      <c r="Q45" s="90">
        <v>49</v>
      </c>
      <c r="R45" s="91">
        <v>155115.80000000002</v>
      </c>
      <c r="S45" s="92">
        <v>411.65</v>
      </c>
      <c r="T45" s="90">
        <v>2667</v>
      </c>
      <c r="V45" s="122"/>
    </row>
    <row r="46" spans="1:22" x14ac:dyDescent="0.2">
      <c r="A46" s="78">
        <v>2015</v>
      </c>
      <c r="B46" s="79" t="s">
        <v>87</v>
      </c>
      <c r="C46" s="87"/>
      <c r="D46" s="88">
        <v>24608541</v>
      </c>
      <c r="E46" s="88"/>
      <c r="F46" s="89">
        <v>8821415.9015228041</v>
      </c>
      <c r="G46" s="90">
        <v>11055</v>
      </c>
      <c r="H46" s="88">
        <v>5088671.3021001015</v>
      </c>
      <c r="I46" s="90">
        <v>2138</v>
      </c>
      <c r="J46" s="91">
        <v>10628741.134685909</v>
      </c>
      <c r="K46" s="92">
        <v>27607.870000000003</v>
      </c>
      <c r="L46" s="90">
        <v>150</v>
      </c>
      <c r="M46" s="88">
        <v>13889</v>
      </c>
      <c r="N46" s="90">
        <v>51</v>
      </c>
      <c r="O46" s="91">
        <v>4123.4799999999996</v>
      </c>
      <c r="P46" s="93">
        <v>11.454111111111111</v>
      </c>
      <c r="Q46" s="90">
        <v>57</v>
      </c>
      <c r="R46" s="91">
        <v>171400.04</v>
      </c>
      <c r="S46" s="92">
        <v>367.95000000000005</v>
      </c>
      <c r="T46" s="90">
        <v>2667</v>
      </c>
      <c r="V46" s="122"/>
    </row>
    <row r="47" spans="1:22" x14ac:dyDescent="0.2">
      <c r="A47" s="78">
        <v>2015</v>
      </c>
      <c r="B47" s="79" t="s">
        <v>88</v>
      </c>
      <c r="C47" s="87"/>
      <c r="D47" s="88">
        <v>26280236</v>
      </c>
      <c r="E47" s="88"/>
      <c r="F47" s="89">
        <v>10163520.413333334</v>
      </c>
      <c r="G47" s="90">
        <v>11057</v>
      </c>
      <c r="H47" s="88">
        <v>5007150.8033333328</v>
      </c>
      <c r="I47" s="90">
        <v>2138</v>
      </c>
      <c r="J47" s="91">
        <v>9287204.8599999994</v>
      </c>
      <c r="K47" s="92">
        <v>22673.719999999998</v>
      </c>
      <c r="L47" s="90">
        <v>150</v>
      </c>
      <c r="M47" s="88">
        <v>13839</v>
      </c>
      <c r="N47" s="90">
        <v>51</v>
      </c>
      <c r="O47" s="91">
        <v>4123.4799999999996</v>
      </c>
      <c r="P47" s="93">
        <v>11.454111111111111</v>
      </c>
      <c r="Q47" s="90">
        <v>53</v>
      </c>
      <c r="R47" s="91">
        <v>119755.07999999997</v>
      </c>
      <c r="S47" s="92">
        <v>342.51</v>
      </c>
      <c r="T47" s="90">
        <v>2659</v>
      </c>
      <c r="U47" s="122">
        <f>G47+I47+L47</f>
        <v>13345</v>
      </c>
      <c r="V47" s="122"/>
    </row>
    <row r="48" spans="1:22" x14ac:dyDescent="0.2">
      <c r="A48" s="78">
        <v>2016</v>
      </c>
      <c r="B48" s="79" t="s">
        <v>78</v>
      </c>
      <c r="C48" s="87"/>
      <c r="D48" s="81">
        <v>30495180</v>
      </c>
      <c r="E48" s="81"/>
      <c r="F48" s="82">
        <v>12502052.273333333</v>
      </c>
      <c r="G48" s="83">
        <v>11062</v>
      </c>
      <c r="H48" s="81">
        <v>5964120.5233333334</v>
      </c>
      <c r="I48" s="83">
        <v>2138</v>
      </c>
      <c r="J48" s="84">
        <v>10066803.91</v>
      </c>
      <c r="K48" s="85">
        <v>24294.500000000004</v>
      </c>
      <c r="L48" s="83">
        <v>150</v>
      </c>
      <c r="M48" s="81">
        <v>13839</v>
      </c>
      <c r="N48" s="83">
        <v>51</v>
      </c>
      <c r="O48" s="84">
        <v>4123.4799999999996</v>
      </c>
      <c r="P48" s="86">
        <v>11.454111111111111</v>
      </c>
      <c r="Q48" s="83">
        <v>53</v>
      </c>
      <c r="R48" s="84">
        <v>116626.95</v>
      </c>
      <c r="S48" s="85">
        <v>256.05</v>
      </c>
      <c r="T48" s="83">
        <v>2659</v>
      </c>
      <c r="V48" s="122"/>
    </row>
    <row r="49" spans="1:22" x14ac:dyDescent="0.2">
      <c r="A49" s="78">
        <v>2016</v>
      </c>
      <c r="B49" s="79" t="s">
        <v>79</v>
      </c>
      <c r="C49" s="87"/>
      <c r="D49" s="88">
        <v>29063252</v>
      </c>
      <c r="E49" s="88"/>
      <c r="F49" s="89">
        <v>11543709.343333334</v>
      </c>
      <c r="G49" s="90">
        <v>11065</v>
      </c>
      <c r="H49" s="88">
        <v>5638710.4033333333</v>
      </c>
      <c r="I49" s="90">
        <v>2140</v>
      </c>
      <c r="J49" s="91">
        <v>9668299.3200000003</v>
      </c>
      <c r="K49" s="92">
        <v>23819.9</v>
      </c>
      <c r="L49" s="90">
        <v>149</v>
      </c>
      <c r="M49" s="88">
        <v>13839</v>
      </c>
      <c r="N49" s="90">
        <v>51</v>
      </c>
      <c r="O49" s="91">
        <v>4123.4799999999996</v>
      </c>
      <c r="P49" s="93">
        <v>11.454111111111111</v>
      </c>
      <c r="Q49" s="90">
        <v>53</v>
      </c>
      <c r="R49" s="91">
        <v>107375.64000000001</v>
      </c>
      <c r="S49" s="92">
        <v>256.05</v>
      </c>
      <c r="T49" s="90">
        <v>2659</v>
      </c>
      <c r="V49" s="122"/>
    </row>
    <row r="50" spans="1:22" x14ac:dyDescent="0.2">
      <c r="A50" s="78">
        <v>2016</v>
      </c>
      <c r="B50" s="79" t="s">
        <v>80</v>
      </c>
      <c r="C50" s="87"/>
      <c r="D50" s="88">
        <v>27667287</v>
      </c>
      <c r="E50" s="88"/>
      <c r="F50" s="89">
        <v>10303542.313333334</v>
      </c>
      <c r="G50" s="90">
        <v>11067</v>
      </c>
      <c r="H50" s="88">
        <v>5280569.1133333333</v>
      </c>
      <c r="I50" s="90">
        <v>2140</v>
      </c>
      <c r="J50" s="91">
        <v>9869976.8499999996</v>
      </c>
      <c r="K50" s="92">
        <v>23012.17</v>
      </c>
      <c r="L50" s="90">
        <v>149</v>
      </c>
      <c r="M50" s="88">
        <v>13839</v>
      </c>
      <c r="N50" s="90">
        <v>51</v>
      </c>
      <c r="O50" s="91">
        <v>4123.4799999999996</v>
      </c>
      <c r="P50" s="93">
        <v>11.454111111111111</v>
      </c>
      <c r="Q50" s="90">
        <v>53</v>
      </c>
      <c r="R50" s="91">
        <v>97797.35000000002</v>
      </c>
      <c r="S50" s="92">
        <v>256.05</v>
      </c>
      <c r="T50" s="90">
        <v>2659</v>
      </c>
      <c r="V50" s="122"/>
    </row>
    <row r="51" spans="1:22" x14ac:dyDescent="0.2">
      <c r="A51" s="78">
        <v>2016</v>
      </c>
      <c r="B51" s="79" t="s">
        <v>81</v>
      </c>
      <c r="C51" s="87"/>
      <c r="D51" s="88">
        <v>24587318</v>
      </c>
      <c r="E51" s="88"/>
      <c r="F51" s="89">
        <v>8763747.0133333337</v>
      </c>
      <c r="G51" s="90">
        <v>11068</v>
      </c>
      <c r="H51" s="88">
        <v>4823804.2533333339</v>
      </c>
      <c r="I51" s="90">
        <v>2141</v>
      </c>
      <c r="J51" s="91">
        <v>9180858.8100000005</v>
      </c>
      <c r="K51" s="92">
        <v>22615.25</v>
      </c>
      <c r="L51" s="90">
        <v>149</v>
      </c>
      <c r="M51" s="88">
        <v>13839</v>
      </c>
      <c r="N51" s="90">
        <v>51</v>
      </c>
      <c r="O51" s="91">
        <v>4123.4799999999996</v>
      </c>
      <c r="P51" s="93">
        <v>11.454111111111111</v>
      </c>
      <c r="Q51" s="90">
        <v>53</v>
      </c>
      <c r="R51" s="91">
        <v>82846.14</v>
      </c>
      <c r="S51" s="92">
        <v>256.05</v>
      </c>
      <c r="T51" s="90">
        <v>2659</v>
      </c>
      <c r="V51" s="122"/>
    </row>
    <row r="52" spans="1:22" x14ac:dyDescent="0.2">
      <c r="A52" s="78">
        <v>2016</v>
      </c>
      <c r="B52" s="79" t="s">
        <v>45</v>
      </c>
      <c r="C52" s="87"/>
      <c r="D52" s="88">
        <v>21916797</v>
      </c>
      <c r="E52" s="88"/>
      <c r="F52" s="89">
        <v>6915785.2633333327</v>
      </c>
      <c r="G52" s="90">
        <v>11067</v>
      </c>
      <c r="H52" s="88">
        <v>4243596.3433333328</v>
      </c>
      <c r="I52" s="90">
        <v>2140</v>
      </c>
      <c r="J52" s="91">
        <v>9278035.5099999998</v>
      </c>
      <c r="K52" s="92">
        <v>23717.120000000003</v>
      </c>
      <c r="L52" s="90">
        <v>149</v>
      </c>
      <c r="M52" s="88">
        <v>13839</v>
      </c>
      <c r="N52" s="90">
        <v>51</v>
      </c>
      <c r="O52" s="91">
        <v>4123.4799999999996</v>
      </c>
      <c r="P52" s="93">
        <v>11.454111111111111</v>
      </c>
      <c r="Q52" s="90">
        <v>53</v>
      </c>
      <c r="R52" s="91">
        <v>75557.239999999991</v>
      </c>
      <c r="S52" s="92">
        <v>256.05</v>
      </c>
      <c r="T52" s="90">
        <v>2659</v>
      </c>
      <c r="V52" s="122"/>
    </row>
    <row r="53" spans="1:22" x14ac:dyDescent="0.2">
      <c r="A53" s="78">
        <v>2016</v>
      </c>
      <c r="B53" s="79" t="s">
        <v>82</v>
      </c>
      <c r="C53" s="87"/>
      <c r="D53" s="88">
        <v>22063036</v>
      </c>
      <c r="E53" s="88"/>
      <c r="F53" s="89">
        <v>6294283.9833333325</v>
      </c>
      <c r="G53" s="90">
        <v>11075</v>
      </c>
      <c r="H53" s="88">
        <v>4286092.1033333335</v>
      </c>
      <c r="I53" s="90">
        <v>2137</v>
      </c>
      <c r="J53" s="91">
        <v>9804520.0300000012</v>
      </c>
      <c r="K53" s="92">
        <v>24341.72</v>
      </c>
      <c r="L53" s="90">
        <v>149</v>
      </c>
      <c r="M53" s="88">
        <v>13839</v>
      </c>
      <c r="N53" s="90">
        <v>51</v>
      </c>
      <c r="O53" s="91">
        <v>4123.4799999999996</v>
      </c>
      <c r="P53" s="93">
        <v>11.454111111111111</v>
      </c>
      <c r="Q53" s="90">
        <v>53</v>
      </c>
      <c r="R53" s="91">
        <v>67459.87</v>
      </c>
      <c r="S53" s="92">
        <v>256.04999999999995</v>
      </c>
      <c r="T53" s="90">
        <v>2659</v>
      </c>
      <c r="V53" s="122"/>
    </row>
    <row r="54" spans="1:22" x14ac:dyDescent="0.2">
      <c r="A54" s="78">
        <v>2016</v>
      </c>
      <c r="B54" s="79" t="s">
        <v>83</v>
      </c>
      <c r="C54" s="87"/>
      <c r="D54" s="88">
        <v>24449967</v>
      </c>
      <c r="E54" s="88"/>
      <c r="F54" s="89">
        <v>7176422.2433333341</v>
      </c>
      <c r="G54" s="90">
        <v>11073</v>
      </c>
      <c r="H54" s="88">
        <v>4804769.8433333337</v>
      </c>
      <c r="I54" s="90">
        <v>2138</v>
      </c>
      <c r="J54" s="91">
        <v>10333108.620000001</v>
      </c>
      <c r="K54" s="92">
        <v>24136.36</v>
      </c>
      <c r="L54" s="90">
        <v>150</v>
      </c>
      <c r="M54" s="88">
        <v>13839</v>
      </c>
      <c r="N54" s="90">
        <v>51</v>
      </c>
      <c r="O54" s="91">
        <v>4129.63</v>
      </c>
      <c r="P54" s="93">
        <v>11.471194444444446</v>
      </c>
      <c r="Q54" s="90">
        <v>53</v>
      </c>
      <c r="R54" s="91">
        <v>71322.81</v>
      </c>
      <c r="S54" s="92">
        <v>256.05</v>
      </c>
      <c r="T54" s="90">
        <v>2669</v>
      </c>
      <c r="V54" s="122"/>
    </row>
    <row r="55" spans="1:22" x14ac:dyDescent="0.2">
      <c r="A55" s="78">
        <v>2016</v>
      </c>
      <c r="B55" s="79" t="s">
        <v>84</v>
      </c>
      <c r="C55" s="87"/>
      <c r="D55" s="88">
        <v>25086525</v>
      </c>
      <c r="E55" s="88"/>
      <c r="F55" s="89">
        <v>7418754.9133333331</v>
      </c>
      <c r="G55" s="90">
        <v>11072</v>
      </c>
      <c r="H55" s="88">
        <v>4934060.0233333334</v>
      </c>
      <c r="I55" s="90">
        <v>2139</v>
      </c>
      <c r="J55" s="91">
        <v>10546921.82</v>
      </c>
      <c r="K55" s="92">
        <v>24539.100000000002</v>
      </c>
      <c r="L55" s="90">
        <v>150</v>
      </c>
      <c r="M55" s="88">
        <v>13839</v>
      </c>
      <c r="N55" s="90">
        <v>51</v>
      </c>
      <c r="O55" s="91">
        <v>4128.5</v>
      </c>
      <c r="P55" s="93">
        <v>11.468055555555555</v>
      </c>
      <c r="Q55" s="90">
        <v>53</v>
      </c>
      <c r="R55" s="91">
        <v>80050.600000000006</v>
      </c>
      <c r="S55" s="92">
        <v>256.05</v>
      </c>
      <c r="T55" s="90">
        <v>2669</v>
      </c>
      <c r="V55" s="122"/>
    </row>
    <row r="56" spans="1:22" x14ac:dyDescent="0.2">
      <c r="A56" s="78">
        <v>2016</v>
      </c>
      <c r="B56" s="79" t="s">
        <v>85</v>
      </c>
      <c r="C56" s="87"/>
      <c r="D56" s="88">
        <v>21516383</v>
      </c>
      <c r="E56" s="88"/>
      <c r="F56" s="89">
        <v>6206374.8533333335</v>
      </c>
      <c r="G56" s="90">
        <v>11079</v>
      </c>
      <c r="H56" s="88">
        <v>4117268.2833333332</v>
      </c>
      <c r="I56" s="90">
        <v>2137</v>
      </c>
      <c r="J56" s="91">
        <v>9523317.9299999997</v>
      </c>
      <c r="K56" s="92">
        <v>24166.379999999997</v>
      </c>
      <c r="L56" s="90">
        <v>150</v>
      </c>
      <c r="M56" s="88">
        <v>13839</v>
      </c>
      <c r="N56" s="90">
        <v>51</v>
      </c>
      <c r="O56" s="91">
        <v>3903.88</v>
      </c>
      <c r="P56" s="93">
        <v>10.844111111111111</v>
      </c>
      <c r="Q56" s="90">
        <v>53</v>
      </c>
      <c r="R56" s="91">
        <v>87836.56</v>
      </c>
      <c r="S56" s="92">
        <v>256.05</v>
      </c>
      <c r="T56" s="90">
        <v>2669</v>
      </c>
      <c r="V56" s="122"/>
    </row>
    <row r="57" spans="1:22" x14ac:dyDescent="0.2">
      <c r="A57" s="78">
        <v>2016</v>
      </c>
      <c r="B57" s="79" t="s">
        <v>86</v>
      </c>
      <c r="C57" s="87"/>
      <c r="D57" s="88">
        <v>22851618</v>
      </c>
      <c r="E57" s="88"/>
      <c r="F57" s="89">
        <v>7344327.5333333332</v>
      </c>
      <c r="G57" s="90">
        <v>11083</v>
      </c>
      <c r="H57" s="88">
        <v>4141245.833333333</v>
      </c>
      <c r="I57" s="90">
        <v>2132</v>
      </c>
      <c r="J57" s="91">
        <v>9458401.4000000004</v>
      </c>
      <c r="K57" s="92">
        <v>23099.439999999999</v>
      </c>
      <c r="L57" s="90">
        <v>149</v>
      </c>
      <c r="M57" s="88">
        <v>13839</v>
      </c>
      <c r="N57" s="90">
        <v>51</v>
      </c>
      <c r="O57" s="91">
        <v>4124.62</v>
      </c>
      <c r="P57" s="93">
        <v>11.457277777777776</v>
      </c>
      <c r="Q57" s="90">
        <v>53</v>
      </c>
      <c r="R57" s="91">
        <v>104079.38</v>
      </c>
      <c r="S57" s="92">
        <v>256.04999999999995</v>
      </c>
      <c r="T57" s="90">
        <v>2669</v>
      </c>
      <c r="V57" s="122"/>
    </row>
    <row r="58" spans="1:22" x14ac:dyDescent="0.2">
      <c r="A58" s="78">
        <v>2016</v>
      </c>
      <c r="B58" s="79" t="s">
        <v>87</v>
      </c>
      <c r="C58" s="87"/>
      <c r="D58" s="88">
        <v>24193372</v>
      </c>
      <c r="E58" s="88"/>
      <c r="F58" s="89">
        <v>8371153.4933333341</v>
      </c>
      <c r="G58" s="90">
        <v>11111</v>
      </c>
      <c r="H58" s="88">
        <v>4464495.7733333334</v>
      </c>
      <c r="I58" s="90">
        <v>2132</v>
      </c>
      <c r="J58" s="91">
        <v>9269442.4000000004</v>
      </c>
      <c r="K58" s="92">
        <v>22212.989999999998</v>
      </c>
      <c r="L58" s="90">
        <v>149</v>
      </c>
      <c r="M58" s="88">
        <v>13839</v>
      </c>
      <c r="N58" s="90">
        <v>51</v>
      </c>
      <c r="O58" s="91">
        <v>3907.4799999999996</v>
      </c>
      <c r="P58" s="93">
        <v>10.854111111111109</v>
      </c>
      <c r="Q58" s="90">
        <v>50</v>
      </c>
      <c r="R58" s="91">
        <v>120989.41</v>
      </c>
      <c r="S58" s="92">
        <v>266.77</v>
      </c>
      <c r="T58" s="90">
        <v>2669</v>
      </c>
      <c r="V58" s="122"/>
    </row>
    <row r="59" spans="1:22" x14ac:dyDescent="0.2">
      <c r="A59" s="78">
        <v>2016</v>
      </c>
      <c r="B59" s="79" t="s">
        <v>88</v>
      </c>
      <c r="C59" s="87"/>
      <c r="D59" s="88">
        <v>28341333</v>
      </c>
      <c r="E59" s="88"/>
      <c r="F59" s="89">
        <v>11508008.083333334</v>
      </c>
      <c r="G59" s="90">
        <v>11119</v>
      </c>
      <c r="H59" s="88">
        <v>5469968.833333333</v>
      </c>
      <c r="I59" s="90">
        <v>2138</v>
      </c>
      <c r="J59" s="91">
        <v>9637422</v>
      </c>
      <c r="K59" s="92">
        <v>23841.5</v>
      </c>
      <c r="L59" s="90">
        <v>149</v>
      </c>
      <c r="M59" s="88">
        <v>13839</v>
      </c>
      <c r="N59" s="90">
        <v>51</v>
      </c>
      <c r="O59" s="91">
        <v>3810.8</v>
      </c>
      <c r="P59" s="93">
        <v>10.585555555555555</v>
      </c>
      <c r="Q59" s="90">
        <v>48</v>
      </c>
      <c r="R59" s="91">
        <v>124343.51164293027</v>
      </c>
      <c r="S59" s="92">
        <v>266.77</v>
      </c>
      <c r="T59" s="90">
        <v>2851</v>
      </c>
      <c r="V59" s="122"/>
    </row>
    <row r="60" spans="1:22" x14ac:dyDescent="0.2">
      <c r="A60" s="78">
        <v>2017</v>
      </c>
      <c r="B60" s="79" t="s">
        <v>78</v>
      </c>
      <c r="C60" s="87"/>
      <c r="D60" s="81">
        <v>29369246</v>
      </c>
      <c r="E60" s="81"/>
      <c r="F60" s="82">
        <v>11470775.916666668</v>
      </c>
      <c r="G60" s="83">
        <v>11129</v>
      </c>
      <c r="H60" s="81">
        <v>5827850.75</v>
      </c>
      <c r="I60" s="83">
        <v>2137</v>
      </c>
      <c r="J60" s="84">
        <v>10036136</v>
      </c>
      <c r="K60" s="85">
        <v>22520</v>
      </c>
      <c r="L60" s="83">
        <v>148</v>
      </c>
      <c r="M60" s="81">
        <v>13839</v>
      </c>
      <c r="N60" s="83">
        <v>51</v>
      </c>
      <c r="O60" s="84">
        <v>3731.55</v>
      </c>
      <c r="P60" s="86">
        <v>10.365416666666667</v>
      </c>
      <c r="Q60" s="83">
        <v>46</v>
      </c>
      <c r="R60" s="84">
        <v>120435.78</v>
      </c>
      <c r="S60" s="85">
        <v>267.13</v>
      </c>
      <c r="T60" s="83">
        <v>2851</v>
      </c>
      <c r="V60" s="122"/>
    </row>
    <row r="61" spans="1:22" x14ac:dyDescent="0.2">
      <c r="A61" s="78">
        <v>2017</v>
      </c>
      <c r="B61" s="79" t="s">
        <v>79</v>
      </c>
      <c r="C61" s="87"/>
      <c r="D61" s="88">
        <v>26144559</v>
      </c>
      <c r="E61" s="88"/>
      <c r="F61" s="89">
        <v>10165568.916666668</v>
      </c>
      <c r="G61" s="90">
        <v>11131</v>
      </c>
      <c r="H61" s="88">
        <v>4978369.75</v>
      </c>
      <c r="I61" s="90">
        <v>2146</v>
      </c>
      <c r="J61" s="91">
        <v>9635169.2200000007</v>
      </c>
      <c r="K61" s="92">
        <v>22571</v>
      </c>
      <c r="L61" s="90">
        <v>137</v>
      </c>
      <c r="M61" s="88">
        <v>13839</v>
      </c>
      <c r="N61" s="90">
        <v>51</v>
      </c>
      <c r="O61" s="91">
        <v>3731.55</v>
      </c>
      <c r="P61" s="93">
        <v>10.365416666666667</v>
      </c>
      <c r="Q61" s="90">
        <v>46</v>
      </c>
      <c r="R61" s="91">
        <v>106271.37</v>
      </c>
      <c r="S61" s="92">
        <v>268.13</v>
      </c>
      <c r="T61" s="90">
        <v>2847</v>
      </c>
      <c r="V61" s="122"/>
    </row>
    <row r="62" spans="1:22" x14ac:dyDescent="0.2">
      <c r="A62" s="78">
        <v>2017</v>
      </c>
      <c r="B62" s="79" t="s">
        <v>80</v>
      </c>
      <c r="C62" s="87"/>
      <c r="D62" s="88">
        <v>28985084</v>
      </c>
      <c r="E62" s="88"/>
      <c r="F62" s="89">
        <v>11150484.916666668</v>
      </c>
      <c r="G62" s="90">
        <v>11130</v>
      </c>
      <c r="H62" s="88">
        <v>5656038.75</v>
      </c>
      <c r="I62" s="90">
        <v>2145</v>
      </c>
      <c r="J62" s="91">
        <v>10048725.6</v>
      </c>
      <c r="K62" s="92">
        <v>23225.7</v>
      </c>
      <c r="L62" s="90">
        <v>137</v>
      </c>
      <c r="M62" s="88">
        <v>13839</v>
      </c>
      <c r="N62" s="90">
        <v>51</v>
      </c>
      <c r="O62" s="91">
        <v>3728.55</v>
      </c>
      <c r="P62" s="93">
        <v>10.357083333333334</v>
      </c>
      <c r="Q62" s="90">
        <v>46</v>
      </c>
      <c r="R62" s="91">
        <v>99988.709999999992</v>
      </c>
      <c r="S62" s="92">
        <v>266.13</v>
      </c>
      <c r="T62" s="90">
        <v>2847</v>
      </c>
      <c r="V62" s="122"/>
    </row>
    <row r="63" spans="1:22" x14ac:dyDescent="0.2">
      <c r="A63" s="78">
        <v>2017</v>
      </c>
      <c r="B63" s="79" t="s">
        <v>81</v>
      </c>
      <c r="C63" s="87"/>
      <c r="D63" s="88">
        <v>22823269</v>
      </c>
      <c r="E63" s="88"/>
      <c r="F63" s="89">
        <v>7940110.916666667</v>
      </c>
      <c r="G63" s="90">
        <v>11140</v>
      </c>
      <c r="H63" s="88">
        <v>4265325.75</v>
      </c>
      <c r="I63" s="90">
        <v>2145</v>
      </c>
      <c r="J63" s="91">
        <v>9160330.5</v>
      </c>
      <c r="K63" s="92">
        <v>23420</v>
      </c>
      <c r="L63" s="90">
        <v>137</v>
      </c>
      <c r="M63" s="88">
        <v>13839</v>
      </c>
      <c r="N63" s="90">
        <v>51</v>
      </c>
      <c r="O63" s="91">
        <v>3731.55</v>
      </c>
      <c r="P63" s="93">
        <v>10.365416666666667</v>
      </c>
      <c r="Q63" s="90">
        <v>46</v>
      </c>
      <c r="R63" s="91">
        <v>85218.41</v>
      </c>
      <c r="S63" s="92">
        <v>266.13</v>
      </c>
      <c r="T63" s="90">
        <v>2847</v>
      </c>
      <c r="V63" s="122"/>
    </row>
    <row r="64" spans="1:22" x14ac:dyDescent="0.2">
      <c r="A64" s="78">
        <v>2017</v>
      </c>
      <c r="B64" s="79" t="s">
        <v>45</v>
      </c>
      <c r="C64" s="87"/>
      <c r="D64" s="88">
        <v>22196746</v>
      </c>
      <c r="E64" s="88"/>
      <c r="F64" s="89">
        <v>7091594.916666667</v>
      </c>
      <c r="G64" s="90">
        <v>11153</v>
      </c>
      <c r="H64" s="88">
        <v>4208776.75</v>
      </c>
      <c r="I64" s="90">
        <v>2147</v>
      </c>
      <c r="J64" s="91">
        <v>9442935.9000000004</v>
      </c>
      <c r="K64" s="92">
        <v>23160.5</v>
      </c>
      <c r="L64" s="90">
        <v>137</v>
      </c>
      <c r="M64" s="88">
        <v>13839</v>
      </c>
      <c r="N64" s="90">
        <v>51</v>
      </c>
      <c r="O64" s="91">
        <v>3731.55</v>
      </c>
      <c r="P64" s="93">
        <v>10.365416666666667</v>
      </c>
      <c r="Q64" s="90">
        <v>46</v>
      </c>
      <c r="R64" s="91">
        <v>77521.5</v>
      </c>
      <c r="S64" s="92">
        <v>266.13</v>
      </c>
      <c r="T64" s="90">
        <v>2847</v>
      </c>
      <c r="V64" s="122"/>
    </row>
    <row r="65" spans="1:22" x14ac:dyDescent="0.2">
      <c r="A65" s="78">
        <v>2017</v>
      </c>
      <c r="B65" s="79" t="s">
        <v>82</v>
      </c>
      <c r="C65" s="87"/>
      <c r="D65" s="88">
        <v>21339393</v>
      </c>
      <c r="E65" s="88"/>
      <c r="F65" s="89">
        <v>6262581.916666667</v>
      </c>
      <c r="G65" s="90">
        <v>11182</v>
      </c>
      <c r="H65" s="88">
        <v>4161453.75</v>
      </c>
      <c r="I65" s="90">
        <v>2149</v>
      </c>
      <c r="J65" s="91">
        <v>9630633.1199999992</v>
      </c>
      <c r="K65" s="92">
        <v>23614.2</v>
      </c>
      <c r="L65" s="90">
        <v>137</v>
      </c>
      <c r="M65" s="88">
        <v>13839</v>
      </c>
      <c r="N65" s="90">
        <v>51</v>
      </c>
      <c r="O65" s="91">
        <v>3731.55</v>
      </c>
      <c r="P65" s="93">
        <v>10.365416666666667</v>
      </c>
      <c r="Q65" s="90">
        <v>46</v>
      </c>
      <c r="R65" s="91">
        <v>70112.929999999993</v>
      </c>
      <c r="S65" s="92">
        <v>266.13</v>
      </c>
      <c r="T65" s="90">
        <v>2847</v>
      </c>
      <c r="V65" s="122"/>
    </row>
    <row r="66" spans="1:22" x14ac:dyDescent="0.2">
      <c r="A66" s="78">
        <v>2017</v>
      </c>
      <c r="B66" s="79" t="s">
        <v>83</v>
      </c>
      <c r="C66" s="87"/>
      <c r="D66" s="88">
        <v>22953227</v>
      </c>
      <c r="E66" s="88"/>
      <c r="F66" s="89">
        <v>6806256.916666667</v>
      </c>
      <c r="G66" s="90">
        <v>11184</v>
      </c>
      <c r="H66" s="88">
        <v>4603116.75</v>
      </c>
      <c r="I66" s="90">
        <v>2145</v>
      </c>
      <c r="J66" s="91">
        <v>10025669.960000001</v>
      </c>
      <c r="K66" s="92">
        <v>23520.2</v>
      </c>
      <c r="L66" s="90">
        <v>137</v>
      </c>
      <c r="M66" s="88">
        <v>13839</v>
      </c>
      <c r="N66" s="90">
        <v>51</v>
      </c>
      <c r="O66" s="91">
        <v>3731.55</v>
      </c>
      <c r="P66" s="93">
        <v>10.365416666666667</v>
      </c>
      <c r="Q66" s="90">
        <v>46</v>
      </c>
      <c r="R66" s="91">
        <v>74461.05</v>
      </c>
      <c r="S66" s="92">
        <v>266.13</v>
      </c>
      <c r="T66" s="90">
        <v>2849</v>
      </c>
      <c r="V66" s="122"/>
    </row>
    <row r="67" spans="1:22" x14ac:dyDescent="0.2">
      <c r="A67" s="78">
        <v>2017</v>
      </c>
      <c r="B67" s="79" t="s">
        <v>84</v>
      </c>
      <c r="C67" s="87"/>
      <c r="D67" s="88">
        <v>22947367</v>
      </c>
      <c r="E67" s="88"/>
      <c r="F67" s="89">
        <v>6667990.916666667</v>
      </c>
      <c r="G67" s="90">
        <v>11189</v>
      </c>
      <c r="H67" s="88">
        <v>4686232.75</v>
      </c>
      <c r="I67" s="90">
        <v>2143</v>
      </c>
      <c r="J67" s="91">
        <v>10303718.779999999</v>
      </c>
      <c r="K67" s="92">
        <v>24608.1</v>
      </c>
      <c r="L67" s="90">
        <v>137</v>
      </c>
      <c r="M67" s="88">
        <v>13839</v>
      </c>
      <c r="N67" s="90">
        <v>51</v>
      </c>
      <c r="O67" s="91">
        <v>3655.55</v>
      </c>
      <c r="P67" s="93">
        <v>10.154305555555556</v>
      </c>
      <c r="Q67" s="90">
        <v>45</v>
      </c>
      <c r="R67" s="91">
        <v>83619.290000000008</v>
      </c>
      <c r="S67" s="92">
        <v>266.13</v>
      </c>
      <c r="T67" s="90">
        <v>2849</v>
      </c>
      <c r="V67" s="122"/>
    </row>
    <row r="68" spans="1:22" x14ac:dyDescent="0.2">
      <c r="A68" s="78">
        <v>2017</v>
      </c>
      <c r="B68" s="79" t="s">
        <v>85</v>
      </c>
      <c r="C68" s="87"/>
      <c r="D68" s="88">
        <v>21826159</v>
      </c>
      <c r="E68" s="88"/>
      <c r="F68" s="89">
        <v>6442030.916666667</v>
      </c>
      <c r="G68" s="90">
        <v>11188</v>
      </c>
      <c r="H68" s="88">
        <v>4189598.75</v>
      </c>
      <c r="I68" s="90">
        <v>2138</v>
      </c>
      <c r="J68" s="91">
        <v>9791677.3000000007</v>
      </c>
      <c r="K68" s="92">
        <v>24745.5</v>
      </c>
      <c r="L68" s="90">
        <v>137</v>
      </c>
      <c r="M68" s="88">
        <v>13839</v>
      </c>
      <c r="N68" s="90">
        <v>51</v>
      </c>
      <c r="O68" s="91">
        <v>3631.55</v>
      </c>
      <c r="P68" s="93">
        <v>10.08763888888889</v>
      </c>
      <c r="Q68" s="90">
        <v>45</v>
      </c>
      <c r="R68" s="91">
        <v>92104.23</v>
      </c>
      <c r="S68" s="92">
        <v>266.13</v>
      </c>
      <c r="T68" s="90">
        <v>2849</v>
      </c>
      <c r="V68" s="122"/>
    </row>
    <row r="69" spans="1:22" x14ac:dyDescent="0.2">
      <c r="A69" s="78">
        <v>2017</v>
      </c>
      <c r="B69" s="79" t="s">
        <v>86</v>
      </c>
      <c r="C69" s="87"/>
      <c r="D69" s="88">
        <v>22377976</v>
      </c>
      <c r="E69" s="88"/>
      <c r="F69" s="89">
        <v>6905640.916666667</v>
      </c>
      <c r="G69" s="90">
        <v>11191</v>
      </c>
      <c r="H69" s="88">
        <v>4067231.75</v>
      </c>
      <c r="I69" s="90">
        <v>2146</v>
      </c>
      <c r="J69" s="91">
        <v>9838829.2200000007</v>
      </c>
      <c r="K69" s="92">
        <v>23336.5</v>
      </c>
      <c r="L69" s="90">
        <v>137</v>
      </c>
      <c r="M69" s="88">
        <v>13839</v>
      </c>
      <c r="N69" s="90">
        <v>51</v>
      </c>
      <c r="O69" s="91">
        <v>3628.55</v>
      </c>
      <c r="P69" s="93">
        <v>10.079305555555555</v>
      </c>
      <c r="Q69" s="90">
        <v>45</v>
      </c>
      <c r="R69" s="91">
        <v>107242.45</v>
      </c>
      <c r="S69" s="92">
        <v>266.13</v>
      </c>
      <c r="T69" s="90">
        <v>2849</v>
      </c>
      <c r="V69" s="122"/>
    </row>
    <row r="70" spans="1:22" x14ac:dyDescent="0.2">
      <c r="A70" s="78">
        <v>2017</v>
      </c>
      <c r="B70" s="79" t="s">
        <v>87</v>
      </c>
      <c r="C70" s="87"/>
      <c r="D70" s="88">
        <v>25903115</v>
      </c>
      <c r="E70" s="88"/>
      <c r="F70" s="89">
        <v>9431935.9166666679</v>
      </c>
      <c r="G70" s="90">
        <v>11200</v>
      </c>
      <c r="H70" s="88">
        <v>4953100.75</v>
      </c>
      <c r="I70" s="90">
        <v>2146</v>
      </c>
      <c r="J70" s="91">
        <v>9735428.4600000009</v>
      </c>
      <c r="K70" s="92">
        <v>23014.7</v>
      </c>
      <c r="L70" s="90">
        <v>137</v>
      </c>
      <c r="M70" s="88">
        <v>13839</v>
      </c>
      <c r="N70" s="90">
        <v>51</v>
      </c>
      <c r="O70" s="91">
        <v>3636.55</v>
      </c>
      <c r="P70" s="93">
        <v>10.101527777777777</v>
      </c>
      <c r="Q70" s="90">
        <v>45</v>
      </c>
      <c r="R70" s="91">
        <v>114221.92</v>
      </c>
      <c r="S70" s="92">
        <v>266.13</v>
      </c>
      <c r="T70" s="90">
        <v>2849</v>
      </c>
      <c r="V70" s="122"/>
    </row>
    <row r="71" spans="1:22" x14ac:dyDescent="0.2">
      <c r="A71" s="78">
        <v>2017</v>
      </c>
      <c r="B71" s="79" t="s">
        <v>88</v>
      </c>
      <c r="C71" s="87"/>
      <c r="D71" s="88">
        <v>30421258</v>
      </c>
      <c r="E71" s="88"/>
      <c r="F71" s="89">
        <v>12794658.916666666</v>
      </c>
      <c r="G71" s="90">
        <v>11208</v>
      </c>
      <c r="H71" s="88">
        <v>5988255.75</v>
      </c>
      <c r="I71" s="90">
        <v>2146</v>
      </c>
      <c r="J71" s="91">
        <v>9834887.4236394335</v>
      </c>
      <c r="K71" s="92">
        <v>24034.7</v>
      </c>
      <c r="L71" s="90">
        <v>137</v>
      </c>
      <c r="M71" s="88">
        <v>13839</v>
      </c>
      <c r="N71" s="90">
        <v>51</v>
      </c>
      <c r="O71" s="91">
        <v>3563.55</v>
      </c>
      <c r="P71" s="93">
        <v>9.8987499999999997</v>
      </c>
      <c r="Q71" s="90">
        <v>44</v>
      </c>
      <c r="R71" s="91">
        <v>123256.35841506977</v>
      </c>
      <c r="S71" s="92">
        <v>266.13</v>
      </c>
      <c r="T71" s="90">
        <v>2849</v>
      </c>
      <c r="V71" s="122"/>
    </row>
    <row r="72" spans="1:22" x14ac:dyDescent="0.2">
      <c r="A72" s="78">
        <v>2018</v>
      </c>
      <c r="B72" s="79" t="s">
        <v>78</v>
      </c>
      <c r="C72" s="87"/>
      <c r="D72" s="81">
        <v>32733608</v>
      </c>
      <c r="E72" s="81"/>
      <c r="F72" s="82">
        <v>13425595.333333332</v>
      </c>
      <c r="G72" s="83">
        <v>11194</v>
      </c>
      <c r="H72" s="81">
        <v>6436097.666666667</v>
      </c>
      <c r="I72" s="83">
        <v>2147</v>
      </c>
      <c r="J72" s="84">
        <v>10495914.539999999</v>
      </c>
      <c r="K72" s="85">
        <v>23520.2</v>
      </c>
      <c r="L72" s="83">
        <v>138</v>
      </c>
      <c r="M72" s="81">
        <v>13839</v>
      </c>
      <c r="N72" s="83">
        <v>51</v>
      </c>
      <c r="O72" s="84">
        <v>3402.8</v>
      </c>
      <c r="P72" s="86">
        <v>9.4522222222222219</v>
      </c>
      <c r="Q72" s="83">
        <v>44</v>
      </c>
      <c r="R72" s="84">
        <v>119266</v>
      </c>
      <c r="S72" s="85">
        <v>263.95</v>
      </c>
      <c r="T72" s="83">
        <v>2849</v>
      </c>
      <c r="V72" s="122"/>
    </row>
    <row r="73" spans="1:22" x14ac:dyDescent="0.2">
      <c r="A73" s="78">
        <v>2018</v>
      </c>
      <c r="B73" s="79" t="s">
        <v>79</v>
      </c>
      <c r="C73" s="87"/>
      <c r="D73" s="88">
        <v>27371745</v>
      </c>
      <c r="E73" s="88"/>
      <c r="F73" s="89">
        <v>10887001.333333334</v>
      </c>
      <c r="G73" s="90">
        <v>11255</v>
      </c>
      <c r="H73" s="88">
        <v>5398946.666666666</v>
      </c>
      <c r="I73" s="90">
        <v>2154</v>
      </c>
      <c r="J73" s="91">
        <v>9321938.2400000002</v>
      </c>
      <c r="K73" s="92">
        <v>23263.5</v>
      </c>
      <c r="L73" s="90">
        <v>138</v>
      </c>
      <c r="M73" s="88">
        <v>13839</v>
      </c>
      <c r="N73" s="90">
        <v>51</v>
      </c>
      <c r="O73" s="91">
        <v>3402.8</v>
      </c>
      <c r="P73" s="93">
        <v>9.4522222222222219</v>
      </c>
      <c r="Q73" s="90">
        <v>44</v>
      </c>
      <c r="R73" s="91">
        <v>102437</v>
      </c>
      <c r="S73" s="92">
        <v>261.95</v>
      </c>
      <c r="T73" s="90">
        <v>2849</v>
      </c>
      <c r="V73" s="122"/>
    </row>
    <row r="74" spans="1:22" x14ac:dyDescent="0.2">
      <c r="A74" s="78">
        <v>2018</v>
      </c>
      <c r="B74" s="79" t="s">
        <v>80</v>
      </c>
      <c r="C74" s="87"/>
      <c r="D74" s="88">
        <v>27619983</v>
      </c>
      <c r="E74" s="88"/>
      <c r="F74" s="89">
        <v>10530403.333333334</v>
      </c>
      <c r="G74" s="90">
        <v>11251</v>
      </c>
      <c r="H74" s="88">
        <v>5342555.666666666</v>
      </c>
      <c r="I74" s="90">
        <v>2156</v>
      </c>
      <c r="J74" s="91">
        <v>10027371.960000001</v>
      </c>
      <c r="K74" s="92">
        <v>22612.400000000001</v>
      </c>
      <c r="L74" s="90">
        <v>138</v>
      </c>
      <c r="M74" s="88">
        <v>13839</v>
      </c>
      <c r="N74" s="90">
        <v>51</v>
      </c>
      <c r="O74" s="91">
        <v>3402.8</v>
      </c>
      <c r="P74" s="93">
        <v>9.4522222222222219</v>
      </c>
      <c r="Q74" s="90">
        <v>44</v>
      </c>
      <c r="R74" s="91">
        <v>96269</v>
      </c>
      <c r="S74" s="92">
        <v>256.95</v>
      </c>
      <c r="T74" s="90">
        <v>2849</v>
      </c>
      <c r="V74" s="122"/>
    </row>
    <row r="75" spans="1:22" x14ac:dyDescent="0.2">
      <c r="A75" s="78">
        <v>2018</v>
      </c>
      <c r="B75" s="79" t="s">
        <v>81</v>
      </c>
      <c r="C75" s="87"/>
      <c r="D75" s="88">
        <v>25333746</v>
      </c>
      <c r="E75" s="88"/>
      <c r="F75" s="89">
        <v>9425114.6666666679</v>
      </c>
      <c r="G75" s="90">
        <v>11270</v>
      </c>
      <c r="H75" s="88">
        <v>4845326</v>
      </c>
      <c r="I75" s="90">
        <v>2163</v>
      </c>
      <c r="J75" s="91">
        <v>9470546.1199999992</v>
      </c>
      <c r="K75" s="92">
        <v>22929.200000000001</v>
      </c>
      <c r="L75" s="90">
        <v>137</v>
      </c>
      <c r="M75" s="88">
        <v>13839</v>
      </c>
      <c r="N75" s="90">
        <v>51</v>
      </c>
      <c r="O75" s="91">
        <v>3402.8</v>
      </c>
      <c r="P75" s="93">
        <v>9.4522222222222219</v>
      </c>
      <c r="Q75" s="90">
        <v>44</v>
      </c>
      <c r="R75" s="91">
        <v>81954</v>
      </c>
      <c r="S75" s="92">
        <v>256.95</v>
      </c>
      <c r="T75" s="90">
        <v>2849</v>
      </c>
      <c r="V75" s="122"/>
    </row>
    <row r="76" spans="1:22" x14ac:dyDescent="0.2">
      <c r="A76" s="78">
        <v>2018</v>
      </c>
      <c r="B76" s="79" t="s">
        <v>45</v>
      </c>
      <c r="C76" s="87"/>
      <c r="D76" s="88">
        <v>21970207</v>
      </c>
      <c r="E76" s="88"/>
      <c r="F76" s="89">
        <v>6777512.666666667</v>
      </c>
      <c r="G76" s="90">
        <v>11275</v>
      </c>
      <c r="H76" s="88">
        <v>4256131</v>
      </c>
      <c r="I76" s="90">
        <v>2161</v>
      </c>
      <c r="J76" s="91">
        <v>9605077.8100000005</v>
      </c>
      <c r="K76" s="92">
        <v>24327.3</v>
      </c>
      <c r="L76" s="90">
        <v>137</v>
      </c>
      <c r="M76" s="88">
        <v>13839</v>
      </c>
      <c r="N76" s="90">
        <v>51</v>
      </c>
      <c r="O76" s="91">
        <v>3402.8</v>
      </c>
      <c r="P76" s="93">
        <v>9.4522222222222219</v>
      </c>
      <c r="Q76" s="90">
        <v>44</v>
      </c>
      <c r="R76" s="91">
        <v>74460</v>
      </c>
      <c r="S76" s="92">
        <v>255.95</v>
      </c>
      <c r="T76" s="90">
        <v>2849</v>
      </c>
      <c r="V76" s="122"/>
    </row>
    <row r="77" spans="1:22" x14ac:dyDescent="0.2">
      <c r="A77" s="78">
        <v>2018</v>
      </c>
      <c r="B77" s="79" t="s">
        <v>82</v>
      </c>
      <c r="C77" s="87"/>
      <c r="D77" s="88">
        <v>22053298</v>
      </c>
      <c r="E77" s="88"/>
      <c r="F77" s="89">
        <v>6400002.666666667</v>
      </c>
      <c r="G77" s="90">
        <v>11282</v>
      </c>
      <c r="H77" s="88">
        <v>4280862</v>
      </c>
      <c r="I77" s="90">
        <v>2162</v>
      </c>
      <c r="J77" s="91">
        <v>9768401.2400000002</v>
      </c>
      <c r="K77" s="92">
        <v>24748.2</v>
      </c>
      <c r="L77" s="90">
        <v>137</v>
      </c>
      <c r="M77" s="88">
        <v>13845</v>
      </c>
      <c r="N77" s="90">
        <v>51</v>
      </c>
      <c r="O77" s="91">
        <v>3402.8</v>
      </c>
      <c r="P77" s="93">
        <v>9.4522222222222219</v>
      </c>
      <c r="Q77" s="90">
        <v>44</v>
      </c>
      <c r="R77" s="91">
        <v>67443</v>
      </c>
      <c r="S77" s="92">
        <v>255.95</v>
      </c>
      <c r="T77" s="90">
        <v>2849</v>
      </c>
      <c r="V77" s="122"/>
    </row>
    <row r="78" spans="1:22" x14ac:dyDescent="0.2">
      <c r="A78" s="78">
        <v>2018</v>
      </c>
      <c r="B78" s="79" t="s">
        <v>83</v>
      </c>
      <c r="C78" s="87"/>
      <c r="D78" s="88">
        <v>25386186</v>
      </c>
      <c r="E78" s="88"/>
      <c r="F78" s="89">
        <v>7744763.666666667</v>
      </c>
      <c r="G78" s="90">
        <v>11292</v>
      </c>
      <c r="H78" s="88">
        <v>5098048</v>
      </c>
      <c r="I78" s="90">
        <v>2164</v>
      </c>
      <c r="J78" s="91">
        <v>10576344.49</v>
      </c>
      <c r="K78" s="92">
        <v>24671</v>
      </c>
      <c r="L78" s="90">
        <v>137</v>
      </c>
      <c r="M78" s="88">
        <v>13845</v>
      </c>
      <c r="N78" s="90">
        <v>51</v>
      </c>
      <c r="O78" s="91">
        <v>3402.8</v>
      </c>
      <c r="P78" s="93">
        <v>9.4522222222222219</v>
      </c>
      <c r="Q78" s="90">
        <v>44</v>
      </c>
      <c r="R78" s="91">
        <v>71401</v>
      </c>
      <c r="S78" s="92">
        <v>255.95</v>
      </c>
      <c r="T78" s="90">
        <v>2849</v>
      </c>
      <c r="V78" s="122"/>
    </row>
    <row r="79" spans="1:22" x14ac:dyDescent="0.2">
      <c r="A79" s="78">
        <v>2018</v>
      </c>
      <c r="B79" s="79" t="s">
        <v>84</v>
      </c>
      <c r="C79" s="87"/>
      <c r="D79" s="88">
        <v>24965359</v>
      </c>
      <c r="E79" s="88"/>
      <c r="F79" s="89">
        <v>7583908.666666667</v>
      </c>
      <c r="G79" s="90">
        <v>11317</v>
      </c>
      <c r="H79" s="88">
        <v>5023926</v>
      </c>
      <c r="I79" s="90">
        <v>2161</v>
      </c>
      <c r="J79" s="91">
        <v>10546530.99</v>
      </c>
      <c r="K79" s="92">
        <v>24136.2</v>
      </c>
      <c r="L79" s="90">
        <v>137</v>
      </c>
      <c r="M79" s="88">
        <v>13845</v>
      </c>
      <c r="N79" s="90">
        <v>51</v>
      </c>
      <c r="O79" s="91">
        <v>3412.8</v>
      </c>
      <c r="P79" s="93">
        <v>9.48</v>
      </c>
      <c r="Q79" s="90">
        <v>44</v>
      </c>
      <c r="R79" s="91">
        <v>80422</v>
      </c>
      <c r="S79" s="92">
        <v>255.95</v>
      </c>
      <c r="T79" s="90">
        <v>2849</v>
      </c>
      <c r="V79" s="122"/>
    </row>
    <row r="80" spans="1:22" x14ac:dyDescent="0.2">
      <c r="A80" s="78">
        <v>2018</v>
      </c>
      <c r="B80" s="79" t="s">
        <v>85</v>
      </c>
      <c r="C80" s="87"/>
      <c r="D80" s="88">
        <v>22184261</v>
      </c>
      <c r="E80" s="88"/>
      <c r="F80" s="89">
        <v>6706825.666666667</v>
      </c>
      <c r="G80" s="90">
        <v>11318</v>
      </c>
      <c r="H80" s="88">
        <v>4143790</v>
      </c>
      <c r="I80" s="90">
        <v>2160</v>
      </c>
      <c r="J80" s="91">
        <v>9797866.2100000009</v>
      </c>
      <c r="K80" s="92">
        <v>25717.5</v>
      </c>
      <c r="L80" s="90">
        <v>137</v>
      </c>
      <c r="M80" s="88">
        <v>13845</v>
      </c>
      <c r="N80" s="90">
        <v>51</v>
      </c>
      <c r="O80" s="91">
        <v>3402.8</v>
      </c>
      <c r="P80" s="93">
        <v>9.4522222222222219</v>
      </c>
      <c r="Q80" s="90">
        <v>44</v>
      </c>
      <c r="R80" s="91">
        <v>88505</v>
      </c>
      <c r="S80" s="92">
        <v>255.97</v>
      </c>
      <c r="T80" s="90">
        <v>2849</v>
      </c>
      <c r="V80" s="122"/>
    </row>
    <row r="81" spans="1:22" x14ac:dyDescent="0.2">
      <c r="A81" s="78">
        <v>2018</v>
      </c>
      <c r="B81" s="79" t="s">
        <v>86</v>
      </c>
      <c r="C81" s="87"/>
      <c r="D81" s="88">
        <v>24204812</v>
      </c>
      <c r="E81" s="88"/>
      <c r="F81" s="89">
        <v>8138784.666666667</v>
      </c>
      <c r="G81" s="90">
        <v>11326</v>
      </c>
      <c r="H81" s="88">
        <v>4398018</v>
      </c>
      <c r="I81" s="90">
        <v>2160</v>
      </c>
      <c r="J81" s="91">
        <v>10012369.99</v>
      </c>
      <c r="K81" s="92">
        <v>25447.5</v>
      </c>
      <c r="L81" s="90">
        <v>138</v>
      </c>
      <c r="M81" s="88">
        <v>13845</v>
      </c>
      <c r="N81" s="90">
        <v>51</v>
      </c>
      <c r="O81" s="91">
        <v>3525.8</v>
      </c>
      <c r="P81" s="93">
        <v>9.7938888888888886</v>
      </c>
      <c r="Q81" s="90">
        <v>44</v>
      </c>
      <c r="R81" s="91">
        <v>103131</v>
      </c>
      <c r="S81" s="92">
        <v>255.95</v>
      </c>
      <c r="T81" s="90">
        <v>2849</v>
      </c>
      <c r="V81" s="122"/>
    </row>
    <row r="82" spans="1:22" x14ac:dyDescent="0.2">
      <c r="A82" s="78">
        <v>2018</v>
      </c>
      <c r="B82" s="79" t="s">
        <v>87</v>
      </c>
      <c r="C82" s="87"/>
      <c r="D82" s="88">
        <v>26802618</v>
      </c>
      <c r="E82" s="88"/>
      <c r="F82" s="89">
        <v>10088263.666666668</v>
      </c>
      <c r="G82" s="90">
        <v>11337</v>
      </c>
      <c r="H82" s="88">
        <v>5066865</v>
      </c>
      <c r="I82" s="90">
        <v>2159</v>
      </c>
      <c r="J82" s="91">
        <v>9701499.25</v>
      </c>
      <c r="K82" s="92">
        <v>23134.9</v>
      </c>
      <c r="L82" s="90">
        <v>138</v>
      </c>
      <c r="M82" s="88">
        <v>13845</v>
      </c>
      <c r="N82" s="90">
        <v>51</v>
      </c>
      <c r="O82" s="91">
        <v>3291.8</v>
      </c>
      <c r="P82" s="93">
        <v>9.1438888888888883</v>
      </c>
      <c r="Q82" s="90">
        <v>44</v>
      </c>
      <c r="R82" s="91">
        <v>110017</v>
      </c>
      <c r="S82" s="92">
        <v>255.95</v>
      </c>
      <c r="T82" s="90">
        <v>2849</v>
      </c>
      <c r="V82" s="122"/>
    </row>
    <row r="83" spans="1:22" x14ac:dyDescent="0.2">
      <c r="A83" s="78">
        <v>2018</v>
      </c>
      <c r="B83" s="79" t="s">
        <v>88</v>
      </c>
      <c r="C83" s="87"/>
      <c r="D83" s="88">
        <v>28621650</v>
      </c>
      <c r="E83" s="88"/>
      <c r="F83" s="89">
        <v>11718909</v>
      </c>
      <c r="G83" s="90">
        <v>11347</v>
      </c>
      <c r="H83" s="88">
        <v>5488902</v>
      </c>
      <c r="I83" s="90">
        <v>2159</v>
      </c>
      <c r="J83" s="91">
        <v>9768617.7100000009</v>
      </c>
      <c r="K83" s="92">
        <v>23516.400000000001</v>
      </c>
      <c r="L83" s="90">
        <v>138</v>
      </c>
      <c r="M83" s="88">
        <v>14421</v>
      </c>
      <c r="N83" s="90">
        <v>51</v>
      </c>
      <c r="O83" s="91">
        <v>3368.5</v>
      </c>
      <c r="P83" s="93">
        <v>9.3569444444444443</v>
      </c>
      <c r="Q83" s="90">
        <v>44</v>
      </c>
      <c r="R83" s="91">
        <v>118726</v>
      </c>
      <c r="S83" s="92">
        <v>256.10000000000002</v>
      </c>
      <c r="T83" s="90">
        <v>2849</v>
      </c>
      <c r="V83" s="122"/>
    </row>
    <row r="84" spans="1:22" x14ac:dyDescent="0.2">
      <c r="A84" s="78">
        <v>2019</v>
      </c>
      <c r="B84" s="79" t="s">
        <v>78</v>
      </c>
      <c r="C84" s="87"/>
      <c r="D84" s="81">
        <v>32743936.59</v>
      </c>
      <c r="E84" s="81"/>
      <c r="F84" s="82">
        <v>13700795</v>
      </c>
      <c r="G84" s="83">
        <v>11367</v>
      </c>
      <c r="H84" s="81">
        <v>6359914</v>
      </c>
      <c r="I84" s="83">
        <v>2156</v>
      </c>
      <c r="J84" s="84">
        <v>10571083</v>
      </c>
      <c r="K84" s="85">
        <v>23914.720000000001</v>
      </c>
      <c r="L84" s="83">
        <v>138</v>
      </c>
      <c r="M84" s="81">
        <v>14421</v>
      </c>
      <c r="N84" s="83">
        <v>55</v>
      </c>
      <c r="O84" s="84">
        <v>3368.5</v>
      </c>
      <c r="P84" s="86">
        <v>9.3569444444444443</v>
      </c>
      <c r="Q84" s="83">
        <v>43</v>
      </c>
      <c r="R84" s="84">
        <v>115683</v>
      </c>
      <c r="S84" s="85">
        <v>256.11</v>
      </c>
      <c r="T84" s="83">
        <v>2849</v>
      </c>
      <c r="V84" s="122"/>
    </row>
    <row r="85" spans="1:22" x14ac:dyDescent="0.2">
      <c r="A85" s="78">
        <v>2019</v>
      </c>
      <c r="B85" s="79" t="s">
        <v>79</v>
      </c>
      <c r="C85" s="87"/>
      <c r="D85" s="88">
        <v>28440395.719999999</v>
      </c>
      <c r="E85" s="88"/>
      <c r="F85" s="89">
        <v>11697150</v>
      </c>
      <c r="G85" s="90">
        <v>11374</v>
      </c>
      <c r="H85" s="88">
        <v>5557866</v>
      </c>
      <c r="I85" s="90">
        <v>2155</v>
      </c>
      <c r="J85" s="91">
        <v>9329196</v>
      </c>
      <c r="K85" s="92">
        <v>23092.000000000004</v>
      </c>
      <c r="L85" s="90">
        <v>138</v>
      </c>
      <c r="M85" s="88">
        <v>14421</v>
      </c>
      <c r="N85" s="90">
        <v>55</v>
      </c>
      <c r="O85" s="91">
        <v>3368</v>
      </c>
      <c r="P85" s="93">
        <v>9.3555555555555561</v>
      </c>
      <c r="Q85" s="90">
        <v>43</v>
      </c>
      <c r="R85" s="91">
        <v>102324</v>
      </c>
      <c r="S85" s="92">
        <v>256.11</v>
      </c>
      <c r="T85" s="90">
        <v>2849</v>
      </c>
      <c r="V85" s="122"/>
    </row>
    <row r="86" spans="1:22" x14ac:dyDescent="0.2">
      <c r="A86" s="78">
        <v>2019</v>
      </c>
      <c r="B86" s="79" t="s">
        <v>80</v>
      </c>
      <c r="C86" s="87"/>
      <c r="D86" s="88">
        <v>29353455.600000001</v>
      </c>
      <c r="E86" s="88"/>
      <c r="F86" s="89">
        <v>11549860</v>
      </c>
      <c r="G86" s="90">
        <v>11398</v>
      </c>
      <c r="H86" s="88">
        <v>5630712</v>
      </c>
      <c r="I86" s="90">
        <v>2159</v>
      </c>
      <c r="J86" s="91">
        <v>10256657</v>
      </c>
      <c r="K86" s="92">
        <v>23151.120000000003</v>
      </c>
      <c r="L86" s="90">
        <v>138</v>
      </c>
      <c r="M86" s="88">
        <v>14421</v>
      </c>
      <c r="N86" s="90">
        <v>55</v>
      </c>
      <c r="O86" s="91">
        <v>3368</v>
      </c>
      <c r="P86" s="93">
        <v>9.3555555555555561</v>
      </c>
      <c r="Q86" s="90">
        <v>43</v>
      </c>
      <c r="R86" s="91">
        <v>96213</v>
      </c>
      <c r="S86" s="92">
        <v>256.11</v>
      </c>
      <c r="T86" s="90">
        <v>2849</v>
      </c>
      <c r="V86" s="122"/>
    </row>
    <row r="87" spans="1:22" x14ac:dyDescent="0.2">
      <c r="A87" s="78">
        <v>2019</v>
      </c>
      <c r="B87" s="79" t="s">
        <v>81</v>
      </c>
      <c r="C87" s="87"/>
      <c r="D87" s="88">
        <v>24614385.100000001</v>
      </c>
      <c r="E87" s="88"/>
      <c r="F87" s="89">
        <v>9075291</v>
      </c>
      <c r="G87" s="90">
        <v>11410</v>
      </c>
      <c r="H87" s="88">
        <v>4626893</v>
      </c>
      <c r="I87" s="90">
        <v>2155</v>
      </c>
      <c r="J87" s="91">
        <v>9343780</v>
      </c>
      <c r="K87" s="92">
        <v>22573.449999999997</v>
      </c>
      <c r="L87" s="90">
        <v>138</v>
      </c>
      <c r="M87" s="88">
        <v>14421</v>
      </c>
      <c r="N87" s="90">
        <v>55</v>
      </c>
      <c r="O87" s="91">
        <v>3368</v>
      </c>
      <c r="P87" s="93">
        <v>9.3555555555555561</v>
      </c>
      <c r="Q87" s="90">
        <v>43</v>
      </c>
      <c r="R87" s="91">
        <v>81967</v>
      </c>
      <c r="S87" s="92">
        <v>256.11</v>
      </c>
      <c r="T87" s="90">
        <v>2849</v>
      </c>
      <c r="V87" s="122"/>
    </row>
    <row r="88" spans="1:22" x14ac:dyDescent="0.2">
      <c r="A88" s="78">
        <v>2019</v>
      </c>
      <c r="B88" s="79" t="s">
        <v>45</v>
      </c>
      <c r="C88" s="87"/>
      <c r="D88" s="88">
        <v>22757878</v>
      </c>
      <c r="E88" s="88"/>
      <c r="F88" s="89">
        <v>7520776</v>
      </c>
      <c r="G88" s="90">
        <v>11417</v>
      </c>
      <c r="H88" s="88">
        <v>4274565</v>
      </c>
      <c r="I88" s="90">
        <v>2155</v>
      </c>
      <c r="J88" s="91">
        <v>9486287</v>
      </c>
      <c r="K88" s="92">
        <v>22772.339999999997</v>
      </c>
      <c r="L88" s="90">
        <v>136</v>
      </c>
      <c r="M88" s="88">
        <v>14421</v>
      </c>
      <c r="N88" s="90">
        <v>55</v>
      </c>
      <c r="O88" s="91">
        <v>3368</v>
      </c>
      <c r="P88" s="93">
        <v>9.3555555555555561</v>
      </c>
      <c r="Q88" s="90">
        <v>43</v>
      </c>
      <c r="R88" s="91">
        <v>74589</v>
      </c>
      <c r="S88" s="92">
        <v>256.11</v>
      </c>
      <c r="T88" s="90">
        <v>2849</v>
      </c>
      <c r="V88" s="122"/>
    </row>
    <row r="89" spans="1:22" x14ac:dyDescent="0.2">
      <c r="A89" s="78">
        <v>2019</v>
      </c>
      <c r="B89" s="79" t="s">
        <v>82</v>
      </c>
      <c r="C89" s="87"/>
      <c r="D89" s="88">
        <v>21375937</v>
      </c>
      <c r="E89" s="88"/>
      <c r="F89" s="89">
        <v>6450182</v>
      </c>
      <c r="G89" s="90">
        <v>11421</v>
      </c>
      <c r="H89" s="88">
        <v>4116944</v>
      </c>
      <c r="I89" s="90">
        <v>2157</v>
      </c>
      <c r="J89" s="91">
        <v>9231940</v>
      </c>
      <c r="K89" s="92">
        <v>23376.16</v>
      </c>
      <c r="L89" s="90">
        <v>136</v>
      </c>
      <c r="M89" s="88">
        <v>14421</v>
      </c>
      <c r="N89" s="90">
        <v>55</v>
      </c>
      <c r="O89" s="91">
        <v>3365</v>
      </c>
      <c r="P89" s="93">
        <v>9.3472222222222214</v>
      </c>
      <c r="Q89" s="90">
        <v>40</v>
      </c>
      <c r="R89" s="91">
        <v>67489</v>
      </c>
      <c r="S89" s="92">
        <v>256.23</v>
      </c>
      <c r="T89" s="90">
        <v>2849</v>
      </c>
      <c r="V89" s="122"/>
    </row>
    <row r="90" spans="1:22" x14ac:dyDescent="0.2">
      <c r="A90" s="78">
        <v>2019</v>
      </c>
      <c r="B90" s="79" t="s">
        <v>83</v>
      </c>
      <c r="C90" s="87"/>
      <c r="D90" s="88">
        <v>25496655.219999999</v>
      </c>
      <c r="E90" s="88"/>
      <c r="F90" s="89">
        <v>7894783</v>
      </c>
      <c r="G90" s="90">
        <v>11428</v>
      </c>
      <c r="H90" s="88">
        <v>5062183</v>
      </c>
      <c r="I90" s="90">
        <v>2157</v>
      </c>
      <c r="J90" s="91">
        <v>10719042</v>
      </c>
      <c r="K90" s="92">
        <v>25553.66</v>
      </c>
      <c r="L90" s="90">
        <v>136</v>
      </c>
      <c r="M90" s="88">
        <v>14421</v>
      </c>
      <c r="N90" s="90">
        <v>55</v>
      </c>
      <c r="O90" s="91">
        <v>3168</v>
      </c>
      <c r="P90" s="93">
        <v>8.8000000000000007</v>
      </c>
      <c r="Q90" s="90">
        <v>40</v>
      </c>
      <c r="R90" s="91">
        <v>71658</v>
      </c>
      <c r="S90" s="92">
        <v>256.23</v>
      </c>
      <c r="T90" s="90">
        <v>2849</v>
      </c>
      <c r="V90" s="122"/>
    </row>
    <row r="91" spans="1:22" x14ac:dyDescent="0.2">
      <c r="A91" s="78">
        <v>2019</v>
      </c>
      <c r="B91" s="79" t="s">
        <v>84</v>
      </c>
      <c r="C91" s="87"/>
      <c r="D91" s="88">
        <v>23892941.600000001</v>
      </c>
      <c r="E91" s="88"/>
      <c r="F91" s="89">
        <v>6927898</v>
      </c>
      <c r="G91" s="90">
        <v>11443</v>
      </c>
      <c r="H91" s="88">
        <v>4692880</v>
      </c>
      <c r="I91" s="90">
        <v>2154</v>
      </c>
      <c r="J91" s="91">
        <v>10385007</v>
      </c>
      <c r="K91" s="92">
        <v>25218.71</v>
      </c>
      <c r="L91" s="90">
        <v>136</v>
      </c>
      <c r="M91" s="88">
        <v>14370</v>
      </c>
      <c r="N91" s="90">
        <v>54</v>
      </c>
      <c r="O91" s="91">
        <v>3163</v>
      </c>
      <c r="P91" s="93">
        <v>8.7861111111111114</v>
      </c>
      <c r="Q91" s="90">
        <v>40</v>
      </c>
      <c r="R91" s="91">
        <v>80412</v>
      </c>
      <c r="S91" s="92">
        <v>256.23</v>
      </c>
      <c r="T91" s="90">
        <v>2849</v>
      </c>
      <c r="V91" s="122"/>
    </row>
    <row r="92" spans="1:22" x14ac:dyDescent="0.2">
      <c r="A92" s="78">
        <v>2019</v>
      </c>
      <c r="B92" s="79" t="s">
        <v>85</v>
      </c>
      <c r="C92" s="87"/>
      <c r="D92" s="88">
        <v>21583546.969999999</v>
      </c>
      <c r="E92" s="88"/>
      <c r="F92" s="89">
        <v>6241345</v>
      </c>
      <c r="G92" s="90">
        <v>11472</v>
      </c>
      <c r="H92" s="88">
        <v>3929434</v>
      </c>
      <c r="I92" s="90">
        <v>2154</v>
      </c>
      <c r="J92" s="91">
        <v>9678055</v>
      </c>
      <c r="K92" s="92">
        <v>25180.91</v>
      </c>
      <c r="L92" s="90">
        <v>136</v>
      </c>
      <c r="M92" s="88">
        <v>14370</v>
      </c>
      <c r="N92" s="90">
        <v>54</v>
      </c>
      <c r="O92" s="91">
        <v>3163</v>
      </c>
      <c r="P92" s="93">
        <v>8.7861111111111114</v>
      </c>
      <c r="Q92" s="90">
        <v>40</v>
      </c>
      <c r="R92" s="91">
        <v>88645</v>
      </c>
      <c r="S92" s="92">
        <v>256.23</v>
      </c>
      <c r="T92" s="90">
        <v>2849</v>
      </c>
      <c r="V92" s="122"/>
    </row>
    <row r="93" spans="1:22" x14ac:dyDescent="0.2">
      <c r="A93" s="78">
        <v>2019</v>
      </c>
      <c r="B93" s="79" t="s">
        <v>86</v>
      </c>
      <c r="C93" s="87"/>
      <c r="D93" s="88">
        <v>23416882.789999999</v>
      </c>
      <c r="E93" s="88"/>
      <c r="F93" s="89">
        <v>7563810</v>
      </c>
      <c r="G93" s="90">
        <v>11473</v>
      </c>
      <c r="H93" s="88">
        <v>4229532</v>
      </c>
      <c r="I93" s="90">
        <v>2153</v>
      </c>
      <c r="J93" s="91">
        <v>9865312</v>
      </c>
      <c r="K93" s="92">
        <v>25485.16</v>
      </c>
      <c r="L93" s="90">
        <v>136</v>
      </c>
      <c r="M93" s="88">
        <v>14370</v>
      </c>
      <c r="N93" s="90">
        <v>54</v>
      </c>
      <c r="O93" s="91">
        <v>3163</v>
      </c>
      <c r="P93" s="93">
        <v>8.7861111111111114</v>
      </c>
      <c r="Q93" s="90">
        <v>40</v>
      </c>
      <c r="R93" s="91">
        <v>103167</v>
      </c>
      <c r="S93" s="92">
        <v>256.23</v>
      </c>
      <c r="T93" s="90">
        <v>2849</v>
      </c>
      <c r="V93" s="122"/>
    </row>
    <row r="94" spans="1:22" x14ac:dyDescent="0.2">
      <c r="A94" s="78">
        <v>2019</v>
      </c>
      <c r="B94" s="79" t="s">
        <v>87</v>
      </c>
      <c r="C94" s="87"/>
      <c r="D94" s="88">
        <v>27163548.379999999</v>
      </c>
      <c r="E94" s="88"/>
      <c r="F94" s="89">
        <v>10176691</v>
      </c>
      <c r="G94" s="90">
        <v>11476</v>
      </c>
      <c r="H94" s="88">
        <v>5117738</v>
      </c>
      <c r="I94" s="90">
        <v>2149</v>
      </c>
      <c r="J94" s="91">
        <v>9968156</v>
      </c>
      <c r="K94" s="92">
        <v>24673.98</v>
      </c>
      <c r="L94" s="90">
        <v>136</v>
      </c>
      <c r="M94" s="88">
        <v>14370</v>
      </c>
      <c r="N94" s="90">
        <v>54</v>
      </c>
      <c r="O94" s="91">
        <v>3163</v>
      </c>
      <c r="P94" s="93">
        <v>8.7861111111111114</v>
      </c>
      <c r="Q94" s="90">
        <v>40</v>
      </c>
      <c r="R94" s="91">
        <v>109998</v>
      </c>
      <c r="S94" s="92">
        <v>256.23</v>
      </c>
      <c r="T94" s="90">
        <v>2849</v>
      </c>
      <c r="V94" s="122"/>
    </row>
    <row r="95" spans="1:22" x14ac:dyDescent="0.2">
      <c r="A95" s="78">
        <v>2019</v>
      </c>
      <c r="B95" s="79" t="s">
        <v>88</v>
      </c>
      <c r="C95" s="87"/>
      <c r="D95" s="88">
        <v>29112532.5</v>
      </c>
      <c r="E95" s="88"/>
      <c r="F95" s="89">
        <v>11967105</v>
      </c>
      <c r="G95" s="90">
        <v>11478</v>
      </c>
      <c r="H95" s="88">
        <v>5677998</v>
      </c>
      <c r="I95" s="90">
        <v>2148</v>
      </c>
      <c r="J95" s="91">
        <v>9660900</v>
      </c>
      <c r="K95" s="92">
        <v>24531.809999999998</v>
      </c>
      <c r="L95" s="90">
        <v>136</v>
      </c>
      <c r="M95" s="88">
        <v>14370</v>
      </c>
      <c r="N95" s="90">
        <v>54</v>
      </c>
      <c r="O95" s="91">
        <v>3088</v>
      </c>
      <c r="P95" s="93">
        <v>8.5777777777777775</v>
      </c>
      <c r="Q95" s="90">
        <v>40</v>
      </c>
      <c r="R95" s="91">
        <v>118813</v>
      </c>
      <c r="S95" s="92">
        <v>256.23</v>
      </c>
      <c r="T95" s="90">
        <v>2851</v>
      </c>
      <c r="V95" s="122"/>
    </row>
    <row r="96" spans="1:22" x14ac:dyDescent="0.2">
      <c r="A96" s="78">
        <v>2020</v>
      </c>
      <c r="B96" s="79" t="s">
        <v>78</v>
      </c>
      <c r="C96" s="87"/>
      <c r="D96" s="81">
        <v>30452078</v>
      </c>
      <c r="E96" s="81"/>
      <c r="F96" s="82">
        <v>12075462</v>
      </c>
      <c r="G96" s="83">
        <v>11515</v>
      </c>
      <c r="H96" s="81">
        <v>5800151</v>
      </c>
      <c r="I96" s="83">
        <v>2148</v>
      </c>
      <c r="J96" s="84">
        <v>10443182</v>
      </c>
      <c r="K96" s="85">
        <v>24378.55</v>
      </c>
      <c r="L96" s="83">
        <v>136</v>
      </c>
      <c r="M96" s="81">
        <v>14370</v>
      </c>
      <c r="N96" s="83">
        <v>54</v>
      </c>
      <c r="O96" s="84">
        <v>3163</v>
      </c>
      <c r="P96" s="86">
        <v>8.7861111111111114</v>
      </c>
      <c r="Q96" s="83">
        <v>40</v>
      </c>
      <c r="R96" s="84">
        <v>115863</v>
      </c>
      <c r="S96" s="85">
        <v>256.22000000000003</v>
      </c>
      <c r="T96" s="83">
        <v>2851</v>
      </c>
      <c r="V96" s="122"/>
    </row>
    <row r="97" spans="1:22" x14ac:dyDescent="0.2">
      <c r="A97" s="78">
        <v>2020</v>
      </c>
      <c r="B97" s="79" t="s">
        <v>79</v>
      </c>
      <c r="C97" s="87"/>
      <c r="D97" s="88">
        <v>28729836</v>
      </c>
      <c r="E97" s="88"/>
      <c r="F97" s="89">
        <v>11374321</v>
      </c>
      <c r="G97" s="90">
        <v>11523</v>
      </c>
      <c r="H97" s="88">
        <v>5548490</v>
      </c>
      <c r="I97" s="90">
        <v>2149</v>
      </c>
      <c r="J97" s="91">
        <v>10111948</v>
      </c>
      <c r="K97" s="92">
        <v>24775.91</v>
      </c>
      <c r="L97" s="90">
        <v>136</v>
      </c>
      <c r="M97" s="88">
        <v>14370</v>
      </c>
      <c r="N97" s="90">
        <v>54</v>
      </c>
      <c r="O97" s="91">
        <v>3163</v>
      </c>
      <c r="P97" s="93">
        <v>8.7861111111111114</v>
      </c>
      <c r="Q97" s="90">
        <v>40</v>
      </c>
      <c r="R97" s="91">
        <v>105847</v>
      </c>
      <c r="S97" s="92">
        <v>256.23</v>
      </c>
      <c r="T97" s="90">
        <v>2851</v>
      </c>
      <c r="V97" s="122"/>
    </row>
    <row r="98" spans="1:22" x14ac:dyDescent="0.2">
      <c r="A98" s="78">
        <v>2020</v>
      </c>
      <c r="B98" s="79" t="s">
        <v>80</v>
      </c>
      <c r="C98" s="87"/>
      <c r="D98" s="88">
        <v>26931054</v>
      </c>
      <c r="E98" s="88"/>
      <c r="F98" s="89">
        <v>10567777</v>
      </c>
      <c r="G98" s="90">
        <v>11534</v>
      </c>
      <c r="H98" s="88">
        <v>4903420</v>
      </c>
      <c r="I98" s="90">
        <v>2149</v>
      </c>
      <c r="J98" s="91">
        <v>9789152</v>
      </c>
      <c r="K98" s="92">
        <v>23899.839999999997</v>
      </c>
      <c r="L98" s="90">
        <v>136</v>
      </c>
      <c r="M98" s="88">
        <v>14370</v>
      </c>
      <c r="N98" s="90">
        <v>54</v>
      </c>
      <c r="O98" s="91">
        <v>3163</v>
      </c>
      <c r="P98" s="93">
        <v>8.7861111111111114</v>
      </c>
      <c r="Q98" s="90">
        <v>40</v>
      </c>
      <c r="R98" s="91">
        <v>96363</v>
      </c>
      <c r="S98" s="92">
        <v>256.23</v>
      </c>
      <c r="T98" s="90">
        <v>2851</v>
      </c>
      <c r="V98" s="122"/>
    </row>
    <row r="99" spans="1:22" x14ac:dyDescent="0.2">
      <c r="A99" s="78">
        <v>2020</v>
      </c>
      <c r="B99" s="79" t="s">
        <v>81</v>
      </c>
      <c r="C99" s="87"/>
      <c r="D99" s="88">
        <v>23177143</v>
      </c>
      <c r="E99" s="88"/>
      <c r="F99" s="89">
        <v>9215338</v>
      </c>
      <c r="G99" s="90">
        <v>11550</v>
      </c>
      <c r="H99" s="88">
        <v>3781401</v>
      </c>
      <c r="I99" s="90">
        <v>2151</v>
      </c>
      <c r="J99" s="91">
        <v>8930909</v>
      </c>
      <c r="K99" s="92">
        <v>21031.05</v>
      </c>
      <c r="L99" s="90">
        <v>136</v>
      </c>
      <c r="M99" s="88">
        <v>14370</v>
      </c>
      <c r="N99" s="90">
        <v>54</v>
      </c>
      <c r="O99" s="91">
        <v>3087.5</v>
      </c>
      <c r="P99" s="93">
        <v>8.5763888888888893</v>
      </c>
      <c r="Q99" s="90">
        <v>40</v>
      </c>
      <c r="R99" s="91">
        <v>82824</v>
      </c>
      <c r="S99" s="92">
        <v>256.86</v>
      </c>
      <c r="T99" s="90">
        <v>2851</v>
      </c>
      <c r="V99" s="122"/>
    </row>
    <row r="100" spans="1:22" x14ac:dyDescent="0.2">
      <c r="A100" s="78">
        <v>2020</v>
      </c>
      <c r="B100" s="79" t="s">
        <v>45</v>
      </c>
      <c r="C100" s="87"/>
      <c r="D100" s="88">
        <v>22565297</v>
      </c>
      <c r="E100" s="88"/>
      <c r="F100" s="89">
        <v>8185802</v>
      </c>
      <c r="G100" s="90">
        <v>11554</v>
      </c>
      <c r="H100" s="88">
        <v>3680867</v>
      </c>
      <c r="I100" s="90">
        <v>2152</v>
      </c>
      <c r="J100" s="91">
        <v>9310693</v>
      </c>
      <c r="K100" s="92">
        <v>22844.159999999996</v>
      </c>
      <c r="L100" s="90">
        <v>136</v>
      </c>
      <c r="M100" s="88">
        <v>14370</v>
      </c>
      <c r="N100" s="90">
        <v>54</v>
      </c>
      <c r="O100" s="91">
        <v>3087.5</v>
      </c>
      <c r="P100" s="93">
        <v>8.5763888888888893</v>
      </c>
      <c r="Q100" s="90">
        <v>40</v>
      </c>
      <c r="R100" s="91">
        <v>76350</v>
      </c>
      <c r="S100" s="92">
        <v>256.86</v>
      </c>
      <c r="T100" s="90">
        <v>2851</v>
      </c>
      <c r="V100" s="122"/>
    </row>
    <row r="101" spans="1:22" x14ac:dyDescent="0.2">
      <c r="A101" s="78">
        <v>2020</v>
      </c>
      <c r="B101" s="79" t="s">
        <v>82</v>
      </c>
      <c r="C101" s="87"/>
      <c r="D101" s="88">
        <v>22325604</v>
      </c>
      <c r="E101" s="88"/>
      <c r="F101" s="89">
        <v>7327358</v>
      </c>
      <c r="G101" s="90">
        <v>11558</v>
      </c>
      <c r="H101" s="88">
        <v>3852088</v>
      </c>
      <c r="I101" s="90">
        <v>2151</v>
      </c>
      <c r="J101" s="91">
        <v>9719114</v>
      </c>
      <c r="K101" s="92">
        <v>24377.559999999998</v>
      </c>
      <c r="L101" s="90">
        <v>136</v>
      </c>
      <c r="M101" s="88">
        <v>14370</v>
      </c>
      <c r="N101" s="90">
        <v>54</v>
      </c>
      <c r="O101" s="91">
        <v>3087</v>
      </c>
      <c r="P101" s="93">
        <v>8.5749999999999993</v>
      </c>
      <c r="Q101" s="90">
        <v>40</v>
      </c>
      <c r="R101" s="91">
        <v>69417</v>
      </c>
      <c r="S101" s="92">
        <v>256.86</v>
      </c>
      <c r="T101" s="90">
        <v>2851</v>
      </c>
      <c r="V101" s="122"/>
    </row>
    <row r="102" spans="1:22" x14ac:dyDescent="0.2">
      <c r="A102" s="78">
        <v>2020</v>
      </c>
      <c r="B102" s="79" t="s">
        <v>83</v>
      </c>
      <c r="C102" s="87"/>
      <c r="D102" s="88">
        <v>26178908</v>
      </c>
      <c r="E102" s="88"/>
      <c r="F102" s="89">
        <v>8925433</v>
      </c>
      <c r="G102" s="90">
        <v>11571</v>
      </c>
      <c r="H102" s="88">
        <v>4746736</v>
      </c>
      <c r="I102" s="90">
        <v>2153</v>
      </c>
      <c r="J102" s="91">
        <v>10677894</v>
      </c>
      <c r="K102" s="92">
        <v>28197.870000000003</v>
      </c>
      <c r="L102" s="90">
        <v>136</v>
      </c>
      <c r="M102" s="88">
        <v>14370</v>
      </c>
      <c r="N102" s="90">
        <v>54</v>
      </c>
      <c r="O102" s="91">
        <v>3095</v>
      </c>
      <c r="P102" s="93">
        <v>8.5972222222222214</v>
      </c>
      <c r="Q102" s="90">
        <v>40</v>
      </c>
      <c r="R102" s="91">
        <v>77558</v>
      </c>
      <c r="S102" s="92">
        <v>256.86</v>
      </c>
      <c r="T102" s="90">
        <v>2851</v>
      </c>
      <c r="V102" s="122"/>
    </row>
    <row r="103" spans="1:22" x14ac:dyDescent="0.2">
      <c r="A103" s="78">
        <v>2020</v>
      </c>
      <c r="B103" s="79" t="s">
        <v>84</v>
      </c>
      <c r="C103" s="87"/>
      <c r="D103" s="88">
        <v>24180956</v>
      </c>
      <c r="E103" s="88"/>
      <c r="F103" s="89">
        <v>7867206</v>
      </c>
      <c r="G103" s="90">
        <v>11572</v>
      </c>
      <c r="H103" s="88">
        <v>4433621</v>
      </c>
      <c r="I103" s="90">
        <v>2154</v>
      </c>
      <c r="J103" s="91">
        <v>10238043</v>
      </c>
      <c r="K103" s="92">
        <v>25824.370000000003</v>
      </c>
      <c r="L103" s="90">
        <v>136</v>
      </c>
      <c r="M103" s="88">
        <v>14370</v>
      </c>
      <c r="N103" s="90">
        <v>54</v>
      </c>
      <c r="O103" s="91">
        <v>3095</v>
      </c>
      <c r="P103" s="93">
        <v>8.5972222222222214</v>
      </c>
      <c r="Q103" s="90">
        <v>40</v>
      </c>
      <c r="R103" s="91">
        <v>80205</v>
      </c>
      <c r="S103" s="92">
        <v>256.86</v>
      </c>
      <c r="T103" s="90">
        <v>2851</v>
      </c>
      <c r="V103" s="122"/>
    </row>
    <row r="104" spans="1:22" x14ac:dyDescent="0.2">
      <c r="A104" s="78">
        <v>2020</v>
      </c>
      <c r="B104" s="79" t="s">
        <v>85</v>
      </c>
      <c r="C104" s="87"/>
      <c r="D104" s="88">
        <v>21706905</v>
      </c>
      <c r="E104" s="88"/>
      <c r="F104" s="89">
        <v>6884484</v>
      </c>
      <c r="G104" s="90">
        <v>11593</v>
      </c>
      <c r="H104" s="88">
        <v>3854536</v>
      </c>
      <c r="I104" s="90">
        <v>2154</v>
      </c>
      <c r="J104" s="91">
        <v>9549087</v>
      </c>
      <c r="K104" s="92">
        <v>24518.030000000002</v>
      </c>
      <c r="L104" s="90">
        <v>136</v>
      </c>
      <c r="M104" s="88">
        <v>14370</v>
      </c>
      <c r="N104" s="90">
        <v>54</v>
      </c>
      <c r="O104" s="91">
        <v>3087</v>
      </c>
      <c r="P104" s="93">
        <v>8.5749999999999993</v>
      </c>
      <c r="Q104" s="90">
        <v>40</v>
      </c>
      <c r="R104" s="91">
        <v>82709</v>
      </c>
      <c r="S104" s="92">
        <v>256.86</v>
      </c>
      <c r="T104" s="90">
        <v>2851</v>
      </c>
      <c r="V104" s="122"/>
    </row>
    <row r="105" spans="1:22" x14ac:dyDescent="0.2">
      <c r="A105" s="78">
        <v>2020</v>
      </c>
      <c r="B105" s="79" t="s">
        <v>86</v>
      </c>
      <c r="C105" s="87"/>
      <c r="D105" s="88">
        <v>24121204</v>
      </c>
      <c r="E105" s="88"/>
      <c r="F105" s="89">
        <v>8526373</v>
      </c>
      <c r="G105" s="90">
        <v>11589</v>
      </c>
      <c r="H105" s="88">
        <v>4235928</v>
      </c>
      <c r="I105" s="90">
        <v>2160</v>
      </c>
      <c r="J105" s="91">
        <v>9858469</v>
      </c>
      <c r="K105" s="92">
        <v>24162.940000000002</v>
      </c>
      <c r="L105" s="90">
        <v>135</v>
      </c>
      <c r="M105" s="88">
        <v>14746</v>
      </c>
      <c r="N105" s="90">
        <v>62</v>
      </c>
      <c r="O105" s="91">
        <v>3087</v>
      </c>
      <c r="P105" s="93">
        <v>8.5749999999999993</v>
      </c>
      <c r="Q105" s="90">
        <v>40</v>
      </c>
      <c r="R105" s="91">
        <v>95656</v>
      </c>
      <c r="S105" s="92">
        <v>256.86</v>
      </c>
      <c r="T105" s="90">
        <v>2851</v>
      </c>
      <c r="V105" s="122"/>
    </row>
    <row r="106" spans="1:22" x14ac:dyDescent="0.2">
      <c r="A106" s="78">
        <v>2020</v>
      </c>
      <c r="B106" s="79" t="s">
        <v>87</v>
      </c>
      <c r="C106" s="87"/>
      <c r="D106" s="88">
        <v>25126449</v>
      </c>
      <c r="E106" s="88"/>
      <c r="F106" s="89">
        <v>9286968</v>
      </c>
      <c r="G106" s="90">
        <v>11609</v>
      </c>
      <c r="H106" s="88">
        <v>4476458</v>
      </c>
      <c r="I106" s="90">
        <v>2167</v>
      </c>
      <c r="J106" s="91">
        <v>9711758</v>
      </c>
      <c r="K106" s="92">
        <v>23719.65</v>
      </c>
      <c r="L106" s="90">
        <v>135</v>
      </c>
      <c r="M106" s="88">
        <v>14746</v>
      </c>
      <c r="N106" s="90">
        <v>62</v>
      </c>
      <c r="O106" s="91">
        <v>3087</v>
      </c>
      <c r="P106" s="93">
        <v>8.5749999999999993</v>
      </c>
      <c r="Q106" s="90">
        <v>40</v>
      </c>
      <c r="R106" s="91">
        <v>98114</v>
      </c>
      <c r="S106" s="92">
        <v>256.86</v>
      </c>
      <c r="T106" s="90">
        <v>2851</v>
      </c>
      <c r="V106" s="122"/>
    </row>
    <row r="107" spans="1:22" x14ac:dyDescent="0.2">
      <c r="A107" s="78">
        <v>2020</v>
      </c>
      <c r="B107" s="79" t="s">
        <v>88</v>
      </c>
      <c r="C107" s="87"/>
      <c r="D107" s="88">
        <v>28892268</v>
      </c>
      <c r="E107" s="88"/>
      <c r="F107" s="89">
        <v>12200890</v>
      </c>
      <c r="G107" s="90">
        <v>11624</v>
      </c>
      <c r="H107" s="88">
        <v>5321614</v>
      </c>
      <c r="I107" s="90">
        <v>2176</v>
      </c>
      <c r="J107" s="91">
        <v>9519628</v>
      </c>
      <c r="K107" s="92">
        <v>23032.75</v>
      </c>
      <c r="L107" s="90">
        <v>136</v>
      </c>
      <c r="M107" s="88">
        <v>14746</v>
      </c>
      <c r="N107" s="90">
        <v>62</v>
      </c>
      <c r="O107" s="91">
        <v>3087</v>
      </c>
      <c r="P107" s="93">
        <v>8.5749999999999993</v>
      </c>
      <c r="Q107" s="90">
        <v>40</v>
      </c>
      <c r="R107" s="91">
        <v>106309</v>
      </c>
      <c r="S107" s="92">
        <v>256.86</v>
      </c>
      <c r="T107" s="90">
        <v>2851</v>
      </c>
      <c r="U107" s="122">
        <f>G107+I107+L107</f>
        <v>13936</v>
      </c>
      <c r="V107" s="122"/>
    </row>
    <row r="108" spans="1:22" x14ac:dyDescent="0.2">
      <c r="A108" s="78">
        <v>2021</v>
      </c>
      <c r="B108" s="79" t="s">
        <v>78</v>
      </c>
      <c r="C108" s="87"/>
      <c r="D108" s="81">
        <v>29919109</v>
      </c>
      <c r="E108" s="81"/>
      <c r="F108" s="82">
        <v>12861568</v>
      </c>
      <c r="G108" s="83">
        <v>11624</v>
      </c>
      <c r="H108" s="81">
        <v>5452123</v>
      </c>
      <c r="I108" s="83">
        <v>2180</v>
      </c>
      <c r="J108" s="84">
        <v>9455402</v>
      </c>
      <c r="K108" s="85">
        <v>22035.74</v>
      </c>
      <c r="L108" s="83">
        <v>136</v>
      </c>
      <c r="M108" s="81">
        <v>14746</v>
      </c>
      <c r="N108" s="83">
        <v>62</v>
      </c>
      <c r="O108" s="84">
        <v>3087</v>
      </c>
      <c r="P108" s="86">
        <v>8.5749999999999993</v>
      </c>
      <c r="Q108" s="83">
        <v>40</v>
      </c>
      <c r="R108" s="84">
        <v>104187</v>
      </c>
      <c r="S108" s="85">
        <v>256.86</v>
      </c>
      <c r="T108" s="83">
        <v>2851</v>
      </c>
      <c r="V108" s="122"/>
    </row>
    <row r="109" spans="1:22" x14ac:dyDescent="0.2">
      <c r="A109" s="78">
        <v>2021</v>
      </c>
      <c r="B109" s="79" t="s">
        <v>79</v>
      </c>
      <c r="C109" s="87"/>
      <c r="D109" s="88">
        <v>28503891</v>
      </c>
      <c r="E109" s="88"/>
      <c r="F109" s="89">
        <v>12093226</v>
      </c>
      <c r="G109" s="90">
        <v>11658</v>
      </c>
      <c r="H109" s="88">
        <v>5232812</v>
      </c>
      <c r="I109" s="90">
        <v>2188</v>
      </c>
      <c r="J109" s="91">
        <v>9144520</v>
      </c>
      <c r="K109" s="92">
        <v>22153.089999999997</v>
      </c>
      <c r="L109" s="90">
        <v>133</v>
      </c>
      <c r="M109" s="88">
        <v>14746</v>
      </c>
      <c r="N109" s="90">
        <v>62</v>
      </c>
      <c r="O109" s="91">
        <v>3087</v>
      </c>
      <c r="P109" s="93">
        <v>8.5749999999999993</v>
      </c>
      <c r="Q109" s="90">
        <v>40</v>
      </c>
      <c r="R109" s="91">
        <v>93036</v>
      </c>
      <c r="S109" s="92">
        <v>256.86</v>
      </c>
      <c r="T109" s="90">
        <v>2851</v>
      </c>
      <c r="V109" s="122"/>
    </row>
    <row r="110" spans="1:22" x14ac:dyDescent="0.2">
      <c r="A110" s="78">
        <v>2021</v>
      </c>
      <c r="B110" s="79" t="s">
        <v>80</v>
      </c>
      <c r="C110" s="87"/>
      <c r="D110" s="88">
        <v>27991373</v>
      </c>
      <c r="E110" s="88"/>
      <c r="F110" s="89">
        <v>11067343</v>
      </c>
      <c r="G110" s="90">
        <v>11671</v>
      </c>
      <c r="H110" s="88">
        <v>5156067</v>
      </c>
      <c r="I110" s="90">
        <v>2185</v>
      </c>
      <c r="J110" s="91">
        <v>10195091</v>
      </c>
      <c r="K110" s="92">
        <v>22078.560000000001</v>
      </c>
      <c r="L110" s="90">
        <v>132</v>
      </c>
      <c r="M110" s="88">
        <v>14887</v>
      </c>
      <c r="N110" s="90">
        <v>65</v>
      </c>
      <c r="O110" s="91">
        <v>3087</v>
      </c>
      <c r="P110" s="93">
        <v>8.5749999999999993</v>
      </c>
      <c r="Q110" s="90">
        <v>40</v>
      </c>
      <c r="R110" s="91">
        <v>91230</v>
      </c>
      <c r="S110" s="92">
        <v>256.86</v>
      </c>
      <c r="T110" s="90">
        <v>2851</v>
      </c>
      <c r="V110" s="122"/>
    </row>
    <row r="111" spans="1:22" x14ac:dyDescent="0.2">
      <c r="A111" s="78">
        <v>2021</v>
      </c>
      <c r="B111" s="79" t="s">
        <v>81</v>
      </c>
      <c r="C111" s="87"/>
      <c r="D111" s="88">
        <v>23510679</v>
      </c>
      <c r="E111" s="88"/>
      <c r="F111" s="89">
        <v>8571210</v>
      </c>
      <c r="G111" s="90">
        <v>11674</v>
      </c>
      <c r="H111" s="88">
        <v>4059487</v>
      </c>
      <c r="I111" s="90">
        <v>2184</v>
      </c>
      <c r="J111" s="91">
        <v>9368550</v>
      </c>
      <c r="K111" s="92">
        <v>22583.78</v>
      </c>
      <c r="L111" s="90">
        <v>132</v>
      </c>
      <c r="M111" s="88">
        <v>14887</v>
      </c>
      <c r="N111" s="90">
        <v>65</v>
      </c>
      <c r="O111" s="91">
        <v>3087</v>
      </c>
      <c r="P111" s="93">
        <v>8.5749999999999993</v>
      </c>
      <c r="Q111" s="90">
        <v>40</v>
      </c>
      <c r="R111" s="91">
        <v>83669</v>
      </c>
      <c r="S111" s="92">
        <v>256.86</v>
      </c>
      <c r="T111" s="90">
        <v>2851</v>
      </c>
      <c r="V111" s="122"/>
    </row>
    <row r="112" spans="1:22" x14ac:dyDescent="0.2">
      <c r="A112" s="78">
        <v>2021</v>
      </c>
      <c r="B112" s="79" t="s">
        <v>45</v>
      </c>
      <c r="C112" s="87"/>
      <c r="D112" s="88">
        <v>22807571</v>
      </c>
      <c r="E112" s="88"/>
      <c r="F112" s="89">
        <v>7793566</v>
      </c>
      <c r="G112" s="90">
        <v>11705</v>
      </c>
      <c r="H112" s="88">
        <v>3985806</v>
      </c>
      <c r="I112" s="90">
        <v>2186</v>
      </c>
      <c r="J112" s="91">
        <v>9563882</v>
      </c>
      <c r="K112" s="92">
        <v>22518.17</v>
      </c>
      <c r="L112" s="90">
        <v>131</v>
      </c>
      <c r="M112" s="88">
        <v>14887</v>
      </c>
      <c r="N112" s="90">
        <v>65</v>
      </c>
      <c r="O112" s="91">
        <v>3087</v>
      </c>
      <c r="P112" s="93">
        <v>8.5749999999999993</v>
      </c>
      <c r="Q112" s="90">
        <v>40</v>
      </c>
      <c r="R112" s="91">
        <v>76350</v>
      </c>
      <c r="S112" s="92">
        <v>256.86</v>
      </c>
      <c r="T112" s="90">
        <v>2851</v>
      </c>
      <c r="V112" s="122"/>
    </row>
    <row r="113" spans="1:22" x14ac:dyDescent="0.2">
      <c r="A113" s="78">
        <v>2021</v>
      </c>
      <c r="B113" s="79" t="s">
        <v>82</v>
      </c>
      <c r="C113" s="87"/>
      <c r="D113" s="88">
        <v>23479543</v>
      </c>
      <c r="E113" s="88"/>
      <c r="F113" s="89">
        <v>7508354</v>
      </c>
      <c r="G113" s="90">
        <v>11713</v>
      </c>
      <c r="H113" s="88">
        <v>4188697</v>
      </c>
      <c r="I113" s="90">
        <v>2190</v>
      </c>
      <c r="J113" s="91">
        <v>9899241</v>
      </c>
      <c r="K113" s="92">
        <v>23534.51</v>
      </c>
      <c r="L113" s="90">
        <v>130</v>
      </c>
      <c r="M113" s="88">
        <v>14887</v>
      </c>
      <c r="N113" s="90">
        <v>65</v>
      </c>
      <c r="O113" s="91">
        <v>3087</v>
      </c>
      <c r="P113" s="93">
        <v>8.5749999999999993</v>
      </c>
      <c r="Q113" s="90">
        <v>40</v>
      </c>
      <c r="R113" s="91">
        <v>69414</v>
      </c>
      <c r="S113" s="92">
        <v>256.86</v>
      </c>
      <c r="T113" s="90">
        <v>2851</v>
      </c>
      <c r="V113" s="122"/>
    </row>
    <row r="114" spans="1:22" x14ac:dyDescent="0.2">
      <c r="A114" s="78">
        <v>2021</v>
      </c>
      <c r="B114" s="79" t="s">
        <v>83</v>
      </c>
      <c r="C114" s="87"/>
      <c r="D114" s="88">
        <v>24849711</v>
      </c>
      <c r="E114" s="88"/>
      <c r="F114" s="89">
        <v>7969672</v>
      </c>
      <c r="G114" s="90">
        <v>11717</v>
      </c>
      <c r="H114" s="88">
        <v>4656044</v>
      </c>
      <c r="I114" s="90">
        <v>2189</v>
      </c>
      <c r="J114" s="91">
        <v>10527025</v>
      </c>
      <c r="K114" s="92">
        <v>23638.26</v>
      </c>
      <c r="L114" s="90">
        <v>129</v>
      </c>
      <c r="M114" s="88">
        <v>14887</v>
      </c>
      <c r="N114" s="90">
        <v>65</v>
      </c>
      <c r="O114" s="91">
        <v>3087</v>
      </c>
      <c r="P114" s="93">
        <v>8.5749999999999993</v>
      </c>
      <c r="Q114" s="90">
        <v>40</v>
      </c>
      <c r="R114" s="91">
        <v>77558</v>
      </c>
      <c r="S114" s="92">
        <v>256.86</v>
      </c>
      <c r="T114" s="90">
        <v>2851</v>
      </c>
      <c r="V114" s="122"/>
    </row>
    <row r="115" spans="1:22" x14ac:dyDescent="0.2">
      <c r="A115" s="78">
        <v>2021</v>
      </c>
      <c r="B115" s="79" t="s">
        <v>84</v>
      </c>
      <c r="C115" s="87"/>
      <c r="D115" s="88">
        <v>27059084</v>
      </c>
      <c r="E115" s="88"/>
      <c r="F115" s="89">
        <v>8857289</v>
      </c>
      <c r="G115" s="90">
        <v>11739</v>
      </c>
      <c r="H115" s="88">
        <v>5095064</v>
      </c>
      <c r="I115" s="90">
        <v>2192</v>
      </c>
      <c r="J115" s="91">
        <v>11326980</v>
      </c>
      <c r="K115" s="92">
        <v>27829.730000000003</v>
      </c>
      <c r="L115" s="90">
        <v>130</v>
      </c>
      <c r="M115" s="88">
        <v>14887</v>
      </c>
      <c r="N115" s="90">
        <v>65</v>
      </c>
      <c r="O115" s="91">
        <v>3087</v>
      </c>
      <c r="P115" s="93">
        <v>8.5749999999999993</v>
      </c>
      <c r="Q115" s="90">
        <v>40</v>
      </c>
      <c r="R115" s="91">
        <v>80205</v>
      </c>
      <c r="S115" s="92">
        <v>256.86</v>
      </c>
      <c r="T115" s="90">
        <v>2851</v>
      </c>
      <c r="V115" s="122"/>
    </row>
    <row r="116" spans="1:22" x14ac:dyDescent="0.2">
      <c r="A116" s="78">
        <v>2021</v>
      </c>
      <c r="B116" s="79" t="s">
        <v>85</v>
      </c>
      <c r="C116" s="87"/>
      <c r="D116" s="88">
        <v>22357163</v>
      </c>
      <c r="E116" s="88"/>
      <c r="F116" s="89">
        <v>6806749</v>
      </c>
      <c r="G116" s="90">
        <v>11760</v>
      </c>
      <c r="H116" s="88">
        <v>4053728</v>
      </c>
      <c r="I116" s="90">
        <v>2193</v>
      </c>
      <c r="J116" s="91">
        <v>9892370</v>
      </c>
      <c r="K116" s="92">
        <v>24747.9</v>
      </c>
      <c r="L116" s="90">
        <v>129</v>
      </c>
      <c r="M116" s="88">
        <v>14887</v>
      </c>
      <c r="N116" s="90">
        <v>65</v>
      </c>
      <c r="O116" s="91">
        <v>3087</v>
      </c>
      <c r="P116" s="93">
        <v>8.5749999999999993</v>
      </c>
      <c r="Q116" s="90">
        <v>40</v>
      </c>
      <c r="R116" s="91">
        <v>83190</v>
      </c>
      <c r="S116" s="92">
        <v>256.86</v>
      </c>
      <c r="T116" s="90">
        <v>2851</v>
      </c>
      <c r="V116" s="122"/>
    </row>
    <row r="117" spans="1:22" x14ac:dyDescent="0.2">
      <c r="A117" s="78">
        <v>2021</v>
      </c>
      <c r="B117" s="79" t="s">
        <v>86</v>
      </c>
      <c r="C117" s="87"/>
      <c r="D117" s="88">
        <v>23786911</v>
      </c>
      <c r="E117" s="88"/>
      <c r="F117" s="89">
        <v>7601741</v>
      </c>
      <c r="G117" s="90">
        <v>11777</v>
      </c>
      <c r="H117" s="88">
        <v>4183435</v>
      </c>
      <c r="I117" s="90">
        <v>2197</v>
      </c>
      <c r="J117" s="91">
        <v>10431514</v>
      </c>
      <c r="K117" s="92">
        <v>25671.279999999999</v>
      </c>
      <c r="L117" s="90">
        <v>129</v>
      </c>
      <c r="M117" s="88">
        <v>14887</v>
      </c>
      <c r="N117" s="90">
        <v>65</v>
      </c>
      <c r="O117" s="91">
        <v>3088</v>
      </c>
      <c r="P117" s="93">
        <v>8.5777777777777775</v>
      </c>
      <c r="Q117" s="90">
        <v>40</v>
      </c>
      <c r="R117" s="91">
        <v>95656</v>
      </c>
      <c r="S117" s="92">
        <v>256.86</v>
      </c>
      <c r="T117" s="90">
        <v>2851</v>
      </c>
      <c r="V117" s="122"/>
    </row>
    <row r="118" spans="1:22" x14ac:dyDescent="0.2">
      <c r="A118" s="78">
        <v>2021</v>
      </c>
      <c r="B118" s="79" t="s">
        <v>87</v>
      </c>
      <c r="C118" s="87"/>
      <c r="D118" s="88">
        <v>26548630</v>
      </c>
      <c r="E118" s="88"/>
      <c r="F118" s="89">
        <v>9744511</v>
      </c>
      <c r="G118" s="90">
        <v>11826</v>
      </c>
      <c r="H118" s="88">
        <v>4813328</v>
      </c>
      <c r="I118" s="90">
        <v>2202</v>
      </c>
      <c r="J118" s="91">
        <v>9988600</v>
      </c>
      <c r="K118" s="92">
        <v>24537.13</v>
      </c>
      <c r="L118" s="90">
        <v>129</v>
      </c>
      <c r="M118" s="88">
        <v>14887</v>
      </c>
      <c r="N118" s="90">
        <v>65</v>
      </c>
      <c r="O118" s="91">
        <v>3088</v>
      </c>
      <c r="P118" s="93">
        <v>8.5777777777777775</v>
      </c>
      <c r="Q118" s="90">
        <v>40</v>
      </c>
      <c r="R118" s="91">
        <v>98114</v>
      </c>
      <c r="S118" s="92">
        <v>256.86</v>
      </c>
      <c r="T118" s="90">
        <v>2851</v>
      </c>
      <c r="V118" s="122"/>
    </row>
    <row r="119" spans="1:22" x14ac:dyDescent="0.2">
      <c r="A119" s="78">
        <v>2021</v>
      </c>
      <c r="B119" s="79" t="s">
        <v>88</v>
      </c>
      <c r="C119" s="87"/>
      <c r="D119" s="88">
        <v>29127757</v>
      </c>
      <c r="E119" s="88"/>
      <c r="F119" s="89">
        <v>12082874</v>
      </c>
      <c r="G119" s="90">
        <v>11847</v>
      </c>
      <c r="H119" s="88">
        <v>5497661</v>
      </c>
      <c r="I119" s="90">
        <v>2204</v>
      </c>
      <c r="J119" s="91">
        <v>9840437</v>
      </c>
      <c r="K119" s="92">
        <v>24103.86</v>
      </c>
      <c r="L119" s="90">
        <v>129</v>
      </c>
      <c r="M119" s="88">
        <v>14887</v>
      </c>
      <c r="N119" s="90">
        <v>65</v>
      </c>
      <c r="O119" s="91">
        <v>3087</v>
      </c>
      <c r="P119" s="93">
        <v>8.5749999999999993</v>
      </c>
      <c r="Q119" s="90">
        <v>40</v>
      </c>
      <c r="R119" s="91">
        <v>106308</v>
      </c>
      <c r="S119" s="92">
        <v>256.86</v>
      </c>
      <c r="T119" s="90">
        <v>2851</v>
      </c>
      <c r="U119" s="122">
        <f>G119+I119+L119</f>
        <v>14180</v>
      </c>
      <c r="V119" s="122"/>
    </row>
    <row r="120" spans="1:22" x14ac:dyDescent="0.2">
      <c r="A120" s="78">
        <v>2022</v>
      </c>
      <c r="B120" s="79" t="s">
        <v>78</v>
      </c>
      <c r="C120" s="87"/>
      <c r="D120" s="81">
        <v>34795564</v>
      </c>
      <c r="E120" s="81"/>
      <c r="F120" s="82">
        <v>15288831</v>
      </c>
      <c r="G120" s="83">
        <v>11857</v>
      </c>
      <c r="H120" s="81">
        <v>6620879</v>
      </c>
      <c r="I120" s="83">
        <v>2205</v>
      </c>
      <c r="J120" s="84">
        <v>10600536</v>
      </c>
      <c r="K120" s="85">
        <v>23826.57</v>
      </c>
      <c r="L120" s="83">
        <v>129</v>
      </c>
      <c r="M120" s="81">
        <v>14887</v>
      </c>
      <c r="N120" s="83">
        <v>65</v>
      </c>
      <c r="O120" s="84">
        <v>3087</v>
      </c>
      <c r="P120" s="86">
        <v>8.5749999999999993</v>
      </c>
      <c r="Q120" s="83">
        <v>40</v>
      </c>
      <c r="R120" s="84">
        <v>104186</v>
      </c>
      <c r="S120" s="85">
        <v>256.86</v>
      </c>
      <c r="T120" s="83">
        <v>2851</v>
      </c>
      <c r="V120" s="122"/>
    </row>
    <row r="121" spans="1:22" x14ac:dyDescent="0.2">
      <c r="A121" s="78">
        <v>2022</v>
      </c>
      <c r="B121" s="79" t="s">
        <v>79</v>
      </c>
      <c r="C121" s="87"/>
      <c r="D121" s="88">
        <v>30039948</v>
      </c>
      <c r="E121" s="88"/>
      <c r="F121" s="89">
        <v>12618527</v>
      </c>
      <c r="G121" s="90">
        <v>11867</v>
      </c>
      <c r="H121" s="88">
        <v>5767398</v>
      </c>
      <c r="I121" s="90">
        <v>2210</v>
      </c>
      <c r="J121" s="91">
        <v>9657312</v>
      </c>
      <c r="K121" s="92">
        <v>23370.76</v>
      </c>
      <c r="L121" s="90">
        <v>129</v>
      </c>
      <c r="M121" s="88">
        <v>14887</v>
      </c>
      <c r="N121" s="90">
        <v>65</v>
      </c>
      <c r="O121" s="91">
        <v>3087</v>
      </c>
      <c r="P121" s="93">
        <v>8.5749999999999993</v>
      </c>
      <c r="Q121" s="90">
        <v>39</v>
      </c>
      <c r="R121" s="91">
        <v>93038</v>
      </c>
      <c r="S121" s="92">
        <v>256.86</v>
      </c>
      <c r="T121" s="90">
        <v>2851</v>
      </c>
      <c r="V121" s="122"/>
    </row>
    <row r="122" spans="1:22" x14ac:dyDescent="0.2">
      <c r="A122" s="78">
        <v>2022</v>
      </c>
      <c r="B122" s="79" t="s">
        <v>80</v>
      </c>
      <c r="C122" s="87"/>
      <c r="D122" s="88">
        <v>29938094</v>
      </c>
      <c r="E122" s="88"/>
      <c r="F122" s="89">
        <v>11852497</v>
      </c>
      <c r="G122" s="90">
        <v>11863</v>
      </c>
      <c r="H122" s="88">
        <v>5691573</v>
      </c>
      <c r="I122" s="90">
        <v>2208</v>
      </c>
      <c r="J122" s="91">
        <v>10498906</v>
      </c>
      <c r="K122" s="92">
        <v>23473.57</v>
      </c>
      <c r="L122" s="90">
        <v>128</v>
      </c>
      <c r="M122" s="88">
        <v>14887</v>
      </c>
      <c r="N122" s="90">
        <v>65</v>
      </c>
      <c r="O122" s="91">
        <v>3087</v>
      </c>
      <c r="P122" s="93">
        <v>8.5749999999999993</v>
      </c>
      <c r="Q122" s="90">
        <v>39</v>
      </c>
      <c r="R122" s="91">
        <v>91230</v>
      </c>
      <c r="S122" s="92">
        <v>256.86</v>
      </c>
      <c r="T122" s="90">
        <v>2851</v>
      </c>
      <c r="V122" s="122"/>
    </row>
    <row r="123" spans="1:22" x14ac:dyDescent="0.2">
      <c r="A123" s="78">
        <v>2022</v>
      </c>
      <c r="B123" s="79" t="s">
        <v>81</v>
      </c>
      <c r="C123" s="87"/>
      <c r="D123" s="88">
        <v>25592068</v>
      </c>
      <c r="E123" s="88"/>
      <c r="F123" s="89">
        <v>9318640</v>
      </c>
      <c r="G123" s="90">
        <v>11876</v>
      </c>
      <c r="H123" s="88">
        <v>4626127</v>
      </c>
      <c r="I123" s="90">
        <v>2210</v>
      </c>
      <c r="J123" s="91">
        <v>9984284</v>
      </c>
      <c r="K123" s="92">
        <v>24485.72</v>
      </c>
      <c r="L123" s="90">
        <v>129</v>
      </c>
      <c r="M123" s="88">
        <v>14187</v>
      </c>
      <c r="N123" s="90">
        <v>64</v>
      </c>
      <c r="O123" s="91">
        <v>3087</v>
      </c>
      <c r="P123" s="93">
        <v>8.5749999999999993</v>
      </c>
      <c r="Q123" s="90">
        <v>39</v>
      </c>
      <c r="R123" s="91">
        <v>83670</v>
      </c>
      <c r="S123" s="92">
        <v>256.86</v>
      </c>
      <c r="T123" s="90">
        <v>2851</v>
      </c>
      <c r="V123" s="122"/>
    </row>
    <row r="124" spans="1:22" x14ac:dyDescent="0.2">
      <c r="A124" s="78">
        <v>2022</v>
      </c>
      <c r="B124" s="79" t="s">
        <v>45</v>
      </c>
      <c r="C124" s="87"/>
      <c r="D124" s="88">
        <v>23761000</v>
      </c>
      <c r="E124" s="88"/>
      <c r="F124" s="89">
        <v>7502565</v>
      </c>
      <c r="G124" s="90">
        <v>11883</v>
      </c>
      <c r="H124" s="88">
        <v>4308329</v>
      </c>
      <c r="I124" s="90">
        <v>2212</v>
      </c>
      <c r="J124" s="91">
        <v>10552771</v>
      </c>
      <c r="K124" s="92">
        <v>26091.02</v>
      </c>
      <c r="L124" s="90">
        <v>129</v>
      </c>
      <c r="M124" s="88">
        <v>14187</v>
      </c>
      <c r="N124" s="90">
        <v>64</v>
      </c>
      <c r="O124" s="91">
        <v>3087</v>
      </c>
      <c r="P124" s="93">
        <v>8.5749999999999993</v>
      </c>
      <c r="Q124" s="90">
        <v>39</v>
      </c>
      <c r="R124" s="91">
        <v>76349</v>
      </c>
      <c r="S124" s="92">
        <v>256.86</v>
      </c>
      <c r="T124" s="90">
        <v>2851</v>
      </c>
      <c r="V124" s="122"/>
    </row>
    <row r="125" spans="1:22" x14ac:dyDescent="0.2">
      <c r="A125" s="78">
        <v>2022</v>
      </c>
      <c r="B125" s="79" t="s">
        <v>82</v>
      </c>
      <c r="C125" s="87"/>
      <c r="D125" s="88">
        <v>23802150</v>
      </c>
      <c r="E125" s="88"/>
      <c r="F125" s="89">
        <v>7235869</v>
      </c>
      <c r="G125" s="90">
        <v>11883</v>
      </c>
      <c r="H125" s="88">
        <v>4351593</v>
      </c>
      <c r="I125" s="90">
        <v>2216</v>
      </c>
      <c r="J125" s="91">
        <v>10792853</v>
      </c>
      <c r="K125" s="92">
        <v>26578.449999999997</v>
      </c>
      <c r="L125" s="90">
        <v>129</v>
      </c>
      <c r="M125" s="88">
        <v>14187</v>
      </c>
      <c r="N125" s="90">
        <v>64</v>
      </c>
      <c r="O125" s="91">
        <v>2846</v>
      </c>
      <c r="P125" s="93">
        <v>7.9055555555555559</v>
      </c>
      <c r="Q125" s="90">
        <v>37</v>
      </c>
      <c r="R125" s="91">
        <v>69415</v>
      </c>
      <c r="S125" s="92">
        <v>256.86</v>
      </c>
      <c r="T125" s="90">
        <v>2851</v>
      </c>
      <c r="V125" s="122"/>
    </row>
    <row r="126" spans="1:22" x14ac:dyDescent="0.2">
      <c r="A126" s="78">
        <v>2022</v>
      </c>
      <c r="B126" s="79" t="s">
        <v>83</v>
      </c>
      <c r="C126" s="87"/>
      <c r="D126" s="88">
        <v>25485797</v>
      </c>
      <c r="E126" s="88"/>
      <c r="F126" s="89">
        <v>7972499</v>
      </c>
      <c r="G126" s="90">
        <v>11886</v>
      </c>
      <c r="H126" s="88">
        <v>4775667</v>
      </c>
      <c r="I126" s="90">
        <v>2217</v>
      </c>
      <c r="J126" s="91">
        <v>10946128</v>
      </c>
      <c r="K126" s="92">
        <v>26096.89</v>
      </c>
      <c r="L126" s="90">
        <v>129</v>
      </c>
      <c r="M126" s="88">
        <v>14187</v>
      </c>
      <c r="N126" s="90">
        <v>64</v>
      </c>
      <c r="O126" s="91">
        <v>2850</v>
      </c>
      <c r="P126" s="93">
        <v>7.916666666666667</v>
      </c>
      <c r="Q126" s="90">
        <v>37</v>
      </c>
      <c r="R126" s="91">
        <v>77559</v>
      </c>
      <c r="S126" s="92">
        <v>256.86</v>
      </c>
      <c r="T126" s="90">
        <v>2851</v>
      </c>
      <c r="V126" s="122"/>
    </row>
    <row r="127" spans="1:22" x14ac:dyDescent="0.2">
      <c r="A127" s="78">
        <v>2022</v>
      </c>
      <c r="B127" s="79" t="s">
        <v>84</v>
      </c>
      <c r="C127" s="87"/>
      <c r="D127" s="88">
        <v>26149673</v>
      </c>
      <c r="E127" s="88"/>
      <c r="F127" s="89">
        <v>8139091</v>
      </c>
      <c r="G127" s="90">
        <v>11909</v>
      </c>
      <c r="H127" s="88">
        <v>4882288</v>
      </c>
      <c r="I127" s="90">
        <v>2194</v>
      </c>
      <c r="J127" s="91">
        <v>11156528</v>
      </c>
      <c r="K127" s="92">
        <v>26765.27</v>
      </c>
      <c r="L127" s="90">
        <v>129</v>
      </c>
      <c r="M127" s="88">
        <v>14187</v>
      </c>
      <c r="N127" s="90">
        <v>64</v>
      </c>
      <c r="O127" s="91">
        <v>2850</v>
      </c>
      <c r="P127" s="93">
        <v>7.916666666666667</v>
      </c>
      <c r="Q127" s="90">
        <v>37</v>
      </c>
      <c r="R127" s="91">
        <v>80205</v>
      </c>
      <c r="S127" s="92">
        <v>256.86</v>
      </c>
      <c r="T127" s="90">
        <v>2851</v>
      </c>
      <c r="V127" s="122"/>
    </row>
    <row r="128" spans="1:22" x14ac:dyDescent="0.2">
      <c r="A128" s="78">
        <v>2022</v>
      </c>
      <c r="B128" s="79" t="s">
        <v>85</v>
      </c>
      <c r="C128" s="87"/>
      <c r="D128" s="88">
        <v>23192024</v>
      </c>
      <c r="E128" s="88"/>
      <c r="F128" s="89">
        <v>7083870</v>
      </c>
      <c r="G128" s="90">
        <v>11915</v>
      </c>
      <c r="H128" s="88">
        <v>4202704</v>
      </c>
      <c r="I128" s="90">
        <v>2194</v>
      </c>
      <c r="J128" s="91">
        <v>10429248</v>
      </c>
      <c r="K128" s="92">
        <v>29278.25</v>
      </c>
      <c r="L128" s="90">
        <v>129</v>
      </c>
      <c r="M128" s="88">
        <v>14187</v>
      </c>
      <c r="N128" s="90">
        <v>64</v>
      </c>
      <c r="O128" s="91">
        <v>2846</v>
      </c>
      <c r="P128" s="93">
        <v>7.9055555555555559</v>
      </c>
      <c r="Q128" s="90">
        <v>37</v>
      </c>
      <c r="R128" s="91">
        <v>83191</v>
      </c>
      <c r="S128" s="92">
        <v>256.86</v>
      </c>
      <c r="T128" s="90">
        <v>2851</v>
      </c>
      <c r="V128" s="122"/>
    </row>
    <row r="129" spans="1:22" x14ac:dyDescent="0.2">
      <c r="A129" s="78">
        <v>2022</v>
      </c>
      <c r="B129" s="79" t="s">
        <v>86</v>
      </c>
      <c r="C129" s="87"/>
      <c r="D129" s="88">
        <v>24211097</v>
      </c>
      <c r="E129" s="88"/>
      <c r="F129" s="89">
        <v>8101315</v>
      </c>
      <c r="G129" s="90">
        <v>11980</v>
      </c>
      <c r="H129" s="88">
        <v>4321187</v>
      </c>
      <c r="I129" s="90">
        <v>2191</v>
      </c>
      <c r="J129" s="91">
        <v>10475623</v>
      </c>
      <c r="K129" s="92">
        <v>27764.030000000002</v>
      </c>
      <c r="L129" s="90">
        <v>129</v>
      </c>
      <c r="M129" s="88">
        <v>14187</v>
      </c>
      <c r="N129" s="90">
        <v>64</v>
      </c>
      <c r="O129" s="91">
        <v>2706</v>
      </c>
      <c r="P129" s="93">
        <v>7.5166666666666666</v>
      </c>
      <c r="Q129" s="90">
        <v>37</v>
      </c>
      <c r="R129" s="91">
        <v>95658</v>
      </c>
      <c r="S129" s="92">
        <v>256.86</v>
      </c>
      <c r="T129" s="90">
        <v>2851</v>
      </c>
      <c r="V129" s="122"/>
    </row>
    <row r="130" spans="1:22" x14ac:dyDescent="0.2">
      <c r="A130" s="78">
        <v>2022</v>
      </c>
      <c r="B130" s="79" t="s">
        <v>87</v>
      </c>
      <c r="C130" s="87"/>
      <c r="D130" s="88">
        <v>26468247</v>
      </c>
      <c r="E130" s="88"/>
      <c r="F130" s="89">
        <v>9420562</v>
      </c>
      <c r="G130" s="90">
        <v>12007</v>
      </c>
      <c r="H130" s="88">
        <v>4793077</v>
      </c>
      <c r="I130" s="90">
        <v>2201</v>
      </c>
      <c r="J130" s="91">
        <v>10279089</v>
      </c>
      <c r="K130" s="92">
        <v>25089.21</v>
      </c>
      <c r="L130" s="90">
        <v>130</v>
      </c>
      <c r="M130" s="88">
        <v>14187</v>
      </c>
      <c r="N130" s="90">
        <v>64</v>
      </c>
      <c r="O130" s="91">
        <v>2806</v>
      </c>
      <c r="P130" s="93">
        <v>7.7944444444444443</v>
      </c>
      <c r="Q130" s="90">
        <v>37</v>
      </c>
      <c r="R130" s="91">
        <v>98114</v>
      </c>
      <c r="S130" s="92">
        <v>256.86</v>
      </c>
      <c r="T130" s="90">
        <v>2851</v>
      </c>
      <c r="V130" s="122"/>
    </row>
    <row r="131" spans="1:22" x14ac:dyDescent="0.2">
      <c r="A131" s="78">
        <v>2022</v>
      </c>
      <c r="B131" s="79" t="s">
        <v>88</v>
      </c>
      <c r="C131" s="87"/>
      <c r="D131" s="88">
        <v>29238327</v>
      </c>
      <c r="E131" s="88"/>
      <c r="F131" s="89">
        <v>12099132</v>
      </c>
      <c r="G131" s="90">
        <v>12017</v>
      </c>
      <c r="H131" s="88">
        <v>5654790</v>
      </c>
      <c r="I131" s="90">
        <v>2204</v>
      </c>
      <c r="J131" s="91">
        <v>9833784</v>
      </c>
      <c r="K131" s="92">
        <v>25421.07</v>
      </c>
      <c r="L131" s="90">
        <v>130</v>
      </c>
      <c r="M131" s="88">
        <v>14187</v>
      </c>
      <c r="N131" s="90">
        <v>64</v>
      </c>
      <c r="O131" s="91">
        <v>2598</v>
      </c>
      <c r="P131" s="93">
        <v>7.2166666666666668</v>
      </c>
      <c r="Q131" s="90">
        <v>33</v>
      </c>
      <c r="R131" s="91">
        <v>106309</v>
      </c>
      <c r="S131" s="92">
        <v>256.86</v>
      </c>
      <c r="T131" s="90">
        <v>2851</v>
      </c>
      <c r="U131" s="122">
        <f>G131+I131+L131</f>
        <v>14351</v>
      </c>
      <c r="V131" s="122"/>
    </row>
    <row r="132" spans="1:22" x14ac:dyDescent="0.2">
      <c r="A132" s="78">
        <v>2023</v>
      </c>
      <c r="B132" s="79" t="s">
        <v>78</v>
      </c>
      <c r="C132" s="87"/>
      <c r="D132" s="81">
        <v>30877295</v>
      </c>
      <c r="E132" s="81"/>
      <c r="F132" s="82">
        <v>12500368</v>
      </c>
      <c r="G132" s="83">
        <v>12032</v>
      </c>
      <c r="H132" s="81">
        <v>5904888</v>
      </c>
      <c r="I132" s="83">
        <v>2204</v>
      </c>
      <c r="J132" s="84">
        <v>10596075</v>
      </c>
      <c r="K132" s="85">
        <v>24071.089999999997</v>
      </c>
      <c r="L132" s="83">
        <v>130</v>
      </c>
      <c r="M132" s="81">
        <v>14187</v>
      </c>
      <c r="N132" s="83">
        <v>64</v>
      </c>
      <c r="O132" s="84">
        <v>2598</v>
      </c>
      <c r="P132" s="86">
        <v>7.2166666666666668</v>
      </c>
      <c r="Q132" s="83">
        <v>33</v>
      </c>
      <c r="R132" s="84">
        <v>104186</v>
      </c>
      <c r="S132" s="85">
        <v>256.86</v>
      </c>
      <c r="T132" s="83">
        <v>2851</v>
      </c>
      <c r="V132" s="122"/>
    </row>
    <row r="133" spans="1:22" x14ac:dyDescent="0.2">
      <c r="A133" s="78">
        <v>2023</v>
      </c>
      <c r="B133" s="79" t="s">
        <v>79</v>
      </c>
      <c r="C133" s="87"/>
      <c r="D133" s="88">
        <v>28906608</v>
      </c>
      <c r="E133" s="88"/>
      <c r="F133" s="89">
        <v>11791584</v>
      </c>
      <c r="G133" s="90">
        <v>12046</v>
      </c>
      <c r="H133" s="88">
        <v>5640986</v>
      </c>
      <c r="I133" s="90">
        <v>2206</v>
      </c>
      <c r="J133" s="91">
        <v>9878020</v>
      </c>
      <c r="K133" s="92">
        <v>24779.730000000003</v>
      </c>
      <c r="L133" s="90">
        <v>130</v>
      </c>
      <c r="M133" s="88">
        <v>14187</v>
      </c>
      <c r="N133" s="90">
        <v>64</v>
      </c>
      <c r="O133" s="91">
        <v>2598</v>
      </c>
      <c r="P133" s="93">
        <v>7.2166666666666668</v>
      </c>
      <c r="Q133" s="90">
        <v>33</v>
      </c>
      <c r="R133" s="91">
        <v>93037</v>
      </c>
      <c r="S133" s="92">
        <v>256.86</v>
      </c>
      <c r="T133" s="90">
        <v>2851</v>
      </c>
      <c r="V133" s="122"/>
    </row>
    <row r="134" spans="1:22" x14ac:dyDescent="0.2">
      <c r="A134" s="78">
        <v>2023</v>
      </c>
      <c r="B134" s="79" t="s">
        <v>80</v>
      </c>
      <c r="C134" s="87"/>
      <c r="D134" s="88">
        <v>29869663</v>
      </c>
      <c r="E134" s="88"/>
      <c r="F134" s="89">
        <v>11371070</v>
      </c>
      <c r="G134" s="90">
        <v>12059</v>
      </c>
      <c r="H134" s="88">
        <v>5638636</v>
      </c>
      <c r="I134" s="90">
        <v>2205</v>
      </c>
      <c r="J134" s="91">
        <v>11021321</v>
      </c>
      <c r="K134" s="92">
        <v>25440.07</v>
      </c>
      <c r="L134" s="90">
        <v>130</v>
      </c>
      <c r="M134" s="88">
        <v>14136</v>
      </c>
      <c r="N134" s="90">
        <v>64</v>
      </c>
      <c r="O134" s="91">
        <v>2598</v>
      </c>
      <c r="P134" s="93">
        <v>7.2166666666666668</v>
      </c>
      <c r="Q134" s="90">
        <v>33</v>
      </c>
      <c r="R134" s="91">
        <v>91231</v>
      </c>
      <c r="S134" s="92">
        <v>256.86</v>
      </c>
      <c r="T134" s="90">
        <v>2851</v>
      </c>
      <c r="V134" s="122"/>
    </row>
    <row r="135" spans="1:22" x14ac:dyDescent="0.2">
      <c r="A135" s="78">
        <v>2023</v>
      </c>
      <c r="B135" s="79" t="s">
        <v>81</v>
      </c>
      <c r="C135" s="87"/>
      <c r="D135" s="88">
        <v>25209778</v>
      </c>
      <c r="E135" s="88"/>
      <c r="F135" s="89">
        <v>9092782</v>
      </c>
      <c r="G135" s="90">
        <v>12060</v>
      </c>
      <c r="H135" s="88">
        <v>4578435</v>
      </c>
      <c r="I135" s="90">
        <v>2202</v>
      </c>
      <c r="J135" s="91">
        <v>10069077</v>
      </c>
      <c r="K135" s="92">
        <v>28208.1</v>
      </c>
      <c r="L135" s="90">
        <v>130</v>
      </c>
      <c r="M135" s="88">
        <v>14187</v>
      </c>
      <c r="N135" s="90">
        <v>64</v>
      </c>
      <c r="O135" s="91">
        <v>2598</v>
      </c>
      <c r="P135" s="93">
        <v>7.2166666666666668</v>
      </c>
      <c r="Q135" s="90">
        <v>33</v>
      </c>
      <c r="R135" s="91">
        <v>83670</v>
      </c>
      <c r="S135" s="92">
        <v>256.86</v>
      </c>
      <c r="T135" s="90">
        <v>2851</v>
      </c>
      <c r="V135" s="122"/>
    </row>
    <row r="136" spans="1:22" x14ac:dyDescent="0.2">
      <c r="A136" s="78">
        <v>2023</v>
      </c>
      <c r="B136" s="79" t="s">
        <v>45</v>
      </c>
      <c r="C136" s="87"/>
      <c r="D136" s="88">
        <v>23723123</v>
      </c>
      <c r="E136" s="88"/>
      <c r="F136" s="89">
        <v>7718123</v>
      </c>
      <c r="G136" s="90">
        <v>12078</v>
      </c>
      <c r="H136" s="88">
        <v>4285435</v>
      </c>
      <c r="I136" s="90">
        <v>2206</v>
      </c>
      <c r="J136" s="91">
        <v>10193665</v>
      </c>
      <c r="K136" s="92">
        <v>27150.87</v>
      </c>
      <c r="L136" s="90">
        <v>130</v>
      </c>
      <c r="M136" s="88">
        <v>14136</v>
      </c>
      <c r="N136" s="90">
        <v>63</v>
      </c>
      <c r="O136" s="91">
        <v>2598</v>
      </c>
      <c r="P136" s="93">
        <v>7.2166666666666668</v>
      </c>
      <c r="Q136" s="90">
        <v>32</v>
      </c>
      <c r="R136" s="91">
        <v>76350</v>
      </c>
      <c r="S136" s="92">
        <v>256.86</v>
      </c>
      <c r="T136" s="90">
        <v>2851</v>
      </c>
      <c r="V136" s="122"/>
    </row>
    <row r="137" spans="1:22" x14ac:dyDescent="0.2">
      <c r="A137" s="78">
        <v>2023</v>
      </c>
      <c r="B137" s="79" t="s">
        <v>82</v>
      </c>
      <c r="C137" s="87"/>
      <c r="D137" s="88">
        <v>23955844</v>
      </c>
      <c r="E137" s="88"/>
      <c r="F137" s="89">
        <v>7513035</v>
      </c>
      <c r="G137" s="90">
        <v>12117</v>
      </c>
      <c r="H137" s="88">
        <v>4496104</v>
      </c>
      <c r="I137" s="90">
        <v>2203</v>
      </c>
      <c r="J137" s="91">
        <v>10582767</v>
      </c>
      <c r="K137" s="92">
        <v>29686.950000000004</v>
      </c>
      <c r="L137" s="90">
        <v>130</v>
      </c>
      <c r="M137" s="88">
        <v>14136</v>
      </c>
      <c r="N137" s="90">
        <v>63</v>
      </c>
      <c r="O137" s="91">
        <v>2598</v>
      </c>
      <c r="P137" s="93">
        <v>7.2166666666666668</v>
      </c>
      <c r="Q137" s="90">
        <v>32</v>
      </c>
      <c r="R137" s="91">
        <v>69415</v>
      </c>
      <c r="S137" s="92">
        <v>256.86</v>
      </c>
      <c r="T137" s="90">
        <v>2851</v>
      </c>
      <c r="V137" s="122"/>
    </row>
    <row r="138" spans="1:22" x14ac:dyDescent="0.2">
      <c r="A138" s="78">
        <v>2023</v>
      </c>
      <c r="B138" s="79" t="s">
        <v>83</v>
      </c>
      <c r="C138" s="87"/>
      <c r="D138" s="88">
        <v>25445214</v>
      </c>
      <c r="E138" s="88"/>
      <c r="F138" s="89">
        <v>8582214</v>
      </c>
      <c r="G138" s="90">
        <v>12121</v>
      </c>
      <c r="H138" s="88">
        <v>5039008</v>
      </c>
      <c r="I138" s="90">
        <v>2202</v>
      </c>
      <c r="J138" s="91">
        <v>10343721</v>
      </c>
      <c r="K138" s="92">
        <v>26334.55</v>
      </c>
      <c r="L138" s="90">
        <v>130</v>
      </c>
      <c r="M138" s="88">
        <v>14136</v>
      </c>
      <c r="N138" s="90">
        <v>63</v>
      </c>
      <c r="O138" s="91">
        <v>2598</v>
      </c>
      <c r="P138" s="93">
        <v>7.2166666666666668</v>
      </c>
      <c r="Q138" s="90">
        <v>32</v>
      </c>
      <c r="R138" s="91">
        <v>77559</v>
      </c>
      <c r="S138" s="92">
        <v>256.86</v>
      </c>
      <c r="T138" s="90">
        <v>2851</v>
      </c>
      <c r="V138" s="122"/>
    </row>
    <row r="139" spans="1:22" x14ac:dyDescent="0.2">
      <c r="A139" s="78">
        <v>2023</v>
      </c>
      <c r="B139" s="79" t="s">
        <v>84</v>
      </c>
      <c r="C139" s="87"/>
      <c r="D139" s="88">
        <v>24199133</v>
      </c>
      <c r="E139" s="88"/>
      <c r="F139" s="89">
        <v>7605480</v>
      </c>
      <c r="G139" s="90">
        <v>12140</v>
      </c>
      <c r="H139" s="88">
        <v>4681296</v>
      </c>
      <c r="I139" s="90">
        <v>2206</v>
      </c>
      <c r="J139" s="91">
        <v>10343193</v>
      </c>
      <c r="K139" s="92">
        <v>25688.37</v>
      </c>
      <c r="L139" s="90">
        <v>130</v>
      </c>
      <c r="M139" s="88">
        <v>14136</v>
      </c>
      <c r="N139" s="90">
        <v>63</v>
      </c>
      <c r="O139" s="91">
        <v>2598</v>
      </c>
      <c r="P139" s="93">
        <v>7.2166666666666668</v>
      </c>
      <c r="Q139" s="90">
        <v>32</v>
      </c>
      <c r="R139" s="91">
        <v>80206</v>
      </c>
      <c r="S139" s="92">
        <v>256.86</v>
      </c>
      <c r="T139" s="90">
        <v>2851</v>
      </c>
      <c r="V139" s="122"/>
    </row>
    <row r="140" spans="1:22" x14ac:dyDescent="0.2">
      <c r="A140" s="78">
        <v>2023</v>
      </c>
      <c r="B140" s="79" t="s">
        <v>85</v>
      </c>
      <c r="C140" s="87"/>
      <c r="D140" s="88">
        <v>22957346</v>
      </c>
      <c r="E140" s="88"/>
      <c r="F140" s="89">
        <v>7182582</v>
      </c>
      <c r="G140" s="90">
        <v>12180</v>
      </c>
      <c r="H140" s="88">
        <v>4249603</v>
      </c>
      <c r="I140" s="90">
        <v>2208</v>
      </c>
      <c r="J140" s="91">
        <v>9972022</v>
      </c>
      <c r="K140" s="92">
        <v>27113.059999999998</v>
      </c>
      <c r="L140" s="90">
        <v>130</v>
      </c>
      <c r="M140" s="88">
        <v>14136</v>
      </c>
      <c r="N140" s="90">
        <v>63</v>
      </c>
      <c r="O140" s="91">
        <v>2598</v>
      </c>
      <c r="P140" s="93">
        <v>7.2166666666666668</v>
      </c>
      <c r="Q140" s="90">
        <v>32</v>
      </c>
      <c r="R140" s="91">
        <v>83190</v>
      </c>
      <c r="S140" s="92">
        <v>256.86</v>
      </c>
      <c r="T140" s="90">
        <v>2851</v>
      </c>
      <c r="V140" s="122"/>
    </row>
    <row r="141" spans="1:22" x14ac:dyDescent="0.2">
      <c r="A141" s="78">
        <v>2023</v>
      </c>
      <c r="B141" s="79" t="s">
        <v>86</v>
      </c>
      <c r="C141" s="87"/>
      <c r="D141" s="88">
        <v>24656330</v>
      </c>
      <c r="E141" s="88"/>
      <c r="F141" s="89">
        <v>8181565</v>
      </c>
      <c r="G141" s="90">
        <v>12195</v>
      </c>
      <c r="H141" s="88">
        <v>4426440</v>
      </c>
      <c r="I141" s="90">
        <v>2209</v>
      </c>
      <c r="J141" s="91">
        <v>10301105</v>
      </c>
      <c r="K141" s="92">
        <v>27592</v>
      </c>
      <c r="L141" s="90">
        <v>130</v>
      </c>
      <c r="M141" s="88">
        <v>14136</v>
      </c>
      <c r="N141" s="90">
        <v>63</v>
      </c>
      <c r="O141" s="91">
        <v>2598</v>
      </c>
      <c r="P141" s="93">
        <v>7.2166666666666668</v>
      </c>
      <c r="Q141" s="90">
        <v>32</v>
      </c>
      <c r="R141" s="91">
        <v>95657</v>
      </c>
      <c r="S141" s="93">
        <v>257</v>
      </c>
      <c r="T141" s="90">
        <v>2851</v>
      </c>
      <c r="V141" s="122"/>
    </row>
    <row r="142" spans="1:22" x14ac:dyDescent="0.2">
      <c r="A142" s="78">
        <v>2023</v>
      </c>
      <c r="B142" s="79" t="s">
        <v>87</v>
      </c>
      <c r="C142" s="87"/>
      <c r="D142" s="88">
        <v>27066324</v>
      </c>
      <c r="E142" s="88"/>
      <c r="F142" s="89">
        <v>10319577</v>
      </c>
      <c r="G142" s="90">
        <v>12227</v>
      </c>
      <c r="H142" s="88">
        <v>5167651</v>
      </c>
      <c r="I142" s="90">
        <v>2211</v>
      </c>
      <c r="J142" s="91">
        <v>9911491</v>
      </c>
      <c r="K142" s="92">
        <v>25475</v>
      </c>
      <c r="L142" s="90">
        <v>130</v>
      </c>
      <c r="M142" s="88">
        <v>14136</v>
      </c>
      <c r="N142" s="90">
        <v>63</v>
      </c>
      <c r="O142" s="91">
        <v>2598</v>
      </c>
      <c r="P142" s="93">
        <v>7.2166666666666668</v>
      </c>
      <c r="Q142" s="90">
        <v>33</v>
      </c>
      <c r="R142" s="91">
        <v>98115</v>
      </c>
      <c r="S142" s="93">
        <v>257</v>
      </c>
      <c r="T142" s="90">
        <v>2851</v>
      </c>
      <c r="V142" s="122"/>
    </row>
    <row r="143" spans="1:22" ht="13.5" thickBot="1" x14ac:dyDescent="0.25">
      <c r="A143" s="78">
        <v>2023</v>
      </c>
      <c r="B143" s="79" t="s">
        <v>88</v>
      </c>
      <c r="C143" s="87"/>
      <c r="D143" s="88">
        <v>28270776</v>
      </c>
      <c r="E143" s="88"/>
      <c r="F143" s="89">
        <v>11661990.27</v>
      </c>
      <c r="G143" s="90">
        <v>12248</v>
      </c>
      <c r="H143" s="94">
        <v>5546597</v>
      </c>
      <c r="I143" s="95">
        <v>2215</v>
      </c>
      <c r="J143" s="96">
        <v>9241317.75</v>
      </c>
      <c r="K143" s="97">
        <v>23994.1</v>
      </c>
      <c r="L143" s="95">
        <v>131</v>
      </c>
      <c r="M143" s="94">
        <v>14136</v>
      </c>
      <c r="N143" s="95">
        <v>63</v>
      </c>
      <c r="O143" s="96">
        <v>2597.7600000000002</v>
      </c>
      <c r="P143" s="98">
        <v>7.2166666666666668</v>
      </c>
      <c r="Q143" s="95">
        <v>33</v>
      </c>
      <c r="R143" s="96">
        <v>106307.73</v>
      </c>
      <c r="S143" s="98">
        <v>256.86</v>
      </c>
      <c r="T143" s="95">
        <v>2851</v>
      </c>
      <c r="U143" s="122">
        <f>G143+I143+L143</f>
        <v>14594</v>
      </c>
      <c r="V143" s="122"/>
    </row>
    <row r="144" spans="1:22" x14ac:dyDescent="0.2">
      <c r="A144" s="78">
        <v>2024</v>
      </c>
      <c r="B144" s="79" t="s">
        <v>78</v>
      </c>
      <c r="D144" s="81">
        <v>31081694</v>
      </c>
      <c r="E144" s="81"/>
      <c r="F144" s="82">
        <v>12985364.870000001</v>
      </c>
      <c r="G144" s="83">
        <v>12272</v>
      </c>
      <c r="H144" s="81">
        <v>6067971</v>
      </c>
      <c r="I144" s="83">
        <v>2220</v>
      </c>
      <c r="J144" s="84">
        <v>9899637.0800000001</v>
      </c>
      <c r="K144" s="85">
        <v>25221.629999999997</v>
      </c>
      <c r="L144" s="83">
        <v>130</v>
      </c>
      <c r="M144" s="81">
        <v>14161</v>
      </c>
      <c r="N144" s="83">
        <v>63</v>
      </c>
      <c r="O144" s="84">
        <v>2597.7600000000002</v>
      </c>
      <c r="P144" s="86">
        <v>7.2160000000000002</v>
      </c>
      <c r="Q144" s="83">
        <v>33</v>
      </c>
      <c r="R144" s="84">
        <v>104187.13</v>
      </c>
      <c r="S144" s="85">
        <v>256.86</v>
      </c>
      <c r="T144" s="83">
        <v>2851</v>
      </c>
    </row>
    <row r="145" spans="1:20" x14ac:dyDescent="0.2">
      <c r="A145" s="78">
        <v>2024</v>
      </c>
      <c r="B145" s="79" t="s">
        <v>79</v>
      </c>
      <c r="D145" s="88">
        <v>28269261</v>
      </c>
      <c r="E145" s="88"/>
      <c r="F145" s="89">
        <v>11350192.75</v>
      </c>
      <c r="G145" s="90">
        <v>12280</v>
      </c>
      <c r="H145" s="88">
        <v>5533518</v>
      </c>
      <c r="I145" s="90">
        <v>2223</v>
      </c>
      <c r="J145" s="91">
        <v>9814768.9199999999</v>
      </c>
      <c r="K145" s="92">
        <v>24706.54</v>
      </c>
      <c r="L145" s="90">
        <v>130</v>
      </c>
      <c r="M145" s="88">
        <v>14136</v>
      </c>
      <c r="N145" s="90">
        <v>63</v>
      </c>
      <c r="O145" s="91">
        <v>2597.7600000000002</v>
      </c>
      <c r="P145" s="93">
        <v>7.2160000000000002</v>
      </c>
      <c r="Q145" s="90">
        <v>33</v>
      </c>
      <c r="R145" s="91">
        <v>96301.89</v>
      </c>
      <c r="S145" s="92">
        <v>256.86</v>
      </c>
      <c r="T145" s="90">
        <v>2851</v>
      </c>
    </row>
    <row r="146" spans="1:20" x14ac:dyDescent="0.2">
      <c r="A146" s="78">
        <v>2024</v>
      </c>
      <c r="B146" s="79" t="s">
        <v>80</v>
      </c>
      <c r="D146" s="88">
        <v>28028742</v>
      </c>
      <c r="E146" s="88"/>
      <c r="F146" s="89">
        <v>10864139.59</v>
      </c>
      <c r="G146" s="90">
        <v>12280</v>
      </c>
      <c r="H146" s="88">
        <v>5348385</v>
      </c>
      <c r="I146" s="90">
        <v>2223</v>
      </c>
      <c r="J146" s="91">
        <v>10239874.02</v>
      </c>
      <c r="K146" s="92">
        <v>24782.86</v>
      </c>
      <c r="L146" s="90">
        <v>130</v>
      </c>
      <c r="M146" s="88">
        <v>14136</v>
      </c>
      <c r="N146" s="90">
        <v>63</v>
      </c>
      <c r="O146" s="91">
        <v>2597.7600000000002</v>
      </c>
      <c r="P146" s="93">
        <v>7.2160000000000002</v>
      </c>
      <c r="Q146" s="90">
        <v>33</v>
      </c>
      <c r="R146" s="91">
        <v>90920.44</v>
      </c>
      <c r="S146" s="92">
        <v>256.86</v>
      </c>
      <c r="T146" s="90">
        <v>2851</v>
      </c>
    </row>
    <row r="147" spans="1:20" x14ac:dyDescent="0.2">
      <c r="A147" s="78">
        <v>2024</v>
      </c>
      <c r="B147" s="79" t="s">
        <v>81</v>
      </c>
      <c r="D147" s="88">
        <v>24581293</v>
      </c>
      <c r="E147" s="88"/>
      <c r="F147" s="89">
        <v>8913670.6199999992</v>
      </c>
      <c r="G147" s="90">
        <v>12305</v>
      </c>
      <c r="H147" s="88">
        <v>4616541</v>
      </c>
      <c r="I147" s="90">
        <v>2223</v>
      </c>
      <c r="J147" s="91">
        <v>9669420.709999999</v>
      </c>
      <c r="K147" s="92">
        <v>24459.919999999998</v>
      </c>
      <c r="L147" s="90">
        <v>130</v>
      </c>
      <c r="M147" s="88">
        <v>14136</v>
      </c>
      <c r="N147" s="90">
        <v>63</v>
      </c>
      <c r="O147" s="91">
        <v>2597.7599999999998</v>
      </c>
      <c r="P147" s="93">
        <v>7.2159999999999993</v>
      </c>
      <c r="Q147" s="90">
        <v>33</v>
      </c>
      <c r="R147" s="91">
        <v>83670.17</v>
      </c>
      <c r="S147" s="92">
        <v>256.86</v>
      </c>
      <c r="T147" s="90">
        <v>2851</v>
      </c>
    </row>
    <row r="148" spans="1:20" x14ac:dyDescent="0.2">
      <c r="A148" s="78">
        <v>2024</v>
      </c>
      <c r="B148" s="79" t="s">
        <v>45</v>
      </c>
      <c r="D148" s="88">
        <v>23038858</v>
      </c>
      <c r="E148" s="88"/>
      <c r="F148" s="89">
        <v>7456230.669999999</v>
      </c>
      <c r="G148" s="90">
        <v>12313</v>
      </c>
      <c r="H148" s="88">
        <v>4302756</v>
      </c>
      <c r="I148" s="90">
        <v>2227</v>
      </c>
      <c r="J148" s="91">
        <v>9949231.4100000001</v>
      </c>
      <c r="K148" s="92">
        <v>25863.51</v>
      </c>
      <c r="L148" s="90">
        <v>130</v>
      </c>
      <c r="M148" s="88">
        <v>14136</v>
      </c>
      <c r="N148" s="90">
        <v>63</v>
      </c>
      <c r="O148" s="91">
        <v>2599.08</v>
      </c>
      <c r="P148" s="93">
        <v>7.2196666666666669</v>
      </c>
      <c r="Q148" s="90">
        <v>33</v>
      </c>
      <c r="R148" s="91">
        <v>76349.55</v>
      </c>
      <c r="S148" s="92">
        <v>256.86</v>
      </c>
      <c r="T148" s="90">
        <v>2851</v>
      </c>
    </row>
    <row r="149" spans="1:20" x14ac:dyDescent="0.2">
      <c r="A149" s="78">
        <v>2024</v>
      </c>
      <c r="B149" s="79" t="s">
        <v>82</v>
      </c>
      <c r="D149" s="88">
        <v>23532824</v>
      </c>
      <c r="E149" s="88"/>
      <c r="F149" s="89">
        <v>7723518.4299999997</v>
      </c>
      <c r="G149" s="90">
        <v>12317</v>
      </c>
      <c r="H149" s="88">
        <v>4548940</v>
      </c>
      <c r="I149" s="90">
        <v>2226</v>
      </c>
      <c r="J149" s="91">
        <v>9651576.620000001</v>
      </c>
      <c r="K149" s="92">
        <v>26943.02</v>
      </c>
      <c r="L149" s="90">
        <v>132</v>
      </c>
      <c r="M149" s="88">
        <v>14136</v>
      </c>
      <c r="N149" s="90">
        <v>63</v>
      </c>
      <c r="O149" s="91">
        <v>2598.96</v>
      </c>
      <c r="P149" s="93">
        <v>7.2193333333333332</v>
      </c>
      <c r="Q149" s="90">
        <v>33</v>
      </c>
      <c r="R149" s="91">
        <v>69414.710000000006</v>
      </c>
      <c r="S149" s="92">
        <v>256.86</v>
      </c>
      <c r="T149" s="90">
        <v>2851</v>
      </c>
    </row>
    <row r="150" spans="1:20" x14ac:dyDescent="0.2">
      <c r="A150" s="78">
        <v>2024</v>
      </c>
      <c r="B150" s="79" t="s">
        <v>83</v>
      </c>
      <c r="D150" s="88">
        <v>26577704</v>
      </c>
      <c r="E150" s="88"/>
      <c r="F150" s="89">
        <v>9058122.4800000004</v>
      </c>
      <c r="G150" s="90">
        <v>12316</v>
      </c>
      <c r="H150" s="88">
        <v>5110816</v>
      </c>
      <c r="I150" s="90">
        <v>2221</v>
      </c>
      <c r="J150" s="91">
        <v>10773731.710000001</v>
      </c>
      <c r="K150" s="92">
        <v>26691.21</v>
      </c>
      <c r="L150" s="90">
        <v>131</v>
      </c>
      <c r="M150" s="88">
        <v>14136</v>
      </c>
      <c r="N150" s="90">
        <v>63</v>
      </c>
      <c r="O150" s="91">
        <v>2597.7600000000002</v>
      </c>
      <c r="P150" s="93">
        <v>7.2160000000000002</v>
      </c>
      <c r="Q150" s="90">
        <v>33</v>
      </c>
      <c r="R150" s="91">
        <v>77558.880000000005</v>
      </c>
      <c r="S150" s="92">
        <v>256.86</v>
      </c>
      <c r="T150" s="90">
        <v>2851</v>
      </c>
    </row>
    <row r="151" spans="1:20" x14ac:dyDescent="0.2">
      <c r="A151" s="78">
        <v>2024</v>
      </c>
      <c r="B151" s="79" t="s">
        <v>84</v>
      </c>
      <c r="D151" s="88">
        <v>26337062</v>
      </c>
      <c r="E151" s="88"/>
      <c r="F151" s="89">
        <v>8524379.2800000012</v>
      </c>
      <c r="G151" s="90">
        <v>12356</v>
      </c>
      <c r="H151" s="88">
        <v>4911622</v>
      </c>
      <c r="I151" s="90">
        <v>2223</v>
      </c>
      <c r="J151" s="91">
        <v>10785273.189999999</v>
      </c>
      <c r="K151" s="92">
        <v>27230.69</v>
      </c>
      <c r="L151" s="90">
        <v>131</v>
      </c>
      <c r="M151" s="88">
        <v>14136</v>
      </c>
      <c r="N151" s="90">
        <v>63</v>
      </c>
      <c r="O151" s="91">
        <v>2597.7600000000002</v>
      </c>
      <c r="P151" s="93">
        <v>7.2160000000000002</v>
      </c>
      <c r="Q151" s="90">
        <v>33</v>
      </c>
      <c r="R151" s="91">
        <v>80205.72</v>
      </c>
      <c r="S151" s="92">
        <v>256.86</v>
      </c>
      <c r="T151" s="90">
        <v>2851</v>
      </c>
    </row>
    <row r="152" spans="1:20" x14ac:dyDescent="0.2">
      <c r="A152" s="78">
        <v>2024</v>
      </c>
      <c r="B152" s="79" t="s">
        <v>85</v>
      </c>
      <c r="D152" s="88">
        <v>23770050</v>
      </c>
      <c r="E152" s="88"/>
      <c r="F152" s="89">
        <v>7366741.2299999995</v>
      </c>
      <c r="G152" s="90">
        <v>12373</v>
      </c>
      <c r="H152" s="88">
        <v>4387420</v>
      </c>
      <c r="I152" s="90">
        <v>2229</v>
      </c>
      <c r="J152" s="91">
        <v>10188240.93</v>
      </c>
      <c r="K152" s="92">
        <v>27177.1</v>
      </c>
      <c r="L152" s="90">
        <v>134</v>
      </c>
      <c r="M152" s="88">
        <v>14136</v>
      </c>
      <c r="N152" s="90">
        <v>63</v>
      </c>
      <c r="O152" s="91">
        <v>2522.16</v>
      </c>
      <c r="P152" s="93">
        <v>7.0059999999999993</v>
      </c>
      <c r="Q152" s="90">
        <v>32</v>
      </c>
      <c r="R152" s="91">
        <v>83190.95</v>
      </c>
      <c r="S152" s="92">
        <v>256.86</v>
      </c>
      <c r="T152" s="90">
        <v>2851</v>
      </c>
    </row>
    <row r="153" spans="1:20" x14ac:dyDescent="0.2">
      <c r="A153" s="78">
        <v>2024</v>
      </c>
      <c r="B153" s="79" t="s">
        <v>86</v>
      </c>
      <c r="D153" s="88">
        <v>24811935</v>
      </c>
      <c r="E153" s="88"/>
      <c r="F153" s="89">
        <v>8168616.1299999999</v>
      </c>
      <c r="G153" s="90">
        <v>12380</v>
      </c>
      <c r="H153" s="88">
        <v>4472939</v>
      </c>
      <c r="I153" s="90">
        <v>2230</v>
      </c>
      <c r="J153" s="91">
        <v>10234359.210000001</v>
      </c>
      <c r="K153" s="92">
        <v>27061.84</v>
      </c>
      <c r="L153" s="90">
        <v>134</v>
      </c>
      <c r="M153" s="88">
        <v>14136</v>
      </c>
      <c r="N153" s="90">
        <v>63</v>
      </c>
      <c r="O153" s="91">
        <v>2522.16</v>
      </c>
      <c r="P153" s="93">
        <v>7.0059999999999993</v>
      </c>
      <c r="Q153" s="90">
        <v>32</v>
      </c>
      <c r="R153" s="91">
        <v>95655.69</v>
      </c>
      <c r="S153" s="93">
        <v>256.86</v>
      </c>
      <c r="T153" s="90">
        <v>2851</v>
      </c>
    </row>
    <row r="154" spans="1:20" x14ac:dyDescent="0.2">
      <c r="A154" s="78">
        <v>2024</v>
      </c>
      <c r="B154" s="79" t="s">
        <v>87</v>
      </c>
      <c r="D154" s="88">
        <v>26163462</v>
      </c>
      <c r="E154" s="88"/>
      <c r="F154" s="89">
        <v>9364363.0199999996</v>
      </c>
      <c r="G154" s="90">
        <v>12400</v>
      </c>
      <c r="H154" s="88">
        <v>4741669</v>
      </c>
      <c r="I154" s="90">
        <v>2234</v>
      </c>
      <c r="J154" s="91">
        <v>9813567.4499999993</v>
      </c>
      <c r="K154" s="92">
        <v>26418.15</v>
      </c>
      <c r="L154" s="90">
        <v>137</v>
      </c>
      <c r="M154" s="88">
        <v>14136</v>
      </c>
      <c r="N154" s="90">
        <v>63</v>
      </c>
      <c r="O154" s="91">
        <v>2522.16</v>
      </c>
      <c r="P154" s="93">
        <v>7.0059999999999993</v>
      </c>
      <c r="Q154" s="90">
        <v>32</v>
      </c>
      <c r="R154" s="91">
        <v>98115.25</v>
      </c>
      <c r="S154" s="93">
        <v>256.86</v>
      </c>
      <c r="T154" s="90">
        <v>2851</v>
      </c>
    </row>
    <row r="155" spans="1:20" ht="13.5" thickBot="1" x14ac:dyDescent="0.25">
      <c r="A155" s="78">
        <v>2024</v>
      </c>
      <c r="B155" s="79" t="s">
        <v>88</v>
      </c>
      <c r="D155" s="94">
        <v>31129577</v>
      </c>
      <c r="E155" s="94"/>
      <c r="F155" s="89">
        <v>12803072</v>
      </c>
      <c r="G155" s="90">
        <v>12400</v>
      </c>
      <c r="H155" s="94">
        <v>5775781</v>
      </c>
      <c r="I155" s="95">
        <v>2235</v>
      </c>
      <c r="J155" s="96">
        <v>9726367.8599999994</v>
      </c>
      <c r="K155" s="97">
        <v>26859.57</v>
      </c>
      <c r="L155" s="95">
        <v>138</v>
      </c>
      <c r="M155" s="94">
        <v>14136</v>
      </c>
      <c r="N155" s="95">
        <v>63</v>
      </c>
      <c r="O155" s="96">
        <v>2522</v>
      </c>
      <c r="P155" s="98">
        <v>7.0059999999999993</v>
      </c>
      <c r="Q155" s="95">
        <v>32</v>
      </c>
      <c r="R155" s="96">
        <v>106311.19</v>
      </c>
      <c r="S155" s="98">
        <v>256.86</v>
      </c>
      <c r="T155" s="95">
        <v>2851</v>
      </c>
    </row>
  </sheetData>
  <sheetProtection selectLockedCells="1" selectUnlockedCells="1"/>
  <mergeCells count="10">
    <mergeCell ref="A3:G3"/>
    <mergeCell ref="A20:B20"/>
    <mergeCell ref="D20:E20"/>
    <mergeCell ref="F20:T20"/>
    <mergeCell ref="R21:T21"/>
    <mergeCell ref="F21:G21"/>
    <mergeCell ref="H21:I21"/>
    <mergeCell ref="J21:L21"/>
    <mergeCell ref="M21:N21"/>
    <mergeCell ref="O21:Q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N6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62" sqref="H62"/>
    </sheetView>
  </sheetViews>
  <sheetFormatPr defaultRowHeight="12.75" x14ac:dyDescent="0.2"/>
  <cols>
    <col min="1" max="1" width="42.5703125" customWidth="1"/>
    <col min="2" max="2" width="16.140625" bestFit="1" customWidth="1"/>
    <col min="3" max="3" width="14" bestFit="1" customWidth="1"/>
    <col min="4" max="4" width="12.5703125" bestFit="1" customWidth="1"/>
    <col min="5" max="5" width="13.7109375" customWidth="1"/>
    <col min="6" max="8" width="12.5703125" bestFit="1" customWidth="1"/>
    <col min="9" max="11" width="12.5703125" customWidth="1"/>
    <col min="12" max="13" width="12.5703125" bestFit="1" customWidth="1"/>
  </cols>
  <sheetData>
    <row r="1" spans="1:14" ht="15.75" x14ac:dyDescent="0.25">
      <c r="A1" s="24" t="s">
        <v>109</v>
      </c>
    </row>
    <row r="2" spans="1:14" x14ac:dyDescent="0.2">
      <c r="L2" s="26"/>
      <c r="M2" s="26" t="s">
        <v>96</v>
      </c>
    </row>
    <row r="3" spans="1:14" ht="25.5" x14ac:dyDescent="0.2">
      <c r="B3" s="26" t="s">
        <v>97</v>
      </c>
      <c r="C3" s="26" t="s">
        <v>95</v>
      </c>
      <c r="D3" s="26" t="s">
        <v>48</v>
      </c>
      <c r="E3" s="26" t="s">
        <v>49</v>
      </c>
      <c r="F3" s="26" t="s">
        <v>53</v>
      </c>
      <c r="G3" s="26" t="s">
        <v>54</v>
      </c>
      <c r="H3" s="26" t="s">
        <v>94</v>
      </c>
      <c r="I3" s="26" t="s">
        <v>66</v>
      </c>
      <c r="J3" s="26" t="s">
        <v>67</v>
      </c>
      <c r="K3" s="26" t="s">
        <v>108</v>
      </c>
      <c r="L3" s="26" t="s">
        <v>121</v>
      </c>
      <c r="M3" s="26" t="s">
        <v>93</v>
      </c>
    </row>
    <row r="4" spans="1:14" x14ac:dyDescent="0.2">
      <c r="A4" s="12" t="s">
        <v>40</v>
      </c>
      <c r="B4" s="19">
        <f>+'Power Purchased Model'!B152</f>
        <v>319149657</v>
      </c>
      <c r="C4" s="19">
        <f>+'Power Purchased Model'!B153</f>
        <v>308961454</v>
      </c>
      <c r="D4" s="19">
        <f>+'Power Purchased Model'!B154</f>
        <v>302232068</v>
      </c>
      <c r="E4" s="19">
        <f>+'Power Purchased Model'!B155</f>
        <v>297287399</v>
      </c>
      <c r="F4" s="19">
        <f>+'Power Purchased Model'!B156</f>
        <v>309247473</v>
      </c>
      <c r="G4" s="19">
        <f>+'Power Purchased Model'!B157</f>
        <v>309952095.46999997</v>
      </c>
      <c r="H4" s="19">
        <f>+'Power Purchased Model'!B158</f>
        <v>304387702</v>
      </c>
      <c r="I4" s="19">
        <f>+'Power Purchased Model'!B159</f>
        <v>309941422</v>
      </c>
      <c r="J4" s="19">
        <f>+'Power Purchased Model'!B160</f>
        <v>322673989</v>
      </c>
      <c r="K4" s="19">
        <f>+'Power Purchased Model'!B161</f>
        <v>315137434</v>
      </c>
      <c r="L4" s="19">
        <f>'Power Purchased Model'!B162</f>
        <v>317322462</v>
      </c>
    </row>
    <row r="5" spans="1:14" x14ac:dyDescent="0.2">
      <c r="A5" s="12" t="s">
        <v>41</v>
      </c>
      <c r="B5" s="19">
        <f>+'Power Purchased Model'!I152</f>
        <v>309053650.44764197</v>
      </c>
      <c r="C5" s="19">
        <f>+'Power Purchased Model'!I153</f>
        <v>306881369.40230405</v>
      </c>
      <c r="D5" s="19">
        <f>+'Power Purchased Model'!I154</f>
        <v>303651713.3178646</v>
      </c>
      <c r="E5" s="19">
        <f>+'Power Purchased Model'!I155</f>
        <v>304745921.78254604</v>
      </c>
      <c r="F5" s="19">
        <f>+'Power Purchased Model'!I156</f>
        <v>310470786.39033937</v>
      </c>
      <c r="G5" s="19">
        <f>+'Power Purchased Model'!I157</f>
        <v>315285936.05228049</v>
      </c>
      <c r="H5" s="19">
        <f>+'Power Purchased Model'!I158</f>
        <v>307539315.59453505</v>
      </c>
      <c r="I5" s="19">
        <f>+'Power Purchased Model'!I159</f>
        <v>310944826.79909241</v>
      </c>
      <c r="J5" s="19">
        <f>+'Power Purchased Model'!I160</f>
        <v>317030636.12954813</v>
      </c>
      <c r="K5" s="19">
        <f>+'Power Purchased Model'!I161</f>
        <v>315136108.87785494</v>
      </c>
      <c r="L5" s="19">
        <f>+'Power Purchased Model'!I162</f>
        <v>315552890.67599291</v>
      </c>
      <c r="M5" s="19">
        <f>+'Power Purchased Model'!I163</f>
        <v>324424307.55406445</v>
      </c>
    </row>
    <row r="6" spans="1:14" x14ac:dyDescent="0.2">
      <c r="A6" s="12" t="s">
        <v>4</v>
      </c>
      <c r="B6" s="25">
        <f t="shared" ref="B6:K6" si="0">(B5-B4)/B4</f>
        <v>-3.1634082415316622E-2</v>
      </c>
      <c r="C6" s="25">
        <f t="shared" si="0"/>
        <v>-6.732505206607251E-3</v>
      </c>
      <c r="D6" s="25">
        <f t="shared" si="0"/>
        <v>4.6972028059729153E-3</v>
      </c>
      <c r="E6" s="25">
        <f t="shared" si="0"/>
        <v>2.5088593756865032E-2</v>
      </c>
      <c r="F6" s="25">
        <f t="shared" si="0"/>
        <v>3.9557748959823339E-3</v>
      </c>
      <c r="G6" s="25">
        <f t="shared" si="0"/>
        <v>1.720859661939848E-2</v>
      </c>
      <c r="H6" s="25">
        <f t="shared" si="0"/>
        <v>1.0353945227836612E-2</v>
      </c>
      <c r="I6" s="25">
        <f t="shared" si="0"/>
        <v>3.2374014180408966E-3</v>
      </c>
      <c r="J6" s="25">
        <f t="shared" si="0"/>
        <v>-1.7489333081793176E-2</v>
      </c>
      <c r="K6" s="25">
        <f t="shared" si="0"/>
        <v>-4.2049023762017576E-6</v>
      </c>
    </row>
    <row r="7" spans="1:14" x14ac:dyDescent="0.2">
      <c r="A7" s="12"/>
      <c r="B7" s="25"/>
      <c r="C7" s="25"/>
      <c r="D7" s="25"/>
      <c r="E7" s="25"/>
      <c r="F7" s="25"/>
      <c r="G7" s="25"/>
      <c r="H7" s="25"/>
      <c r="I7" s="25"/>
      <c r="J7" s="25"/>
      <c r="K7" s="25"/>
      <c r="L7" s="19"/>
      <c r="M7" s="19"/>
    </row>
    <row r="8" spans="1:14" x14ac:dyDescent="0.2">
      <c r="A8" s="12"/>
      <c r="B8" s="25"/>
      <c r="C8" s="25"/>
      <c r="D8" s="25"/>
      <c r="E8" s="25"/>
      <c r="F8" s="25"/>
      <c r="G8" s="25"/>
      <c r="H8" s="25"/>
      <c r="I8" s="25"/>
      <c r="J8" s="25"/>
      <c r="K8" s="25"/>
      <c r="L8" s="31"/>
      <c r="M8" s="31"/>
    </row>
    <row r="9" spans="1:14" x14ac:dyDescent="0.2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4" x14ac:dyDescent="0.2">
      <c r="A10" s="12" t="s">
        <v>55</v>
      </c>
      <c r="B10" s="5">
        <f>'Rate Class Energy Model'!G3</f>
        <v>297398397.24340039</v>
      </c>
      <c r="C10" s="5">
        <f>'Rate Class Energy Model'!G4</f>
        <v>288752254.73999995</v>
      </c>
      <c r="D10" s="5">
        <f>'Rate Class Energy Model'!G5</f>
        <v>280505070.49164295</v>
      </c>
      <c r="E10" s="5">
        <f>'Rate Class Energy Model'!G6</f>
        <v>279563881.0820545</v>
      </c>
      <c r="F10" s="5">
        <f>'Rate Class Energy Model'!G7</f>
        <v>289620570.18333334</v>
      </c>
      <c r="G10" s="5">
        <f>'Rate Class Energy Model'!G8</f>
        <v>289860628.5</v>
      </c>
      <c r="H10" s="5">
        <f>'Rate Class Energy Model'!G9</f>
        <v>286230671</v>
      </c>
      <c r="I10" s="5">
        <f>'Rate Class Energy Model'!G10</f>
        <v>290240292</v>
      </c>
      <c r="J10" s="5">
        <f>'Rate Class Energy Model'!G11</f>
        <v>303102277</v>
      </c>
      <c r="K10" s="5">
        <f>'Rate Class Energy Model'!G12</f>
        <v>296889108.50999999</v>
      </c>
      <c r="L10" s="5">
        <f>'Rate Class Energy Model'!G13</f>
        <v>296405229.82999998</v>
      </c>
      <c r="M10" s="5">
        <f>'Rate Class Energy Model'!G14</f>
        <v>303742692.05874807</v>
      </c>
    </row>
    <row r="11" spans="1:14" x14ac:dyDescent="0.2">
      <c r="A11" s="12"/>
      <c r="L11" s="5"/>
      <c r="M11" s="5"/>
    </row>
    <row r="12" spans="1:14" ht="15.75" x14ac:dyDescent="0.25">
      <c r="A12" s="24" t="s">
        <v>42</v>
      </c>
      <c r="C12" s="1"/>
      <c r="E12" s="1"/>
      <c r="H12" s="31"/>
    </row>
    <row r="13" spans="1:14" x14ac:dyDescent="0.2">
      <c r="A13" s="23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4" x14ac:dyDescent="0.2">
      <c r="A14" t="s">
        <v>34</v>
      </c>
      <c r="B14" s="5">
        <f>'Rate Class Customer Model'!B3</f>
        <v>10964.083333333334</v>
      </c>
      <c r="C14" s="5">
        <f>'Rate Class Customer Model'!B4</f>
        <v>11020.916666666666</v>
      </c>
      <c r="D14" s="5">
        <f>'Rate Class Customer Model'!B5</f>
        <v>11078.416666666666</v>
      </c>
      <c r="E14" s="5">
        <f>'Rate Class Customer Model'!B6</f>
        <v>11168.75</v>
      </c>
      <c r="F14" s="5">
        <f>'Rate Class Customer Model'!B7</f>
        <v>11288.666666666666</v>
      </c>
      <c r="G14" s="5">
        <f>'Rate Class Customer Model'!B8</f>
        <v>11429.75</v>
      </c>
      <c r="H14" s="5">
        <f>'Rate Class Customer Model'!B9</f>
        <v>11566</v>
      </c>
      <c r="I14" s="5">
        <f>'Rate Class Customer Model'!B10</f>
        <v>11725.916666666666</v>
      </c>
      <c r="J14" s="5">
        <f>'Rate Class Customer Model'!B11</f>
        <v>11911.916666666666</v>
      </c>
      <c r="K14" s="5">
        <f>'Rate Class Customer Model'!B12</f>
        <v>12125.25</v>
      </c>
      <c r="L14" s="5">
        <f>'Rate Class Customer Model'!B13</f>
        <v>12332.666666666666</v>
      </c>
      <c r="M14" s="5">
        <f>'Rate Class Customer Model'!B14</f>
        <v>12503</v>
      </c>
      <c r="N14" s="31"/>
    </row>
    <row r="15" spans="1:14" x14ac:dyDescent="0.2">
      <c r="A15" t="s">
        <v>35</v>
      </c>
      <c r="B15" s="5">
        <f>'Rate Class Energy Model'!H3</f>
        <v>114433382.22499122</v>
      </c>
      <c r="C15" s="5">
        <f>'Rate Class Energy Model'!H4</f>
        <v>108243956.44</v>
      </c>
      <c r="D15" s="5">
        <f>'Rate Class Energy Model'!H5</f>
        <v>104348161.31</v>
      </c>
      <c r="E15" s="30">
        <f>'Rate Class Energy Model'!H6</f>
        <v>103129632.00000001</v>
      </c>
      <c r="F15" s="5">
        <f>'Rate Class Energy Model'!H7</f>
        <v>109427085.33333334</v>
      </c>
      <c r="G15" s="5">
        <f>'Rate Class Energy Model'!H8</f>
        <v>110765686</v>
      </c>
      <c r="H15" s="5">
        <f>'Rate Class Energy Model'!H9</f>
        <v>112437412</v>
      </c>
      <c r="I15" s="5">
        <f>'Rate Class Energy Model'!H10</f>
        <v>112958103</v>
      </c>
      <c r="J15" s="5">
        <f>'Rate Class Energy Model'!H11</f>
        <v>116633398</v>
      </c>
      <c r="K15" s="5">
        <f>'Rate Class Energy Model'!H12</f>
        <v>113520370.27</v>
      </c>
      <c r="L15" s="5">
        <f>'Rate Class Energy Model'!H13</f>
        <v>114578411.06999999</v>
      </c>
      <c r="M15" s="5">
        <f>'Rate Class Energy Model'!H32</f>
        <v>115413813.42248669</v>
      </c>
      <c r="N15" s="31"/>
    </row>
    <row r="16" spans="1:14" x14ac:dyDescent="0.2">
      <c r="C16" s="30"/>
      <c r="F16" s="31"/>
      <c r="G16" s="31"/>
      <c r="I16" s="31"/>
      <c r="J16" s="31"/>
      <c r="K16" s="31"/>
      <c r="L16" s="31"/>
      <c r="M16" s="31"/>
      <c r="N16" s="31"/>
    </row>
    <row r="17" spans="1:14" x14ac:dyDescent="0.2">
      <c r="A17" s="23" t="str">
        <f>'Rate Class Energy Model'!I2</f>
        <v>General Service &lt; 50 kW</v>
      </c>
      <c r="C17" s="42"/>
      <c r="D17" s="1"/>
      <c r="E17" s="1"/>
      <c r="F17" s="1"/>
      <c r="G17" s="5"/>
      <c r="H17" s="5"/>
      <c r="I17" s="5"/>
      <c r="J17" s="5"/>
      <c r="K17" s="5"/>
      <c r="L17" s="5"/>
      <c r="M17" s="5"/>
      <c r="N17" s="31"/>
    </row>
    <row r="18" spans="1:14" ht="13.5" customHeight="1" x14ac:dyDescent="0.2">
      <c r="A18" t="s">
        <v>34</v>
      </c>
      <c r="B18" s="5">
        <f>'Rate Class Customer Model'!C3</f>
        <v>2106</v>
      </c>
      <c r="C18" s="5">
        <f>'Rate Class Customer Model'!C4</f>
        <v>2132.5833333333335</v>
      </c>
      <c r="D18" s="5">
        <f>'Rate Class Customer Model'!C5</f>
        <v>2137.6666666666665</v>
      </c>
      <c r="E18" s="5">
        <f>'Rate Class Customer Model'!C6</f>
        <v>2144.4166666666665</v>
      </c>
      <c r="F18" s="5">
        <f>'Rate Class Customer Model'!C7</f>
        <v>2158.8333333333335</v>
      </c>
      <c r="G18" s="5">
        <f>'Rate Class Customer Model'!C8</f>
        <v>2154.3333333333335</v>
      </c>
      <c r="H18" s="5">
        <f>'Rate Class Customer Model'!C9</f>
        <v>2155.3333333333335</v>
      </c>
      <c r="I18" s="5">
        <f>'Rate Class Customer Model'!C10</f>
        <v>2190.8333333333335</v>
      </c>
      <c r="J18" s="5">
        <f>'Rate Class Customer Model'!C11</f>
        <v>2205.1666666666665</v>
      </c>
      <c r="K18" s="5">
        <f>'Rate Class Customer Model'!C12</f>
        <v>2206.4166666666665</v>
      </c>
      <c r="L18" s="5">
        <f>'Rate Class Customer Model'!C13</f>
        <v>2226.1666666666665</v>
      </c>
      <c r="M18" s="5">
        <f>'Rate Class Customer Model'!C14</f>
        <v>2241</v>
      </c>
      <c r="N18" s="31"/>
    </row>
    <row r="19" spans="1:14" x14ac:dyDescent="0.2">
      <c r="A19" t="s">
        <v>35</v>
      </c>
      <c r="B19" s="5">
        <f>'Rate Class Energy Model'!I3</f>
        <v>58443482.099599421</v>
      </c>
      <c r="C19" s="5">
        <f>'Rate Class Energy Model'!I4</f>
        <v>58492111.439999998</v>
      </c>
      <c r="D19" s="5">
        <f>'Rate Class Energy Model'!I5</f>
        <v>58168701.330000006</v>
      </c>
      <c r="E19" s="5">
        <f>'Rate Class Energy Model'!I6</f>
        <v>57585352</v>
      </c>
      <c r="F19" s="5">
        <f>'Rate Class Energy Model'!I7</f>
        <v>59779468</v>
      </c>
      <c r="G19" s="5">
        <f>'Rate Class Energy Model'!I8</f>
        <v>59276659</v>
      </c>
      <c r="H19" s="5">
        <f>'Rate Class Energy Model'!I9</f>
        <v>54635310</v>
      </c>
      <c r="I19" s="5">
        <f>'Rate Class Energy Model'!I10</f>
        <v>56374252</v>
      </c>
      <c r="J19" s="5">
        <f>'Rate Class Energy Model'!I11</f>
        <v>59995612</v>
      </c>
      <c r="K19" s="5">
        <f>'Rate Class Energy Model'!I12</f>
        <v>59655079</v>
      </c>
      <c r="L19" s="5">
        <f>'Rate Class Energy Model'!I13</f>
        <v>59818358</v>
      </c>
      <c r="M19" s="5">
        <f>'Rate Class Energy Model'!I32</f>
        <v>59829645.043589436</v>
      </c>
      <c r="N19" s="31"/>
    </row>
    <row r="20" spans="1:14" x14ac:dyDescent="0.2">
      <c r="B20" s="5"/>
      <c r="C20" s="1"/>
      <c r="G20" s="31"/>
      <c r="I20" s="31"/>
      <c r="J20" s="31"/>
      <c r="K20" s="31"/>
      <c r="L20" s="31"/>
      <c r="M20" s="31"/>
      <c r="N20" s="31"/>
    </row>
    <row r="21" spans="1:14" x14ac:dyDescent="0.2">
      <c r="A21" s="23" t="str">
        <f>'Rate Class Energy Model'!J2</f>
        <v>General Service &gt; 50 to 4999 kW</v>
      </c>
      <c r="B21" s="5"/>
      <c r="C21" s="1"/>
      <c r="D21" s="1"/>
      <c r="E21" s="1"/>
      <c r="F21" s="1"/>
      <c r="N21" s="31"/>
    </row>
    <row r="22" spans="1:14" x14ac:dyDescent="0.2">
      <c r="A22" t="s">
        <v>34</v>
      </c>
      <c r="B22" s="5">
        <f>'Rate Class Customer Model'!D3</f>
        <v>172</v>
      </c>
      <c r="C22" s="5">
        <f>'Rate Class Customer Model'!D4</f>
        <v>155.83333333333334</v>
      </c>
      <c r="D22" s="5">
        <f>'Rate Class Customer Model'!D5</f>
        <v>149.33333333333334</v>
      </c>
      <c r="E22" s="5">
        <f>'Rate Class Customer Model'!D6</f>
        <v>137.91666666666666</v>
      </c>
      <c r="F22" s="5">
        <f>'Rate Class Customer Model'!D7</f>
        <v>137.5</v>
      </c>
      <c r="G22" s="5">
        <f>'Rate Class Customer Model'!D8</f>
        <v>136.66666666666666</v>
      </c>
      <c r="H22" s="5">
        <f>'Rate Class Customer Model'!D9</f>
        <v>135.83333333333334</v>
      </c>
      <c r="I22" s="5">
        <f>'Rate Class Customer Model'!D10</f>
        <v>130.75</v>
      </c>
      <c r="J22" s="5">
        <f>'Rate Class Customer Model'!D11</f>
        <v>129.08333333333334</v>
      </c>
      <c r="K22" s="5">
        <f>'Rate Class Customer Model'!D12</f>
        <v>130.08333333333334</v>
      </c>
      <c r="L22" s="5">
        <f>'Rate Class Customer Model'!D13</f>
        <v>132.25</v>
      </c>
      <c r="M22" s="5">
        <f>'Rate Class Customer Model'!D14</f>
        <v>140</v>
      </c>
      <c r="N22" s="31"/>
    </row>
    <row r="23" spans="1:14" x14ac:dyDescent="0.2">
      <c r="A23" t="s">
        <v>35</v>
      </c>
      <c r="B23" s="5">
        <f>'Rate Class Energy Model'!J3</f>
        <v>121885729.22737581</v>
      </c>
      <c r="C23" s="5">
        <f>'Rate Class Energy Model'!J4</f>
        <v>119763837.52000001</v>
      </c>
      <c r="D23" s="5">
        <f>'Rate Class Energy Model'!J5</f>
        <v>116637108.60000002</v>
      </c>
      <c r="E23" s="5">
        <f>'Rate Class Energy Model'!J6</f>
        <v>117484141.48363943</v>
      </c>
      <c r="F23" s="5">
        <f>'Rate Class Energy Model'!J7</f>
        <v>119092478.54999998</v>
      </c>
      <c r="G23" s="5">
        <f>'Rate Class Energy Model'!J8</f>
        <v>118495415</v>
      </c>
      <c r="H23" s="5">
        <f>'Rate Class Energy Model'!J9</f>
        <v>117859877</v>
      </c>
      <c r="I23" s="5">
        <f>'Rate Class Energy Model'!J10</f>
        <v>119633612</v>
      </c>
      <c r="J23" s="5">
        <f>'Rate Class Energy Model'!J11</f>
        <v>125207062</v>
      </c>
      <c r="K23" s="5">
        <f>'Rate Class Energy Model'!J12</f>
        <v>122453774.75</v>
      </c>
      <c r="L23" s="5">
        <f>'Rate Class Energy Model'!J13</f>
        <v>120746049.11000001</v>
      </c>
      <c r="M23" s="5">
        <f>'Rate Class Energy Model'!J32</f>
        <v>127238476.53901561</v>
      </c>
      <c r="N23" s="31"/>
    </row>
    <row r="24" spans="1:14" x14ac:dyDescent="0.2">
      <c r="A24" t="s">
        <v>36</v>
      </c>
      <c r="B24" s="5">
        <f>'Rate Class Load Model'!B2</f>
        <v>288260.7</v>
      </c>
      <c r="C24" s="5">
        <f>'Rate Class Load Model'!B3</f>
        <v>288082.36</v>
      </c>
      <c r="D24" s="5">
        <f>'Rate Class Load Model'!B4</f>
        <v>283796.43000000005</v>
      </c>
      <c r="E24" s="5">
        <f>'Rate Class Load Model'!B5</f>
        <v>281771.10000000003</v>
      </c>
      <c r="F24" s="5">
        <f>'Rate Class Load Model'!B6</f>
        <v>288024.30000000005</v>
      </c>
      <c r="G24" s="5">
        <f>'Rate Class Load Model'!B7</f>
        <v>289524.01999999996</v>
      </c>
      <c r="H24" s="5">
        <f>'Rate Class Load Model'!B8</f>
        <v>290762.68</v>
      </c>
      <c r="I24" s="5">
        <f>'Rate Class Load Model'!B9</f>
        <v>285432.01</v>
      </c>
      <c r="J24" s="5">
        <f>'Rate Class Load Model'!B10</f>
        <v>308240.81</v>
      </c>
      <c r="K24" s="5">
        <f>'Rate Class Load Model'!B11</f>
        <v>315533.88999999996</v>
      </c>
      <c r="L24" s="5">
        <f>'Rate Class Load Model'!B12</f>
        <v>313416.03999999998</v>
      </c>
      <c r="M24" s="5">
        <f>'Rate Class Load Model'!B13</f>
        <v>311745.42136929382</v>
      </c>
      <c r="N24" s="31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31"/>
    </row>
    <row r="26" spans="1:14" x14ac:dyDescent="0.2">
      <c r="A26" s="23" t="str">
        <f>'Rate Class Energy Model'!K2</f>
        <v>USL</v>
      </c>
      <c r="E26" s="1"/>
      <c r="F26" s="1"/>
      <c r="H26" s="1"/>
      <c r="K26" s="5"/>
      <c r="N26" s="31"/>
    </row>
    <row r="27" spans="1:14" x14ac:dyDescent="0.2">
      <c r="A27" t="s">
        <v>37</v>
      </c>
      <c r="B27" s="5">
        <f>'Rate Class Customer Model'!E3</f>
        <v>54.75</v>
      </c>
      <c r="C27" s="5">
        <f>'Rate Class Customer Model'!E4</f>
        <v>52.166666666666664</v>
      </c>
      <c r="D27" s="5">
        <f>'Rate Class Customer Model'!E5</f>
        <v>51</v>
      </c>
      <c r="E27" s="5">
        <f>'Rate Class Customer Model'!E6</f>
        <v>51</v>
      </c>
      <c r="F27" s="5">
        <f>'Rate Class Customer Model'!E7</f>
        <v>51</v>
      </c>
      <c r="G27" s="5">
        <f>'Rate Class Customer Model'!E8</f>
        <v>54.583333333333336</v>
      </c>
      <c r="H27" s="5">
        <f>'Rate Class Customer Model'!E9</f>
        <v>56</v>
      </c>
      <c r="I27" s="5">
        <f>'Rate Class Customer Model'!E10</f>
        <v>64.5</v>
      </c>
      <c r="J27" s="5">
        <f>'Rate Class Customer Model'!E11</f>
        <v>64.25</v>
      </c>
      <c r="K27" s="5">
        <f>'Rate Class Customer Model'!E12</f>
        <v>63.333333333333336</v>
      </c>
      <c r="L27" s="5">
        <f>'Rate Class Customer Model'!E13</f>
        <v>63</v>
      </c>
      <c r="M27" s="5">
        <f>'Rate Class Customer Model'!E14</f>
        <v>63</v>
      </c>
      <c r="N27" s="31"/>
    </row>
    <row r="28" spans="1:14" x14ac:dyDescent="0.2">
      <c r="A28" t="s">
        <v>35</v>
      </c>
      <c r="B28" s="5">
        <f>'Rate Class Energy Model'!K3</f>
        <v>180165.06688870382</v>
      </c>
      <c r="C28" s="5">
        <f>'Rate Class Energy Model'!K4</f>
        <v>173556</v>
      </c>
      <c r="D28" s="5">
        <f>'Rate Class Energy Model'!K5</f>
        <v>166068</v>
      </c>
      <c r="E28" s="5">
        <f>'Rate Class Energy Model'!K6</f>
        <v>166068</v>
      </c>
      <c r="F28" s="5">
        <f>'Rate Class Energy Model'!K7</f>
        <v>166686</v>
      </c>
      <c r="G28" s="5">
        <f>'Rate Class Energy Model'!K8</f>
        <v>172797</v>
      </c>
      <c r="H28" s="5">
        <f>'Rate Class Energy Model'!K9</f>
        <v>173568</v>
      </c>
      <c r="I28" s="5">
        <f>'Rate Class Energy Model'!K10</f>
        <v>178362</v>
      </c>
      <c r="J28" s="5">
        <f>'Rate Class Energy Model'!K11</f>
        <v>172344</v>
      </c>
      <c r="K28" s="5">
        <f>'Rate Class Energy Model'!K12</f>
        <v>169785</v>
      </c>
      <c r="L28" s="5">
        <f>'Rate Class Energy Model'!K13</f>
        <v>169657</v>
      </c>
      <c r="M28" s="5">
        <f>'Rate Class Energy Model'!K32</f>
        <v>169657</v>
      </c>
      <c r="N28" s="31"/>
    </row>
    <row r="29" spans="1:14" x14ac:dyDescent="0.2">
      <c r="H29" s="5"/>
      <c r="I29" s="5"/>
      <c r="K29" s="5"/>
      <c r="L29" s="5"/>
      <c r="M29" s="5"/>
    </row>
    <row r="30" spans="1:14" x14ac:dyDescent="0.2">
      <c r="A30" s="23" t="str">
        <f>'Rate Class Energy Model'!L2</f>
        <v>Sentinel Lighting</v>
      </c>
      <c r="E30" s="1"/>
      <c r="G30" s="1"/>
      <c r="K30" s="16"/>
    </row>
    <row r="31" spans="1:14" x14ac:dyDescent="0.2">
      <c r="A31" t="s">
        <v>37</v>
      </c>
      <c r="B31" s="5">
        <f>'Rate Class Customer Model'!F3</f>
        <v>56.666666666666664</v>
      </c>
      <c r="C31" s="5">
        <f>'Rate Class Customer Model'!F4</f>
        <v>53</v>
      </c>
      <c r="D31" s="5">
        <f>'Rate Class Customer Model'!F5</f>
        <v>52.333333333333336</v>
      </c>
      <c r="E31" s="5">
        <f>'Rate Class Customer Model'!F6</f>
        <v>45.5</v>
      </c>
      <c r="F31" s="5">
        <f>'Rate Class Customer Model'!F7</f>
        <v>44</v>
      </c>
      <c r="G31" s="5">
        <f>'Rate Class Customer Model'!F8</f>
        <v>41.25</v>
      </c>
      <c r="H31" s="5">
        <f>'Rate Class Customer Model'!F9</f>
        <v>40</v>
      </c>
      <c r="I31" s="5">
        <f>'Rate Class Customer Model'!F10</f>
        <v>40</v>
      </c>
      <c r="J31" s="5">
        <f>'Rate Class Customer Model'!F11</f>
        <v>37.583333333333336</v>
      </c>
      <c r="K31" s="5">
        <f>'Rate Class Customer Model'!F12</f>
        <v>32.5</v>
      </c>
      <c r="L31" s="5">
        <f>'Rate Class Customer Model'!F13</f>
        <v>32.666666666666664</v>
      </c>
      <c r="M31" s="5">
        <f>'Rate Class Customer Model'!F14</f>
        <v>30.915945739990271</v>
      </c>
    </row>
    <row r="32" spans="1:14" x14ac:dyDescent="0.2">
      <c r="A32" t="s">
        <v>35</v>
      </c>
      <c r="B32" s="5">
        <f>'Rate Class Energy Model'!L3</f>
        <v>50003.862623739478</v>
      </c>
      <c r="C32" s="5">
        <f>'Rate Class Energy Model'!L4</f>
        <v>49108.439999999988</v>
      </c>
      <c r="D32" s="5">
        <f>'Rate Class Energy Model'!L5</f>
        <v>48745.789999999994</v>
      </c>
      <c r="E32" s="5">
        <f>'Rate Class Energy Model'!L6</f>
        <v>44233.600000000006</v>
      </c>
      <c r="F32" s="5">
        <f>'Rate Class Energy Model'!L7</f>
        <v>40821.300000000003</v>
      </c>
      <c r="G32" s="5">
        <f>'Rate Class Energy Model'!L8</f>
        <v>39113.5</v>
      </c>
      <c r="H32" s="5">
        <f>'Rate Class Energy Model'!L9</f>
        <v>37289</v>
      </c>
      <c r="I32" s="5">
        <f>'Rate Class Energy Model'!L10</f>
        <v>37046</v>
      </c>
      <c r="J32" s="5">
        <f>'Rate Class Energy Model'!L11</f>
        <v>34937</v>
      </c>
      <c r="K32" s="5">
        <f>'Rate Class Energy Model'!L12</f>
        <v>31175.760000000002</v>
      </c>
      <c r="L32" s="5">
        <f>'Rate Class Energy Model'!L13</f>
        <v>30873.080000000005</v>
      </c>
      <c r="M32" s="5">
        <f>'Rate Class Energy Model'!L32</f>
        <v>29218.483656317727</v>
      </c>
    </row>
    <row r="33" spans="1:13" x14ac:dyDescent="0.2">
      <c r="A33" t="s">
        <v>36</v>
      </c>
      <c r="B33" s="5">
        <f>'Rate Class Load Model'!C2</f>
        <v>138.89961839927633</v>
      </c>
      <c r="C33" s="5">
        <f>'Rate Class Load Model'!C3</f>
        <v>136.41233333333329</v>
      </c>
      <c r="D33" s="5">
        <f>'Rate Class Load Model'!C4</f>
        <v>135.40497222222223</v>
      </c>
      <c r="E33" s="5">
        <f>'Rate Class Load Model'!C5</f>
        <v>122.87111111111111</v>
      </c>
      <c r="F33" s="5">
        <f>'Rate Class Load Model'!C6</f>
        <v>113.39249999999998</v>
      </c>
      <c r="G33" s="5">
        <f>'Rate Class Load Model'!C7</f>
        <v>108.64861111111111</v>
      </c>
      <c r="H33" s="5">
        <f>'Rate Class Load Model'!C8</f>
        <v>103.58055555555556</v>
      </c>
      <c r="I33" s="5">
        <f>'Rate Class Load Model'!C9</f>
        <v>102.90555555555558</v>
      </c>
      <c r="J33" s="5">
        <f>'Rate Class Load Model'!C10</f>
        <v>97.047222222222217</v>
      </c>
      <c r="K33" s="5">
        <f>'Rate Class Load Model'!C11</f>
        <v>86.600000000000009</v>
      </c>
      <c r="L33" s="5">
        <f>'Rate Class Load Model'!C12</f>
        <v>85.759</v>
      </c>
      <c r="M33" s="5">
        <f>'Rate Class Load Model'!C13</f>
        <v>81.162549640620455</v>
      </c>
    </row>
    <row r="35" spans="1:13" x14ac:dyDescent="0.2">
      <c r="A35" s="23" t="str">
        <f>'Rate Class Energy Model'!M2</f>
        <v>Street Lighting</v>
      </c>
      <c r="E35" s="1"/>
      <c r="F35" s="1"/>
      <c r="G35" s="1"/>
      <c r="H35" s="1"/>
    </row>
    <row r="36" spans="1:13" x14ac:dyDescent="0.2">
      <c r="A36" t="s">
        <v>37</v>
      </c>
      <c r="B36" s="5">
        <f>'Rate Class Customer Model'!G3</f>
        <v>2843.6666666666665</v>
      </c>
      <c r="C36" s="5">
        <f>'Rate Class Customer Model'!G4</f>
        <v>2766.0833333333335</v>
      </c>
      <c r="D36" s="5">
        <f>'Rate Class Customer Model'!G5</f>
        <v>2679.1666666666665</v>
      </c>
      <c r="E36" s="5">
        <f>'Rate Class Customer Model'!G6</f>
        <v>2848.3333333333335</v>
      </c>
      <c r="F36" s="5">
        <f>'Rate Class Customer Model'!G7</f>
        <v>2849</v>
      </c>
      <c r="G36" s="5">
        <f>'Rate Class Customer Model'!G8</f>
        <v>2849.1666666666665</v>
      </c>
      <c r="H36" s="5">
        <f>'Rate Class Customer Model'!G9</f>
        <v>2851</v>
      </c>
      <c r="I36" s="5">
        <f>'Rate Class Customer Model'!G10</f>
        <v>2851</v>
      </c>
      <c r="J36" s="5">
        <f>'Rate Class Customer Model'!G11</f>
        <v>2851</v>
      </c>
      <c r="K36" s="5">
        <f>'Rate Class Customer Model'!G12</f>
        <v>2851</v>
      </c>
      <c r="L36" s="5">
        <f>'Rate Class Customer Model'!G13</f>
        <v>2851</v>
      </c>
      <c r="M36" s="5">
        <f>'Rate Class Customer Model'!G14</f>
        <v>2851</v>
      </c>
    </row>
    <row r="37" spans="1:13" x14ac:dyDescent="0.2">
      <c r="A37" t="s">
        <v>35</v>
      </c>
      <c r="B37" s="5">
        <f>'Rate Class Energy Model'!M3</f>
        <v>2405634.7619215469</v>
      </c>
      <c r="C37" s="5">
        <f>'Rate Class Energy Model'!M4</f>
        <v>2029684.9000000004</v>
      </c>
      <c r="D37" s="5">
        <f>'Rate Class Energy Model'!M5</f>
        <v>1136285.4616429303</v>
      </c>
      <c r="E37" s="5">
        <f>'Rate Class Energy Model'!M6</f>
        <v>1154453.9984150699</v>
      </c>
      <c r="F37" s="5">
        <f>'Rate Class Energy Model'!M7</f>
        <v>1114031</v>
      </c>
      <c r="G37" s="5">
        <f>'Rate Class Energy Model'!M8</f>
        <v>1110958</v>
      </c>
      <c r="H37" s="5">
        <f>'Rate Class Energy Model'!M9</f>
        <v>1087215</v>
      </c>
      <c r="I37" s="5">
        <f>'Rate Class Energy Model'!M10</f>
        <v>1058917</v>
      </c>
      <c r="J37" s="5">
        <f>'Rate Class Energy Model'!M11</f>
        <v>1058924</v>
      </c>
      <c r="K37" s="5">
        <f>'Rate Class Energy Model'!M12</f>
        <v>1058923.73</v>
      </c>
      <c r="L37" s="5">
        <f>'Rate Class Energy Model'!M13</f>
        <v>1061881.5699999998</v>
      </c>
      <c r="M37" s="5">
        <f>'Rate Class Energy Model'!M32</f>
        <v>1061881.5699999998</v>
      </c>
    </row>
    <row r="38" spans="1:13" x14ac:dyDescent="0.2">
      <c r="A38" t="s">
        <v>36</v>
      </c>
      <c r="B38" s="5">
        <f>'Rate Class Load Model'!D2</f>
        <v>6610.2200000000012</v>
      </c>
      <c r="C38" s="5">
        <f>'Rate Class Load Model'!D3</f>
        <v>5922.15</v>
      </c>
      <c r="D38" s="5">
        <f>'Rate Class Load Model'!D4</f>
        <v>3094.04</v>
      </c>
      <c r="E38" s="5">
        <f>'Rate Class Load Model'!D5</f>
        <v>3196.5600000000009</v>
      </c>
      <c r="F38" s="5">
        <f>'Rate Class Load Model'!D6</f>
        <v>3087.5699999999993</v>
      </c>
      <c r="G38" s="5">
        <f>'Rate Class Load Model'!D7</f>
        <v>3074.1600000000003</v>
      </c>
      <c r="H38" s="5">
        <f>'Rate Class Load Model'!D8</f>
        <v>3080.420000000001</v>
      </c>
      <c r="I38" s="5">
        <f>'Rate Class Load Model'!D9</f>
        <v>3082.3200000000011</v>
      </c>
      <c r="J38" s="5">
        <f>'Rate Class Load Model'!D10</f>
        <v>3082.3200000000011</v>
      </c>
      <c r="K38" s="5">
        <f>'Rate Class Load Model'!D11</f>
        <v>3082.6000000000008</v>
      </c>
      <c r="L38" s="5">
        <f>'Rate Class Load Model'!D12</f>
        <v>3082.3200000000011</v>
      </c>
      <c r="M38" s="5">
        <f>'Rate Class Load Model'!D13</f>
        <v>3008.4814552397265</v>
      </c>
    </row>
    <row r="40" spans="1:13" x14ac:dyDescent="0.2">
      <c r="A40" s="23" t="s">
        <v>5</v>
      </c>
      <c r="C40" s="1"/>
      <c r="E40" s="1"/>
      <c r="H40" s="39"/>
    </row>
    <row r="41" spans="1:13" x14ac:dyDescent="0.2">
      <c r="A41" t="s">
        <v>39</v>
      </c>
      <c r="B41" s="5">
        <f>+B14+B18+B22+B27+B31+B36</f>
        <v>16197.166666666666</v>
      </c>
      <c r="C41" s="5">
        <f t="shared" ref="C41:M41" si="1">+C14+C18+C22+C27+C31+C36</f>
        <v>16180.583333333334</v>
      </c>
      <c r="D41" s="5">
        <f t="shared" si="1"/>
        <v>16147.916666666666</v>
      </c>
      <c r="E41" s="5">
        <f t="shared" si="1"/>
        <v>16395.916666666664</v>
      </c>
      <c r="F41" s="5">
        <f t="shared" si="1"/>
        <v>16529</v>
      </c>
      <c r="G41" s="5">
        <f t="shared" si="1"/>
        <v>16665.75</v>
      </c>
      <c r="H41" s="5">
        <f t="shared" si="1"/>
        <v>16804.166666666668</v>
      </c>
      <c r="I41" s="5">
        <f t="shared" si="1"/>
        <v>17003</v>
      </c>
      <c r="J41" s="5">
        <f t="shared" si="1"/>
        <v>17199</v>
      </c>
      <c r="K41" s="5">
        <f t="shared" si="1"/>
        <v>17408.583333333336</v>
      </c>
      <c r="L41" s="5">
        <f t="shared" si="1"/>
        <v>17637.75</v>
      </c>
      <c r="M41" s="5">
        <f t="shared" si="1"/>
        <v>17828.915945739991</v>
      </c>
    </row>
    <row r="42" spans="1:13" x14ac:dyDescent="0.2">
      <c r="A42" t="s">
        <v>35</v>
      </c>
      <c r="B42" s="5">
        <f>+B15+B19+B23+B28+B32+B37</f>
        <v>297398397.24340039</v>
      </c>
      <c r="C42" s="5">
        <f t="shared" ref="C42:M42" si="2">+C15+C19+C23+C28+C32+C37</f>
        <v>288752254.73999995</v>
      </c>
      <c r="D42" s="5">
        <f t="shared" si="2"/>
        <v>280505070.49164295</v>
      </c>
      <c r="E42" s="5">
        <f t="shared" si="2"/>
        <v>279563881.0820545</v>
      </c>
      <c r="F42" s="5">
        <f t="shared" si="2"/>
        <v>289620570.18333334</v>
      </c>
      <c r="G42" s="5">
        <f t="shared" si="2"/>
        <v>289860628.5</v>
      </c>
      <c r="H42" s="5">
        <f t="shared" si="2"/>
        <v>286230671</v>
      </c>
      <c r="I42" s="5">
        <f t="shared" si="2"/>
        <v>290240292</v>
      </c>
      <c r="J42" s="5">
        <f t="shared" si="2"/>
        <v>303102277</v>
      </c>
      <c r="K42" s="5">
        <f t="shared" si="2"/>
        <v>296889108.50999999</v>
      </c>
      <c r="L42" s="5">
        <f t="shared" si="2"/>
        <v>296405229.82999998</v>
      </c>
      <c r="M42" s="5">
        <f t="shared" si="2"/>
        <v>303742692.05874807</v>
      </c>
    </row>
    <row r="43" spans="1:13" x14ac:dyDescent="0.2">
      <c r="A43" t="s">
        <v>38</v>
      </c>
      <c r="B43" s="5">
        <f>B24+B33+B38</f>
        <v>295009.81961839925</v>
      </c>
      <c r="C43" s="5">
        <f t="shared" ref="C43:M43" si="3">C24+C33+C38</f>
        <v>294140.92233333335</v>
      </c>
      <c r="D43" s="5">
        <f t="shared" si="3"/>
        <v>287025.87497222226</v>
      </c>
      <c r="E43" s="5">
        <f t="shared" si="3"/>
        <v>285090.53111111117</v>
      </c>
      <c r="F43" s="5">
        <f t="shared" si="3"/>
        <v>291225.26250000007</v>
      </c>
      <c r="G43" s="5">
        <f t="shared" si="3"/>
        <v>292706.82861111104</v>
      </c>
      <c r="H43" s="5">
        <f t="shared" si="3"/>
        <v>293946.6805555555</v>
      </c>
      <c r="I43" s="5">
        <f t="shared" si="3"/>
        <v>288617.23555555556</v>
      </c>
      <c r="J43" s="5">
        <f t="shared" si="3"/>
        <v>311420.17722222221</v>
      </c>
      <c r="K43" s="5">
        <f t="shared" si="3"/>
        <v>318703.08999999991</v>
      </c>
      <c r="L43" s="5">
        <f t="shared" si="3"/>
        <v>316584.11900000001</v>
      </c>
      <c r="M43" s="5">
        <f t="shared" si="3"/>
        <v>314835.06537417416</v>
      </c>
    </row>
    <row r="44" spans="1:13" x14ac:dyDescent="0.2">
      <c r="C44" s="39"/>
      <c r="D44" s="1"/>
      <c r="E44" s="1"/>
      <c r="F44" s="1"/>
    </row>
    <row r="45" spans="1:13" x14ac:dyDescent="0.2">
      <c r="A45" t="s">
        <v>39</v>
      </c>
      <c r="B45" s="5">
        <f>'Rate Class Customer Model'!H3</f>
        <v>16197.166666666666</v>
      </c>
      <c r="C45" s="5">
        <f>'Rate Class Customer Model'!H4</f>
        <v>16180.583333333334</v>
      </c>
      <c r="D45" s="5">
        <f>'Rate Class Customer Model'!H5</f>
        <v>16147.916666666666</v>
      </c>
      <c r="E45" s="5">
        <f>'Rate Class Customer Model'!H6</f>
        <v>16395.916666666664</v>
      </c>
      <c r="F45" s="5">
        <f>'Rate Class Customer Model'!H7</f>
        <v>16529</v>
      </c>
      <c r="G45" s="5">
        <f>'Rate Class Customer Model'!H8</f>
        <v>16665.75</v>
      </c>
      <c r="H45" s="5">
        <f>'Rate Class Customer Model'!H9</f>
        <v>16804.166666666668</v>
      </c>
      <c r="I45" s="5">
        <f>'Rate Class Customer Model'!H10</f>
        <v>17003</v>
      </c>
      <c r="J45" s="5">
        <f>'Rate Class Customer Model'!H11</f>
        <v>17199</v>
      </c>
      <c r="K45" s="5">
        <f>'Rate Class Customer Model'!H12</f>
        <v>17408.583333333336</v>
      </c>
      <c r="L45" s="5">
        <f>'Rate Class Customer Model'!H13</f>
        <v>17637.75</v>
      </c>
      <c r="M45" s="5">
        <f>'Rate Class Customer Model'!H14</f>
        <v>17828.915945739991</v>
      </c>
    </row>
    <row r="46" spans="1:13" x14ac:dyDescent="0.2">
      <c r="A46" t="s">
        <v>35</v>
      </c>
      <c r="B46" s="5">
        <f>'Rate Class Energy Model'!G3</f>
        <v>297398397.24340039</v>
      </c>
      <c r="C46" s="5">
        <f>'Rate Class Energy Model'!G4</f>
        <v>288752254.73999995</v>
      </c>
      <c r="D46" s="5">
        <f>'Rate Class Energy Model'!G5</f>
        <v>280505070.49164295</v>
      </c>
      <c r="E46" s="5">
        <f>'Rate Class Energy Model'!G6</f>
        <v>279563881.0820545</v>
      </c>
      <c r="F46" s="5">
        <f>'Rate Class Energy Model'!G7</f>
        <v>289620570.18333334</v>
      </c>
      <c r="G46" s="5">
        <f>'Rate Class Energy Model'!G8</f>
        <v>289860628.5</v>
      </c>
      <c r="H46" s="5">
        <f>'Rate Class Energy Model'!G9</f>
        <v>286230671</v>
      </c>
      <c r="I46" s="5">
        <f>'Rate Class Energy Model'!G10</f>
        <v>290240292</v>
      </c>
      <c r="J46" s="5">
        <f>'Rate Class Energy Model'!G11</f>
        <v>303102277</v>
      </c>
      <c r="K46" s="5">
        <f>'Rate Class Energy Model'!G12</f>
        <v>296889108.50999999</v>
      </c>
      <c r="L46" s="5">
        <f>'Rate Class Energy Model'!G13</f>
        <v>296405229.82999998</v>
      </c>
      <c r="M46" s="5">
        <f>'Rate Class Energy Model'!G14</f>
        <v>303742692.05874807</v>
      </c>
    </row>
    <row r="47" spans="1:13" x14ac:dyDescent="0.2">
      <c r="A47" t="s">
        <v>38</v>
      </c>
      <c r="B47" s="5">
        <f>'Rate Class Load Model'!E2</f>
        <v>295009.81961839925</v>
      </c>
      <c r="C47" s="5">
        <f>'Rate Class Load Model'!E3</f>
        <v>294140.92233333335</v>
      </c>
      <c r="D47" s="5">
        <f>'Rate Class Load Model'!E4</f>
        <v>287025.87497222226</v>
      </c>
      <c r="E47" s="5">
        <f>'Rate Class Load Model'!E5</f>
        <v>285090.53111111117</v>
      </c>
      <c r="F47" s="5">
        <f>'Rate Class Load Model'!E6</f>
        <v>291225.26250000007</v>
      </c>
      <c r="G47" s="5">
        <f>'Rate Class Load Model'!E7</f>
        <v>292706.82861111104</v>
      </c>
      <c r="H47" s="5">
        <f>'Rate Class Load Model'!E8</f>
        <v>293946.6805555555</v>
      </c>
      <c r="I47" s="5">
        <f>'Rate Class Load Model'!E9</f>
        <v>288617.23555555556</v>
      </c>
      <c r="J47" s="5">
        <f>'Rate Class Load Model'!E10</f>
        <v>311420.17722222221</v>
      </c>
      <c r="K47" s="5">
        <f>'Rate Class Load Model'!E11</f>
        <v>318703.08999999991</v>
      </c>
      <c r="L47" s="5">
        <f>'Rate Class Load Model'!E12</f>
        <v>316584.11900000001</v>
      </c>
      <c r="M47" s="5">
        <f>'Rate Class Load Model'!E13</f>
        <v>314835.06537417416</v>
      </c>
    </row>
    <row r="49" spans="1:13" hidden="1" x14ac:dyDescent="0.2">
      <c r="A49" t="s">
        <v>39</v>
      </c>
      <c r="H49" s="5">
        <f>'Rate Class Load Model'!E12</f>
        <v>316584.11900000001</v>
      </c>
      <c r="I49" s="5" t="e">
        <f>#REF!</f>
        <v>#REF!</v>
      </c>
      <c r="J49" s="5"/>
      <c r="K49" s="5"/>
      <c r="L49" s="5" t="e">
        <f>#REF!</f>
        <v>#REF!</v>
      </c>
      <c r="M49" s="5" t="e">
        <f>#REF!</f>
        <v>#REF!</v>
      </c>
    </row>
    <row r="50" spans="1:13" hidden="1" x14ac:dyDescent="0.2">
      <c r="A50" t="s">
        <v>35</v>
      </c>
      <c r="H50" s="5">
        <f>'Rate Class Load Model'!E13</f>
        <v>314835.06537417416</v>
      </c>
      <c r="I50" s="5" t="e">
        <f>#REF!</f>
        <v>#REF!</v>
      </c>
      <c r="J50" s="5"/>
      <c r="K50" s="5"/>
      <c r="L50" s="5" t="e">
        <f>#REF!</f>
        <v>#REF!</v>
      </c>
      <c r="M50" s="5" t="e">
        <f>#REF!</f>
        <v>#REF!</v>
      </c>
    </row>
    <row r="51" spans="1:13" hidden="1" x14ac:dyDescent="0.2">
      <c r="A51" t="s">
        <v>38</v>
      </c>
      <c r="H51" s="5">
        <f>'Rate Class Load Model'!E14</f>
        <v>0</v>
      </c>
      <c r="I51" s="5" t="e">
        <f>#REF!</f>
        <v>#REF!</v>
      </c>
      <c r="J51" s="5"/>
      <c r="K51" s="5"/>
      <c r="L51" s="5" t="e">
        <f>#REF!</f>
        <v>#REF!</v>
      </c>
      <c r="M51" s="5" t="e">
        <f>#REF!</f>
        <v>#REF!</v>
      </c>
    </row>
    <row r="52" spans="1:13" hidden="1" x14ac:dyDescent="0.2">
      <c r="H52" s="5">
        <f>'Rate Class Load Model'!E15</f>
        <v>0</v>
      </c>
    </row>
    <row r="53" spans="1:13" hidden="1" x14ac:dyDescent="0.2">
      <c r="A53" t="s">
        <v>39</v>
      </c>
      <c r="H53" s="5">
        <f>'Rate Class Load Model'!E16</f>
        <v>0</v>
      </c>
      <c r="I53" s="5" t="e">
        <f>#REF!-I49</f>
        <v>#REF!</v>
      </c>
      <c r="J53" s="5"/>
      <c r="K53" s="5"/>
      <c r="L53" s="5" t="e">
        <f>#REF!-L49</f>
        <v>#REF!</v>
      </c>
      <c r="M53" s="5" t="e">
        <f>#REF!-M49</f>
        <v>#REF!</v>
      </c>
    </row>
    <row r="54" spans="1:13" hidden="1" x14ac:dyDescent="0.2">
      <c r="A54" t="s">
        <v>35</v>
      </c>
      <c r="H54" s="5">
        <f>'Rate Class Load Model'!E17</f>
        <v>0</v>
      </c>
      <c r="I54" s="5" t="e">
        <f>#REF!-I50</f>
        <v>#REF!</v>
      </c>
      <c r="J54" s="5"/>
      <c r="K54" s="5"/>
      <c r="L54" s="5" t="e">
        <f>#REF!-L50</f>
        <v>#REF!</v>
      </c>
      <c r="M54" s="5" t="e">
        <f>#REF!-M50</f>
        <v>#REF!</v>
      </c>
    </row>
    <row r="55" spans="1:13" hidden="1" x14ac:dyDescent="0.2">
      <c r="A55" t="s">
        <v>38</v>
      </c>
      <c r="H55" s="5">
        <f>'Rate Class Load Model'!E18</f>
        <v>0</v>
      </c>
      <c r="I55" s="5" t="e">
        <f>#REF!-I51</f>
        <v>#REF!</v>
      </c>
      <c r="J55" s="5"/>
      <c r="K55" s="5"/>
      <c r="L55" s="5" t="e">
        <f>#REF!-L51</f>
        <v>#REF!</v>
      </c>
      <c r="M55" s="5" t="e">
        <f>#REF!-M51</f>
        <v>#REF!</v>
      </c>
    </row>
    <row r="56" spans="1:13" hidden="1" x14ac:dyDescent="0.2">
      <c r="H56" s="5">
        <f>'Rate Class Load Model'!E19</f>
        <v>0</v>
      </c>
    </row>
    <row r="57" spans="1:13" x14ac:dyDescent="0.2">
      <c r="A57" s="38" t="s">
        <v>10</v>
      </c>
      <c r="H57" s="5"/>
    </row>
    <row r="58" spans="1:13" x14ac:dyDescent="0.2">
      <c r="A58" t="s">
        <v>39</v>
      </c>
      <c r="B58" s="5">
        <f t="shared" ref="B58:M58" si="4">B41-B45</f>
        <v>0</v>
      </c>
      <c r="C58" s="5">
        <f t="shared" si="4"/>
        <v>0</v>
      </c>
      <c r="D58" s="5">
        <f t="shared" si="4"/>
        <v>0</v>
      </c>
      <c r="E58" s="5">
        <f t="shared" si="4"/>
        <v>0</v>
      </c>
      <c r="F58" s="5">
        <f t="shared" si="4"/>
        <v>0</v>
      </c>
      <c r="G58" s="5">
        <f t="shared" si="4"/>
        <v>0</v>
      </c>
      <c r="H58" s="5">
        <f t="shared" si="4"/>
        <v>0</v>
      </c>
      <c r="I58" s="5">
        <f t="shared" si="4"/>
        <v>0</v>
      </c>
      <c r="J58" s="5">
        <f t="shared" ref="J58:K60" si="5">J41-J45</f>
        <v>0</v>
      </c>
      <c r="K58" s="5">
        <f t="shared" si="5"/>
        <v>0</v>
      </c>
      <c r="L58" s="5">
        <f t="shared" si="4"/>
        <v>0</v>
      </c>
      <c r="M58" s="5">
        <f t="shared" si="4"/>
        <v>0</v>
      </c>
    </row>
    <row r="59" spans="1:13" x14ac:dyDescent="0.2">
      <c r="A59" t="s">
        <v>35</v>
      </c>
      <c r="B59" s="5">
        <f>B42-B46</f>
        <v>0</v>
      </c>
      <c r="C59" s="5">
        <f t="shared" ref="C59:M59" si="6">C42-C46</f>
        <v>0</v>
      </c>
      <c r="D59" s="5">
        <f t="shared" si="6"/>
        <v>0</v>
      </c>
      <c r="E59" s="5">
        <f t="shared" si="6"/>
        <v>0</v>
      </c>
      <c r="F59" s="5">
        <f t="shared" si="6"/>
        <v>0</v>
      </c>
      <c r="G59" s="5">
        <f t="shared" si="6"/>
        <v>0</v>
      </c>
      <c r="H59" s="5">
        <f t="shared" si="6"/>
        <v>0</v>
      </c>
      <c r="I59" s="5">
        <f t="shared" si="6"/>
        <v>0</v>
      </c>
      <c r="J59" s="5">
        <f t="shared" si="5"/>
        <v>0</v>
      </c>
      <c r="K59" s="5">
        <f t="shared" si="5"/>
        <v>0</v>
      </c>
      <c r="L59" s="5">
        <f t="shared" si="6"/>
        <v>0</v>
      </c>
      <c r="M59" s="5">
        <f t="shared" si="6"/>
        <v>0</v>
      </c>
    </row>
    <row r="60" spans="1:13" x14ac:dyDescent="0.2">
      <c r="A60" t="s">
        <v>38</v>
      </c>
      <c r="B60" s="5">
        <f t="shared" ref="B60:M60" si="7">B43-B47</f>
        <v>0</v>
      </c>
      <c r="C60" s="5">
        <f t="shared" si="7"/>
        <v>0</v>
      </c>
      <c r="D60" s="5">
        <f t="shared" si="7"/>
        <v>0</v>
      </c>
      <c r="E60" s="5">
        <f t="shared" si="7"/>
        <v>0</v>
      </c>
      <c r="F60" s="5">
        <f t="shared" si="7"/>
        <v>0</v>
      </c>
      <c r="G60" s="5">
        <f t="shared" si="7"/>
        <v>0</v>
      </c>
      <c r="H60" s="5">
        <f t="shared" si="7"/>
        <v>0</v>
      </c>
      <c r="I60" s="5">
        <f t="shared" si="7"/>
        <v>0</v>
      </c>
      <c r="J60" s="5">
        <f t="shared" si="5"/>
        <v>0</v>
      </c>
      <c r="K60" s="5">
        <f t="shared" si="5"/>
        <v>0</v>
      </c>
      <c r="L60" s="5">
        <f t="shared" si="7"/>
        <v>0</v>
      </c>
      <c r="M60" s="5">
        <f t="shared" si="7"/>
        <v>0</v>
      </c>
    </row>
    <row r="62" spans="1:13" x14ac:dyDescent="0.2">
      <c r="H62" s="31">
        <f>H15+H19+H23</f>
        <v>284932599</v>
      </c>
      <c r="I62" s="31">
        <f t="shared" ref="I62:M62" si="8">I15+I19+I23</f>
        <v>288965967</v>
      </c>
      <c r="J62" s="31">
        <f t="shared" si="8"/>
        <v>301836072</v>
      </c>
      <c r="K62" s="31">
        <f t="shared" si="8"/>
        <v>295629224.01999998</v>
      </c>
      <c r="L62" s="31">
        <f t="shared" si="8"/>
        <v>295142818.18000001</v>
      </c>
      <c r="M62" s="31">
        <f t="shared" si="8"/>
        <v>302481935.00509173</v>
      </c>
    </row>
    <row r="63" spans="1:13" ht="12.4" customHeight="1" x14ac:dyDescent="0.2">
      <c r="G63" s="31"/>
      <c r="H63" s="31"/>
      <c r="I63" s="31"/>
      <c r="J63" s="31"/>
    </row>
    <row r="64" spans="1:13" x14ac:dyDescent="0.2">
      <c r="G64" s="31"/>
      <c r="H64" s="31"/>
      <c r="I64" s="31"/>
      <c r="J64" s="31"/>
    </row>
    <row r="65" spans="3:13" x14ac:dyDescent="0.2">
      <c r="G65" s="31"/>
      <c r="H65" s="31"/>
      <c r="I65" s="31"/>
      <c r="J65" s="31"/>
    </row>
    <row r="66" spans="3:13" x14ac:dyDescent="0.2">
      <c r="C66" s="31"/>
      <c r="H66" s="31"/>
      <c r="I66" s="31"/>
      <c r="J66" s="31"/>
      <c r="K66" s="31"/>
      <c r="L66" s="31"/>
      <c r="M66" s="31"/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D196"/>
  <sheetViews>
    <sheetView zoomScale="78" zoomScaleNormal="78" workbookViewId="0">
      <pane xSplit="1" ySplit="2" topLeftCell="B114" activePane="bottomRight" state="frozen"/>
      <selection pane="topRight" activeCell="C1" sqref="C1"/>
      <selection pane="bottomLeft" activeCell="A3" sqref="A3"/>
      <selection pane="bottomRight" activeCell="W34" sqref="W34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8" width="13" style="1" customWidth="1"/>
    <col min="9" max="9" width="15.5703125" style="1" bestFit="1" customWidth="1"/>
    <col min="10" max="10" width="16" style="1" customWidth="1"/>
    <col min="11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0.42578125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108" t="s">
        <v>59</v>
      </c>
      <c r="AA1" s="108"/>
      <c r="AB1" s="108"/>
      <c r="AC1" s="108"/>
      <c r="AD1" s="108"/>
    </row>
    <row r="2" spans="1:30" ht="38.25" x14ac:dyDescent="0.2">
      <c r="A2" s="103" t="s">
        <v>68</v>
      </c>
      <c r="B2" s="104" t="s">
        <v>50</v>
      </c>
      <c r="C2" s="105" t="s">
        <v>111</v>
      </c>
      <c r="D2" s="105" t="s">
        <v>90</v>
      </c>
      <c r="E2" s="106" t="s">
        <v>11</v>
      </c>
      <c r="F2" s="129" t="s">
        <v>110</v>
      </c>
      <c r="G2" s="129" t="s">
        <v>124</v>
      </c>
      <c r="H2" s="136" t="s">
        <v>125</v>
      </c>
      <c r="I2" s="105" t="s">
        <v>6</v>
      </c>
      <c r="J2" s="107" t="s">
        <v>112</v>
      </c>
      <c r="K2" s="105" t="s">
        <v>113</v>
      </c>
      <c r="L2" s="105" t="s">
        <v>114</v>
      </c>
      <c r="M2" s="125" t="s">
        <v>115</v>
      </c>
      <c r="N2" s="125" t="s">
        <v>116</v>
      </c>
      <c r="O2" s="125" t="s">
        <v>117</v>
      </c>
      <c r="P2"/>
      <c r="Q2" t="s">
        <v>12</v>
      </c>
      <c r="Z2" s="108" t="s">
        <v>60</v>
      </c>
      <c r="AA2" s="108"/>
      <c r="AB2" s="108"/>
      <c r="AC2" s="108"/>
      <c r="AD2" s="108"/>
    </row>
    <row r="3" spans="1:30" ht="13.5" thickBot="1" x14ac:dyDescent="0.25">
      <c r="A3" s="43">
        <v>41670</v>
      </c>
      <c r="B3" s="44">
        <f>Inputs!D24</f>
        <v>35005917</v>
      </c>
      <c r="C3" s="44">
        <v>951.70000000000016</v>
      </c>
      <c r="D3" s="44">
        <v>31</v>
      </c>
      <c r="E3" s="109">
        <v>0</v>
      </c>
      <c r="F3" s="130">
        <v>0</v>
      </c>
      <c r="G3" s="137">
        <f>Inputs!G24+Inputs!I24+Inputs!L24</f>
        <v>13223</v>
      </c>
      <c r="H3" s="137">
        <v>0</v>
      </c>
      <c r="I3" s="44">
        <f>$R$18+$R$19*C3+$R$20*D3+$R$21*E3+$R$22*F3+$R$23*G3+$R$24*H3</f>
        <v>32389763.918823641</v>
      </c>
      <c r="J3" s="27">
        <f t="shared" ref="J3:J34" si="0">I3-B3</f>
        <v>-2616153.0811763592</v>
      </c>
      <c r="K3" s="36">
        <f t="shared" ref="K3:K34" si="1">J3/B3</f>
        <v>-7.473459647340075E-2</v>
      </c>
      <c r="L3" s="10">
        <f>ABS(K3)</f>
        <v>7.473459647340075E-2</v>
      </c>
      <c r="M3" s="135">
        <f>J3*J3</f>
        <v>6844256944148.5576</v>
      </c>
      <c r="N3" s="10"/>
      <c r="O3" s="10"/>
      <c r="P3" s="10"/>
      <c r="Z3" s="108" t="s">
        <v>61</v>
      </c>
      <c r="AA3" s="108"/>
      <c r="AB3" s="108"/>
      <c r="AC3" s="108"/>
      <c r="AD3" s="108"/>
    </row>
    <row r="4" spans="1:30" x14ac:dyDescent="0.2">
      <c r="A4" s="43">
        <v>41698</v>
      </c>
      <c r="B4" s="44">
        <f>Inputs!D25</f>
        <v>30863808</v>
      </c>
      <c r="C4" s="44">
        <v>855.49999999999989</v>
      </c>
      <c r="D4" s="44">
        <v>28</v>
      </c>
      <c r="E4" s="109">
        <v>0</v>
      </c>
      <c r="F4" s="130">
        <v>0</v>
      </c>
      <c r="G4" s="137">
        <f>Inputs!G25+Inputs!I25+Inputs!L25</f>
        <v>13219</v>
      </c>
      <c r="H4" s="137">
        <v>0</v>
      </c>
      <c r="I4" s="44">
        <f t="shared" ref="I4:I67" si="2">$R$18+$R$19*C4+$R$20*D4+$R$21*E4+$R$22*F4+$R$23*G4+$R$24*H4</f>
        <v>29567671.952145424</v>
      </c>
      <c r="J4" s="27">
        <f t="shared" si="0"/>
        <v>-1296136.0478545763</v>
      </c>
      <c r="K4" s="36">
        <f t="shared" si="1"/>
        <v>-4.1995337965249666E-2</v>
      </c>
      <c r="L4" s="10">
        <f t="shared" ref="L4:L66" si="3">ABS(K4)</f>
        <v>4.1995337965249666E-2</v>
      </c>
      <c r="M4" s="135">
        <f t="shared" ref="M4:M67" si="4">J4*J4</f>
        <v>1679968654548.0803</v>
      </c>
      <c r="N4" s="135">
        <f>J4-J3</f>
        <v>1320017.0333217829</v>
      </c>
      <c r="O4" s="135">
        <f>N4*N4</f>
        <v>1742444968259.6411</v>
      </c>
      <c r="P4" s="10"/>
      <c r="Q4" s="133" t="s">
        <v>13</v>
      </c>
      <c r="R4" s="133"/>
      <c r="Z4" s="108"/>
      <c r="AA4" s="108"/>
      <c r="AB4" s="108"/>
      <c r="AC4" s="108"/>
      <c r="AD4" s="108"/>
    </row>
    <row r="5" spans="1:30" x14ac:dyDescent="0.2">
      <c r="A5" s="43">
        <v>41729</v>
      </c>
      <c r="B5" s="44">
        <f>Inputs!D26</f>
        <v>32142987</v>
      </c>
      <c r="C5" s="44">
        <v>818.1999999999997</v>
      </c>
      <c r="D5" s="44">
        <v>31</v>
      </c>
      <c r="E5" s="109">
        <v>1</v>
      </c>
      <c r="F5" s="130">
        <v>0</v>
      </c>
      <c r="G5" s="137">
        <f>Inputs!G26+Inputs!I26+Inputs!L26</f>
        <v>13219</v>
      </c>
      <c r="H5" s="137">
        <v>0</v>
      </c>
      <c r="I5" s="44">
        <f t="shared" si="2"/>
        <v>29702431.463078961</v>
      </c>
      <c r="J5" s="27">
        <f t="shared" si="0"/>
        <v>-2440555.5369210392</v>
      </c>
      <c r="K5" s="36">
        <f t="shared" si="1"/>
        <v>-7.5928087732513444E-2</v>
      </c>
      <c r="L5" s="10">
        <f t="shared" si="3"/>
        <v>7.5928087732513444E-2</v>
      </c>
      <c r="M5" s="135">
        <f t="shared" si="4"/>
        <v>5956311328795.9424</v>
      </c>
      <c r="N5" s="135">
        <f t="shared" ref="N5:N68" si="5">J5-J4</f>
        <v>-1144419.489066463</v>
      </c>
      <c r="O5" s="135">
        <f t="shared" ref="O5:O68" si="6">N5*N5</f>
        <v>1309695966955.144</v>
      </c>
      <c r="P5" s="10"/>
      <c r="Q5" t="s">
        <v>14</v>
      </c>
      <c r="R5" s="40">
        <v>0.96046196215346324</v>
      </c>
      <c r="Z5" s="108" t="s">
        <v>58</v>
      </c>
      <c r="AA5" s="108"/>
      <c r="AB5" s="108"/>
      <c r="AC5" s="108"/>
      <c r="AD5" s="108"/>
    </row>
    <row r="6" spans="1:30" x14ac:dyDescent="0.2">
      <c r="A6" s="43">
        <v>41759</v>
      </c>
      <c r="B6" s="44">
        <f>Inputs!D27</f>
        <v>25688722</v>
      </c>
      <c r="C6" s="44">
        <v>448.19999999999993</v>
      </c>
      <c r="D6" s="44">
        <v>30</v>
      </c>
      <c r="E6" s="109">
        <v>1</v>
      </c>
      <c r="F6" s="130">
        <v>0</v>
      </c>
      <c r="G6" s="137">
        <f>Inputs!G27+Inputs!I27+Inputs!L27</f>
        <v>13228</v>
      </c>
      <c r="H6" s="137">
        <v>0</v>
      </c>
      <c r="I6" s="44">
        <f t="shared" si="2"/>
        <v>24666052.070272312</v>
      </c>
      <c r="J6" s="27">
        <f t="shared" si="0"/>
        <v>-1022669.9297276884</v>
      </c>
      <c r="K6" s="36">
        <f t="shared" si="1"/>
        <v>-3.9810074231317868E-2</v>
      </c>
      <c r="L6" s="10">
        <f t="shared" si="3"/>
        <v>3.9810074231317868E-2</v>
      </c>
      <c r="M6" s="135">
        <f t="shared" si="4"/>
        <v>1045853785169.2352</v>
      </c>
      <c r="N6" s="135">
        <f t="shared" si="5"/>
        <v>1417885.6071933508</v>
      </c>
      <c r="O6" s="135">
        <f t="shared" si="6"/>
        <v>2010399595086.0571</v>
      </c>
      <c r="P6" s="10"/>
      <c r="Q6" t="s">
        <v>15</v>
      </c>
      <c r="R6" s="40">
        <v>0.92248718074368075</v>
      </c>
      <c r="Z6" s="108" t="s">
        <v>62</v>
      </c>
      <c r="AA6" s="108"/>
      <c r="AB6" s="108"/>
      <c r="AC6" s="108"/>
      <c r="AD6" s="108"/>
    </row>
    <row r="7" spans="1:30" x14ac:dyDescent="0.2">
      <c r="A7" s="43">
        <v>41790</v>
      </c>
      <c r="B7" s="44">
        <f>Inputs!D28</f>
        <v>22896808</v>
      </c>
      <c r="C7" s="44">
        <v>207.99999999999994</v>
      </c>
      <c r="D7" s="44">
        <v>31</v>
      </c>
      <c r="E7" s="109">
        <v>1</v>
      </c>
      <c r="F7" s="130">
        <v>0</v>
      </c>
      <c r="G7" s="137">
        <f>Inputs!G28+Inputs!I28+Inputs!L28</f>
        <v>13222</v>
      </c>
      <c r="H7" s="137">
        <v>0</v>
      </c>
      <c r="I7" s="44">
        <f t="shared" si="2"/>
        <v>22290132.745262865</v>
      </c>
      <c r="J7" s="27">
        <f t="shared" si="0"/>
        <v>-606675.25473713502</v>
      </c>
      <c r="K7" s="36">
        <f t="shared" si="1"/>
        <v>-2.6496062452772241E-2</v>
      </c>
      <c r="L7" s="10">
        <f t="shared" si="3"/>
        <v>2.6496062452772241E-2</v>
      </c>
      <c r="M7" s="135">
        <f t="shared" si="4"/>
        <v>368054864710.36768</v>
      </c>
      <c r="N7" s="135">
        <f t="shared" si="5"/>
        <v>415994.67499055341</v>
      </c>
      <c r="O7" s="135">
        <f t="shared" si="6"/>
        <v>173051569620.49615</v>
      </c>
      <c r="P7" s="10"/>
      <c r="Q7" t="s">
        <v>16</v>
      </c>
      <c r="R7" s="40">
        <v>0.91876656541937751</v>
      </c>
      <c r="Z7" s="108"/>
      <c r="AA7" s="108"/>
      <c r="AB7" s="108"/>
      <c r="AC7" s="108"/>
      <c r="AD7" s="108"/>
    </row>
    <row r="8" spans="1:30" x14ac:dyDescent="0.2">
      <c r="A8" s="43">
        <v>41820</v>
      </c>
      <c r="B8" s="44">
        <f>Inputs!D29</f>
        <v>22467129</v>
      </c>
      <c r="C8" s="44">
        <v>42.2</v>
      </c>
      <c r="D8" s="44">
        <v>30</v>
      </c>
      <c r="E8" s="109">
        <v>0</v>
      </c>
      <c r="F8" s="130">
        <v>0</v>
      </c>
      <c r="G8" s="137">
        <f>Inputs!G29+Inputs!I29+Inputs!L29</f>
        <v>13245</v>
      </c>
      <c r="H8" s="137">
        <v>0</v>
      </c>
      <c r="I8" s="44">
        <f t="shared" si="2"/>
        <v>20811004.233346313</v>
      </c>
      <c r="J8" s="27">
        <f t="shared" si="0"/>
        <v>-1656124.7666536868</v>
      </c>
      <c r="K8" s="36">
        <f t="shared" si="1"/>
        <v>-7.3713235307176397E-2</v>
      </c>
      <c r="L8" s="10">
        <f t="shared" si="3"/>
        <v>7.3713235307176397E-2</v>
      </c>
      <c r="M8" s="135">
        <f t="shared" si="4"/>
        <v>2742749242723.7285</v>
      </c>
      <c r="N8" s="135">
        <f t="shared" si="5"/>
        <v>-1049449.5119165517</v>
      </c>
      <c r="O8" s="135">
        <f t="shared" si="6"/>
        <v>1101344278061.8887</v>
      </c>
      <c r="P8" s="10"/>
      <c r="Q8" t="s">
        <v>17</v>
      </c>
      <c r="R8">
        <v>926141.51718633494</v>
      </c>
      <c r="Z8" s="108"/>
      <c r="AA8" s="108"/>
      <c r="AB8" s="108"/>
      <c r="AC8" s="108"/>
      <c r="AD8" s="108"/>
    </row>
    <row r="9" spans="1:30" ht="13.5" thickBot="1" x14ac:dyDescent="0.25">
      <c r="A9" s="43">
        <v>41851</v>
      </c>
      <c r="B9" s="44">
        <f>Inputs!D30</f>
        <v>23174494</v>
      </c>
      <c r="C9" s="44">
        <v>48.1</v>
      </c>
      <c r="D9" s="44">
        <v>31</v>
      </c>
      <c r="E9" s="109">
        <v>0</v>
      </c>
      <c r="F9" s="130">
        <v>1</v>
      </c>
      <c r="G9" s="137">
        <f>Inputs!G30+Inputs!I30+Inputs!L30</f>
        <v>13246</v>
      </c>
      <c r="H9" s="137">
        <v>0</v>
      </c>
      <c r="I9" s="44">
        <f t="shared" si="2"/>
        <v>24358258.480223991</v>
      </c>
      <c r="J9" s="27">
        <f t="shared" si="0"/>
        <v>1183764.480223991</v>
      </c>
      <c r="K9" s="36">
        <f t="shared" si="1"/>
        <v>5.1080488757337741E-2</v>
      </c>
      <c r="L9" s="10">
        <f t="shared" si="3"/>
        <v>5.1080488757337741E-2</v>
      </c>
      <c r="M9" s="135">
        <f t="shared" si="4"/>
        <v>1401298344639.9756</v>
      </c>
      <c r="N9" s="135">
        <f t="shared" si="5"/>
        <v>2839889.2468776777</v>
      </c>
      <c r="O9" s="135">
        <f t="shared" si="6"/>
        <v>8064970934531.4639</v>
      </c>
      <c r="P9" s="10"/>
      <c r="Q9" s="131" t="s">
        <v>18</v>
      </c>
      <c r="R9" s="131">
        <v>132</v>
      </c>
      <c r="Z9" s="108"/>
      <c r="AA9" s="108"/>
      <c r="AB9" s="108"/>
      <c r="AC9" s="108"/>
      <c r="AD9" s="108"/>
    </row>
    <row r="10" spans="1:30" x14ac:dyDescent="0.2">
      <c r="A10" s="43">
        <v>41882</v>
      </c>
      <c r="B10" s="44">
        <f>Inputs!D31</f>
        <v>23391322</v>
      </c>
      <c r="C10" s="44">
        <v>55.7</v>
      </c>
      <c r="D10" s="44">
        <v>31</v>
      </c>
      <c r="E10" s="109">
        <v>0</v>
      </c>
      <c r="F10" s="130">
        <v>1</v>
      </c>
      <c r="G10" s="137">
        <f>Inputs!G31+Inputs!I31+Inputs!L31</f>
        <v>13249</v>
      </c>
      <c r="H10" s="137">
        <v>0</v>
      </c>
      <c r="I10" s="44">
        <f t="shared" si="2"/>
        <v>24453837.098502092</v>
      </c>
      <c r="J10" s="27">
        <f t="shared" si="0"/>
        <v>1062515.0985020921</v>
      </c>
      <c r="K10" s="36">
        <f t="shared" si="1"/>
        <v>4.5423473649847244E-2</v>
      </c>
      <c r="L10" s="10">
        <f t="shared" si="3"/>
        <v>4.5423473649847244E-2</v>
      </c>
      <c r="M10" s="135">
        <f t="shared" si="4"/>
        <v>1128938334544.9104</v>
      </c>
      <c r="N10" s="135">
        <f t="shared" si="5"/>
        <v>-121249.38172189891</v>
      </c>
      <c r="O10" s="135">
        <f t="shared" si="6"/>
        <v>14701412567.942755</v>
      </c>
      <c r="P10" s="10"/>
      <c r="Z10" s="108"/>
      <c r="AA10" s="108"/>
      <c r="AB10" s="108"/>
      <c r="AC10" s="108"/>
      <c r="AD10" s="108"/>
    </row>
    <row r="11" spans="1:30" ht="13.5" thickBot="1" x14ac:dyDescent="0.25">
      <c r="A11" s="43">
        <v>41912</v>
      </c>
      <c r="B11" s="44">
        <f>Inputs!D32</f>
        <v>22126761</v>
      </c>
      <c r="C11" s="44">
        <v>160.1</v>
      </c>
      <c r="D11" s="44">
        <v>30</v>
      </c>
      <c r="E11" s="109">
        <v>0</v>
      </c>
      <c r="F11" s="130">
        <v>0</v>
      </c>
      <c r="G11" s="137">
        <f>Inputs!G32+Inputs!I32+Inputs!L32</f>
        <v>13253</v>
      </c>
      <c r="H11" s="137">
        <v>0</v>
      </c>
      <c r="I11" s="44">
        <f t="shared" si="2"/>
        <v>22252379.562319919</v>
      </c>
      <c r="J11" s="27">
        <f t="shared" si="0"/>
        <v>125618.56231991947</v>
      </c>
      <c r="K11" s="36">
        <f t="shared" si="1"/>
        <v>5.67722326462149E-3</v>
      </c>
      <c r="L11" s="10">
        <f t="shared" si="3"/>
        <v>5.67722326462149E-3</v>
      </c>
      <c r="M11" s="135">
        <f t="shared" si="4"/>
        <v>15780023199.32349</v>
      </c>
      <c r="N11" s="135">
        <f t="shared" si="5"/>
        <v>-936896.5361821726</v>
      </c>
      <c r="O11" s="135">
        <f t="shared" si="6"/>
        <v>877775119510.15308</v>
      </c>
      <c r="P11" s="10"/>
      <c r="Q11" t="s">
        <v>19</v>
      </c>
    </row>
    <row r="12" spans="1:30" x14ac:dyDescent="0.2">
      <c r="A12" s="43">
        <v>41943</v>
      </c>
      <c r="B12" s="44">
        <f>Inputs!D33</f>
        <v>23838442</v>
      </c>
      <c r="C12" s="44">
        <v>313.89999999999998</v>
      </c>
      <c r="D12" s="44">
        <v>31</v>
      </c>
      <c r="E12" s="109">
        <v>1</v>
      </c>
      <c r="F12" s="130">
        <v>0</v>
      </c>
      <c r="G12" s="137">
        <f>Inputs!G33+Inputs!I33+Inputs!L33</f>
        <v>13272</v>
      </c>
      <c r="H12" s="137">
        <v>0</v>
      </c>
      <c r="I12" s="44">
        <f t="shared" si="2"/>
        <v>23630740.68773178</v>
      </c>
      <c r="J12" s="27">
        <f t="shared" si="0"/>
        <v>-207701.31226821989</v>
      </c>
      <c r="K12" s="36">
        <f t="shared" si="1"/>
        <v>-8.7128727736577698E-3</v>
      </c>
      <c r="L12" s="10">
        <f t="shared" si="3"/>
        <v>8.7128727736577698E-3</v>
      </c>
      <c r="M12" s="135">
        <f t="shared" si="4"/>
        <v>43139835117.94059</v>
      </c>
      <c r="N12" s="135">
        <f t="shared" si="5"/>
        <v>-333319.87458813936</v>
      </c>
      <c r="O12" s="135">
        <f t="shared" si="6"/>
        <v>111102138795.45294</v>
      </c>
      <c r="P12" s="10"/>
      <c r="Q12" s="132"/>
      <c r="R12" s="132" t="s">
        <v>23</v>
      </c>
      <c r="S12" s="132" t="s">
        <v>24</v>
      </c>
      <c r="T12" s="132" t="s">
        <v>25</v>
      </c>
      <c r="U12" s="132" t="s">
        <v>26</v>
      </c>
      <c r="V12" s="132" t="s">
        <v>27</v>
      </c>
    </row>
    <row r="13" spans="1:30" x14ac:dyDescent="0.2">
      <c r="A13" s="43">
        <v>41973</v>
      </c>
      <c r="B13" s="44">
        <f>Inputs!D34</f>
        <v>27733031</v>
      </c>
      <c r="C13" s="44">
        <v>541.09999999999991</v>
      </c>
      <c r="D13" s="44">
        <v>30</v>
      </c>
      <c r="E13" s="109">
        <v>1</v>
      </c>
      <c r="F13" s="130">
        <v>0</v>
      </c>
      <c r="G13" s="137">
        <f>Inputs!G34+Inputs!I34+Inputs!L34</f>
        <v>13265</v>
      </c>
      <c r="H13" s="137">
        <v>0</v>
      </c>
      <c r="I13" s="44">
        <f t="shared" si="2"/>
        <v>25834727.86094436</v>
      </c>
      <c r="J13" s="27">
        <f t="shared" si="0"/>
        <v>-1898303.1390556395</v>
      </c>
      <c r="K13" s="36">
        <f t="shared" si="1"/>
        <v>-6.844917668954538E-2</v>
      </c>
      <c r="L13" s="10">
        <f t="shared" si="3"/>
        <v>6.844917668954538E-2</v>
      </c>
      <c r="M13" s="135">
        <f t="shared" si="4"/>
        <v>3603554807748.4946</v>
      </c>
      <c r="N13" s="135">
        <f t="shared" si="5"/>
        <v>-1690601.8267874196</v>
      </c>
      <c r="O13" s="135">
        <f t="shared" si="6"/>
        <v>2858134536736.9604</v>
      </c>
      <c r="P13" s="10"/>
      <c r="Q13" t="s">
        <v>20</v>
      </c>
      <c r="R13">
        <v>6</v>
      </c>
      <c r="S13">
        <v>1276002502504058</v>
      </c>
      <c r="T13">
        <v>212667083750676.34</v>
      </c>
      <c r="U13">
        <v>247.93941333250126</v>
      </c>
      <c r="V13">
        <v>6.7331652328461838E-67</v>
      </c>
    </row>
    <row r="14" spans="1:30" x14ac:dyDescent="0.2">
      <c r="A14" s="43">
        <v>42004</v>
      </c>
      <c r="B14" s="44">
        <f>Inputs!D35</f>
        <v>29820236</v>
      </c>
      <c r="C14" s="44">
        <v>677.1</v>
      </c>
      <c r="D14" s="44">
        <v>31</v>
      </c>
      <c r="E14" s="109">
        <v>0</v>
      </c>
      <c r="F14" s="130">
        <v>0</v>
      </c>
      <c r="G14" s="137">
        <f>Inputs!G35+Inputs!I35+Inputs!L35</f>
        <v>13264</v>
      </c>
      <c r="H14" s="137">
        <v>0</v>
      </c>
      <c r="I14" s="44">
        <f t="shared" si="2"/>
        <v>29096650.374990307</v>
      </c>
      <c r="J14" s="27">
        <f t="shared" si="0"/>
        <v>-723585.62500969321</v>
      </c>
      <c r="K14" s="36">
        <f t="shared" si="1"/>
        <v>-2.4264919466421835E-2</v>
      </c>
      <c r="L14" s="10">
        <f t="shared" si="3"/>
        <v>2.4264919466421835E-2</v>
      </c>
      <c r="M14" s="135">
        <f t="shared" si="4"/>
        <v>523576156720.66833</v>
      </c>
      <c r="N14" s="135">
        <f t="shared" si="5"/>
        <v>1174717.5140459463</v>
      </c>
      <c r="O14" s="135">
        <f t="shared" si="6"/>
        <v>1379961237806.2881</v>
      </c>
      <c r="P14" s="10"/>
      <c r="Q14" t="s">
        <v>21</v>
      </c>
      <c r="R14">
        <v>125</v>
      </c>
      <c r="S14">
        <v>107217263732025.8</v>
      </c>
      <c r="T14">
        <v>857738109856.20642</v>
      </c>
    </row>
    <row r="15" spans="1:30" ht="13.5" thickBot="1" x14ac:dyDescent="0.25">
      <c r="A15" s="43">
        <v>42035</v>
      </c>
      <c r="B15" s="44">
        <f>Inputs!D36</f>
        <v>33934616</v>
      </c>
      <c r="C15" s="44">
        <v>951.40000000000009</v>
      </c>
      <c r="D15" s="44">
        <v>31</v>
      </c>
      <c r="E15" s="109">
        <v>0</v>
      </c>
      <c r="F15" s="130">
        <v>0</v>
      </c>
      <c r="G15" s="137">
        <f>Inputs!G36+Inputs!I36+Inputs!L36</f>
        <v>13303</v>
      </c>
      <c r="H15" s="137">
        <v>0</v>
      </c>
      <c r="I15" s="44">
        <f t="shared" si="2"/>
        <v>32471954.012612961</v>
      </c>
      <c r="J15" s="27">
        <f t="shared" si="0"/>
        <v>-1462661.9873870388</v>
      </c>
      <c r="K15" s="36">
        <f t="shared" si="1"/>
        <v>-4.3102358588263938E-2</v>
      </c>
      <c r="L15" s="10">
        <f t="shared" si="3"/>
        <v>4.3102358588263938E-2</v>
      </c>
      <c r="M15" s="135">
        <f t="shared" si="4"/>
        <v>2139380089347.002</v>
      </c>
      <c r="N15" s="135">
        <f t="shared" si="5"/>
        <v>-739076.36237734556</v>
      </c>
      <c r="O15" s="135">
        <f t="shared" si="6"/>
        <v>546233869424.92944</v>
      </c>
      <c r="P15" s="10"/>
      <c r="Q15" s="131" t="s">
        <v>5</v>
      </c>
      <c r="R15" s="131">
        <v>131</v>
      </c>
      <c r="S15" s="131">
        <v>1383219766236083.8</v>
      </c>
      <c r="T15" s="131"/>
      <c r="U15" s="131"/>
      <c r="V15" s="131"/>
    </row>
    <row r="16" spans="1:30" ht="13.5" thickBot="1" x14ac:dyDescent="0.25">
      <c r="A16" s="43">
        <v>42063</v>
      </c>
      <c r="B16" s="44">
        <f>Inputs!D37</f>
        <v>32617573</v>
      </c>
      <c r="C16" s="44">
        <v>1004.8</v>
      </c>
      <c r="D16" s="44">
        <v>28</v>
      </c>
      <c r="E16" s="109">
        <v>0</v>
      </c>
      <c r="F16" s="130">
        <v>0</v>
      </c>
      <c r="G16" s="137">
        <f>Inputs!G37+Inputs!I37+Inputs!L37</f>
        <v>13295</v>
      </c>
      <c r="H16" s="137">
        <v>0</v>
      </c>
      <c r="I16" s="44">
        <f t="shared" si="2"/>
        <v>31463599.467952389</v>
      </c>
      <c r="J16" s="27">
        <f t="shared" si="0"/>
        <v>-1153973.5320476107</v>
      </c>
      <c r="K16" s="36">
        <f t="shared" si="1"/>
        <v>-3.537889014757814E-2</v>
      </c>
      <c r="L16" s="10">
        <f t="shared" si="3"/>
        <v>3.537889014757814E-2</v>
      </c>
      <c r="M16" s="135">
        <f t="shared" si="4"/>
        <v>1331654912666.438</v>
      </c>
      <c r="N16" s="135">
        <f t="shared" si="5"/>
        <v>308688.45533942804</v>
      </c>
      <c r="O16" s="135">
        <f t="shared" si="6"/>
        <v>95288562459.842056</v>
      </c>
      <c r="P16" s="10"/>
    </row>
    <row r="17" spans="1:25" x14ac:dyDescent="0.2">
      <c r="A17" s="43">
        <v>42094</v>
      </c>
      <c r="B17" s="44">
        <f>Inputs!D38</f>
        <v>30305598</v>
      </c>
      <c r="C17" s="44">
        <v>749.6</v>
      </c>
      <c r="D17" s="44">
        <v>31</v>
      </c>
      <c r="E17" s="109">
        <v>1</v>
      </c>
      <c r="F17" s="130">
        <v>0</v>
      </c>
      <c r="G17" s="137">
        <f>Inputs!G38+Inputs!I38+Inputs!L38</f>
        <v>13290</v>
      </c>
      <c r="H17" s="137">
        <v>0</v>
      </c>
      <c r="I17" s="44">
        <f t="shared" si="2"/>
        <v>28944942.324254304</v>
      </c>
      <c r="J17" s="27">
        <f t="shared" si="0"/>
        <v>-1360655.6757456958</v>
      </c>
      <c r="K17" s="36">
        <f t="shared" si="1"/>
        <v>-4.4897832926632755E-2</v>
      </c>
      <c r="L17" s="10">
        <f t="shared" si="3"/>
        <v>4.4897832926632755E-2</v>
      </c>
      <c r="M17" s="135">
        <f t="shared" si="4"/>
        <v>1851383867938.9761</v>
      </c>
      <c r="N17" s="135">
        <f t="shared" si="5"/>
        <v>-206682.1436980851</v>
      </c>
      <c r="O17" s="135">
        <f t="shared" si="6"/>
        <v>42717508523.635895</v>
      </c>
      <c r="P17" s="10"/>
      <c r="Q17" s="132"/>
      <c r="R17" s="132" t="s">
        <v>101</v>
      </c>
      <c r="S17" s="132" t="s">
        <v>17</v>
      </c>
      <c r="T17" s="132" t="s">
        <v>102</v>
      </c>
      <c r="U17" s="132" t="s">
        <v>103</v>
      </c>
      <c r="V17" s="132" t="s">
        <v>104</v>
      </c>
      <c r="W17" s="132" t="s">
        <v>105</v>
      </c>
      <c r="X17" s="132" t="s">
        <v>106</v>
      </c>
      <c r="Y17" s="132" t="s">
        <v>107</v>
      </c>
    </row>
    <row r="18" spans="1:25" x14ac:dyDescent="0.2">
      <c r="A18" s="43">
        <v>42124</v>
      </c>
      <c r="B18" s="44">
        <f>Inputs!D39</f>
        <v>24419034</v>
      </c>
      <c r="C18" s="44">
        <v>411.6</v>
      </c>
      <c r="D18" s="44">
        <v>30</v>
      </c>
      <c r="E18" s="109">
        <v>1</v>
      </c>
      <c r="F18" s="130">
        <v>0</v>
      </c>
      <c r="G18" s="137">
        <f>Inputs!G39+Inputs!I39+Inputs!L39</f>
        <v>13284</v>
      </c>
      <c r="H18" s="137">
        <v>0</v>
      </c>
      <c r="I18" s="44">
        <f t="shared" si="2"/>
        <v>24281351.95971819</v>
      </c>
      <c r="J18" s="27">
        <f t="shared" si="0"/>
        <v>-137682.04028180987</v>
      </c>
      <c r="K18" s="36">
        <f t="shared" si="1"/>
        <v>-5.6383082263536657E-3</v>
      </c>
      <c r="L18" s="10">
        <f t="shared" si="3"/>
        <v>5.6383082263536657E-3</v>
      </c>
      <c r="M18" s="135">
        <f t="shared" si="4"/>
        <v>18956344216.161915</v>
      </c>
      <c r="N18" s="135">
        <f t="shared" si="5"/>
        <v>1222973.635463886</v>
      </c>
      <c r="O18" s="135">
        <f t="shared" si="6"/>
        <v>1495664513039.7539</v>
      </c>
      <c r="P18" s="10"/>
      <c r="Q18" t="s">
        <v>22</v>
      </c>
      <c r="R18" s="31">
        <v>-10400236.383089241</v>
      </c>
      <c r="S18">
        <v>4059614.2502390519</v>
      </c>
      <c r="T18">
        <v>-2.5618779869237129</v>
      </c>
      <c r="U18">
        <v>1.1598109809280865E-2</v>
      </c>
      <c r="V18">
        <v>-18434716.82069777</v>
      </c>
      <c r="W18">
        <v>-2365755.9454807127</v>
      </c>
      <c r="X18">
        <v>-18434716.82069777</v>
      </c>
      <c r="Y18">
        <v>-2365755.9454807127</v>
      </c>
    </row>
    <row r="19" spans="1:25" x14ac:dyDescent="0.2">
      <c r="A19" s="43">
        <v>42155</v>
      </c>
      <c r="B19" s="44">
        <f>Inputs!D40</f>
        <v>22122315</v>
      </c>
      <c r="C19" s="44">
        <v>178.8</v>
      </c>
      <c r="D19" s="44">
        <v>31</v>
      </c>
      <c r="E19" s="109">
        <v>1</v>
      </c>
      <c r="F19" s="130">
        <v>0</v>
      </c>
      <c r="G19" s="137">
        <f>Inputs!G40+Inputs!I40+Inputs!L40</f>
        <v>13286</v>
      </c>
      <c r="H19" s="137">
        <v>0</v>
      </c>
      <c r="I19" s="44">
        <f t="shared" si="2"/>
        <v>22003945.474788841</v>
      </c>
      <c r="J19" s="27">
        <f t="shared" si="0"/>
        <v>-118369.52521115914</v>
      </c>
      <c r="K19" s="36">
        <f t="shared" si="1"/>
        <v>-5.3506843750827674E-3</v>
      </c>
      <c r="L19" s="10">
        <f t="shared" si="3"/>
        <v>5.3506843750827674E-3</v>
      </c>
      <c r="M19" s="135">
        <f t="shared" si="4"/>
        <v>14011344498.715239</v>
      </c>
      <c r="N19" s="135">
        <f t="shared" si="5"/>
        <v>19312.515070650727</v>
      </c>
      <c r="O19" s="135">
        <f t="shared" si="6"/>
        <v>372973238.35411143</v>
      </c>
      <c r="P19" s="10"/>
      <c r="Q19" t="s">
        <v>111</v>
      </c>
      <c r="R19" s="31">
        <v>12152.601709443508</v>
      </c>
      <c r="S19">
        <v>335.88090209030179</v>
      </c>
      <c r="T19">
        <v>36.181282215850054</v>
      </c>
      <c r="U19">
        <v>4.3957763753676092E-68</v>
      </c>
      <c r="V19">
        <v>11487.851718221578</v>
      </c>
      <c r="W19">
        <v>12817.351700665438</v>
      </c>
      <c r="X19">
        <v>11487.851718221578</v>
      </c>
      <c r="Y19">
        <v>12817.351700665438</v>
      </c>
    </row>
    <row r="20" spans="1:25" x14ac:dyDescent="0.2">
      <c r="A20" s="43">
        <v>42185</v>
      </c>
      <c r="B20" s="44">
        <f>Inputs!D41</f>
        <v>21687054</v>
      </c>
      <c r="C20" s="44">
        <v>96.09999999999998</v>
      </c>
      <c r="D20" s="44">
        <v>30</v>
      </c>
      <c r="E20" s="109">
        <v>0</v>
      </c>
      <c r="F20" s="130">
        <v>0</v>
      </c>
      <c r="G20" s="137">
        <f>Inputs!G41+Inputs!I41+Inputs!L41</f>
        <v>13286</v>
      </c>
      <c r="H20" s="137">
        <v>0</v>
      </c>
      <c r="I20" s="44">
        <f t="shared" si="2"/>
        <v>21510020.351065174</v>
      </c>
      <c r="J20" s="27">
        <f t="shared" si="0"/>
        <v>-177033.64893482625</v>
      </c>
      <c r="K20" s="36">
        <f t="shared" si="1"/>
        <v>-8.1631026941154042E-3</v>
      </c>
      <c r="L20" s="10">
        <f t="shared" si="3"/>
        <v>8.1631026941154042E-3</v>
      </c>
      <c r="M20" s="135">
        <f t="shared" si="4"/>
        <v>31340912855.17931</v>
      </c>
      <c r="N20" s="135">
        <f t="shared" si="5"/>
        <v>-58664.123723667115</v>
      </c>
      <c r="O20" s="135">
        <f t="shared" si="6"/>
        <v>3441479412.2657228</v>
      </c>
      <c r="P20" s="10"/>
      <c r="Q20" t="s">
        <v>90</v>
      </c>
      <c r="R20" s="31">
        <v>549573.29617154668</v>
      </c>
      <c r="S20">
        <v>110709.62311132</v>
      </c>
      <c r="T20">
        <v>4.9640968935369187</v>
      </c>
      <c r="U20">
        <v>2.2099599489046274E-6</v>
      </c>
      <c r="V20">
        <v>330465.21192671102</v>
      </c>
      <c r="W20">
        <v>768681.38041638234</v>
      </c>
      <c r="X20">
        <v>330465.21192671102</v>
      </c>
      <c r="Y20">
        <v>768681.38041638234</v>
      </c>
    </row>
    <row r="21" spans="1:25" x14ac:dyDescent="0.2">
      <c r="A21" s="43">
        <v>42216</v>
      </c>
      <c r="B21" s="44">
        <f>Inputs!D42</f>
        <v>23793533</v>
      </c>
      <c r="C21" s="44">
        <v>43.000000000000007</v>
      </c>
      <c r="D21" s="44">
        <v>31</v>
      </c>
      <c r="E21" s="109">
        <v>0</v>
      </c>
      <c r="F21" s="130">
        <v>1</v>
      </c>
      <c r="G21" s="137">
        <f>Inputs!G42+Inputs!I42+Inputs!L42</f>
        <v>13337</v>
      </c>
      <c r="H21" s="137">
        <v>0</v>
      </c>
      <c r="I21" s="44">
        <f t="shared" si="2"/>
        <v>24393918.518524531</v>
      </c>
      <c r="J21" s="27">
        <f t="shared" si="0"/>
        <v>600385.51852453128</v>
      </c>
      <c r="K21" s="36">
        <f t="shared" si="1"/>
        <v>2.5233138707250045E-2</v>
      </c>
      <c r="L21" s="10">
        <f t="shared" si="3"/>
        <v>2.5233138707250045E-2</v>
      </c>
      <c r="M21" s="135">
        <f t="shared" si="4"/>
        <v>360462770853.97028</v>
      </c>
      <c r="N21" s="135">
        <f t="shared" si="5"/>
        <v>777419.16745935753</v>
      </c>
      <c r="O21" s="135">
        <f t="shared" si="6"/>
        <v>604380561933.20056</v>
      </c>
      <c r="P21" s="10"/>
      <c r="Q21" t="s">
        <v>11</v>
      </c>
      <c r="R21" s="31">
        <v>-1060668.333818859</v>
      </c>
      <c r="S21">
        <v>189337.58907796154</v>
      </c>
      <c r="T21">
        <v>-5.6019955624454409</v>
      </c>
      <c r="U21">
        <v>1.2847135450161905E-7</v>
      </c>
      <c r="V21">
        <v>-1435390.921183229</v>
      </c>
      <c r="W21">
        <v>-685945.74645448907</v>
      </c>
      <c r="X21">
        <v>-1435390.921183229</v>
      </c>
      <c r="Y21">
        <v>-685945.74645448907</v>
      </c>
    </row>
    <row r="22" spans="1:25" x14ac:dyDescent="0.2">
      <c r="A22" s="43">
        <v>42247</v>
      </c>
      <c r="B22" s="44">
        <f>Inputs!D43</f>
        <v>23664046</v>
      </c>
      <c r="C22" s="44">
        <v>50.399999999999991</v>
      </c>
      <c r="D22" s="44">
        <v>31</v>
      </c>
      <c r="E22" s="109">
        <v>0</v>
      </c>
      <c r="F22" s="130">
        <v>1</v>
      </c>
      <c r="G22" s="137">
        <f>Inputs!G43+Inputs!I43+Inputs!L43</f>
        <v>13308</v>
      </c>
      <c r="H22" s="137">
        <v>0</v>
      </c>
      <c r="I22" s="44">
        <f t="shared" si="2"/>
        <v>24452732.266739883</v>
      </c>
      <c r="J22" s="27">
        <f t="shared" si="0"/>
        <v>788686.26673988253</v>
      </c>
      <c r="K22" s="36">
        <f t="shared" si="1"/>
        <v>3.3328462374518815E-2</v>
      </c>
      <c r="L22" s="10">
        <f t="shared" si="3"/>
        <v>3.3328462374518815E-2</v>
      </c>
      <c r="M22" s="135">
        <f t="shared" si="4"/>
        <v>622026027344.09314</v>
      </c>
      <c r="N22" s="135">
        <f t="shared" si="5"/>
        <v>188300.74821535125</v>
      </c>
      <c r="O22" s="135">
        <f t="shared" si="6"/>
        <v>35457171778.461105</v>
      </c>
      <c r="P22" s="10"/>
      <c r="Q22" t="s">
        <v>110</v>
      </c>
      <c r="R22" s="31">
        <v>2924907.6521916362</v>
      </c>
      <c r="S22">
        <v>298890.42697218165</v>
      </c>
      <c r="T22">
        <v>9.785886024592763</v>
      </c>
      <c r="U22">
        <v>3.8997532706075582E-17</v>
      </c>
      <c r="V22">
        <v>2333366.402095018</v>
      </c>
      <c r="W22">
        <v>3516448.9022882544</v>
      </c>
      <c r="X22">
        <v>2333366.402095018</v>
      </c>
      <c r="Y22">
        <v>3516448.9022882544</v>
      </c>
    </row>
    <row r="23" spans="1:25" x14ac:dyDescent="0.2">
      <c r="A23" s="43">
        <v>42277</v>
      </c>
      <c r="B23" s="44">
        <f>Inputs!D44</f>
        <v>21503656</v>
      </c>
      <c r="C23" s="44">
        <v>84.300000000000011</v>
      </c>
      <c r="D23" s="44">
        <v>30</v>
      </c>
      <c r="E23" s="109">
        <v>0</v>
      </c>
      <c r="F23" s="130">
        <v>0</v>
      </c>
      <c r="G23" s="137">
        <f>Inputs!G44+Inputs!I44+Inputs!L44</f>
        <v>13313</v>
      </c>
      <c r="H23" s="137">
        <v>0</v>
      </c>
      <c r="I23" s="44">
        <f t="shared" si="2"/>
        <v>21395589.258470718</v>
      </c>
      <c r="J23" s="27">
        <f t="shared" si="0"/>
        <v>-108066.74152928218</v>
      </c>
      <c r="K23" s="36">
        <f t="shared" si="1"/>
        <v>-5.0255055014497155E-3</v>
      </c>
      <c r="L23" s="10">
        <f t="shared" si="3"/>
        <v>5.0255055014497155E-3</v>
      </c>
      <c r="M23" s="135">
        <f t="shared" si="4"/>
        <v>11678420624.756681</v>
      </c>
      <c r="N23" s="135">
        <f t="shared" si="5"/>
        <v>-896753.00826916471</v>
      </c>
      <c r="O23" s="135">
        <f t="shared" si="6"/>
        <v>804165957839.79663</v>
      </c>
      <c r="P23" s="10"/>
      <c r="Q23" t="s">
        <v>124</v>
      </c>
      <c r="R23" s="31">
        <v>1072.9484287769451</v>
      </c>
      <c r="S23">
        <v>172.30535684096671</v>
      </c>
      <c r="T23">
        <v>6.2270172468709033</v>
      </c>
      <c r="U23">
        <v>6.627195141149766E-9</v>
      </c>
      <c r="V23">
        <v>731.93474287011691</v>
      </c>
      <c r="W23">
        <v>1413.9621146837733</v>
      </c>
      <c r="X23">
        <v>731.93474287011691</v>
      </c>
      <c r="Y23">
        <v>1413.9621146837733</v>
      </c>
    </row>
    <row r="24" spans="1:25" ht="13.5" thickBot="1" x14ac:dyDescent="0.25">
      <c r="A24" s="43">
        <v>42308</v>
      </c>
      <c r="B24" s="44">
        <f>Inputs!D45</f>
        <v>24025252</v>
      </c>
      <c r="C24" s="44">
        <v>351.09999999999991</v>
      </c>
      <c r="D24" s="44">
        <v>31</v>
      </c>
      <c r="E24" s="109">
        <v>1</v>
      </c>
      <c r="F24" s="130">
        <v>0</v>
      </c>
      <c r="G24" s="137">
        <f>Inputs!G45+Inputs!I45+Inputs!L45</f>
        <v>13322</v>
      </c>
      <c r="H24" s="137">
        <v>0</v>
      </c>
      <c r="I24" s="44">
        <f t="shared" si="2"/>
        <v>24136464.892761923</v>
      </c>
      <c r="J24" s="27">
        <f t="shared" si="0"/>
        <v>111212.89276192337</v>
      </c>
      <c r="K24" s="36">
        <f t="shared" si="1"/>
        <v>4.6290000521918926E-3</v>
      </c>
      <c r="L24" s="10">
        <f t="shared" si="3"/>
        <v>4.6290000521918926E-3</v>
      </c>
      <c r="M24" s="135">
        <f t="shared" si="4"/>
        <v>12368307516.475069</v>
      </c>
      <c r="N24" s="135">
        <f t="shared" si="5"/>
        <v>219279.63429120556</v>
      </c>
      <c r="O24" s="135">
        <f t="shared" si="6"/>
        <v>48083558014.88485</v>
      </c>
      <c r="P24" s="10"/>
      <c r="Q24" s="131" t="s">
        <v>125</v>
      </c>
      <c r="R24" s="134">
        <v>-1359463.7771541732</v>
      </c>
      <c r="S24" s="131">
        <v>601115.13790883147</v>
      </c>
      <c r="T24" s="131">
        <v>-2.2615696917623747</v>
      </c>
      <c r="U24" s="131">
        <v>2.545177707801129E-2</v>
      </c>
      <c r="V24" s="131">
        <v>-2549145.2391291535</v>
      </c>
      <c r="W24" s="131">
        <v>-169782.31517919293</v>
      </c>
      <c r="X24" s="131">
        <v>-2549145.2391291535</v>
      </c>
      <c r="Y24" s="131">
        <v>-169782.31517919293</v>
      </c>
    </row>
    <row r="25" spans="1:25" x14ac:dyDescent="0.2">
      <c r="A25" s="43">
        <v>42338</v>
      </c>
      <c r="B25" s="44">
        <f>Inputs!D46</f>
        <v>24608541</v>
      </c>
      <c r="C25" s="44">
        <v>433.89999999999992</v>
      </c>
      <c r="D25" s="44">
        <v>30</v>
      </c>
      <c r="E25" s="109">
        <v>1</v>
      </c>
      <c r="F25" s="130">
        <v>0</v>
      </c>
      <c r="G25" s="137">
        <f>Inputs!G46+Inputs!I46+Inputs!L46</f>
        <v>13343</v>
      </c>
      <c r="H25" s="137">
        <v>0</v>
      </c>
      <c r="I25" s="44">
        <f t="shared" si="2"/>
        <v>24615658.935136616</v>
      </c>
      <c r="J25" s="27">
        <f t="shared" si="0"/>
        <v>7117.93513661623</v>
      </c>
      <c r="K25" s="36">
        <f t="shared" si="1"/>
        <v>2.8924653178813935E-4</v>
      </c>
      <c r="L25" s="10">
        <f t="shared" si="3"/>
        <v>2.8924653178813935E-4</v>
      </c>
      <c r="M25" s="135">
        <f t="shared" si="4"/>
        <v>50665000.609075911</v>
      </c>
      <c r="N25" s="135">
        <f t="shared" si="5"/>
        <v>-104094.95762530714</v>
      </c>
      <c r="O25" s="135">
        <f t="shared" si="6"/>
        <v>10835760203.01449</v>
      </c>
      <c r="P25" s="10"/>
    </row>
    <row r="26" spans="1:25" x14ac:dyDescent="0.2">
      <c r="A26" s="43">
        <v>42369</v>
      </c>
      <c r="B26" s="44">
        <f>Inputs!D47</f>
        <v>26280236</v>
      </c>
      <c r="C26" s="44">
        <v>514.79999999999995</v>
      </c>
      <c r="D26" s="44">
        <v>31</v>
      </c>
      <c r="E26" s="109">
        <v>0</v>
      </c>
      <c r="F26" s="130">
        <v>0</v>
      </c>
      <c r="G26" s="137">
        <f>Inputs!G47+Inputs!I47+Inputs!L47</f>
        <v>13345</v>
      </c>
      <c r="H26" s="137">
        <v>0</v>
      </c>
      <c r="I26" s="44">
        <f t="shared" si="2"/>
        <v>27211191.940278556</v>
      </c>
      <c r="J26" s="27">
        <f t="shared" si="0"/>
        <v>930955.9402785562</v>
      </c>
      <c r="K26" s="36">
        <f t="shared" si="1"/>
        <v>3.5424184938010306E-2</v>
      </c>
      <c r="L26" s="10">
        <f t="shared" si="3"/>
        <v>3.5424184938010306E-2</v>
      </c>
      <c r="M26" s="135">
        <f t="shared" si="4"/>
        <v>866678962739.93066</v>
      </c>
      <c r="N26" s="135">
        <f t="shared" si="5"/>
        <v>923838.00514193997</v>
      </c>
      <c r="O26" s="135">
        <f t="shared" si="6"/>
        <v>853476659744.63904</v>
      </c>
      <c r="P26" s="10"/>
      <c r="Q26" s="38" t="s">
        <v>51</v>
      </c>
      <c r="R26" s="147">
        <f>L135</f>
        <v>2.7707161497747126E-2</v>
      </c>
    </row>
    <row r="27" spans="1:25" x14ac:dyDescent="0.2">
      <c r="A27" s="43">
        <v>42400</v>
      </c>
      <c r="B27" s="44">
        <f>Inputs!D48</f>
        <v>30495180</v>
      </c>
      <c r="C27" s="44">
        <v>767.49999999999989</v>
      </c>
      <c r="D27" s="44">
        <v>31</v>
      </c>
      <c r="E27" s="109">
        <v>0</v>
      </c>
      <c r="F27" s="130">
        <v>0</v>
      </c>
      <c r="G27" s="137">
        <f>Inputs!G48+Inputs!I48+Inputs!L48</f>
        <v>13350</v>
      </c>
      <c r="H27" s="137">
        <v>0</v>
      </c>
      <c r="I27" s="44">
        <f t="shared" si="2"/>
        <v>30287519.134398814</v>
      </c>
      <c r="J27" s="27">
        <f t="shared" si="0"/>
        <v>-207660.86560118571</v>
      </c>
      <c r="K27" s="36">
        <f t="shared" si="1"/>
        <v>-6.8096291151974082E-3</v>
      </c>
      <c r="L27" s="10">
        <f t="shared" si="3"/>
        <v>6.8096291151974082E-3</v>
      </c>
      <c r="M27" s="135">
        <f t="shared" si="4"/>
        <v>43123035102.233711</v>
      </c>
      <c r="N27" s="135">
        <f t="shared" si="5"/>
        <v>-1138616.8058797419</v>
      </c>
      <c r="O27" s="135">
        <f t="shared" si="6"/>
        <v>1296448230631.7859</v>
      </c>
    </row>
    <row r="28" spans="1:25" x14ac:dyDescent="0.2">
      <c r="A28" s="43">
        <v>42429</v>
      </c>
      <c r="B28" s="44">
        <f>Inputs!D49</f>
        <v>29063252</v>
      </c>
      <c r="C28" s="44">
        <v>767.6999999999997</v>
      </c>
      <c r="D28" s="44">
        <v>29</v>
      </c>
      <c r="E28" s="109">
        <v>0</v>
      </c>
      <c r="F28" s="130">
        <v>0</v>
      </c>
      <c r="G28" s="137">
        <f>Inputs!G49+Inputs!I49+Inputs!L49</f>
        <v>13354</v>
      </c>
      <c r="H28" s="137">
        <v>0</v>
      </c>
      <c r="I28" s="44">
        <f t="shared" si="2"/>
        <v>29195094.856112719</v>
      </c>
      <c r="J28" s="27">
        <f t="shared" si="0"/>
        <v>131842.85611271858</v>
      </c>
      <c r="K28" s="36">
        <f t="shared" si="1"/>
        <v>4.5364110015189826E-3</v>
      </c>
      <c r="L28" s="10">
        <f t="shared" si="3"/>
        <v>4.5364110015189826E-3</v>
      </c>
      <c r="M28" s="135">
        <f t="shared" si="4"/>
        <v>17382538707.959015</v>
      </c>
      <c r="N28" s="135">
        <f t="shared" si="5"/>
        <v>339503.72171390429</v>
      </c>
      <c r="O28" s="135">
        <f t="shared" si="6"/>
        <v>115262777057.59216</v>
      </c>
      <c r="Q28" t="s">
        <v>118</v>
      </c>
      <c r="R28" s="31">
        <f>O135</f>
        <v>154271045859113.41</v>
      </c>
    </row>
    <row r="29" spans="1:25" x14ac:dyDescent="0.2">
      <c r="A29" s="43">
        <v>42460</v>
      </c>
      <c r="B29" s="44">
        <f>Inputs!D50</f>
        <v>27667287</v>
      </c>
      <c r="C29" s="44">
        <v>605.29999999999984</v>
      </c>
      <c r="D29" s="44">
        <v>31</v>
      </c>
      <c r="E29" s="109">
        <v>1</v>
      </c>
      <c r="F29" s="130">
        <v>0</v>
      </c>
      <c r="G29" s="137">
        <f>Inputs!G50+Inputs!I50+Inputs!L50</f>
        <v>13356</v>
      </c>
      <c r="H29" s="137">
        <v>0</v>
      </c>
      <c r="I29" s="44">
        <f t="shared" si="2"/>
        <v>27262136.493880883</v>
      </c>
      <c r="J29" s="27">
        <f t="shared" si="0"/>
        <v>-405150.50611911714</v>
      </c>
      <c r="K29" s="36">
        <f t="shared" si="1"/>
        <v>-1.4643665861387751E-2</v>
      </c>
      <c r="L29" s="10">
        <f t="shared" si="3"/>
        <v>1.4643665861387751E-2</v>
      </c>
      <c r="M29" s="135">
        <f t="shared" si="4"/>
        <v>164146932608.57678</v>
      </c>
      <c r="N29" s="135">
        <f t="shared" si="5"/>
        <v>-536993.36223183572</v>
      </c>
      <c r="O29" s="135">
        <f t="shared" si="6"/>
        <v>288361871081.05151</v>
      </c>
      <c r="Q29" t="s">
        <v>119</v>
      </c>
      <c r="R29" s="31">
        <f>M135</f>
        <v>107217263732025.86</v>
      </c>
    </row>
    <row r="30" spans="1:25" x14ac:dyDescent="0.2">
      <c r="A30" s="43">
        <v>42490</v>
      </c>
      <c r="B30" s="44">
        <f>Inputs!D51</f>
        <v>24587318</v>
      </c>
      <c r="C30" s="44">
        <v>476.99999999999983</v>
      </c>
      <c r="D30" s="44">
        <v>30</v>
      </c>
      <c r="E30" s="109">
        <v>1</v>
      </c>
      <c r="F30" s="130">
        <v>0</v>
      </c>
      <c r="G30" s="137">
        <f>Inputs!G51+Inputs!I51+Inputs!L51</f>
        <v>13358</v>
      </c>
      <c r="H30" s="137">
        <v>0</v>
      </c>
      <c r="I30" s="44">
        <f t="shared" si="2"/>
        <v>25155530.295245282</v>
      </c>
      <c r="J30" s="27">
        <f t="shared" si="0"/>
        <v>568212.29524528235</v>
      </c>
      <c r="K30" s="36">
        <f t="shared" si="1"/>
        <v>2.3109974631852173E-2</v>
      </c>
      <c r="L30" s="10">
        <f t="shared" si="3"/>
        <v>2.3109974631852173E-2</v>
      </c>
      <c r="M30" s="135">
        <f t="shared" si="4"/>
        <v>322865212467.91193</v>
      </c>
      <c r="N30" s="135">
        <f t="shared" si="5"/>
        <v>973362.80136439949</v>
      </c>
      <c r="O30" s="135">
        <f t="shared" si="6"/>
        <v>947435143079.95142</v>
      </c>
    </row>
    <row r="31" spans="1:25" x14ac:dyDescent="0.2">
      <c r="A31" s="43">
        <v>42521</v>
      </c>
      <c r="B31" s="44">
        <f>Inputs!D52</f>
        <v>21916797</v>
      </c>
      <c r="C31" s="44">
        <v>227.1</v>
      </c>
      <c r="D31" s="44">
        <v>31</v>
      </c>
      <c r="E31" s="109">
        <v>1</v>
      </c>
      <c r="F31" s="130">
        <v>0</v>
      </c>
      <c r="G31" s="137">
        <f>Inputs!G52+Inputs!I52+Inputs!L52</f>
        <v>13356</v>
      </c>
      <c r="H31" s="137">
        <v>0</v>
      </c>
      <c r="I31" s="44">
        <f t="shared" si="2"/>
        <v>22666022.52736935</v>
      </c>
      <c r="J31" s="27">
        <f t="shared" si="0"/>
        <v>749225.52736935019</v>
      </c>
      <c r="K31" s="36">
        <f t="shared" si="1"/>
        <v>3.4184991874923611E-2</v>
      </c>
      <c r="L31" s="10">
        <f t="shared" si="3"/>
        <v>3.4184991874923611E-2</v>
      </c>
      <c r="M31" s="135">
        <f t="shared" si="4"/>
        <v>561338890861.88086</v>
      </c>
      <c r="N31" s="135">
        <f t="shared" si="5"/>
        <v>181013.23212406784</v>
      </c>
      <c r="O31" s="135">
        <f t="shared" si="6"/>
        <v>32765790204.001667</v>
      </c>
      <c r="Q31" t="s">
        <v>120</v>
      </c>
      <c r="R31">
        <f>R28/R29</f>
        <v>1.4388638591327205</v>
      </c>
    </row>
    <row r="32" spans="1:25" x14ac:dyDescent="0.2">
      <c r="A32" s="43">
        <v>42551</v>
      </c>
      <c r="B32" s="44">
        <f>Inputs!D53</f>
        <v>22063036</v>
      </c>
      <c r="C32" s="44">
        <v>79.7</v>
      </c>
      <c r="D32" s="44">
        <v>30</v>
      </c>
      <c r="E32" s="109">
        <v>0</v>
      </c>
      <c r="F32" s="130">
        <v>0</v>
      </c>
      <c r="G32" s="137">
        <f>Inputs!G53+Inputs!I53+Inputs!L53</f>
        <v>13361</v>
      </c>
      <c r="H32" s="137">
        <v>0</v>
      </c>
      <c r="I32" s="44">
        <f t="shared" si="2"/>
        <v>21391188.815188572</v>
      </c>
      <c r="J32" s="27">
        <f t="shared" si="0"/>
        <v>-671847.18481142819</v>
      </c>
      <c r="K32" s="36">
        <f t="shared" si="1"/>
        <v>-3.045125724362813E-2</v>
      </c>
      <c r="L32" s="10">
        <f t="shared" si="3"/>
        <v>3.045125724362813E-2</v>
      </c>
      <c r="M32" s="135">
        <f t="shared" si="4"/>
        <v>451378639739.04132</v>
      </c>
      <c r="N32" s="135">
        <f t="shared" si="5"/>
        <v>-1421072.7121807784</v>
      </c>
      <c r="O32" s="135">
        <f t="shared" si="6"/>
        <v>2019447653304.8335</v>
      </c>
    </row>
    <row r="33" spans="1:18" x14ac:dyDescent="0.2">
      <c r="A33" s="43">
        <v>42582</v>
      </c>
      <c r="B33" s="44">
        <f>Inputs!D54</f>
        <v>24449967</v>
      </c>
      <c r="C33" s="44">
        <v>29.499999999999996</v>
      </c>
      <c r="D33" s="44">
        <v>31</v>
      </c>
      <c r="E33" s="109">
        <v>0</v>
      </c>
      <c r="F33" s="130">
        <v>1</v>
      </c>
      <c r="G33" s="137">
        <f>Inputs!G54+Inputs!I54+Inputs!L54</f>
        <v>13361</v>
      </c>
      <c r="H33" s="137">
        <v>0</v>
      </c>
      <c r="I33" s="44">
        <f t="shared" si="2"/>
        <v>24255609.157737687</v>
      </c>
      <c r="J33" s="27">
        <f t="shared" si="0"/>
        <v>-194357.84226231277</v>
      </c>
      <c r="K33" s="36">
        <f t="shared" si="1"/>
        <v>-7.9492067315392601E-3</v>
      </c>
      <c r="L33" s="10">
        <f t="shared" si="3"/>
        <v>7.9492067315392601E-3</v>
      </c>
      <c r="M33" s="135">
        <f t="shared" si="4"/>
        <v>37774970848.862053</v>
      </c>
      <c r="N33" s="135">
        <f t="shared" si="5"/>
        <v>477489.34254911542</v>
      </c>
      <c r="O33" s="135">
        <f t="shared" si="6"/>
        <v>227996072247.98648</v>
      </c>
      <c r="P33"/>
      <c r="R33" s="40"/>
    </row>
    <row r="34" spans="1:18" x14ac:dyDescent="0.2">
      <c r="A34" s="43">
        <v>42613</v>
      </c>
      <c r="B34" s="44">
        <f>Inputs!D55</f>
        <v>25086525</v>
      </c>
      <c r="C34" s="44">
        <v>14.100000000000001</v>
      </c>
      <c r="D34" s="44">
        <v>31</v>
      </c>
      <c r="E34" s="109">
        <v>0</v>
      </c>
      <c r="F34" s="130">
        <v>1</v>
      </c>
      <c r="G34" s="137">
        <f>Inputs!G55+Inputs!I55+Inputs!L55</f>
        <v>13361</v>
      </c>
      <c r="H34" s="137">
        <v>0</v>
      </c>
      <c r="I34" s="44">
        <f t="shared" si="2"/>
        <v>24068459.091412261</v>
      </c>
      <c r="J34" s="27">
        <f t="shared" si="0"/>
        <v>-1018065.9085877389</v>
      </c>
      <c r="K34" s="36">
        <f t="shared" si="1"/>
        <v>-4.058218141363696E-2</v>
      </c>
      <c r="L34" s="10">
        <f t="shared" si="3"/>
        <v>4.058218141363696E-2</v>
      </c>
      <c r="M34" s="135">
        <f t="shared" si="4"/>
        <v>1036458194228.5782</v>
      </c>
      <c r="N34" s="135">
        <f t="shared" si="5"/>
        <v>-823708.0663254261</v>
      </c>
      <c r="O34" s="135">
        <f t="shared" si="6"/>
        <v>678494978529.57251</v>
      </c>
      <c r="P34"/>
    </row>
    <row r="35" spans="1:18" x14ac:dyDescent="0.2">
      <c r="A35" s="43">
        <v>42643</v>
      </c>
      <c r="B35" s="44">
        <f>Inputs!D56</f>
        <v>21516383</v>
      </c>
      <c r="C35" s="44">
        <v>80.500000000000014</v>
      </c>
      <c r="D35" s="44">
        <v>30</v>
      </c>
      <c r="E35" s="109">
        <v>0</v>
      </c>
      <c r="F35" s="130">
        <v>0</v>
      </c>
      <c r="G35" s="137">
        <f>Inputs!G56+Inputs!I56+Inputs!L56</f>
        <v>13366</v>
      </c>
      <c r="H35" s="137">
        <v>0</v>
      </c>
      <c r="I35" s="44">
        <f t="shared" si="2"/>
        <v>21406275.638700008</v>
      </c>
      <c r="J35" s="27">
        <f t="shared" ref="J35:J66" si="7">I35-B35</f>
        <v>-110107.36129999161</v>
      </c>
      <c r="K35" s="36">
        <f t="shared" ref="K35:K66" si="8">J35/B35</f>
        <v>-5.1173731802409174E-3</v>
      </c>
      <c r="L35" s="10">
        <f t="shared" si="3"/>
        <v>5.1173731802409174E-3</v>
      </c>
      <c r="M35" s="135">
        <f t="shared" si="4"/>
        <v>12123631012.44689</v>
      </c>
      <c r="N35" s="135">
        <f t="shared" si="5"/>
        <v>907958.54728774726</v>
      </c>
      <c r="O35" s="135">
        <f t="shared" si="6"/>
        <v>824388723592.87634</v>
      </c>
      <c r="P35"/>
    </row>
    <row r="36" spans="1:18" x14ac:dyDescent="0.2">
      <c r="A36" s="43">
        <v>42674</v>
      </c>
      <c r="B36" s="44">
        <f>Inputs!D57</f>
        <v>22851618</v>
      </c>
      <c r="C36" s="44">
        <v>302.10000000000008</v>
      </c>
      <c r="D36" s="44">
        <v>31</v>
      </c>
      <c r="E36" s="109">
        <v>1</v>
      </c>
      <c r="F36" s="130">
        <v>0</v>
      </c>
      <c r="G36" s="137">
        <f>Inputs!G57+Inputs!I57+Inputs!L57</f>
        <v>13364</v>
      </c>
      <c r="H36" s="137">
        <v>0</v>
      </c>
      <c r="I36" s="44">
        <f t="shared" si="2"/>
        <v>23586051.243007828</v>
      </c>
      <c r="J36" s="27">
        <f t="shared" si="7"/>
        <v>734433.24300782755</v>
      </c>
      <c r="K36" s="36">
        <f t="shared" si="8"/>
        <v>3.2139222833491597E-2</v>
      </c>
      <c r="L36" s="10">
        <f t="shared" si="3"/>
        <v>3.2139222833491597E-2</v>
      </c>
      <c r="M36" s="135">
        <f t="shared" si="4"/>
        <v>539392188434.99469</v>
      </c>
      <c r="N36" s="135">
        <f t="shared" si="5"/>
        <v>844540.60430781916</v>
      </c>
      <c r="O36" s="135">
        <f t="shared" si="6"/>
        <v>713248832324.61633</v>
      </c>
      <c r="P36"/>
    </row>
    <row r="37" spans="1:18" x14ac:dyDescent="0.2">
      <c r="A37" s="43">
        <v>42704</v>
      </c>
      <c r="B37" s="44">
        <f>Inputs!D58</f>
        <v>24193372</v>
      </c>
      <c r="C37" s="44">
        <v>435.2000000000001</v>
      </c>
      <c r="D37" s="44">
        <v>30</v>
      </c>
      <c r="E37" s="109">
        <v>1</v>
      </c>
      <c r="F37" s="130">
        <v>0</v>
      </c>
      <c r="G37" s="137">
        <f>Inputs!G58+Inputs!I58+Inputs!L58</f>
        <v>13392</v>
      </c>
      <c r="H37" s="137">
        <v>0</v>
      </c>
      <c r="I37" s="44">
        <f t="shared" si="2"/>
        <v>24684031.790368967</v>
      </c>
      <c r="J37" s="27">
        <f t="shared" si="7"/>
        <v>490659.79036896676</v>
      </c>
      <c r="K37" s="36">
        <f t="shared" si="8"/>
        <v>2.0280752528790396E-2</v>
      </c>
      <c r="L37" s="10">
        <f t="shared" si="3"/>
        <v>2.0280752528790396E-2</v>
      </c>
      <c r="M37" s="135">
        <f t="shared" si="4"/>
        <v>240747029884.9184</v>
      </c>
      <c r="N37" s="135">
        <f t="shared" si="5"/>
        <v>-243773.45263886079</v>
      </c>
      <c r="O37" s="135">
        <f t="shared" si="6"/>
        <v>59425496211.470909</v>
      </c>
      <c r="P37"/>
    </row>
    <row r="38" spans="1:18" x14ac:dyDescent="0.2">
      <c r="A38" s="43">
        <v>42735</v>
      </c>
      <c r="B38" s="44">
        <f>Inputs!D59</f>
        <v>28341333</v>
      </c>
      <c r="C38" s="44">
        <v>713.7</v>
      </c>
      <c r="D38" s="44">
        <v>31</v>
      </c>
      <c r="E38" s="109">
        <v>0</v>
      </c>
      <c r="F38" s="130">
        <v>0</v>
      </c>
      <c r="G38" s="137">
        <f>Inputs!G59+Inputs!I59+Inputs!L59</f>
        <v>13406</v>
      </c>
      <c r="H38" s="137">
        <v>0</v>
      </c>
      <c r="I38" s="44">
        <f t="shared" si="2"/>
        <v>29693794.274442263</v>
      </c>
      <c r="J38" s="27">
        <f t="shared" si="7"/>
        <v>1352461.2744422629</v>
      </c>
      <c r="K38" s="36">
        <f t="shared" si="8"/>
        <v>4.7720453884164973E-2</v>
      </c>
      <c r="L38" s="10">
        <f t="shared" si="3"/>
        <v>4.7720453884164973E-2</v>
      </c>
      <c r="M38" s="135">
        <f t="shared" si="4"/>
        <v>1829151498865.99</v>
      </c>
      <c r="N38" s="135">
        <f t="shared" si="5"/>
        <v>861801.48407329619</v>
      </c>
      <c r="O38" s="135">
        <f t="shared" si="6"/>
        <v>742701797950.93579</v>
      </c>
      <c r="P38"/>
    </row>
    <row r="39" spans="1:18" x14ac:dyDescent="0.2">
      <c r="A39" s="43">
        <v>42766</v>
      </c>
      <c r="B39" s="44">
        <f>Inputs!D60</f>
        <v>29369246</v>
      </c>
      <c r="C39" s="44">
        <v>744</v>
      </c>
      <c r="D39" s="44">
        <v>31</v>
      </c>
      <c r="E39" s="109">
        <v>0</v>
      </c>
      <c r="F39" s="130">
        <v>0</v>
      </c>
      <c r="G39" s="137">
        <f>Inputs!G60+Inputs!I60+Inputs!L60</f>
        <v>13414</v>
      </c>
      <c r="H39" s="137">
        <v>0</v>
      </c>
      <c r="I39" s="44">
        <f t="shared" si="2"/>
        <v>30070601.693668619</v>
      </c>
      <c r="J39" s="27">
        <f t="shared" si="7"/>
        <v>701355.6936686188</v>
      </c>
      <c r="K39" s="36">
        <f t="shared" si="8"/>
        <v>2.3880616263305458E-2</v>
      </c>
      <c r="L39" s="10">
        <f t="shared" si="3"/>
        <v>2.3880616263305458E-2</v>
      </c>
      <c r="M39" s="135">
        <f t="shared" si="4"/>
        <v>491899809041.38947</v>
      </c>
      <c r="N39" s="135">
        <f t="shared" si="5"/>
        <v>-651105.58077364415</v>
      </c>
      <c r="O39" s="135">
        <f t="shared" si="6"/>
        <v>423938477314.58447</v>
      </c>
      <c r="P39"/>
    </row>
    <row r="40" spans="1:18" x14ac:dyDescent="0.2">
      <c r="A40" s="43">
        <v>42794</v>
      </c>
      <c r="B40" s="44">
        <f>Inputs!D61</f>
        <v>26144559</v>
      </c>
      <c r="C40" s="44">
        <v>648</v>
      </c>
      <c r="D40" s="44">
        <v>28</v>
      </c>
      <c r="E40" s="109">
        <v>0</v>
      </c>
      <c r="F40" s="130">
        <v>0</v>
      </c>
      <c r="G40" s="137">
        <f>Inputs!G61+Inputs!I61+Inputs!L61</f>
        <v>13414</v>
      </c>
      <c r="H40" s="137">
        <v>0</v>
      </c>
      <c r="I40" s="44">
        <f t="shared" si="2"/>
        <v>27255232.041047402</v>
      </c>
      <c r="J40" s="27">
        <f t="shared" si="7"/>
        <v>1110673.0410474017</v>
      </c>
      <c r="K40" s="36">
        <f t="shared" si="8"/>
        <v>4.2481995624688171E-2</v>
      </c>
      <c r="L40" s="10">
        <f t="shared" si="3"/>
        <v>4.2481995624688171E-2</v>
      </c>
      <c r="M40" s="135">
        <f t="shared" si="4"/>
        <v>1233594604109.4834</v>
      </c>
      <c r="N40" s="135">
        <f t="shared" si="5"/>
        <v>409317.34737878293</v>
      </c>
      <c r="O40" s="135">
        <f t="shared" si="6"/>
        <v>167540690865.20325</v>
      </c>
      <c r="P40"/>
    </row>
    <row r="41" spans="1:18" x14ac:dyDescent="0.2">
      <c r="A41" s="43">
        <v>42825</v>
      </c>
      <c r="B41" s="44">
        <f>Inputs!D62</f>
        <v>28985084</v>
      </c>
      <c r="C41" s="44">
        <v>715.59999999999991</v>
      </c>
      <c r="D41" s="44">
        <v>31</v>
      </c>
      <c r="E41" s="109">
        <v>1</v>
      </c>
      <c r="F41" s="130">
        <v>0</v>
      </c>
      <c r="G41" s="137">
        <f>Inputs!G62+Inputs!I62+Inputs!L62</f>
        <v>13412</v>
      </c>
      <c r="H41" s="137">
        <v>0</v>
      </c>
      <c r="I41" s="44">
        <f t="shared" si="2"/>
        <v>28662653.574444011</v>
      </c>
      <c r="J41" s="27">
        <f t="shared" si="7"/>
        <v>-322430.42555598915</v>
      </c>
      <c r="K41" s="36">
        <f t="shared" si="8"/>
        <v>-1.1124012114506521E-2</v>
      </c>
      <c r="L41" s="10">
        <f t="shared" si="3"/>
        <v>1.1124012114506521E-2</v>
      </c>
      <c r="M41" s="135">
        <f t="shared" si="4"/>
        <v>103961379324.21626</v>
      </c>
      <c r="N41" s="135">
        <f t="shared" si="5"/>
        <v>-1433103.4666033909</v>
      </c>
      <c r="O41" s="135">
        <f t="shared" si="6"/>
        <v>2053785545990.6563</v>
      </c>
      <c r="P41"/>
    </row>
    <row r="42" spans="1:18" x14ac:dyDescent="0.2">
      <c r="A42" s="43">
        <v>42855</v>
      </c>
      <c r="B42" s="44">
        <f>Inputs!D63</f>
        <v>22823269</v>
      </c>
      <c r="C42" s="44">
        <v>352.49999999999994</v>
      </c>
      <c r="D42" s="44">
        <v>30</v>
      </c>
      <c r="E42" s="109">
        <v>1</v>
      </c>
      <c r="F42" s="130">
        <v>0</v>
      </c>
      <c r="G42" s="137">
        <f>Inputs!G63+Inputs!I63+Inputs!L63</f>
        <v>13422</v>
      </c>
      <c r="H42" s="137">
        <v>0</v>
      </c>
      <c r="I42" s="44">
        <f t="shared" si="2"/>
        <v>23711200.081861295</v>
      </c>
      <c r="J42" s="27">
        <f t="shared" si="7"/>
        <v>887931.08186129481</v>
      </c>
      <c r="K42" s="36">
        <f t="shared" si="8"/>
        <v>3.890464077960501E-2</v>
      </c>
      <c r="L42" s="10">
        <f t="shared" si="3"/>
        <v>3.890464077960501E-2</v>
      </c>
      <c r="M42" s="135">
        <f t="shared" si="4"/>
        <v>788421606135.36938</v>
      </c>
      <c r="N42" s="135">
        <f t="shared" si="5"/>
        <v>1210361.507417284</v>
      </c>
      <c r="O42" s="135">
        <f t="shared" si="6"/>
        <v>1464974978637.4399</v>
      </c>
      <c r="P42"/>
    </row>
    <row r="43" spans="1:18" x14ac:dyDescent="0.2">
      <c r="A43" s="43">
        <v>42886</v>
      </c>
      <c r="B43" s="44">
        <f>Inputs!D64</f>
        <v>22196746</v>
      </c>
      <c r="C43" s="44">
        <v>238.09999999999994</v>
      </c>
      <c r="D43" s="44">
        <v>31</v>
      </c>
      <c r="E43" s="109">
        <v>1</v>
      </c>
      <c r="F43" s="130">
        <v>0</v>
      </c>
      <c r="G43" s="137">
        <f>Inputs!G64+Inputs!I64+Inputs!L64</f>
        <v>13437</v>
      </c>
      <c r="H43" s="137">
        <v>0</v>
      </c>
      <c r="I43" s="44">
        <f t="shared" si="2"/>
        <v>22886609.96890416</v>
      </c>
      <c r="J43" s="27">
        <f t="shared" si="7"/>
        <v>689863.96890415996</v>
      </c>
      <c r="K43" s="36">
        <f t="shared" si="8"/>
        <v>3.1079509082284403E-2</v>
      </c>
      <c r="L43" s="10">
        <f t="shared" si="3"/>
        <v>3.1079509082284403E-2</v>
      </c>
      <c r="M43" s="135">
        <f t="shared" si="4"/>
        <v>475912295592.19977</v>
      </c>
      <c r="N43" s="135">
        <f t="shared" si="5"/>
        <v>-198067.11295713484</v>
      </c>
      <c r="O43" s="135">
        <f t="shared" si="6"/>
        <v>39230581235.174416</v>
      </c>
      <c r="P43"/>
    </row>
    <row r="44" spans="1:18" x14ac:dyDescent="0.2">
      <c r="A44" s="43">
        <v>42916</v>
      </c>
      <c r="B44" s="44">
        <f>Inputs!D65</f>
        <v>21339393</v>
      </c>
      <c r="C44" s="44">
        <v>88.800000000000011</v>
      </c>
      <c r="D44" s="44">
        <v>30</v>
      </c>
      <c r="E44" s="109">
        <v>0</v>
      </c>
      <c r="F44" s="130">
        <v>0</v>
      </c>
      <c r="G44" s="137">
        <f>Inputs!G65+Inputs!I65+Inputs!L65</f>
        <v>13468</v>
      </c>
      <c r="H44" s="137">
        <v>0</v>
      </c>
      <c r="I44" s="44">
        <f t="shared" si="2"/>
        <v>21616582.972623639</v>
      </c>
      <c r="J44" s="27">
        <f t="shared" si="7"/>
        <v>277189.97262363881</v>
      </c>
      <c r="K44" s="36">
        <f t="shared" si="8"/>
        <v>1.2989590314196791E-2</v>
      </c>
      <c r="L44" s="10">
        <f t="shared" si="3"/>
        <v>1.2989590314196791E-2</v>
      </c>
      <c r="M44" s="135">
        <f t="shared" si="4"/>
        <v>76834280923.093628</v>
      </c>
      <c r="N44" s="135">
        <f t="shared" si="5"/>
        <v>-412673.99628052115</v>
      </c>
      <c r="O44" s="135">
        <f t="shared" si="6"/>
        <v>170299827206.13559</v>
      </c>
      <c r="P44"/>
    </row>
    <row r="45" spans="1:18" x14ac:dyDescent="0.2">
      <c r="A45" s="43">
        <v>42947</v>
      </c>
      <c r="B45" s="44">
        <f>Inputs!D66</f>
        <v>22953227</v>
      </c>
      <c r="C45" s="44">
        <v>21.899999999999995</v>
      </c>
      <c r="D45" s="44">
        <v>31</v>
      </c>
      <c r="E45" s="109">
        <v>0</v>
      </c>
      <c r="F45" s="130">
        <v>1</v>
      </c>
      <c r="G45" s="137">
        <f>Inputs!G66+Inputs!I66+Inputs!L66</f>
        <v>13466</v>
      </c>
      <c r="H45" s="137">
        <v>0</v>
      </c>
      <c r="I45" s="44">
        <f t="shared" si="2"/>
        <v>24275908.9697675</v>
      </c>
      <c r="J45" s="27">
        <f t="shared" si="7"/>
        <v>1322681.9697674997</v>
      </c>
      <c r="K45" s="36">
        <f t="shared" si="8"/>
        <v>5.76250986306849E-2</v>
      </c>
      <c r="L45" s="10">
        <f t="shared" si="3"/>
        <v>5.76250986306849E-2</v>
      </c>
      <c r="M45" s="135">
        <f t="shared" si="4"/>
        <v>1749487593148.033</v>
      </c>
      <c r="N45" s="135">
        <f t="shared" si="5"/>
        <v>1045491.9971438609</v>
      </c>
      <c r="O45" s="135">
        <f t="shared" si="6"/>
        <v>1093053516091.8589</v>
      </c>
      <c r="P45"/>
    </row>
    <row r="46" spans="1:18" x14ac:dyDescent="0.2">
      <c r="A46" s="43">
        <v>42978</v>
      </c>
      <c r="B46" s="44">
        <f>Inputs!D67</f>
        <v>22947367</v>
      </c>
      <c r="C46" s="44">
        <v>62.599999999999994</v>
      </c>
      <c r="D46" s="44">
        <v>31</v>
      </c>
      <c r="E46" s="109">
        <v>0</v>
      </c>
      <c r="F46" s="130">
        <v>1</v>
      </c>
      <c r="G46" s="137">
        <f>Inputs!G67+Inputs!I67+Inputs!L67</f>
        <v>13469</v>
      </c>
      <c r="H46" s="137">
        <v>0</v>
      </c>
      <c r="I46" s="44">
        <f t="shared" si="2"/>
        <v>24773738.704628177</v>
      </c>
      <c r="J46" s="27">
        <f t="shared" si="7"/>
        <v>1826371.704628177</v>
      </c>
      <c r="K46" s="36">
        <f t="shared" si="8"/>
        <v>7.9589597561592881E-2</v>
      </c>
      <c r="L46" s="10">
        <f t="shared" si="3"/>
        <v>7.9589597561592881E-2</v>
      </c>
      <c r="M46" s="135">
        <f t="shared" si="4"/>
        <v>3335633603466.4331</v>
      </c>
      <c r="N46" s="135">
        <f t="shared" si="5"/>
        <v>503689.73486067727</v>
      </c>
      <c r="O46" s="135">
        <f t="shared" si="6"/>
        <v>253703349004.01938</v>
      </c>
      <c r="P46"/>
    </row>
    <row r="47" spans="1:18" x14ac:dyDescent="0.2">
      <c r="A47" s="43">
        <v>43008</v>
      </c>
      <c r="B47" s="44">
        <f>Inputs!D68</f>
        <v>21826159</v>
      </c>
      <c r="C47" s="44">
        <v>121.9</v>
      </c>
      <c r="D47" s="44">
        <v>30</v>
      </c>
      <c r="E47" s="109">
        <v>0</v>
      </c>
      <c r="F47" s="130">
        <v>0</v>
      </c>
      <c r="G47" s="137">
        <f>Inputs!G68+Inputs!I68+Inputs!L68</f>
        <v>13463</v>
      </c>
      <c r="H47" s="137">
        <v>0</v>
      </c>
      <c r="I47" s="44">
        <f t="shared" si="2"/>
        <v>22013469.347062334</v>
      </c>
      <c r="J47" s="27">
        <f t="shared" si="7"/>
        <v>187310.34706233442</v>
      </c>
      <c r="K47" s="36">
        <f t="shared" si="8"/>
        <v>8.5819198450049969E-3</v>
      </c>
      <c r="L47" s="10">
        <f t="shared" si="3"/>
        <v>8.5819198450049969E-3</v>
      </c>
      <c r="M47" s="135">
        <f t="shared" si="4"/>
        <v>35085166116.612175</v>
      </c>
      <c r="N47" s="135">
        <f t="shared" si="5"/>
        <v>-1639061.3575658426</v>
      </c>
      <c r="O47" s="135">
        <f t="shared" si="6"/>
        <v>2686522133865.583</v>
      </c>
      <c r="P47"/>
    </row>
    <row r="48" spans="1:18" x14ac:dyDescent="0.2">
      <c r="A48" s="43">
        <v>43039</v>
      </c>
      <c r="B48" s="44">
        <f>Inputs!D69</f>
        <v>22377976</v>
      </c>
      <c r="C48" s="44">
        <v>243.79999999999998</v>
      </c>
      <c r="D48" s="44">
        <v>31</v>
      </c>
      <c r="E48" s="109">
        <v>1</v>
      </c>
      <c r="F48" s="130">
        <v>0</v>
      </c>
      <c r="G48" s="137">
        <f>Inputs!G69+Inputs!I69+Inputs!L69</f>
        <v>13474</v>
      </c>
      <c r="H48" s="137">
        <v>0</v>
      </c>
      <c r="I48" s="44">
        <f t="shared" si="2"/>
        <v>22995578.890512735</v>
      </c>
      <c r="J48" s="27">
        <f t="shared" si="7"/>
        <v>617602.89051273465</v>
      </c>
      <c r="K48" s="36">
        <f t="shared" si="8"/>
        <v>2.7598693041441042E-2</v>
      </c>
      <c r="L48" s="10">
        <f t="shared" si="3"/>
        <v>2.7598693041441042E-2</v>
      </c>
      <c r="M48" s="135">
        <f t="shared" si="4"/>
        <v>381433330369.68488</v>
      </c>
      <c r="N48" s="135">
        <f t="shared" si="5"/>
        <v>430292.54345040023</v>
      </c>
      <c r="O48" s="135">
        <f t="shared" si="6"/>
        <v>185151672949.01459</v>
      </c>
      <c r="P48"/>
    </row>
    <row r="49" spans="1:16" x14ac:dyDescent="0.2">
      <c r="A49" s="43">
        <v>43069</v>
      </c>
      <c r="B49" s="44">
        <f>Inputs!D70</f>
        <v>25903115</v>
      </c>
      <c r="C49" s="44">
        <v>421.5</v>
      </c>
      <c r="D49" s="44">
        <v>30</v>
      </c>
      <c r="E49" s="109">
        <v>1</v>
      </c>
      <c r="F49" s="130">
        <v>0</v>
      </c>
      <c r="G49" s="137">
        <f>Inputs!G70+Inputs!I70+Inputs!L70</f>
        <v>13483</v>
      </c>
      <c r="H49" s="137">
        <v>0</v>
      </c>
      <c r="I49" s="44">
        <f t="shared" si="2"/>
        <v>24615179.45396829</v>
      </c>
      <c r="J49" s="27">
        <f t="shared" si="7"/>
        <v>-1287935.5460317098</v>
      </c>
      <c r="K49" s="36">
        <f t="shared" si="8"/>
        <v>-4.972126117000638E-2</v>
      </c>
      <c r="L49" s="10">
        <f t="shared" si="3"/>
        <v>4.972126117000638E-2</v>
      </c>
      <c r="M49" s="135">
        <f t="shared" si="4"/>
        <v>1658777970731.9983</v>
      </c>
      <c r="N49" s="135">
        <f t="shared" si="5"/>
        <v>-1905538.4365444444</v>
      </c>
      <c r="O49" s="135">
        <f t="shared" si="6"/>
        <v>3631076733148.2456</v>
      </c>
      <c r="P49"/>
    </row>
    <row r="50" spans="1:16" x14ac:dyDescent="0.2">
      <c r="A50" s="43">
        <v>43100</v>
      </c>
      <c r="B50" s="44">
        <f>Inputs!D71</f>
        <v>30421258</v>
      </c>
      <c r="C50" s="44">
        <v>885.19999999999993</v>
      </c>
      <c r="D50" s="44">
        <v>31</v>
      </c>
      <c r="E50" s="109">
        <v>0</v>
      </c>
      <c r="F50" s="130">
        <v>0</v>
      </c>
      <c r="G50" s="137">
        <f>Inputs!G71+Inputs!I71+Inputs!L71</f>
        <v>13491</v>
      </c>
      <c r="H50" s="137">
        <v>0</v>
      </c>
      <c r="I50" s="44">
        <f t="shared" si="2"/>
        <v>31869166.084057868</v>
      </c>
      <c r="J50" s="27">
        <f t="shared" si="7"/>
        <v>1447908.0840578675</v>
      </c>
      <c r="K50" s="36">
        <f t="shared" si="8"/>
        <v>4.7595273149383485E-2</v>
      </c>
      <c r="L50" s="10">
        <f t="shared" si="3"/>
        <v>4.7595273149383485E-2</v>
      </c>
      <c r="M50" s="135">
        <f t="shared" si="4"/>
        <v>2096437819880.1248</v>
      </c>
      <c r="N50" s="135">
        <f t="shared" si="5"/>
        <v>2735843.6300895773</v>
      </c>
      <c r="O50" s="135">
        <f t="shared" si="6"/>
        <v>7484840368301.7158</v>
      </c>
      <c r="P50"/>
    </row>
    <row r="51" spans="1:16" x14ac:dyDescent="0.2">
      <c r="A51" s="43">
        <v>43131</v>
      </c>
      <c r="B51" s="44">
        <f>Inputs!D72</f>
        <v>32733608</v>
      </c>
      <c r="C51" s="44">
        <v>873.09999999999991</v>
      </c>
      <c r="D51" s="44">
        <v>31</v>
      </c>
      <c r="E51" s="109">
        <v>0</v>
      </c>
      <c r="F51" s="130">
        <v>0</v>
      </c>
      <c r="G51" s="137">
        <f>Inputs!G72+Inputs!I72+Inputs!L72</f>
        <v>13479</v>
      </c>
      <c r="H51" s="137">
        <v>0</v>
      </c>
      <c r="I51" s="44">
        <f t="shared" si="2"/>
        <v>31709244.222228277</v>
      </c>
      <c r="J51" s="27">
        <f t="shared" si="7"/>
        <v>-1024363.7777717225</v>
      </c>
      <c r="K51" s="36">
        <f t="shared" si="8"/>
        <v>-3.1293946508179682E-2</v>
      </c>
      <c r="L51" s="10">
        <f t="shared" si="3"/>
        <v>3.1293946508179682E-2</v>
      </c>
      <c r="M51" s="135">
        <f t="shared" si="4"/>
        <v>1049321149210.7549</v>
      </c>
      <c r="N51" s="135">
        <f t="shared" si="5"/>
        <v>-2472271.8618295901</v>
      </c>
      <c r="O51" s="135">
        <f t="shared" si="6"/>
        <v>6112128158794.3477</v>
      </c>
      <c r="P51"/>
    </row>
    <row r="52" spans="1:16" x14ac:dyDescent="0.2">
      <c r="A52" s="43">
        <v>43159</v>
      </c>
      <c r="B52" s="44">
        <f>Inputs!D73</f>
        <v>27371745</v>
      </c>
      <c r="C52" s="44">
        <v>701.30000000000007</v>
      </c>
      <c r="D52" s="44">
        <v>28</v>
      </c>
      <c r="E52" s="109">
        <v>0</v>
      </c>
      <c r="F52" s="130">
        <v>0</v>
      </c>
      <c r="G52" s="137">
        <f>Inputs!G73+Inputs!I73+Inputs!L73</f>
        <v>13547</v>
      </c>
      <c r="H52" s="137">
        <v>0</v>
      </c>
      <c r="I52" s="44">
        <f t="shared" si="2"/>
        <v>28045667.853188075</v>
      </c>
      <c r="J52" s="27">
        <f t="shared" si="7"/>
        <v>673922.85318807513</v>
      </c>
      <c r="K52" s="36">
        <f t="shared" si="8"/>
        <v>2.4621113969462857E-2</v>
      </c>
      <c r="L52" s="10">
        <f t="shared" si="3"/>
        <v>2.4621113969462857E-2</v>
      </c>
      <c r="M52" s="135">
        <f t="shared" si="4"/>
        <v>454172012049.15588</v>
      </c>
      <c r="N52" s="135">
        <f t="shared" si="5"/>
        <v>1698286.6309597977</v>
      </c>
      <c r="O52" s="135">
        <f t="shared" si="6"/>
        <v>2884177480896.7798</v>
      </c>
      <c r="P52"/>
    </row>
    <row r="53" spans="1:16" x14ac:dyDescent="0.2">
      <c r="A53" s="43">
        <v>43190</v>
      </c>
      <c r="B53" s="44">
        <f>Inputs!D74</f>
        <v>27619983</v>
      </c>
      <c r="C53" s="44">
        <v>658.80000000000007</v>
      </c>
      <c r="D53" s="44">
        <v>31</v>
      </c>
      <c r="E53" s="109">
        <v>1</v>
      </c>
      <c r="F53" s="130">
        <v>0</v>
      </c>
      <c r="G53" s="137">
        <f>Inputs!G74+Inputs!I74+Inputs!L74</f>
        <v>13545</v>
      </c>
      <c r="H53" s="137">
        <v>0</v>
      </c>
      <c r="I53" s="44">
        <f t="shared" si="2"/>
        <v>28115087.938374955</v>
      </c>
      <c r="J53" s="27">
        <f t="shared" si="7"/>
        <v>495104.93837495521</v>
      </c>
      <c r="K53" s="36">
        <f t="shared" si="8"/>
        <v>1.7925606195157876E-2</v>
      </c>
      <c r="L53" s="10">
        <f t="shared" si="3"/>
        <v>1.7925606195157876E-2</v>
      </c>
      <c r="M53" s="135">
        <f t="shared" si="4"/>
        <v>245128900003.26819</v>
      </c>
      <c r="N53" s="135">
        <f t="shared" si="5"/>
        <v>-178817.91481311992</v>
      </c>
      <c r="O53" s="135">
        <f t="shared" si="6"/>
        <v>31975846658.112213</v>
      </c>
      <c r="P53"/>
    </row>
    <row r="54" spans="1:16" x14ac:dyDescent="0.2">
      <c r="A54" s="43">
        <v>43220</v>
      </c>
      <c r="B54" s="44">
        <f>Inputs!D75</f>
        <v>25333746</v>
      </c>
      <c r="C54" s="44">
        <v>545.29999999999995</v>
      </c>
      <c r="D54" s="44">
        <v>30</v>
      </c>
      <c r="E54" s="109">
        <v>1</v>
      </c>
      <c r="F54" s="130">
        <v>0</v>
      </c>
      <c r="G54" s="137">
        <f>Inputs!G75+Inputs!I75+Inputs!L75</f>
        <v>13570</v>
      </c>
      <c r="H54" s="137">
        <v>0</v>
      </c>
      <c r="I54" s="44">
        <f t="shared" si="2"/>
        <v>26213018.05890099</v>
      </c>
      <c r="J54" s="27">
        <f t="shared" si="7"/>
        <v>879272.05890098959</v>
      </c>
      <c r="K54" s="36">
        <f t="shared" si="8"/>
        <v>3.4707542220601309E-2</v>
      </c>
      <c r="L54" s="10">
        <f t="shared" si="3"/>
        <v>3.4707542220601309E-2</v>
      </c>
      <c r="M54" s="135">
        <f t="shared" si="4"/>
        <v>773119353563.98535</v>
      </c>
      <c r="N54" s="135">
        <f t="shared" si="5"/>
        <v>384167.12052603438</v>
      </c>
      <c r="O54" s="135">
        <f t="shared" si="6"/>
        <v>147584376493.26462</v>
      </c>
      <c r="P54"/>
    </row>
    <row r="55" spans="1:16" x14ac:dyDescent="0.2">
      <c r="A55" s="43">
        <v>43251</v>
      </c>
      <c r="B55" s="44">
        <f>Inputs!D76</f>
        <v>21970207</v>
      </c>
      <c r="C55" s="44">
        <v>149.80000000000001</v>
      </c>
      <c r="D55" s="44">
        <v>31</v>
      </c>
      <c r="E55" s="109">
        <v>1</v>
      </c>
      <c r="F55" s="130">
        <v>0</v>
      </c>
      <c r="G55" s="137">
        <f>Inputs!G76+Inputs!I76+Inputs!L76</f>
        <v>13573</v>
      </c>
      <c r="H55" s="137">
        <v>0</v>
      </c>
      <c r="I55" s="44">
        <f t="shared" si="2"/>
        <v>21959456.224273965</v>
      </c>
      <c r="J55" s="27">
        <f t="shared" si="7"/>
        <v>-10750.775726035237</v>
      </c>
      <c r="K55" s="36">
        <f t="shared" si="8"/>
        <v>-4.8933429375677879E-4</v>
      </c>
      <c r="L55" s="10">
        <f t="shared" si="3"/>
        <v>4.8933429375677879E-4</v>
      </c>
      <c r="M55" s="135">
        <f t="shared" si="4"/>
        <v>115579178.71150848</v>
      </c>
      <c r="N55" s="135">
        <f t="shared" si="5"/>
        <v>-890022.83462702483</v>
      </c>
      <c r="O55" s="135">
        <f t="shared" si="6"/>
        <v>792140646157.52441</v>
      </c>
      <c r="P55"/>
    </row>
    <row r="56" spans="1:16" x14ac:dyDescent="0.2">
      <c r="A56" s="43">
        <v>43281</v>
      </c>
      <c r="B56" s="44">
        <f>Inputs!D77</f>
        <v>22053298</v>
      </c>
      <c r="C56" s="44">
        <v>86.499999999999986</v>
      </c>
      <c r="D56" s="44">
        <v>30</v>
      </c>
      <c r="E56" s="109">
        <v>0</v>
      </c>
      <c r="F56" s="130">
        <v>0</v>
      </c>
      <c r="G56" s="137">
        <f>Inputs!G77+Inputs!I77+Inputs!L77</f>
        <v>13581</v>
      </c>
      <c r="H56" s="137">
        <v>0</v>
      </c>
      <c r="I56" s="44">
        <f t="shared" si="2"/>
        <v>21709875.161143713</v>
      </c>
      <c r="J56" s="27">
        <f t="shared" si="7"/>
        <v>-343422.8388562873</v>
      </c>
      <c r="K56" s="36">
        <f t="shared" si="8"/>
        <v>-1.5572402769703076E-2</v>
      </c>
      <c r="L56" s="10">
        <f t="shared" si="3"/>
        <v>1.5572402769703076E-2</v>
      </c>
      <c r="M56" s="135">
        <f t="shared" si="4"/>
        <v>117939246248.11148</v>
      </c>
      <c r="N56" s="135">
        <f t="shared" si="5"/>
        <v>-332672.06313025206</v>
      </c>
      <c r="O56" s="135">
        <f t="shared" si="6"/>
        <v>110670701587.33841</v>
      </c>
      <c r="P56"/>
    </row>
    <row r="57" spans="1:16" x14ac:dyDescent="0.2">
      <c r="A57" s="43">
        <v>43312</v>
      </c>
      <c r="B57" s="44">
        <f>Inputs!D78</f>
        <v>25386186</v>
      </c>
      <c r="C57" s="44">
        <v>15.6</v>
      </c>
      <c r="D57" s="44">
        <v>31</v>
      </c>
      <c r="E57" s="109">
        <v>0</v>
      </c>
      <c r="F57" s="130">
        <v>1</v>
      </c>
      <c r="G57" s="137">
        <f>Inputs!G78+Inputs!I78+Inputs!L78</f>
        <v>13593</v>
      </c>
      <c r="H57" s="137">
        <v>0</v>
      </c>
      <c r="I57" s="44">
        <f t="shared" si="2"/>
        <v>24335612.029452674</v>
      </c>
      <c r="J57" s="27">
        <f t="shared" si="7"/>
        <v>-1050573.9705473259</v>
      </c>
      <c r="K57" s="36">
        <f t="shared" si="8"/>
        <v>-4.1383686803024525E-2</v>
      </c>
      <c r="L57" s="10">
        <f t="shared" si="3"/>
        <v>4.1383686803024525E-2</v>
      </c>
      <c r="M57" s="135">
        <f t="shared" si="4"/>
        <v>1103705667591.5735</v>
      </c>
      <c r="N57" s="135">
        <f t="shared" si="5"/>
        <v>-707151.13169103861</v>
      </c>
      <c r="O57" s="135">
        <f t="shared" si="6"/>
        <v>500062723051.91663</v>
      </c>
      <c r="P57"/>
    </row>
    <row r="58" spans="1:16" x14ac:dyDescent="0.2">
      <c r="A58" s="43">
        <v>43343</v>
      </c>
      <c r="B58" s="44">
        <f>Inputs!D79</f>
        <v>24965359</v>
      </c>
      <c r="C58" s="44">
        <v>13.7</v>
      </c>
      <c r="D58" s="44">
        <v>31</v>
      </c>
      <c r="E58" s="109">
        <v>0</v>
      </c>
      <c r="F58" s="130">
        <v>1</v>
      </c>
      <c r="G58" s="137">
        <f>Inputs!G79+Inputs!I79+Inputs!L79</f>
        <v>13615</v>
      </c>
      <c r="H58" s="137">
        <v>0</v>
      </c>
      <c r="I58" s="44">
        <f t="shared" si="2"/>
        <v>24336126.951637827</v>
      </c>
      <c r="J58" s="27">
        <f t="shared" si="7"/>
        <v>-629232.04836217314</v>
      </c>
      <c r="K58" s="36">
        <f t="shared" si="8"/>
        <v>-2.5204205890336812E-2</v>
      </c>
      <c r="L58" s="10">
        <f t="shared" si="3"/>
        <v>2.5204205890336812E-2</v>
      </c>
      <c r="M58" s="135">
        <f t="shared" si="4"/>
        <v>395932970686.05621</v>
      </c>
      <c r="N58" s="135">
        <f t="shared" si="5"/>
        <v>421341.92218515277</v>
      </c>
      <c r="O58" s="135">
        <f t="shared" si="6"/>
        <v>177529015390.67932</v>
      </c>
      <c r="P58"/>
    </row>
    <row r="59" spans="1:16" x14ac:dyDescent="0.2">
      <c r="A59" s="43">
        <v>43373</v>
      </c>
      <c r="B59" s="44">
        <f>Inputs!D80</f>
        <v>22184261</v>
      </c>
      <c r="C59" s="44">
        <v>128.5</v>
      </c>
      <c r="D59" s="44">
        <v>30</v>
      </c>
      <c r="E59" s="109">
        <v>0</v>
      </c>
      <c r="F59" s="130">
        <v>0</v>
      </c>
      <c r="G59" s="137">
        <f>Inputs!G80+Inputs!I80+Inputs!L80</f>
        <v>13615</v>
      </c>
      <c r="H59" s="137">
        <v>0</v>
      </c>
      <c r="I59" s="44">
        <f t="shared" si="2"/>
        <v>22256764.679518759</v>
      </c>
      <c r="J59" s="27">
        <f t="shared" si="7"/>
        <v>72503.679518759251</v>
      </c>
      <c r="K59" s="36">
        <f t="shared" si="8"/>
        <v>3.2682485803227457E-3</v>
      </c>
      <c r="L59" s="10">
        <f t="shared" si="3"/>
        <v>3.2682485803227457E-3</v>
      </c>
      <c r="M59" s="135">
        <f t="shared" si="4"/>
        <v>5256783543.7589493</v>
      </c>
      <c r="N59" s="135">
        <f t="shared" si="5"/>
        <v>701735.72788093239</v>
      </c>
      <c r="O59" s="135">
        <f t="shared" si="6"/>
        <v>492433031784.58197</v>
      </c>
      <c r="P59"/>
    </row>
    <row r="60" spans="1:16" x14ac:dyDescent="0.2">
      <c r="A60" s="43">
        <v>43404</v>
      </c>
      <c r="B60" s="44">
        <f>Inputs!D81</f>
        <v>24204812</v>
      </c>
      <c r="C60" s="44">
        <v>380.4</v>
      </c>
      <c r="D60" s="44">
        <v>31</v>
      </c>
      <c r="E60" s="109">
        <v>1</v>
      </c>
      <c r="F60" s="130">
        <v>0</v>
      </c>
      <c r="G60" s="137">
        <f>Inputs!G81+Inputs!I81+Inputs!L81</f>
        <v>13624</v>
      </c>
      <c r="H60" s="137">
        <v>0</v>
      </c>
      <c r="I60" s="44">
        <f t="shared" si="2"/>
        <v>24816566.548339255</v>
      </c>
      <c r="J60" s="27">
        <f t="shared" si="7"/>
        <v>611754.54833925515</v>
      </c>
      <c r="K60" s="36">
        <f t="shared" si="8"/>
        <v>2.5274087992885677E-2</v>
      </c>
      <c r="L60" s="10">
        <f t="shared" si="3"/>
        <v>2.5274087992885677E-2</v>
      </c>
      <c r="M60" s="135">
        <f t="shared" si="4"/>
        <v>374243627413.76605</v>
      </c>
      <c r="N60" s="135">
        <f t="shared" si="5"/>
        <v>539250.8688204959</v>
      </c>
      <c r="O60" s="135">
        <f t="shared" si="6"/>
        <v>290791499523.65967</v>
      </c>
      <c r="P60"/>
    </row>
    <row r="61" spans="1:16" x14ac:dyDescent="0.2">
      <c r="A61" s="43">
        <v>43434</v>
      </c>
      <c r="B61" s="44">
        <f>Inputs!D82</f>
        <v>26802618</v>
      </c>
      <c r="C61" s="44">
        <v>599.29999999999995</v>
      </c>
      <c r="D61" s="44">
        <v>30</v>
      </c>
      <c r="E61" s="109">
        <v>1</v>
      </c>
      <c r="F61" s="130">
        <v>0</v>
      </c>
      <c r="G61" s="137">
        <f>Inputs!G82+Inputs!I82+Inputs!L82</f>
        <v>13634</v>
      </c>
      <c r="H61" s="137">
        <v>0</v>
      </c>
      <c r="I61" s="44">
        <f t="shared" si="2"/>
        <v>26937927.250652663</v>
      </c>
      <c r="J61" s="27">
        <f t="shared" si="7"/>
        <v>135309.25065266341</v>
      </c>
      <c r="K61" s="36">
        <f t="shared" si="8"/>
        <v>5.0483594793860592E-3</v>
      </c>
      <c r="L61" s="10">
        <f t="shared" si="3"/>
        <v>5.0483594793860592E-3</v>
      </c>
      <c r="M61" s="135">
        <f t="shared" si="4"/>
        <v>18308593312.185295</v>
      </c>
      <c r="N61" s="135">
        <f t="shared" si="5"/>
        <v>-476445.29768659174</v>
      </c>
      <c r="O61" s="135">
        <f t="shared" si="6"/>
        <v>227000121687.66504</v>
      </c>
      <c r="P61"/>
    </row>
    <row r="62" spans="1:16" x14ac:dyDescent="0.2">
      <c r="A62" s="43">
        <v>43465</v>
      </c>
      <c r="B62" s="44">
        <f>Inputs!D83</f>
        <v>28621650</v>
      </c>
      <c r="C62" s="44">
        <v>720.80000000000007</v>
      </c>
      <c r="D62" s="44">
        <v>31</v>
      </c>
      <c r="E62" s="109">
        <v>0</v>
      </c>
      <c r="F62" s="130">
        <v>0</v>
      </c>
      <c r="G62" s="137">
        <f>Inputs!G83+Inputs!I83+Inputs!L83</f>
        <v>13644</v>
      </c>
      <c r="H62" s="137">
        <v>0</v>
      </c>
      <c r="I62" s="44">
        <f t="shared" si="2"/>
        <v>30035439.472628228</v>
      </c>
      <c r="J62" s="27">
        <f t="shared" si="7"/>
        <v>1413789.4726282284</v>
      </c>
      <c r="K62" s="36">
        <f t="shared" si="8"/>
        <v>4.9395806063879208E-2</v>
      </c>
      <c r="L62" s="10">
        <f t="shared" si="3"/>
        <v>4.9395806063879208E-2</v>
      </c>
      <c r="M62" s="135">
        <f t="shared" si="4"/>
        <v>1998800672914.4041</v>
      </c>
      <c r="N62" s="135">
        <f t="shared" si="5"/>
        <v>1278480.221975565</v>
      </c>
      <c r="O62" s="135">
        <f t="shared" si="6"/>
        <v>1634511677982.6899</v>
      </c>
      <c r="P62"/>
    </row>
    <row r="63" spans="1:16" x14ac:dyDescent="0.2">
      <c r="A63" s="43">
        <v>43496</v>
      </c>
      <c r="B63" s="44">
        <f>Inputs!D84</f>
        <v>32743936.59</v>
      </c>
      <c r="C63" s="44">
        <v>909.60000000000014</v>
      </c>
      <c r="D63" s="44">
        <v>31</v>
      </c>
      <c r="E63" s="109">
        <v>0</v>
      </c>
      <c r="F63" s="130">
        <v>0</v>
      </c>
      <c r="G63" s="137">
        <f>Inputs!G84+Inputs!I84+Inputs!L84</f>
        <v>13661</v>
      </c>
      <c r="H63" s="137">
        <v>0</v>
      </c>
      <c r="I63" s="44">
        <f t="shared" si="2"/>
        <v>32348090.798660368</v>
      </c>
      <c r="J63" s="27">
        <f t="shared" si="7"/>
        <v>-395845.79133963212</v>
      </c>
      <c r="K63" s="36">
        <f t="shared" si="8"/>
        <v>-1.2089132601744759E-2</v>
      </c>
      <c r="L63" s="10">
        <f t="shared" si="3"/>
        <v>1.2089132601744759E-2</v>
      </c>
      <c r="M63" s="135">
        <f t="shared" si="4"/>
        <v>156693890521.29956</v>
      </c>
      <c r="N63" s="135">
        <f t="shared" si="5"/>
        <v>-1809635.2639678605</v>
      </c>
      <c r="O63" s="135">
        <f t="shared" si="6"/>
        <v>3274779788596.0283</v>
      </c>
      <c r="P63"/>
    </row>
    <row r="64" spans="1:16" x14ac:dyDescent="0.2">
      <c r="A64" s="43">
        <v>43524</v>
      </c>
      <c r="B64" s="44">
        <f>Inputs!D85</f>
        <v>28440395.719999999</v>
      </c>
      <c r="C64" s="44">
        <v>767.20000000000016</v>
      </c>
      <c r="D64" s="44">
        <v>28</v>
      </c>
      <c r="E64" s="109">
        <v>0</v>
      </c>
      <c r="F64" s="130">
        <v>0</v>
      </c>
      <c r="G64" s="137">
        <f>Inputs!G85+Inputs!I85+Inputs!L85</f>
        <v>13667</v>
      </c>
      <c r="H64" s="137">
        <v>0</v>
      </c>
      <c r="I64" s="44">
        <f t="shared" si="2"/>
        <v>28975278.117293634</v>
      </c>
      <c r="J64" s="27">
        <f t="shared" si="7"/>
        <v>534882.39729363471</v>
      </c>
      <c r="K64" s="36">
        <f t="shared" si="8"/>
        <v>1.8807136249426093E-2</v>
      </c>
      <c r="L64" s="10">
        <f t="shared" si="3"/>
        <v>1.8807136249426093E-2</v>
      </c>
      <c r="M64" s="135">
        <f t="shared" si="4"/>
        <v>286099178934.58569</v>
      </c>
      <c r="N64" s="135">
        <f t="shared" si="5"/>
        <v>930728.18863326684</v>
      </c>
      <c r="O64" s="135">
        <f t="shared" si="6"/>
        <v>866254961116.56189</v>
      </c>
      <c r="P64"/>
    </row>
    <row r="65" spans="1:16" x14ac:dyDescent="0.2">
      <c r="A65" s="43">
        <v>43555</v>
      </c>
      <c r="B65" s="44">
        <f>Inputs!D86</f>
        <v>29353455.600000001</v>
      </c>
      <c r="C65" s="44">
        <v>749.70000000000016</v>
      </c>
      <c r="D65" s="44">
        <v>31</v>
      </c>
      <c r="E65" s="109">
        <v>1</v>
      </c>
      <c r="F65" s="130">
        <v>0</v>
      </c>
      <c r="G65" s="137">
        <f>Inputs!G86+Inputs!I86+Inputs!L86</f>
        <v>13695</v>
      </c>
      <c r="H65" s="137">
        <v>0</v>
      </c>
      <c r="I65" s="44">
        <f t="shared" si="2"/>
        <v>29380701.698079914</v>
      </c>
      <c r="J65" s="27">
        <f t="shared" si="7"/>
        <v>27246.098079912364</v>
      </c>
      <c r="K65" s="36">
        <f t="shared" si="8"/>
        <v>9.282075150263522E-4</v>
      </c>
      <c r="L65" s="10">
        <f t="shared" si="3"/>
        <v>9.282075150263522E-4</v>
      </c>
      <c r="M65" s="135">
        <f t="shared" si="4"/>
        <v>742349860.58020425</v>
      </c>
      <c r="N65" s="135">
        <f t="shared" si="5"/>
        <v>-507636.29921372235</v>
      </c>
      <c r="O65" s="135">
        <f t="shared" si="6"/>
        <v>257694612279.40384</v>
      </c>
    </row>
    <row r="66" spans="1:16" x14ac:dyDescent="0.2">
      <c r="A66" s="43">
        <v>43585</v>
      </c>
      <c r="B66" s="44">
        <f>Inputs!D87</f>
        <v>24614385.100000001</v>
      </c>
      <c r="C66" s="44">
        <v>427.29999999999984</v>
      </c>
      <c r="D66" s="44">
        <v>30</v>
      </c>
      <c r="E66" s="109">
        <v>1</v>
      </c>
      <c r="F66" s="130">
        <v>0</v>
      </c>
      <c r="G66" s="137">
        <f>Inputs!G87+Inputs!I87+Inputs!L87</f>
        <v>13703</v>
      </c>
      <c r="H66" s="137">
        <v>0</v>
      </c>
      <c r="I66" s="44">
        <f t="shared" si="2"/>
        <v>24921713.198213987</v>
      </c>
      <c r="J66" s="27">
        <f t="shared" si="7"/>
        <v>307328.09821398556</v>
      </c>
      <c r="K66" s="36">
        <f t="shared" si="8"/>
        <v>1.2485710976139134E-2</v>
      </c>
      <c r="L66" s="10">
        <f t="shared" si="3"/>
        <v>1.2485710976139134E-2</v>
      </c>
      <c r="M66" s="135">
        <f t="shared" si="4"/>
        <v>94450559951.82515</v>
      </c>
      <c r="N66" s="135">
        <f t="shared" si="5"/>
        <v>280082.0001340732</v>
      </c>
      <c r="O66" s="135">
        <f t="shared" si="6"/>
        <v>78445926799.102982</v>
      </c>
    </row>
    <row r="67" spans="1:16" x14ac:dyDescent="0.2">
      <c r="A67" s="43">
        <v>43616</v>
      </c>
      <c r="B67" s="44">
        <f>Inputs!D88</f>
        <v>22757878</v>
      </c>
      <c r="C67" s="44">
        <v>275.60000000000014</v>
      </c>
      <c r="D67" s="44">
        <v>31</v>
      </c>
      <c r="E67" s="109">
        <v>1</v>
      </c>
      <c r="F67" s="130">
        <v>0</v>
      </c>
      <c r="G67" s="137">
        <f>Inputs!G88+Inputs!I88+Inputs!L88</f>
        <v>13708</v>
      </c>
      <c r="H67" s="137">
        <v>0</v>
      </c>
      <c r="I67" s="44">
        <f t="shared" si="2"/>
        <v>23633101.557206847</v>
      </c>
      <c r="J67" s="27">
        <f t="shared" ref="J67:J98" si="9">I67-B67</f>
        <v>875223.55720684677</v>
      </c>
      <c r="K67" s="36">
        <f t="shared" ref="K67:K98" si="10">J67/B67</f>
        <v>3.8458047679438598E-2</v>
      </c>
      <c r="L67" s="10">
        <f t="shared" ref="L67:L130" si="11">ABS(K67)</f>
        <v>3.8458047679438598E-2</v>
      </c>
      <c r="M67" s="135">
        <f t="shared" si="4"/>
        <v>766016275089.80664</v>
      </c>
      <c r="N67" s="135">
        <f t="shared" si="5"/>
        <v>567895.45899286121</v>
      </c>
      <c r="O67" s="135">
        <f t="shared" si="6"/>
        <v>322505252344.71252</v>
      </c>
    </row>
    <row r="68" spans="1:16" x14ac:dyDescent="0.2">
      <c r="A68" s="43">
        <v>43646</v>
      </c>
      <c r="B68" s="44">
        <f>Inputs!D89</f>
        <v>21375937</v>
      </c>
      <c r="C68" s="44">
        <v>116.70000000000002</v>
      </c>
      <c r="D68" s="44">
        <v>30</v>
      </c>
      <c r="E68" s="109">
        <v>0</v>
      </c>
      <c r="F68" s="130">
        <v>0</v>
      </c>
      <c r="G68" s="137">
        <f>Inputs!G89+Inputs!I89+Inputs!L89</f>
        <v>13714</v>
      </c>
      <c r="H68" s="137">
        <v>0</v>
      </c>
      <c r="I68" s="44">
        <f t="shared" ref="I68:I131" si="12">$R$18+$R$19*C68+$R$20*D68+$R$21*E68+$R$22*F68+$R$23*G68+$R$24*H68</f>
        <v>22219585.873796239</v>
      </c>
      <c r="J68" s="27">
        <f t="shared" si="9"/>
        <v>843648.8737962395</v>
      </c>
      <c r="K68" s="36">
        <f t="shared" si="10"/>
        <v>3.9467223064712412E-2</v>
      </c>
      <c r="L68" s="10">
        <f t="shared" si="11"/>
        <v>3.9467223064712412E-2</v>
      </c>
      <c r="M68" s="135">
        <f t="shared" ref="M68:M131" si="13">J68*J68</f>
        <v>711743422257.66321</v>
      </c>
      <c r="N68" s="135">
        <f t="shared" si="5"/>
        <v>-31574.683410607278</v>
      </c>
      <c r="O68" s="135">
        <f t="shared" si="6"/>
        <v>996960632.48007846</v>
      </c>
    </row>
    <row r="69" spans="1:16" x14ac:dyDescent="0.2">
      <c r="A69" s="43">
        <v>43677</v>
      </c>
      <c r="B69" s="44">
        <f>Inputs!D90</f>
        <v>25496655.219999999</v>
      </c>
      <c r="C69" s="44">
        <v>13.700000000000001</v>
      </c>
      <c r="D69" s="44">
        <v>31</v>
      </c>
      <c r="E69" s="109">
        <v>0</v>
      </c>
      <c r="F69" s="130">
        <v>1</v>
      </c>
      <c r="G69" s="137">
        <f>Inputs!G90+Inputs!I90+Inputs!L90</f>
        <v>13721</v>
      </c>
      <c r="H69" s="137">
        <v>0</v>
      </c>
      <c r="I69" s="44">
        <f t="shared" si="12"/>
        <v>24449859.485088184</v>
      </c>
      <c r="J69" s="27">
        <f t="shared" si="9"/>
        <v>-1046795.7349118143</v>
      </c>
      <c r="K69" s="36">
        <f t="shared" si="10"/>
        <v>-4.1056198386786452E-2</v>
      </c>
      <c r="L69" s="10">
        <f t="shared" si="11"/>
        <v>4.1056198386786452E-2</v>
      </c>
      <c r="M69" s="135">
        <f t="shared" si="13"/>
        <v>1095781310629.5654</v>
      </c>
      <c r="N69" s="135">
        <f t="shared" ref="N69:N132" si="14">J69-J68</f>
        <v>-1890444.6087080538</v>
      </c>
      <c r="O69" s="135">
        <f t="shared" ref="O69:O132" si="15">N69*N69</f>
        <v>3573780818593.3467</v>
      </c>
    </row>
    <row r="70" spans="1:16" x14ac:dyDescent="0.2">
      <c r="A70" s="43">
        <v>43708</v>
      </c>
      <c r="B70" s="44">
        <f>Inputs!D91</f>
        <v>23892941.600000001</v>
      </c>
      <c r="C70" s="44">
        <v>53.599999999999994</v>
      </c>
      <c r="D70" s="44">
        <v>31</v>
      </c>
      <c r="E70" s="109">
        <v>0</v>
      </c>
      <c r="F70" s="130">
        <v>1</v>
      </c>
      <c r="G70" s="137">
        <f>Inputs!G91+Inputs!I91+Inputs!L91</f>
        <v>13733</v>
      </c>
      <c r="H70" s="137">
        <v>0</v>
      </c>
      <c r="I70" s="44">
        <f t="shared" si="12"/>
        <v>24947623.674440302</v>
      </c>
      <c r="J70" s="27">
        <f t="shared" si="9"/>
        <v>1054682.0744403005</v>
      </c>
      <c r="K70" s="36">
        <f t="shared" si="10"/>
        <v>4.4141993568523198E-2</v>
      </c>
      <c r="L70" s="10">
        <f t="shared" si="11"/>
        <v>4.4141993568523198E-2</v>
      </c>
      <c r="M70" s="135">
        <f t="shared" si="13"/>
        <v>1112354278145.6956</v>
      </c>
      <c r="N70" s="135">
        <f t="shared" si="14"/>
        <v>2101477.8093521148</v>
      </c>
      <c r="O70" s="135">
        <f t="shared" si="15"/>
        <v>4416208983199.3633</v>
      </c>
    </row>
    <row r="71" spans="1:16" x14ac:dyDescent="0.2">
      <c r="A71" s="43">
        <v>43738</v>
      </c>
      <c r="B71" s="44">
        <f>Inputs!D92</f>
        <v>21583546.969999999</v>
      </c>
      <c r="C71" s="44">
        <v>148.49999999999997</v>
      </c>
      <c r="D71" s="44">
        <v>30</v>
      </c>
      <c r="E71" s="109">
        <v>0</v>
      </c>
      <c r="F71" s="130">
        <v>0</v>
      </c>
      <c r="G71" s="137">
        <f>Inputs!G92+Inputs!I92+Inputs!L92</f>
        <v>13762</v>
      </c>
      <c r="H71" s="137">
        <v>0</v>
      </c>
      <c r="I71" s="44">
        <f t="shared" si="12"/>
        <v>22657540.132737838</v>
      </c>
      <c r="J71" s="27">
        <f t="shared" si="9"/>
        <v>1073993.1627378389</v>
      </c>
      <c r="K71" s="36">
        <f t="shared" si="10"/>
        <v>4.9759808442543442E-2</v>
      </c>
      <c r="L71" s="10">
        <f t="shared" si="11"/>
        <v>4.9759808442543442E-2</v>
      </c>
      <c r="M71" s="135">
        <f t="shared" si="13"/>
        <v>1153461313607.6262</v>
      </c>
      <c r="N71" s="135">
        <f t="shared" si="14"/>
        <v>19311.088297538459</v>
      </c>
      <c r="O71" s="135">
        <f t="shared" si="15"/>
        <v>372918131.23532683</v>
      </c>
    </row>
    <row r="72" spans="1:16" x14ac:dyDescent="0.2">
      <c r="A72" s="43">
        <v>43769</v>
      </c>
      <c r="B72" s="44">
        <f>Inputs!D93</f>
        <v>23416882.789999999</v>
      </c>
      <c r="C72" s="44">
        <v>328.6</v>
      </c>
      <c r="D72" s="44">
        <v>31</v>
      </c>
      <c r="E72" s="109">
        <v>1</v>
      </c>
      <c r="F72" s="130">
        <v>0</v>
      </c>
      <c r="G72" s="137">
        <f>Inputs!G93+Inputs!I93+Inputs!L93</f>
        <v>13762</v>
      </c>
      <c r="H72" s="137">
        <v>0</v>
      </c>
      <c r="I72" s="44">
        <f t="shared" si="12"/>
        <v>24335128.662961304</v>
      </c>
      <c r="J72" s="27">
        <f t="shared" si="9"/>
        <v>918245.87296130508</v>
      </c>
      <c r="K72" s="36">
        <f t="shared" si="10"/>
        <v>3.9212984973108163E-2</v>
      </c>
      <c r="L72" s="10">
        <f t="shared" si="11"/>
        <v>3.9212984973108163E-2</v>
      </c>
      <c r="M72" s="135">
        <f t="shared" si="13"/>
        <v>843175483210.46924</v>
      </c>
      <c r="N72" s="135">
        <f t="shared" si="14"/>
        <v>-155747.28977653384</v>
      </c>
      <c r="O72" s="135">
        <f t="shared" si="15"/>
        <v>24257218272.735603</v>
      </c>
    </row>
    <row r="73" spans="1:16" x14ac:dyDescent="0.2">
      <c r="A73" s="43">
        <v>43799</v>
      </c>
      <c r="B73" s="44">
        <f>Inputs!D94</f>
        <v>27163548.379999999</v>
      </c>
      <c r="C73" s="44">
        <v>617.80000000000007</v>
      </c>
      <c r="D73" s="44">
        <v>30</v>
      </c>
      <c r="E73" s="109">
        <v>1</v>
      </c>
      <c r="F73" s="130">
        <v>0</v>
      </c>
      <c r="G73" s="137">
        <f>Inputs!G94+Inputs!I94+Inputs!L94</f>
        <v>13761</v>
      </c>
      <c r="H73" s="137">
        <v>0</v>
      </c>
      <c r="I73" s="44">
        <f t="shared" si="12"/>
        <v>27299014.832732044</v>
      </c>
      <c r="J73" s="27">
        <f t="shared" si="9"/>
        <v>135466.4527320452</v>
      </c>
      <c r="K73" s="36">
        <f t="shared" si="10"/>
        <v>4.9870676259581226E-3</v>
      </c>
      <c r="L73" s="10">
        <f t="shared" si="11"/>
        <v>4.9870676259581226E-3</v>
      </c>
      <c r="M73" s="135">
        <f t="shared" si="13"/>
        <v>18351159815.803436</v>
      </c>
      <c r="N73" s="135">
        <f t="shared" si="14"/>
        <v>-782779.42022925988</v>
      </c>
      <c r="O73" s="135">
        <f t="shared" si="15"/>
        <v>612743620734.45618</v>
      </c>
    </row>
    <row r="74" spans="1:16" x14ac:dyDescent="0.2">
      <c r="A74" s="43">
        <v>43830</v>
      </c>
      <c r="B74" s="44">
        <f>Inputs!D95</f>
        <v>29112532.5</v>
      </c>
      <c r="C74" s="44">
        <v>717.2</v>
      </c>
      <c r="D74" s="44">
        <v>31</v>
      </c>
      <c r="E74" s="109">
        <v>0</v>
      </c>
      <c r="F74" s="130">
        <v>0</v>
      </c>
      <c r="G74" s="137">
        <f>Inputs!G95+Inputs!I95+Inputs!L95</f>
        <v>13762</v>
      </c>
      <c r="H74" s="137">
        <v>0</v>
      </c>
      <c r="I74" s="44">
        <f t="shared" si="12"/>
        <v>30118298.02106991</v>
      </c>
      <c r="J74" s="27">
        <f t="shared" si="9"/>
        <v>1005765.5210699104</v>
      </c>
      <c r="K74" s="36">
        <f t="shared" si="10"/>
        <v>3.4547510460311563E-2</v>
      </c>
      <c r="L74" s="10">
        <f t="shared" si="11"/>
        <v>3.4547510460311563E-2</v>
      </c>
      <c r="M74" s="135">
        <f t="shared" si="13"/>
        <v>1011564283373.0283</v>
      </c>
      <c r="N74" s="135">
        <f t="shared" si="14"/>
        <v>870299.06833786517</v>
      </c>
      <c r="O74" s="135">
        <f t="shared" si="15"/>
        <v>757420468349.7561</v>
      </c>
    </row>
    <row r="75" spans="1:16" x14ac:dyDescent="0.2">
      <c r="A75" s="43">
        <v>43861</v>
      </c>
      <c r="B75" s="44">
        <f>Inputs!D96</f>
        <v>30452078</v>
      </c>
      <c r="C75" s="44">
        <v>772.10000000000014</v>
      </c>
      <c r="D75" s="44">
        <v>31</v>
      </c>
      <c r="E75" s="109">
        <v>0</v>
      </c>
      <c r="F75" s="130">
        <v>0</v>
      </c>
      <c r="G75" s="137">
        <f>Inputs!G96+Inputs!I96+Inputs!L96</f>
        <v>13799</v>
      </c>
      <c r="H75" s="137">
        <v>0</v>
      </c>
      <c r="I75" s="44">
        <f t="shared" si="12"/>
        <v>30825174.946783107</v>
      </c>
      <c r="J75" s="27">
        <f t="shared" si="9"/>
        <v>373096.94678310677</v>
      </c>
      <c r="K75" s="36">
        <f t="shared" si="10"/>
        <v>1.2251937184158887E-2</v>
      </c>
      <c r="L75" s="10">
        <f t="shared" si="11"/>
        <v>1.2251937184158887E-2</v>
      </c>
      <c r="M75" s="135">
        <f t="shared" si="13"/>
        <v>139201331698.8764</v>
      </c>
      <c r="N75" s="135">
        <f t="shared" si="14"/>
        <v>-632668.5742868036</v>
      </c>
      <c r="O75" s="135">
        <f t="shared" si="15"/>
        <v>400269524890.09674</v>
      </c>
      <c r="P75" s="37"/>
    </row>
    <row r="76" spans="1:16" x14ac:dyDescent="0.2">
      <c r="A76" s="43">
        <v>43890</v>
      </c>
      <c r="B76" s="44">
        <f>Inputs!D97</f>
        <v>28729836</v>
      </c>
      <c r="C76" s="44">
        <v>757.9</v>
      </c>
      <c r="D76" s="44">
        <v>29</v>
      </c>
      <c r="E76" s="109">
        <v>0</v>
      </c>
      <c r="F76" s="130">
        <v>0</v>
      </c>
      <c r="G76" s="137">
        <f>Inputs!G97+Inputs!I97+Inputs!L97</f>
        <v>13808</v>
      </c>
      <c r="H76" s="137">
        <v>0</v>
      </c>
      <c r="I76" s="44">
        <f t="shared" si="12"/>
        <v>29563117.946024906</v>
      </c>
      <c r="J76" s="27">
        <f t="shared" si="9"/>
        <v>833281.94602490589</v>
      </c>
      <c r="K76" s="36">
        <f t="shared" si="10"/>
        <v>2.9004062049811419E-2</v>
      </c>
      <c r="L76" s="10">
        <f t="shared" si="11"/>
        <v>2.9004062049811419E-2</v>
      </c>
      <c r="M76" s="135">
        <f t="shared" si="13"/>
        <v>694358801571.0542</v>
      </c>
      <c r="N76" s="135">
        <f t="shared" si="14"/>
        <v>460184.99924179912</v>
      </c>
      <c r="O76" s="135">
        <f t="shared" si="15"/>
        <v>211770233527.17465</v>
      </c>
    </row>
    <row r="77" spans="1:16" x14ac:dyDescent="0.2">
      <c r="A77" s="43">
        <v>43921</v>
      </c>
      <c r="B77" s="44">
        <f>Inputs!D98</f>
        <v>26931054</v>
      </c>
      <c r="C77" s="44">
        <v>586.5</v>
      </c>
      <c r="D77" s="44">
        <v>31</v>
      </c>
      <c r="E77" s="109">
        <v>1</v>
      </c>
      <c r="F77" s="130">
        <v>0</v>
      </c>
      <c r="G77" s="137">
        <f>Inputs!G98+Inputs!I98+Inputs!L98</f>
        <v>13819</v>
      </c>
      <c r="H77" s="145">
        <v>0.5</v>
      </c>
      <c r="I77" s="44">
        <f t="shared" si="12"/>
        <v>26850710.815689985</v>
      </c>
      <c r="J77" s="27">
        <f t="shared" si="9"/>
        <v>-80343.184310015291</v>
      </c>
      <c r="K77" s="36">
        <f t="shared" si="10"/>
        <v>-2.9832914935306763E-3</v>
      </c>
      <c r="L77" s="10">
        <f t="shared" si="11"/>
        <v>2.9832914935306763E-3</v>
      </c>
      <c r="M77" s="135">
        <f t="shared" si="13"/>
        <v>6455027265.0730877</v>
      </c>
      <c r="N77" s="135">
        <f t="shared" si="14"/>
        <v>-913625.13033492118</v>
      </c>
      <c r="O77" s="135">
        <f t="shared" si="15"/>
        <v>834710878779.50171</v>
      </c>
    </row>
    <row r="78" spans="1:16" x14ac:dyDescent="0.2">
      <c r="A78" s="43">
        <v>43951</v>
      </c>
      <c r="B78" s="44">
        <f>Inputs!D99</f>
        <v>23177143</v>
      </c>
      <c r="C78" s="44">
        <v>458.3</v>
      </c>
      <c r="D78" s="44">
        <v>30</v>
      </c>
      <c r="E78" s="109">
        <v>1</v>
      </c>
      <c r="F78" s="130">
        <v>0</v>
      </c>
      <c r="G78" s="137">
        <f>Inputs!G99+Inputs!I99+Inputs!L99</f>
        <v>13837</v>
      </c>
      <c r="H78" s="145">
        <v>1</v>
      </c>
      <c r="I78" s="44">
        <f t="shared" si="12"/>
        <v>24082755.163508676</v>
      </c>
      <c r="J78" s="27">
        <f t="shared" si="9"/>
        <v>905612.16350867599</v>
      </c>
      <c r="K78" s="36">
        <f t="shared" si="10"/>
        <v>3.9073502869127398E-2</v>
      </c>
      <c r="L78" s="10">
        <f t="shared" si="11"/>
        <v>3.9073502869127398E-2</v>
      </c>
      <c r="M78" s="135">
        <f t="shared" si="13"/>
        <v>820133390694.86487</v>
      </c>
      <c r="N78" s="135">
        <f t="shared" si="14"/>
        <v>985955.34781869128</v>
      </c>
      <c r="O78" s="135">
        <f t="shared" si="15"/>
        <v>972107947892.27649</v>
      </c>
    </row>
    <row r="79" spans="1:16" x14ac:dyDescent="0.2">
      <c r="A79" s="43">
        <v>43982</v>
      </c>
      <c r="B79" s="44">
        <f>Inputs!D100</f>
        <v>22565297</v>
      </c>
      <c r="C79" s="44">
        <v>264.60000000000002</v>
      </c>
      <c r="D79" s="44">
        <v>31</v>
      </c>
      <c r="E79" s="109">
        <v>1</v>
      </c>
      <c r="F79" s="130">
        <v>0</v>
      </c>
      <c r="G79" s="137">
        <f>Inputs!G100+Inputs!I100+Inputs!L100</f>
        <v>13842</v>
      </c>
      <c r="H79" s="145">
        <v>1</v>
      </c>
      <c r="I79" s="44">
        <f t="shared" si="12"/>
        <v>22283734.250704903</v>
      </c>
      <c r="J79" s="27">
        <f t="shared" si="9"/>
        <v>-281562.74929509684</v>
      </c>
      <c r="K79" s="36">
        <f t="shared" si="10"/>
        <v>-1.2477688607204987E-2</v>
      </c>
      <c r="L79" s="10">
        <f t="shared" si="11"/>
        <v>1.2477688607204987E-2</v>
      </c>
      <c r="M79" s="135">
        <f t="shared" si="13"/>
        <v>79277581790.613556</v>
      </c>
      <c r="N79" s="135">
        <f t="shared" si="14"/>
        <v>-1187174.9128037728</v>
      </c>
      <c r="O79" s="135">
        <f t="shared" si="15"/>
        <v>1409384273590.6458</v>
      </c>
    </row>
    <row r="80" spans="1:16" x14ac:dyDescent="0.2">
      <c r="A80" s="43">
        <v>44012</v>
      </c>
      <c r="B80" s="44">
        <f>Inputs!D101</f>
        <v>22325604</v>
      </c>
      <c r="C80" s="44">
        <v>73.7</v>
      </c>
      <c r="D80" s="44">
        <v>30</v>
      </c>
      <c r="E80" s="109">
        <v>0</v>
      </c>
      <c r="F80" s="130">
        <v>0</v>
      </c>
      <c r="G80" s="137">
        <f>Inputs!G101+Inputs!I101+Inputs!L101</f>
        <v>13845</v>
      </c>
      <c r="H80" s="145">
        <v>0.5</v>
      </c>
      <c r="I80" s="44">
        <f t="shared" si="12"/>
        <v>21157848.355882864</v>
      </c>
      <c r="J80" s="27">
        <f t="shared" si="9"/>
        <v>-1167755.6441171356</v>
      </c>
      <c r="K80" s="36">
        <f t="shared" si="10"/>
        <v>-5.2305668599923909E-2</v>
      </c>
      <c r="L80" s="10">
        <f t="shared" si="11"/>
        <v>5.2305668599923909E-2</v>
      </c>
      <c r="M80" s="135">
        <f t="shared" si="13"/>
        <v>1363653244367.426</v>
      </c>
      <c r="N80" s="135">
        <f t="shared" si="14"/>
        <v>-886192.89482203871</v>
      </c>
      <c r="O80" s="135">
        <f t="shared" si="15"/>
        <v>785337846833.06494</v>
      </c>
    </row>
    <row r="81" spans="1:16" x14ac:dyDescent="0.2">
      <c r="A81" s="43">
        <v>44043</v>
      </c>
      <c r="B81" s="44">
        <f>Inputs!D102</f>
        <v>26178908</v>
      </c>
      <c r="C81" s="44">
        <v>1.9</v>
      </c>
      <c r="D81" s="44">
        <v>31</v>
      </c>
      <c r="E81" s="109">
        <v>0</v>
      </c>
      <c r="F81" s="130">
        <v>1</v>
      </c>
      <c r="G81" s="137">
        <f>Inputs!G102+Inputs!I102+Inputs!L102</f>
        <v>13860</v>
      </c>
      <c r="H81" s="137">
        <v>0</v>
      </c>
      <c r="I81" s="44">
        <f t="shared" si="12"/>
        <v>24455598.616516747</v>
      </c>
      <c r="J81" s="27">
        <f t="shared" si="9"/>
        <v>-1723309.3834832534</v>
      </c>
      <c r="K81" s="36">
        <f t="shared" si="10"/>
        <v>-6.5828161491046658E-2</v>
      </c>
      <c r="L81" s="10">
        <f t="shared" si="11"/>
        <v>6.5828161491046658E-2</v>
      </c>
      <c r="M81" s="135">
        <f t="shared" si="13"/>
        <v>2969795231201.4312</v>
      </c>
      <c r="N81" s="135">
        <f t="shared" si="14"/>
        <v>-555553.73936611786</v>
      </c>
      <c r="O81" s="135">
        <f t="shared" si="15"/>
        <v>308639957323.67639</v>
      </c>
      <c r="P81"/>
    </row>
    <row r="82" spans="1:16" x14ac:dyDescent="0.2">
      <c r="A82" s="43">
        <v>44074</v>
      </c>
      <c r="B82" s="44">
        <f>Inputs!D103</f>
        <v>24180956</v>
      </c>
      <c r="C82" s="44">
        <v>44.4</v>
      </c>
      <c r="D82" s="44">
        <v>31</v>
      </c>
      <c r="E82" s="109">
        <v>0</v>
      </c>
      <c r="F82" s="130">
        <v>1</v>
      </c>
      <c r="G82" s="137">
        <f>Inputs!G103+Inputs!I103+Inputs!L103</f>
        <v>13862</v>
      </c>
      <c r="H82" s="137">
        <v>0</v>
      </c>
      <c r="I82" s="44">
        <f t="shared" si="12"/>
        <v>24974230.086025648</v>
      </c>
      <c r="J82" s="27">
        <f t="shared" si="9"/>
        <v>793274.08602564782</v>
      </c>
      <c r="K82" s="36">
        <f t="shared" si="10"/>
        <v>3.2805737127417453E-2</v>
      </c>
      <c r="L82" s="10">
        <f t="shared" si="11"/>
        <v>3.2805737127417453E-2</v>
      </c>
      <c r="M82" s="135">
        <f t="shared" si="13"/>
        <v>629283775559.8269</v>
      </c>
      <c r="N82" s="135">
        <f t="shared" si="14"/>
        <v>2516583.4695089012</v>
      </c>
      <c r="O82" s="135">
        <f t="shared" si="15"/>
        <v>6333192359005.459</v>
      </c>
      <c r="P82"/>
    </row>
    <row r="83" spans="1:16" x14ac:dyDescent="0.2">
      <c r="A83" s="43">
        <v>44104</v>
      </c>
      <c r="B83" s="44">
        <f>Inputs!D104</f>
        <v>21706905</v>
      </c>
      <c r="C83" s="44">
        <v>169.79999999999995</v>
      </c>
      <c r="D83" s="44">
        <v>30</v>
      </c>
      <c r="E83" s="109">
        <v>0</v>
      </c>
      <c r="F83" s="130">
        <v>0</v>
      </c>
      <c r="G83" s="137">
        <f>Inputs!G104+Inputs!I104+Inputs!L104</f>
        <v>13883</v>
      </c>
      <c r="H83" s="137">
        <v>0</v>
      </c>
      <c r="I83" s="44">
        <f t="shared" si="12"/>
        <v>23046217.309030995</v>
      </c>
      <c r="J83" s="27">
        <f t="shared" si="9"/>
        <v>1339312.3090309948</v>
      </c>
      <c r="K83" s="36">
        <f t="shared" si="10"/>
        <v>6.1699828189739382E-2</v>
      </c>
      <c r="L83" s="10">
        <f t="shared" si="11"/>
        <v>6.1699828189739382E-2</v>
      </c>
      <c r="M83" s="135">
        <f t="shared" si="13"/>
        <v>1793757461121.9348</v>
      </c>
      <c r="N83" s="135">
        <f t="shared" si="14"/>
        <v>546038.22300534695</v>
      </c>
      <c r="O83" s="135">
        <f t="shared" si="15"/>
        <v>298157740982.83704</v>
      </c>
      <c r="P83"/>
    </row>
    <row r="84" spans="1:16" x14ac:dyDescent="0.2">
      <c r="A84" s="43">
        <v>44135</v>
      </c>
      <c r="B84" s="44">
        <f>Inputs!D105</f>
        <v>24121204</v>
      </c>
      <c r="C84" s="44">
        <v>395.70000000000005</v>
      </c>
      <c r="D84" s="44">
        <v>31</v>
      </c>
      <c r="E84" s="109">
        <v>1</v>
      </c>
      <c r="F84" s="130">
        <v>0</v>
      </c>
      <c r="G84" s="137">
        <f>Inputs!G105+Inputs!I105+Inputs!L105</f>
        <v>13884</v>
      </c>
      <c r="H84" s="137">
        <v>0</v>
      </c>
      <c r="I84" s="44">
        <f t="shared" si="12"/>
        <v>25281467.945975751</v>
      </c>
      <c r="J84" s="27">
        <f t="shared" si="9"/>
        <v>1160263.9459757507</v>
      </c>
      <c r="K84" s="36">
        <f t="shared" si="10"/>
        <v>4.8101410940173249E-2</v>
      </c>
      <c r="L84" s="10">
        <f t="shared" si="11"/>
        <v>4.8101410940173249E-2</v>
      </c>
      <c r="M84" s="135">
        <f t="shared" si="13"/>
        <v>1346212424331.2197</v>
      </c>
      <c r="N84" s="135">
        <f t="shared" si="14"/>
        <v>-179048.36305524409</v>
      </c>
      <c r="O84" s="135">
        <f t="shared" si="15"/>
        <v>32058316312.762497</v>
      </c>
      <c r="P84"/>
    </row>
    <row r="85" spans="1:16" x14ac:dyDescent="0.2">
      <c r="A85" s="43">
        <v>44165</v>
      </c>
      <c r="B85" s="44">
        <f>Inputs!D106</f>
        <v>25126449</v>
      </c>
      <c r="C85" s="44">
        <v>434.49999999999994</v>
      </c>
      <c r="D85" s="44">
        <v>30</v>
      </c>
      <c r="E85" s="109">
        <v>1</v>
      </c>
      <c r="F85" s="130">
        <v>0</v>
      </c>
      <c r="G85" s="137">
        <f>Inputs!G106+Inputs!I106+Inputs!L106</f>
        <v>13911</v>
      </c>
      <c r="H85" s="137">
        <v>0</v>
      </c>
      <c r="I85" s="44">
        <f t="shared" si="12"/>
        <v>25232385.203707587</v>
      </c>
      <c r="J85" s="27">
        <f t="shared" si="9"/>
        <v>105936.20370758697</v>
      </c>
      <c r="K85" s="36">
        <f t="shared" si="10"/>
        <v>4.2161231659749044E-3</v>
      </c>
      <c r="L85" s="10">
        <f t="shared" si="11"/>
        <v>4.2161231659749044E-3</v>
      </c>
      <c r="M85" s="135">
        <f t="shared" si="13"/>
        <v>11222479255.975365</v>
      </c>
      <c r="N85" s="135">
        <f t="shared" si="14"/>
        <v>-1054327.7422681637</v>
      </c>
      <c r="O85" s="135">
        <f t="shared" si="15"/>
        <v>1111606988116.2834</v>
      </c>
      <c r="P85"/>
    </row>
    <row r="86" spans="1:16" x14ac:dyDescent="0.2">
      <c r="A86" s="43">
        <v>44196</v>
      </c>
      <c r="B86" s="44">
        <f>Inputs!D107</f>
        <v>28892268</v>
      </c>
      <c r="C86" s="44">
        <v>674.50000000000011</v>
      </c>
      <c r="D86" s="44">
        <v>31</v>
      </c>
      <c r="E86" s="109">
        <v>0</v>
      </c>
      <c r="F86" s="130">
        <v>0</v>
      </c>
      <c r="G86" s="137">
        <f>Inputs!G107+Inputs!I107+Inputs!L107</f>
        <v>13936</v>
      </c>
      <c r="H86" s="137">
        <v>0</v>
      </c>
      <c r="I86" s="44">
        <f t="shared" si="12"/>
        <v>29786074.954683863</v>
      </c>
      <c r="J86" s="27">
        <f t="shared" si="9"/>
        <v>893806.95468386263</v>
      </c>
      <c r="K86" s="36">
        <f t="shared" si="10"/>
        <v>3.0935852965363005E-2</v>
      </c>
      <c r="L86" s="10">
        <f t="shared" si="11"/>
        <v>3.0935852965363005E-2</v>
      </c>
      <c r="M86" s="135">
        <f t="shared" si="13"/>
        <v>798890872241.24048</v>
      </c>
      <c r="N86" s="135">
        <f t="shared" si="14"/>
        <v>787870.75097627565</v>
      </c>
      <c r="O86" s="135">
        <f t="shared" si="15"/>
        <v>620740320243.92053</v>
      </c>
      <c r="P86"/>
    </row>
    <row r="87" spans="1:16" x14ac:dyDescent="0.2">
      <c r="A87" s="43">
        <v>44227</v>
      </c>
      <c r="B87" s="44">
        <f>Inputs!D108</f>
        <v>29919109</v>
      </c>
      <c r="C87" s="44">
        <v>793.9</v>
      </c>
      <c r="D87" s="44">
        <v>31</v>
      </c>
      <c r="E87" s="109">
        <v>0</v>
      </c>
      <c r="F87" s="130">
        <v>0</v>
      </c>
      <c r="G87" s="137">
        <f>Inputs!G108+Inputs!I108+Inputs!L108</f>
        <v>13940</v>
      </c>
      <c r="H87" s="137">
        <v>0</v>
      </c>
      <c r="I87" s="44">
        <f t="shared" si="12"/>
        <v>31241387.392506525</v>
      </c>
      <c r="J87" s="27">
        <f t="shared" si="9"/>
        <v>1322278.3925065249</v>
      </c>
      <c r="K87" s="36">
        <f t="shared" si="10"/>
        <v>4.4195112645450937E-2</v>
      </c>
      <c r="L87" s="10">
        <f t="shared" si="11"/>
        <v>4.4195112645450937E-2</v>
      </c>
      <c r="M87" s="135">
        <f t="shared" si="13"/>
        <v>1748420147289.6396</v>
      </c>
      <c r="N87" s="135">
        <f t="shared" si="14"/>
        <v>428471.43782266229</v>
      </c>
      <c r="O87" s="135">
        <f t="shared" si="15"/>
        <v>183587773029.81955</v>
      </c>
      <c r="P87"/>
    </row>
    <row r="88" spans="1:16" x14ac:dyDescent="0.2">
      <c r="A88" s="43">
        <v>44255</v>
      </c>
      <c r="B88" s="44">
        <f>Inputs!D109</f>
        <v>28503891</v>
      </c>
      <c r="C88" s="44">
        <v>768.49999999999989</v>
      </c>
      <c r="D88" s="44">
        <v>28</v>
      </c>
      <c r="E88" s="109">
        <v>0</v>
      </c>
      <c r="F88" s="130">
        <v>0</v>
      </c>
      <c r="G88" s="137">
        <f>Inputs!G109+Inputs!I109+Inputs!L109</f>
        <v>13979</v>
      </c>
      <c r="H88" s="137">
        <v>0</v>
      </c>
      <c r="I88" s="44">
        <f t="shared" si="12"/>
        <v>29325836.409294315</v>
      </c>
      <c r="J88" s="27">
        <f t="shared" si="9"/>
        <v>821945.40929431468</v>
      </c>
      <c r="K88" s="36">
        <f t="shared" si="10"/>
        <v>2.8836252892431937E-2</v>
      </c>
      <c r="L88" s="10">
        <f t="shared" si="11"/>
        <v>2.8836252892431937E-2</v>
      </c>
      <c r="M88" s="135">
        <f t="shared" si="13"/>
        <v>675594255859.99854</v>
      </c>
      <c r="N88" s="135">
        <f t="shared" si="14"/>
        <v>-500332.98321221024</v>
      </c>
      <c r="O88" s="135">
        <f t="shared" si="15"/>
        <v>250333094090.02985</v>
      </c>
      <c r="P88"/>
    </row>
    <row r="89" spans="1:16" x14ac:dyDescent="0.2">
      <c r="A89" s="43">
        <v>44286</v>
      </c>
      <c r="B89" s="44">
        <f>Inputs!D110</f>
        <v>27991373</v>
      </c>
      <c r="C89" s="44">
        <v>598.70000000000005</v>
      </c>
      <c r="D89" s="44">
        <v>31</v>
      </c>
      <c r="E89" s="109">
        <v>1</v>
      </c>
      <c r="F89" s="130">
        <v>0</v>
      </c>
      <c r="G89" s="137">
        <f>Inputs!G110+Inputs!I110+Inputs!L110</f>
        <v>13988</v>
      </c>
      <c r="H89" s="137">
        <v>0</v>
      </c>
      <c r="I89" s="44">
        <f t="shared" si="12"/>
        <v>27860032.729585588</v>
      </c>
      <c r="J89" s="27">
        <f t="shared" si="9"/>
        <v>-131340.27041441202</v>
      </c>
      <c r="K89" s="36">
        <f t="shared" si="10"/>
        <v>-4.6921696343516991E-3</v>
      </c>
      <c r="L89" s="10">
        <f t="shared" si="11"/>
        <v>4.6921696343516991E-3</v>
      </c>
      <c r="M89" s="135">
        <f t="shared" si="13"/>
        <v>17250266632.530872</v>
      </c>
      <c r="N89" s="135">
        <f t="shared" si="14"/>
        <v>-953285.6797087267</v>
      </c>
      <c r="O89" s="135">
        <f t="shared" si="15"/>
        <v>908753587137.72913</v>
      </c>
      <c r="P89"/>
    </row>
    <row r="90" spans="1:16" x14ac:dyDescent="0.2">
      <c r="A90" s="43">
        <v>44316</v>
      </c>
      <c r="B90" s="44">
        <f>Inputs!D111</f>
        <v>23510679</v>
      </c>
      <c r="C90" s="44">
        <v>361.90000000000003</v>
      </c>
      <c r="D90" s="44">
        <v>30</v>
      </c>
      <c r="E90" s="109">
        <v>1</v>
      </c>
      <c r="F90" s="130">
        <v>0</v>
      </c>
      <c r="G90" s="137">
        <f>Inputs!G111+Inputs!I111+Inputs!L111</f>
        <v>13990</v>
      </c>
      <c r="H90" s="137">
        <v>0</v>
      </c>
      <c r="I90" s="44">
        <f t="shared" si="12"/>
        <v>24434869.245475367</v>
      </c>
      <c r="J90" s="27">
        <f t="shared" si="9"/>
        <v>924190.24547536671</v>
      </c>
      <c r="K90" s="36">
        <f t="shared" si="10"/>
        <v>3.9309381301806161E-2</v>
      </c>
      <c r="L90" s="10">
        <f t="shared" si="11"/>
        <v>3.9309381301806161E-2</v>
      </c>
      <c r="M90" s="135">
        <f t="shared" si="13"/>
        <v>854127609831.8186</v>
      </c>
      <c r="N90" s="135">
        <f t="shared" si="14"/>
        <v>1055530.5158897787</v>
      </c>
      <c r="O90" s="135">
        <f t="shared" si="15"/>
        <v>1114144669974.5425</v>
      </c>
      <c r="P90"/>
    </row>
    <row r="91" spans="1:16" x14ac:dyDescent="0.2">
      <c r="A91" s="43">
        <v>44347</v>
      </c>
      <c r="B91" s="44">
        <f>Inputs!D112</f>
        <v>22807571</v>
      </c>
      <c r="C91" s="44">
        <v>250.90000000000003</v>
      </c>
      <c r="D91" s="44">
        <v>31</v>
      </c>
      <c r="E91" s="109">
        <v>1</v>
      </c>
      <c r="F91" s="130">
        <v>0</v>
      </c>
      <c r="G91" s="137">
        <f>Inputs!G112+Inputs!I112+Inputs!L112</f>
        <v>14022</v>
      </c>
      <c r="H91" s="137">
        <v>0</v>
      </c>
      <c r="I91" s="44">
        <f t="shared" si="12"/>
        <v>23669838.101619549</v>
      </c>
      <c r="J91" s="27">
        <f t="shared" si="9"/>
        <v>862267.1016195491</v>
      </c>
      <c r="K91" s="36">
        <f t="shared" si="10"/>
        <v>3.7806178554461112E-2</v>
      </c>
      <c r="L91" s="10">
        <f t="shared" si="11"/>
        <v>3.7806178554461112E-2</v>
      </c>
      <c r="M91" s="135">
        <f t="shared" si="13"/>
        <v>743504554535.37781</v>
      </c>
      <c r="N91" s="135">
        <f t="shared" si="14"/>
        <v>-61923.143855817616</v>
      </c>
      <c r="O91" s="135">
        <f t="shared" si="15"/>
        <v>3834475744.9882832</v>
      </c>
      <c r="P91"/>
    </row>
    <row r="92" spans="1:16" x14ac:dyDescent="0.2">
      <c r="A92" s="43">
        <v>44377</v>
      </c>
      <c r="B92" s="44">
        <f>Inputs!D113</f>
        <v>23479543</v>
      </c>
      <c r="C92" s="44">
        <v>54.700000000000017</v>
      </c>
      <c r="D92" s="44">
        <v>30</v>
      </c>
      <c r="E92" s="109">
        <v>0</v>
      </c>
      <c r="F92" s="130">
        <v>0</v>
      </c>
      <c r="G92" s="137">
        <f>Inputs!G113+Inputs!I113+Inputs!L113</f>
        <v>14033</v>
      </c>
      <c r="H92" s="137">
        <v>0</v>
      </c>
      <c r="I92" s="44">
        <f t="shared" si="12"/>
        <v>21808395.116590589</v>
      </c>
      <c r="J92" s="27">
        <f t="shared" si="9"/>
        <v>-1671147.8834094107</v>
      </c>
      <c r="K92" s="36">
        <f t="shared" si="10"/>
        <v>-7.1174634165980605E-2</v>
      </c>
      <c r="L92" s="10">
        <f t="shared" si="11"/>
        <v>7.1174634165980605E-2</v>
      </c>
      <c r="M92" s="135">
        <f t="shared" si="13"/>
        <v>2792735248223.7534</v>
      </c>
      <c r="N92" s="135">
        <f t="shared" si="14"/>
        <v>-2533414.9850289598</v>
      </c>
      <c r="O92" s="135">
        <f t="shared" si="15"/>
        <v>6418191486369.2842</v>
      </c>
      <c r="P92"/>
    </row>
    <row r="93" spans="1:16" x14ac:dyDescent="0.2">
      <c r="A93" s="43">
        <v>44408</v>
      </c>
      <c r="B93" s="44">
        <f>Inputs!D114</f>
        <v>24849711</v>
      </c>
      <c r="C93" s="44">
        <v>39.700000000000003</v>
      </c>
      <c r="D93" s="44">
        <v>31</v>
      </c>
      <c r="E93" s="109">
        <v>0</v>
      </c>
      <c r="F93" s="130">
        <v>1</v>
      </c>
      <c r="G93" s="137">
        <f>Inputs!G114+Inputs!I114+Inputs!L114</f>
        <v>14035</v>
      </c>
      <c r="H93" s="137">
        <v>0</v>
      </c>
      <c r="I93" s="44">
        <f t="shared" si="12"/>
        <v>25102732.936169676</v>
      </c>
      <c r="J93" s="27">
        <f t="shared" si="9"/>
        <v>253021.93616967648</v>
      </c>
      <c r="K93" s="36">
        <f t="shared" si="10"/>
        <v>1.0182087677787338E-2</v>
      </c>
      <c r="L93" s="10">
        <f t="shared" si="11"/>
        <v>1.0182087677787338E-2</v>
      </c>
      <c r="M93" s="135">
        <f t="shared" si="13"/>
        <v>64020100183.051842</v>
      </c>
      <c r="N93" s="135">
        <f t="shared" si="14"/>
        <v>1924169.8195790872</v>
      </c>
      <c r="O93" s="135">
        <f t="shared" si="15"/>
        <v>3702429494579.0171</v>
      </c>
      <c r="P93"/>
    </row>
    <row r="94" spans="1:16" x14ac:dyDescent="0.2">
      <c r="A94" s="43">
        <v>44439</v>
      </c>
      <c r="B94" s="44">
        <f>Inputs!D115</f>
        <v>27059084</v>
      </c>
      <c r="C94" s="44">
        <v>22.8</v>
      </c>
      <c r="D94" s="44">
        <v>31</v>
      </c>
      <c r="E94" s="109">
        <v>0</v>
      </c>
      <c r="F94" s="130">
        <v>1</v>
      </c>
      <c r="G94" s="137">
        <f>Inputs!G115+Inputs!I115+Inputs!L115</f>
        <v>14061</v>
      </c>
      <c r="H94" s="137">
        <v>0</v>
      </c>
      <c r="I94" s="44">
        <f t="shared" si="12"/>
        <v>24925250.626428284</v>
      </c>
      <c r="J94" s="27">
        <f t="shared" si="9"/>
        <v>-2133833.3735717162</v>
      </c>
      <c r="K94" s="36">
        <f t="shared" si="10"/>
        <v>-7.885830036122865E-2</v>
      </c>
      <c r="L94" s="10">
        <f t="shared" si="11"/>
        <v>7.885830036122865E-2</v>
      </c>
      <c r="M94" s="135">
        <f t="shared" si="13"/>
        <v>4553244866168.4512</v>
      </c>
      <c r="N94" s="135">
        <f t="shared" si="14"/>
        <v>-2386855.3097413927</v>
      </c>
      <c r="O94" s="135">
        <f t="shared" si="15"/>
        <v>5697078269640.6797</v>
      </c>
      <c r="P94"/>
    </row>
    <row r="95" spans="1:16" x14ac:dyDescent="0.2">
      <c r="A95" s="43">
        <v>44469</v>
      </c>
      <c r="B95" s="44">
        <f>Inputs!D116</f>
        <v>22357163</v>
      </c>
      <c r="C95" s="44">
        <v>145.19999999999999</v>
      </c>
      <c r="D95" s="44">
        <v>30</v>
      </c>
      <c r="E95" s="109">
        <v>0</v>
      </c>
      <c r="F95" s="130">
        <v>0</v>
      </c>
      <c r="G95" s="137">
        <f>Inputs!G116+Inputs!I116+Inputs!L116</f>
        <v>14082</v>
      </c>
      <c r="H95" s="137">
        <v>0</v>
      </c>
      <c r="I95" s="44">
        <f t="shared" si="12"/>
        <v>22960780.044305295</v>
      </c>
      <c r="J95" s="27">
        <f t="shared" si="9"/>
        <v>603617.04430529475</v>
      </c>
      <c r="K95" s="36">
        <f t="shared" si="10"/>
        <v>2.6998821107369248E-2</v>
      </c>
      <c r="L95" s="10">
        <f t="shared" si="11"/>
        <v>2.6998821107369248E-2</v>
      </c>
      <c r="M95" s="135">
        <f t="shared" si="13"/>
        <v>364353536175.86017</v>
      </c>
      <c r="N95" s="135">
        <f t="shared" si="14"/>
        <v>2737450.417877011</v>
      </c>
      <c r="O95" s="135">
        <f t="shared" si="15"/>
        <v>7493634790335.0225</v>
      </c>
      <c r="P95"/>
    </row>
    <row r="96" spans="1:16" x14ac:dyDescent="0.2">
      <c r="A96" s="43">
        <v>44500</v>
      </c>
      <c r="B96" s="44">
        <f>Inputs!D117</f>
        <v>23786911</v>
      </c>
      <c r="C96" s="44">
        <v>210.90000000000003</v>
      </c>
      <c r="D96" s="44">
        <v>31</v>
      </c>
      <c r="E96" s="109">
        <v>1</v>
      </c>
      <c r="F96" s="130">
        <v>0</v>
      </c>
      <c r="G96" s="137">
        <f>Inputs!G117+Inputs!I117+Inputs!L117</f>
        <v>14103</v>
      </c>
      <c r="H96" s="137">
        <v>0</v>
      </c>
      <c r="I96" s="44">
        <f t="shared" si="12"/>
        <v>23270642.855972745</v>
      </c>
      <c r="J96" s="27">
        <f t="shared" si="9"/>
        <v>-516268.14402725548</v>
      </c>
      <c r="K96" s="36">
        <f t="shared" si="10"/>
        <v>-2.1703875044021288E-2</v>
      </c>
      <c r="L96" s="10">
        <f t="shared" si="11"/>
        <v>2.1703875044021288E-2</v>
      </c>
      <c r="M96" s="135">
        <f t="shared" si="13"/>
        <v>266532796537.34702</v>
      </c>
      <c r="N96" s="135">
        <f t="shared" si="14"/>
        <v>-1119885.1883325502</v>
      </c>
      <c r="O96" s="135">
        <f t="shared" si="15"/>
        <v>1254142835046.6316</v>
      </c>
      <c r="P96"/>
    </row>
    <row r="97" spans="1:16" x14ac:dyDescent="0.2">
      <c r="A97" s="43">
        <v>44530</v>
      </c>
      <c r="B97" s="44">
        <f>Inputs!D118</f>
        <v>26548630</v>
      </c>
      <c r="C97" s="44">
        <v>522.40000000000009</v>
      </c>
      <c r="D97" s="44">
        <v>30</v>
      </c>
      <c r="E97" s="109">
        <v>1</v>
      </c>
      <c r="F97" s="130">
        <v>0</v>
      </c>
      <c r="G97" s="137">
        <f>Inputs!G118+Inputs!I118+Inputs!L118</f>
        <v>14157</v>
      </c>
      <c r="H97" s="137">
        <v>0</v>
      </c>
      <c r="I97" s="44">
        <f t="shared" si="12"/>
        <v>26564544.207446802</v>
      </c>
      <c r="J97" s="27">
        <f t="shared" si="9"/>
        <v>15914.207446802408</v>
      </c>
      <c r="K97" s="36">
        <f t="shared" si="10"/>
        <v>5.9943610825878427E-4</v>
      </c>
      <c r="L97" s="10">
        <f t="shared" si="11"/>
        <v>5.9943610825878427E-4</v>
      </c>
      <c r="M97" s="135">
        <f t="shared" si="13"/>
        <v>253261998.65986121</v>
      </c>
      <c r="N97" s="135">
        <f t="shared" si="14"/>
        <v>532182.35147405788</v>
      </c>
      <c r="O97" s="135">
        <f t="shared" si="15"/>
        <v>283218055220.4577</v>
      </c>
      <c r="P97"/>
    </row>
    <row r="98" spans="1:16" x14ac:dyDescent="0.2">
      <c r="A98" s="43">
        <v>44561</v>
      </c>
      <c r="B98" s="44">
        <f>Inputs!D119</f>
        <v>29127757</v>
      </c>
      <c r="C98" s="44">
        <v>652.5</v>
      </c>
      <c r="D98" s="44">
        <v>31</v>
      </c>
      <c r="E98" s="109">
        <v>0</v>
      </c>
      <c r="F98" s="130">
        <v>0</v>
      </c>
      <c r="G98" s="137">
        <f>Inputs!G119+Inputs!I119+Inputs!L119</f>
        <v>14180</v>
      </c>
      <c r="H98" s="137">
        <v>0</v>
      </c>
      <c r="I98" s="44">
        <f t="shared" si="12"/>
        <v>29780517.133697677</v>
      </c>
      <c r="J98" s="27">
        <f t="shared" si="9"/>
        <v>652760.1336976774</v>
      </c>
      <c r="K98" s="36">
        <f t="shared" si="10"/>
        <v>2.241024373066822E-2</v>
      </c>
      <c r="L98" s="10">
        <f t="shared" si="11"/>
        <v>2.241024373066822E-2</v>
      </c>
      <c r="M98" s="135">
        <f t="shared" si="13"/>
        <v>426095792145.0097</v>
      </c>
      <c r="N98" s="135">
        <f t="shared" si="14"/>
        <v>636845.926250875</v>
      </c>
      <c r="O98" s="135">
        <f t="shared" si="15"/>
        <v>405572733782.3349</v>
      </c>
      <c r="P98"/>
    </row>
    <row r="99" spans="1:16" x14ac:dyDescent="0.2">
      <c r="A99" s="43">
        <v>44592</v>
      </c>
      <c r="B99" s="44">
        <f>Inputs!D120</f>
        <v>34795564</v>
      </c>
      <c r="C99" s="99">
        <v>974.5</v>
      </c>
      <c r="D99" s="44">
        <v>31</v>
      </c>
      <c r="E99" s="109">
        <v>0</v>
      </c>
      <c r="F99" s="130">
        <v>0</v>
      </c>
      <c r="G99" s="137">
        <f>Inputs!G120+Inputs!I120+Inputs!L120</f>
        <v>14191</v>
      </c>
      <c r="H99" s="137">
        <v>0</v>
      </c>
      <c r="I99" s="44">
        <f t="shared" si="12"/>
        <v>33705457.316855036</v>
      </c>
      <c r="J99" s="27">
        <f t="shared" ref="J99:J134" si="16">I99-B99</f>
        <v>-1090106.6831449643</v>
      </c>
      <c r="K99" s="36">
        <f t="shared" ref="K99:K134" si="17">J99/B99</f>
        <v>-3.1328898222341341E-2</v>
      </c>
      <c r="L99" s="10">
        <f t="shared" si="11"/>
        <v>3.1328898222341341E-2</v>
      </c>
      <c r="M99" s="135">
        <f t="shared" si="13"/>
        <v>1188332580637.3154</v>
      </c>
      <c r="N99" s="135">
        <f t="shared" si="14"/>
        <v>-1742866.8168426417</v>
      </c>
      <c r="O99" s="135">
        <f t="shared" si="15"/>
        <v>3037584741251.2021</v>
      </c>
      <c r="P99"/>
    </row>
    <row r="100" spans="1:16" x14ac:dyDescent="0.2">
      <c r="A100" s="43">
        <v>44620</v>
      </c>
      <c r="B100" s="44">
        <f>Inputs!D121</f>
        <v>30039948</v>
      </c>
      <c r="C100" s="99">
        <v>783</v>
      </c>
      <c r="D100" s="44">
        <v>28</v>
      </c>
      <c r="E100" s="109">
        <v>0</v>
      </c>
      <c r="F100" s="130">
        <v>0</v>
      </c>
      <c r="G100" s="137">
        <f>Inputs!G121+Inputs!I121+Inputs!L121</f>
        <v>14206</v>
      </c>
      <c r="H100" s="137">
        <v>0</v>
      </c>
      <c r="I100" s="44">
        <f t="shared" si="12"/>
        <v>29745608.427413613</v>
      </c>
      <c r="J100" s="27">
        <f t="shared" si="16"/>
        <v>-294339.5725863874</v>
      </c>
      <c r="K100" s="36">
        <f t="shared" si="17"/>
        <v>-9.798271707607064E-3</v>
      </c>
      <c r="L100" s="10">
        <f t="shared" si="11"/>
        <v>9.798271707607064E-3</v>
      </c>
      <c r="M100" s="135">
        <f t="shared" si="13"/>
        <v>86635783990.337219</v>
      </c>
      <c r="N100" s="135">
        <f t="shared" si="14"/>
        <v>795767.11055857688</v>
      </c>
      <c r="O100" s="135">
        <f t="shared" si="15"/>
        <v>633245294246.74634</v>
      </c>
      <c r="P100"/>
    </row>
    <row r="101" spans="1:16" x14ac:dyDescent="0.2">
      <c r="A101" s="43">
        <v>44651</v>
      </c>
      <c r="B101" s="44">
        <f>Inputs!D122</f>
        <v>29938094</v>
      </c>
      <c r="C101" s="99">
        <v>643.59999999999991</v>
      </c>
      <c r="D101" s="44">
        <v>31</v>
      </c>
      <c r="E101" s="109">
        <v>1</v>
      </c>
      <c r="F101" s="130">
        <v>0</v>
      </c>
      <c r="G101" s="137">
        <f>Inputs!G122+Inputs!I122+Inputs!L122</f>
        <v>14199</v>
      </c>
      <c r="H101" s="137">
        <v>0</v>
      </c>
      <c r="I101" s="44">
        <f t="shared" si="12"/>
        <v>28632076.664811529</v>
      </c>
      <c r="J101" s="27">
        <f t="shared" si="16"/>
        <v>-1306017.3351884708</v>
      </c>
      <c r="K101" s="36">
        <f t="shared" si="17"/>
        <v>-4.3623930607889425E-2</v>
      </c>
      <c r="L101" s="10">
        <f t="shared" si="11"/>
        <v>4.3623930607889425E-2</v>
      </c>
      <c r="M101" s="135">
        <f t="shared" si="13"/>
        <v>1705681279812.7944</v>
      </c>
      <c r="N101" s="135">
        <f t="shared" si="14"/>
        <v>-1011677.7626020834</v>
      </c>
      <c r="O101" s="135">
        <f t="shared" si="15"/>
        <v>1023491895343.5574</v>
      </c>
      <c r="P101"/>
    </row>
    <row r="102" spans="1:16" x14ac:dyDescent="0.2">
      <c r="A102" s="43">
        <v>44681</v>
      </c>
      <c r="B102" s="44">
        <f>Inputs!D123</f>
        <v>25592068</v>
      </c>
      <c r="C102" s="99">
        <v>421.8</v>
      </c>
      <c r="D102" s="44">
        <v>30</v>
      </c>
      <c r="E102" s="109">
        <v>1</v>
      </c>
      <c r="F102" s="130">
        <v>0</v>
      </c>
      <c r="G102" s="137">
        <f>Inputs!G123+Inputs!I123+Inputs!L123</f>
        <v>14215</v>
      </c>
      <c r="H102" s="137">
        <v>0</v>
      </c>
      <c r="I102" s="44">
        <f t="shared" si="12"/>
        <v>25404223.484345846</v>
      </c>
      <c r="J102" s="27">
        <f t="shared" si="16"/>
        <v>-187844.51565415412</v>
      </c>
      <c r="K102" s="36">
        <f t="shared" si="17"/>
        <v>-7.3399506305685857E-3</v>
      </c>
      <c r="L102" s="10">
        <f t="shared" si="11"/>
        <v>7.3399506305685857E-3</v>
      </c>
      <c r="M102" s="135">
        <f t="shared" si="13"/>
        <v>35285562061.34375</v>
      </c>
      <c r="N102" s="135">
        <f t="shared" si="14"/>
        <v>1118172.8195343167</v>
      </c>
      <c r="O102" s="135">
        <f t="shared" si="15"/>
        <v>1250310454345.3235</v>
      </c>
      <c r="P102"/>
    </row>
    <row r="103" spans="1:16" x14ac:dyDescent="0.2">
      <c r="A103" s="43">
        <v>44712</v>
      </c>
      <c r="B103" s="44">
        <f>Inputs!D124</f>
        <v>23761000</v>
      </c>
      <c r="C103" s="99">
        <v>148.1</v>
      </c>
      <c r="D103" s="44">
        <v>31</v>
      </c>
      <c r="E103" s="109">
        <v>1</v>
      </c>
      <c r="F103" s="130">
        <v>0</v>
      </c>
      <c r="G103" s="137">
        <f>Inputs!G124+Inputs!I124+Inputs!L124</f>
        <v>14224</v>
      </c>
      <c r="H103" s="137">
        <v>0</v>
      </c>
      <c r="I103" s="44">
        <f t="shared" si="12"/>
        <v>22637286.2285017</v>
      </c>
      <c r="J103" s="27">
        <f t="shared" si="16"/>
        <v>-1123713.7714983001</v>
      </c>
      <c r="K103" s="36">
        <f t="shared" si="17"/>
        <v>-4.7292360233083627E-2</v>
      </c>
      <c r="L103" s="10">
        <f t="shared" si="11"/>
        <v>4.7292360233083627E-2</v>
      </c>
      <c r="M103" s="135">
        <f t="shared" si="13"/>
        <v>1262732640254.9338</v>
      </c>
      <c r="N103" s="135">
        <f t="shared" si="14"/>
        <v>-935869.25584414601</v>
      </c>
      <c r="O103" s="135">
        <f t="shared" si="15"/>
        <v>875851264034.27563</v>
      </c>
      <c r="P103"/>
    </row>
    <row r="104" spans="1:16" x14ac:dyDescent="0.2">
      <c r="A104" s="43">
        <v>44742</v>
      </c>
      <c r="B104" s="44">
        <f>Inputs!D125</f>
        <v>23802150</v>
      </c>
      <c r="C104" s="99">
        <v>97.399999999999991</v>
      </c>
      <c r="D104" s="44">
        <v>30</v>
      </c>
      <c r="E104" s="109">
        <v>0</v>
      </c>
      <c r="F104" s="130">
        <v>0</v>
      </c>
      <c r="G104" s="137">
        <f>Inputs!G125+Inputs!I125+Inputs!L125</f>
        <v>14228</v>
      </c>
      <c r="H104" s="137">
        <v>0</v>
      </c>
      <c r="I104" s="44">
        <f t="shared" si="12"/>
        <v>22536536.153195329</v>
      </c>
      <c r="J104" s="27">
        <f t="shared" si="16"/>
        <v>-1265613.846804671</v>
      </c>
      <c r="K104" s="36">
        <f t="shared" si="17"/>
        <v>-5.3172249011314988E-2</v>
      </c>
      <c r="L104" s="10">
        <f t="shared" si="11"/>
        <v>5.3172249011314988E-2</v>
      </c>
      <c r="M104" s="135">
        <f t="shared" si="13"/>
        <v>1601778409223.7173</v>
      </c>
      <c r="N104" s="135">
        <f t="shared" si="14"/>
        <v>-141900.07530637085</v>
      </c>
      <c r="O104" s="135">
        <f t="shared" si="15"/>
        <v>20135631371.95372</v>
      </c>
      <c r="P104"/>
    </row>
    <row r="105" spans="1:16" x14ac:dyDescent="0.2">
      <c r="A105" s="43">
        <v>44773</v>
      </c>
      <c r="B105" s="44">
        <f>Inputs!D126</f>
        <v>25485797</v>
      </c>
      <c r="C105" s="99">
        <v>43.999999999999993</v>
      </c>
      <c r="D105" s="44">
        <v>31</v>
      </c>
      <c r="E105" s="109">
        <v>0</v>
      </c>
      <c r="F105" s="130">
        <v>1</v>
      </c>
      <c r="G105" s="137">
        <f>Inputs!G126+Inputs!I126+Inputs!L126</f>
        <v>14232</v>
      </c>
      <c r="H105" s="137">
        <v>0</v>
      </c>
      <c r="I105" s="44">
        <f t="shared" si="12"/>
        <v>25366359.96398934</v>
      </c>
      <c r="J105" s="27">
        <f t="shared" si="16"/>
        <v>-119437.03601066023</v>
      </c>
      <c r="K105" s="36">
        <f t="shared" si="17"/>
        <v>-4.6864155753363421E-3</v>
      </c>
      <c r="L105" s="10">
        <f t="shared" si="11"/>
        <v>4.6864155753363421E-3</v>
      </c>
      <c r="M105" s="135">
        <f t="shared" si="13"/>
        <v>14265205571.011749</v>
      </c>
      <c r="N105" s="135">
        <f t="shared" si="14"/>
        <v>1146176.8107940108</v>
      </c>
      <c r="O105" s="135">
        <f t="shared" si="15"/>
        <v>1313721281601.9294</v>
      </c>
      <c r="P105"/>
    </row>
    <row r="106" spans="1:16" x14ac:dyDescent="0.2">
      <c r="A106" s="43">
        <v>44804</v>
      </c>
      <c r="B106" s="44">
        <f>Inputs!D127</f>
        <v>26149673</v>
      </c>
      <c r="C106" s="99">
        <v>32.5</v>
      </c>
      <c r="D106" s="44">
        <v>31</v>
      </c>
      <c r="E106" s="109">
        <v>0</v>
      </c>
      <c r="F106" s="130">
        <v>1</v>
      </c>
      <c r="G106" s="137">
        <f>Inputs!G127+Inputs!I127+Inputs!L127</f>
        <v>14232</v>
      </c>
      <c r="H106" s="137">
        <v>0</v>
      </c>
      <c r="I106" s="44">
        <f t="shared" si="12"/>
        <v>25226605.044330738</v>
      </c>
      <c r="J106" s="27">
        <f t="shared" si="16"/>
        <v>-923067.95566926152</v>
      </c>
      <c r="K106" s="36">
        <f t="shared" si="17"/>
        <v>-3.5299407211297117E-2</v>
      </c>
      <c r="L106" s="10">
        <f t="shared" si="11"/>
        <v>3.5299407211297117E-2</v>
      </c>
      <c r="M106" s="135">
        <f t="shared" si="13"/>
        <v>852054450783.42969</v>
      </c>
      <c r="N106" s="135">
        <f t="shared" si="14"/>
        <v>-803630.91965860128</v>
      </c>
      <c r="O106" s="135">
        <f t="shared" si="15"/>
        <v>645822655031.32922</v>
      </c>
      <c r="P106"/>
    </row>
    <row r="107" spans="1:16" x14ac:dyDescent="0.2">
      <c r="A107" s="43">
        <v>44834</v>
      </c>
      <c r="B107" s="44">
        <f>Inputs!D128</f>
        <v>23192024</v>
      </c>
      <c r="C107" s="99">
        <v>131.69999999999999</v>
      </c>
      <c r="D107" s="44">
        <v>30</v>
      </c>
      <c r="E107" s="109">
        <v>0</v>
      </c>
      <c r="F107" s="130">
        <v>0</v>
      </c>
      <c r="G107" s="137">
        <f>Inputs!G128+Inputs!I128+Inputs!L128</f>
        <v>14238</v>
      </c>
      <c r="H107" s="137">
        <v>0</v>
      </c>
      <c r="I107" s="44">
        <f t="shared" si="12"/>
        <v>22964099.876117013</v>
      </c>
      <c r="J107" s="27">
        <f t="shared" si="16"/>
        <v>-227924.12388298661</v>
      </c>
      <c r="K107" s="36">
        <f t="shared" si="17"/>
        <v>-9.8276943781615018E-3</v>
      </c>
      <c r="L107" s="10">
        <f t="shared" si="11"/>
        <v>9.8276943781615018E-3</v>
      </c>
      <c r="M107" s="135">
        <f t="shared" si="13"/>
        <v>51949406247.827026</v>
      </c>
      <c r="N107" s="135">
        <f t="shared" si="14"/>
        <v>695143.83178627491</v>
      </c>
      <c r="O107" s="135">
        <f t="shared" si="15"/>
        <v>483224946870.50488</v>
      </c>
      <c r="P107"/>
    </row>
    <row r="108" spans="1:16" x14ac:dyDescent="0.2">
      <c r="A108" s="43">
        <v>44865</v>
      </c>
      <c r="B108" s="44">
        <f>Inputs!D129</f>
        <v>24211097</v>
      </c>
      <c r="C108" s="99">
        <v>329.7000000000001</v>
      </c>
      <c r="D108" s="44">
        <v>31</v>
      </c>
      <c r="E108" s="109">
        <v>1</v>
      </c>
      <c r="F108" s="130">
        <v>0</v>
      </c>
      <c r="G108" s="137">
        <f>Inputs!G129+Inputs!I129+Inputs!L129</f>
        <v>14300</v>
      </c>
      <c r="H108" s="137">
        <v>0</v>
      </c>
      <c r="I108" s="44">
        <f t="shared" si="12"/>
        <v>24925742.779523689</v>
      </c>
      <c r="J108" s="27">
        <f t="shared" si="16"/>
        <v>714645.7795236893</v>
      </c>
      <c r="K108" s="36">
        <f t="shared" si="17"/>
        <v>2.9517282076218575E-2</v>
      </c>
      <c r="L108" s="10">
        <f t="shared" si="11"/>
        <v>2.9517282076218575E-2</v>
      </c>
      <c r="M108" s="135">
        <f t="shared" si="13"/>
        <v>510718590191.02155</v>
      </c>
      <c r="N108" s="135">
        <f t="shared" si="14"/>
        <v>942569.9034066759</v>
      </c>
      <c r="O108" s="135">
        <f t="shared" si="15"/>
        <v>888438022808.07031</v>
      </c>
      <c r="P108"/>
    </row>
    <row r="109" spans="1:16" x14ac:dyDescent="0.2">
      <c r="A109" s="43">
        <v>44895</v>
      </c>
      <c r="B109" s="44">
        <f>Inputs!D130</f>
        <v>26468247</v>
      </c>
      <c r="C109" s="99">
        <v>469.00000000000006</v>
      </c>
      <c r="D109" s="44">
        <v>30</v>
      </c>
      <c r="E109" s="109">
        <v>1</v>
      </c>
      <c r="F109" s="130">
        <v>0</v>
      </c>
      <c r="G109" s="137">
        <f>Inputs!G130+Inputs!I130+Inputs!L130</f>
        <v>14338</v>
      </c>
      <c r="H109" s="137">
        <v>0</v>
      </c>
      <c r="I109" s="44">
        <f t="shared" si="12"/>
        <v>26109798.941771142</v>
      </c>
      <c r="J109" s="27">
        <f t="shared" si="16"/>
        <v>-358448.05822885782</v>
      </c>
      <c r="K109" s="36">
        <f t="shared" si="17"/>
        <v>-1.3542568883721609E-2</v>
      </c>
      <c r="L109" s="10">
        <f t="shared" si="11"/>
        <v>1.3542568883721609E-2</v>
      </c>
      <c r="M109" s="135">
        <f t="shared" si="13"/>
        <v>128485010448.03865</v>
      </c>
      <c r="N109" s="135">
        <f t="shared" si="14"/>
        <v>-1073093.8377525471</v>
      </c>
      <c r="O109" s="135">
        <f t="shared" si="15"/>
        <v>1151530384622.49</v>
      </c>
      <c r="P109"/>
    </row>
    <row r="110" spans="1:16" x14ac:dyDescent="0.2">
      <c r="A110" s="43">
        <v>44926</v>
      </c>
      <c r="B110" s="44">
        <f>Inputs!D131</f>
        <v>29238327</v>
      </c>
      <c r="C110" s="99">
        <v>637.1</v>
      </c>
      <c r="D110" s="44">
        <v>31</v>
      </c>
      <c r="E110" s="109">
        <v>0</v>
      </c>
      <c r="F110" s="130">
        <v>0</v>
      </c>
      <c r="G110" s="137">
        <f>Inputs!G131+Inputs!I131+Inputs!L131</f>
        <v>14351</v>
      </c>
      <c r="H110" s="137">
        <v>0</v>
      </c>
      <c r="I110" s="44">
        <f t="shared" si="12"/>
        <v>29776841.248693105</v>
      </c>
      <c r="J110" s="27">
        <f t="shared" si="16"/>
        <v>538514.24869310483</v>
      </c>
      <c r="K110" s="36">
        <f t="shared" si="17"/>
        <v>1.8418093781258579E-2</v>
      </c>
      <c r="L110" s="10">
        <f t="shared" si="11"/>
        <v>1.8418093781258579E-2</v>
      </c>
      <c r="M110" s="135">
        <f t="shared" si="13"/>
        <v>289997596045.49915</v>
      </c>
      <c r="N110" s="135">
        <f t="shared" si="14"/>
        <v>896962.30692196265</v>
      </c>
      <c r="O110" s="135">
        <f t="shared" si="15"/>
        <v>804541380038.76917</v>
      </c>
      <c r="P110"/>
    </row>
    <row r="111" spans="1:16" x14ac:dyDescent="0.2">
      <c r="A111" s="43">
        <v>44957</v>
      </c>
      <c r="B111" s="44">
        <f>Inputs!D132</f>
        <v>30877295</v>
      </c>
      <c r="C111" s="44">
        <v>712</v>
      </c>
      <c r="D111" s="44">
        <v>31</v>
      </c>
      <c r="E111" s="109">
        <v>0</v>
      </c>
      <c r="F111" s="130">
        <v>0</v>
      </c>
      <c r="G111" s="137">
        <f>Inputs!G132+Inputs!I132+Inputs!L132</f>
        <v>14366</v>
      </c>
      <c r="H111" s="137">
        <v>0</v>
      </c>
      <c r="I111" s="44">
        <f t="shared" si="12"/>
        <v>30703165.343162078</v>
      </c>
      <c r="J111" s="27">
        <f t="shared" si="16"/>
        <v>-174129.65683792159</v>
      </c>
      <c r="K111" s="36">
        <f t="shared" si="17"/>
        <v>-5.639407753753092E-3</v>
      </c>
      <c r="L111" s="10">
        <f t="shared" si="11"/>
        <v>5.639407753753092E-3</v>
      </c>
      <c r="M111" s="135">
        <f t="shared" si="13"/>
        <v>30321137390.492332</v>
      </c>
      <c r="N111" s="135">
        <f t="shared" si="14"/>
        <v>-712643.90553102642</v>
      </c>
      <c r="O111" s="135">
        <f t="shared" si="15"/>
        <v>507861336090.51453</v>
      </c>
      <c r="P111"/>
    </row>
    <row r="112" spans="1:16" x14ac:dyDescent="0.2">
      <c r="A112" s="43">
        <v>44985</v>
      </c>
      <c r="B112" s="44">
        <f>Inputs!D133</f>
        <v>28906608</v>
      </c>
      <c r="C112" s="44">
        <v>706.8</v>
      </c>
      <c r="D112" s="44">
        <v>28</v>
      </c>
      <c r="E112" s="109">
        <v>0</v>
      </c>
      <c r="F112" s="130">
        <v>0</v>
      </c>
      <c r="G112" s="137">
        <f>Inputs!G133+Inputs!I133+Inputs!L133</f>
        <v>14382</v>
      </c>
      <c r="H112" s="137">
        <v>0</v>
      </c>
      <c r="I112" s="44">
        <f t="shared" si="12"/>
        <v>29008419.100618761</v>
      </c>
      <c r="J112" s="27">
        <f t="shared" si="16"/>
        <v>101811.10061876103</v>
      </c>
      <c r="K112" s="36">
        <f t="shared" si="17"/>
        <v>3.5220701307729025E-3</v>
      </c>
      <c r="L112" s="10">
        <f t="shared" si="11"/>
        <v>3.5220701307729025E-3</v>
      </c>
      <c r="M112" s="135">
        <f t="shared" si="13"/>
        <v>10365500209.203484</v>
      </c>
      <c r="N112" s="135">
        <f t="shared" si="14"/>
        <v>275940.75745668262</v>
      </c>
      <c r="O112" s="135">
        <f t="shared" si="15"/>
        <v>76143301625.767746</v>
      </c>
      <c r="P112"/>
    </row>
    <row r="113" spans="1:16" x14ac:dyDescent="0.2">
      <c r="A113" s="43">
        <v>45016</v>
      </c>
      <c r="B113" s="44">
        <f>Inputs!D134</f>
        <v>29869663</v>
      </c>
      <c r="C113" s="44">
        <v>629.30000000000018</v>
      </c>
      <c r="D113" s="44">
        <v>31</v>
      </c>
      <c r="E113" s="109">
        <v>1</v>
      </c>
      <c r="F113" s="130">
        <v>0</v>
      </c>
      <c r="G113" s="137">
        <f>Inputs!G134+Inputs!I134+Inputs!L134</f>
        <v>14394</v>
      </c>
      <c r="H113" s="137">
        <v>0</v>
      </c>
      <c r="I113" s="44">
        <f t="shared" si="12"/>
        <v>28667519.403977998</v>
      </c>
      <c r="J113" s="27">
        <f t="shared" si="16"/>
        <v>-1202143.5960220024</v>
      </c>
      <c r="K113" s="36">
        <f t="shared" si="17"/>
        <v>-4.0246305960063976E-2</v>
      </c>
      <c r="L113" s="10">
        <f t="shared" si="11"/>
        <v>4.0246305960063976E-2</v>
      </c>
      <c r="M113" s="135">
        <f t="shared" si="13"/>
        <v>1445149225456.7112</v>
      </c>
      <c r="N113" s="135">
        <f t="shared" si="14"/>
        <v>-1303954.6966407634</v>
      </c>
      <c r="O113" s="135">
        <f t="shared" si="15"/>
        <v>1700297850891.5054</v>
      </c>
      <c r="P113"/>
    </row>
    <row r="114" spans="1:16" x14ac:dyDescent="0.2">
      <c r="A114" s="43">
        <v>45046</v>
      </c>
      <c r="B114" s="44">
        <f>Inputs!D135</f>
        <v>25209778</v>
      </c>
      <c r="C114" s="44">
        <v>380.5</v>
      </c>
      <c r="D114" s="44">
        <v>30</v>
      </c>
      <c r="E114" s="109">
        <v>1</v>
      </c>
      <c r="F114" s="130">
        <v>0</v>
      </c>
      <c r="G114" s="137">
        <f>Inputs!G135+Inputs!I135+Inputs!L135</f>
        <v>14392</v>
      </c>
      <c r="H114" s="137">
        <v>0</v>
      </c>
      <c r="I114" s="44">
        <f t="shared" si="12"/>
        <v>25092232.90563935</v>
      </c>
      <c r="J114" s="27">
        <f t="shared" si="16"/>
        <v>-117545.09436064959</v>
      </c>
      <c r="K114" s="36">
        <f t="shared" si="17"/>
        <v>-4.6626786781164666E-3</v>
      </c>
      <c r="L114" s="10">
        <f t="shared" si="11"/>
        <v>4.6626786781164666E-3</v>
      </c>
      <c r="M114" s="135">
        <f t="shared" si="13"/>
        <v>13816849208.254015</v>
      </c>
      <c r="N114" s="135">
        <f t="shared" si="14"/>
        <v>1084598.5016613528</v>
      </c>
      <c r="O114" s="135">
        <f t="shared" si="15"/>
        <v>1176353909806.0515</v>
      </c>
      <c r="P114"/>
    </row>
    <row r="115" spans="1:16" x14ac:dyDescent="0.2">
      <c r="A115" s="43">
        <v>45077</v>
      </c>
      <c r="B115" s="44">
        <f>Inputs!D136</f>
        <v>23723123</v>
      </c>
      <c r="C115" s="44">
        <v>237.2</v>
      </c>
      <c r="D115" s="44">
        <v>31</v>
      </c>
      <c r="E115" s="109">
        <v>1</v>
      </c>
      <c r="F115" s="130">
        <v>0</v>
      </c>
      <c r="G115" s="137">
        <f>Inputs!G136+Inputs!I136+Inputs!L136</f>
        <v>14414</v>
      </c>
      <c r="H115" s="137">
        <v>0</v>
      </c>
      <c r="I115" s="44">
        <f t="shared" si="12"/>
        <v>23923943.242280737</v>
      </c>
      <c r="J115" s="27">
        <f t="shared" si="16"/>
        <v>200820.24228073657</v>
      </c>
      <c r="K115" s="36">
        <f t="shared" si="17"/>
        <v>8.4651688683963135E-3</v>
      </c>
      <c r="L115" s="10">
        <f t="shared" si="11"/>
        <v>8.4651688683963135E-3</v>
      </c>
      <c r="M115" s="135">
        <f t="shared" si="13"/>
        <v>40328769709.693733</v>
      </c>
      <c r="N115" s="135">
        <f t="shared" si="14"/>
        <v>318365.33664138615</v>
      </c>
      <c r="O115" s="135">
        <f t="shared" si="15"/>
        <v>101356487574.78313</v>
      </c>
      <c r="P115"/>
    </row>
    <row r="116" spans="1:16" x14ac:dyDescent="0.2">
      <c r="A116" s="43">
        <v>45107</v>
      </c>
      <c r="B116" s="44">
        <f>Inputs!D137</f>
        <v>23955844</v>
      </c>
      <c r="C116" s="44">
        <v>69.000000000000014</v>
      </c>
      <c r="D116" s="44">
        <v>30</v>
      </c>
      <c r="E116" s="109">
        <v>0</v>
      </c>
      <c r="F116" s="130">
        <v>0</v>
      </c>
      <c r="G116" s="137">
        <f>Inputs!G137+Inputs!I137+Inputs!L137</f>
        <v>14450</v>
      </c>
      <c r="H116" s="137">
        <v>0</v>
      </c>
      <c r="I116" s="44">
        <f t="shared" si="12"/>
        <v>22429596.815835617</v>
      </c>
      <c r="J116" s="27">
        <f t="shared" si="16"/>
        <v>-1526247.1841643825</v>
      </c>
      <c r="K116" s="36">
        <f t="shared" si="17"/>
        <v>-6.3710850019076032E-2</v>
      </c>
      <c r="L116" s="10">
        <f t="shared" si="11"/>
        <v>6.3710850019076032E-2</v>
      </c>
      <c r="M116" s="135">
        <f t="shared" si="13"/>
        <v>2329430467169.7065</v>
      </c>
      <c r="N116" s="135">
        <f t="shared" si="14"/>
        <v>-1727067.4264451191</v>
      </c>
      <c r="O116" s="135">
        <f t="shared" si="15"/>
        <v>2982761895487.7666</v>
      </c>
      <c r="P116"/>
    </row>
    <row r="117" spans="1:16" x14ac:dyDescent="0.2">
      <c r="A117" s="43">
        <v>45138</v>
      </c>
      <c r="B117" s="44">
        <f>Inputs!D138</f>
        <v>25445214</v>
      </c>
      <c r="C117" s="44">
        <v>27.000000000000004</v>
      </c>
      <c r="D117" s="44">
        <v>31</v>
      </c>
      <c r="E117" s="109">
        <v>0</v>
      </c>
      <c r="F117" s="130">
        <v>1</v>
      </c>
      <c r="G117" s="137">
        <f>Inputs!G138+Inputs!I138+Inputs!L138</f>
        <v>14453</v>
      </c>
      <c r="H117" s="137">
        <v>0</v>
      </c>
      <c r="I117" s="44">
        <f t="shared" si="12"/>
        <v>25396887.337688506</v>
      </c>
      <c r="J117" s="27">
        <f t="shared" si="16"/>
        <v>-48326.66231149435</v>
      </c>
      <c r="K117" s="36">
        <f t="shared" si="17"/>
        <v>-1.8992436971249033E-3</v>
      </c>
      <c r="L117" s="10">
        <f t="shared" si="11"/>
        <v>1.8992436971249033E-3</v>
      </c>
      <c r="M117" s="135">
        <f t="shared" si="13"/>
        <v>2335466290.1692085</v>
      </c>
      <c r="N117" s="135">
        <f t="shared" si="14"/>
        <v>1477920.5218528882</v>
      </c>
      <c r="O117" s="135">
        <f t="shared" si="15"/>
        <v>2184249068913.9133</v>
      </c>
      <c r="P117"/>
    </row>
    <row r="118" spans="1:16" x14ac:dyDescent="0.2">
      <c r="A118" s="43">
        <v>45169</v>
      </c>
      <c r="B118" s="44">
        <f>Inputs!D139</f>
        <v>24199133</v>
      </c>
      <c r="C118" s="44">
        <v>56.2</v>
      </c>
      <c r="D118" s="44">
        <v>31</v>
      </c>
      <c r="E118" s="109">
        <v>0</v>
      </c>
      <c r="F118" s="130">
        <v>1</v>
      </c>
      <c r="G118" s="137">
        <f>Inputs!G139+Inputs!I139+Inputs!L139</f>
        <v>14476</v>
      </c>
      <c r="H118" s="137">
        <v>0</v>
      </c>
      <c r="I118" s="44">
        <f t="shared" si="12"/>
        <v>25776421.121466126</v>
      </c>
      <c r="J118" s="27">
        <f t="shared" si="16"/>
        <v>1577288.1214661263</v>
      </c>
      <c r="K118" s="36">
        <f t="shared" si="17"/>
        <v>6.5179530252845272E-2</v>
      </c>
      <c r="L118" s="10">
        <f t="shared" si="11"/>
        <v>6.5179530252845272E-2</v>
      </c>
      <c r="M118" s="135">
        <f t="shared" si="13"/>
        <v>2487837818118.1416</v>
      </c>
      <c r="N118" s="135">
        <f t="shared" si="14"/>
        <v>1625614.7837776206</v>
      </c>
      <c r="O118" s="135">
        <f t="shared" si="15"/>
        <v>2642623425236.3604</v>
      </c>
      <c r="P118"/>
    </row>
    <row r="119" spans="1:16" x14ac:dyDescent="0.2">
      <c r="A119" s="43">
        <v>45199</v>
      </c>
      <c r="B119" s="44">
        <f>Inputs!D140</f>
        <v>22957346</v>
      </c>
      <c r="C119" s="44">
        <v>116.4</v>
      </c>
      <c r="D119" s="44">
        <v>30</v>
      </c>
      <c r="E119" s="109">
        <v>0</v>
      </c>
      <c r="F119" s="130">
        <v>0</v>
      </c>
      <c r="G119" s="137">
        <f>Inputs!G140+Inputs!I140+Inputs!L140</f>
        <v>14518</v>
      </c>
      <c r="H119" s="137">
        <v>0</v>
      </c>
      <c r="I119" s="44">
        <f t="shared" si="12"/>
        <v>23078590.630020075</v>
      </c>
      <c r="J119" s="27">
        <f t="shared" si="16"/>
        <v>121244.63002007455</v>
      </c>
      <c r="K119" s="36">
        <f t="shared" si="17"/>
        <v>5.2812999385937094E-3</v>
      </c>
      <c r="L119" s="10">
        <f t="shared" si="11"/>
        <v>5.2812999385937094E-3</v>
      </c>
      <c r="M119" s="135">
        <f t="shared" si="13"/>
        <v>14700260308.704762</v>
      </c>
      <c r="N119" s="135">
        <f t="shared" si="14"/>
        <v>-1456043.4914460517</v>
      </c>
      <c r="O119" s="135">
        <f t="shared" si="15"/>
        <v>2120062648982.4084</v>
      </c>
      <c r="P119"/>
    </row>
    <row r="120" spans="1:16" x14ac:dyDescent="0.2">
      <c r="A120" s="43">
        <v>45230</v>
      </c>
      <c r="B120" s="44">
        <f>Inputs!D141</f>
        <v>24656330</v>
      </c>
      <c r="C120" s="44">
        <v>267.60000000000002</v>
      </c>
      <c r="D120" s="44">
        <v>31</v>
      </c>
      <c r="E120" s="109">
        <v>1</v>
      </c>
      <c r="F120" s="130">
        <v>0</v>
      </c>
      <c r="G120" s="137">
        <f>Inputs!G141+Inputs!I141+Inputs!L141</f>
        <v>14534</v>
      </c>
      <c r="H120" s="137">
        <v>0</v>
      </c>
      <c r="I120" s="44">
        <f t="shared" si="12"/>
        <v>24422136.145701051</v>
      </c>
      <c r="J120" s="27">
        <f t="shared" si="16"/>
        <v>-234193.85429894924</v>
      </c>
      <c r="K120" s="36">
        <f t="shared" si="17"/>
        <v>-9.4983257564669691E-3</v>
      </c>
      <c r="L120" s="10">
        <f t="shared" si="11"/>
        <v>9.4983257564669691E-3</v>
      </c>
      <c r="M120" s="135">
        <f t="shared" si="13"/>
        <v>54846761391.397469</v>
      </c>
      <c r="N120" s="135">
        <f t="shared" si="14"/>
        <v>-355438.48431902379</v>
      </c>
      <c r="O120" s="135">
        <f t="shared" si="15"/>
        <v>126336516135.00491</v>
      </c>
      <c r="P120"/>
    </row>
    <row r="121" spans="1:16" x14ac:dyDescent="0.2">
      <c r="A121" s="43">
        <v>45260</v>
      </c>
      <c r="B121" s="44">
        <f>Inputs!D142</f>
        <v>27066324</v>
      </c>
      <c r="C121" s="44">
        <v>536.40000000000009</v>
      </c>
      <c r="D121" s="44">
        <v>30</v>
      </c>
      <c r="E121" s="109">
        <v>1</v>
      </c>
      <c r="F121" s="130">
        <v>0</v>
      </c>
      <c r="G121" s="137">
        <f>Inputs!G142+Inputs!I142+Inputs!L142</f>
        <v>14568</v>
      </c>
      <c r="H121" s="137">
        <v>0</v>
      </c>
      <c r="I121" s="44">
        <f t="shared" si="12"/>
        <v>27175662.435606338</v>
      </c>
      <c r="J121" s="27">
        <f t="shared" si="16"/>
        <v>109338.43560633808</v>
      </c>
      <c r="K121" s="36">
        <f t="shared" si="17"/>
        <v>4.0396485169666221E-3</v>
      </c>
      <c r="L121" s="10">
        <f t="shared" si="11"/>
        <v>4.0396485169666221E-3</v>
      </c>
      <c r="M121" s="135">
        <f t="shared" si="13"/>
        <v>11954893500.841339</v>
      </c>
      <c r="N121" s="135">
        <f t="shared" si="14"/>
        <v>343532.28990528733</v>
      </c>
      <c r="O121" s="135">
        <f t="shared" si="15"/>
        <v>118014434207.57037</v>
      </c>
      <c r="P121"/>
    </row>
    <row r="122" spans="1:16" x14ac:dyDescent="0.2">
      <c r="A122" s="43">
        <v>45291</v>
      </c>
      <c r="B122" s="44">
        <f>Inputs!D143</f>
        <v>28270776</v>
      </c>
      <c r="C122" s="44">
        <v>589.70000000000005</v>
      </c>
      <c r="D122" s="44">
        <v>31</v>
      </c>
      <c r="E122" s="109">
        <v>0</v>
      </c>
      <c r="F122" s="130">
        <v>0</v>
      </c>
      <c r="G122" s="137">
        <f>Inputs!G143+Inputs!I143+Inputs!L143</f>
        <v>14594</v>
      </c>
      <c r="H122" s="137">
        <v>0</v>
      </c>
      <c r="I122" s="44">
        <f t="shared" si="12"/>
        <v>29461534.39585828</v>
      </c>
      <c r="J122" s="27">
        <f t="shared" si="16"/>
        <v>1190758.3958582804</v>
      </c>
      <c r="K122" s="36">
        <f t="shared" si="17"/>
        <v>4.2119763385988426E-2</v>
      </c>
      <c r="L122" s="10">
        <f t="shared" si="11"/>
        <v>4.2119763385988426E-2</v>
      </c>
      <c r="M122" s="135">
        <f t="shared" si="13"/>
        <v>1417905557306.9851</v>
      </c>
      <c r="N122" s="135">
        <f t="shared" si="14"/>
        <v>1081419.9602519423</v>
      </c>
      <c r="O122" s="135">
        <f t="shared" si="15"/>
        <v>1169469130431.3125</v>
      </c>
      <c r="P122"/>
    </row>
    <row r="123" spans="1:16" x14ac:dyDescent="0.2">
      <c r="A123" s="43">
        <v>45322</v>
      </c>
      <c r="B123" s="44">
        <f>Inputs!D144</f>
        <v>31081694</v>
      </c>
      <c r="C123" s="44">
        <v>726.9</v>
      </c>
      <c r="D123" s="99">
        <v>31</v>
      </c>
      <c r="E123" s="109">
        <v>0</v>
      </c>
      <c r="F123" s="130">
        <v>0</v>
      </c>
      <c r="G123" s="137">
        <f>Inputs!G144+Inputs!I144+Inputs!L144</f>
        <v>14622</v>
      </c>
      <c r="H123" s="137">
        <v>0</v>
      </c>
      <c r="I123" s="44">
        <f t="shared" si="12"/>
        <v>31158913.906399682</v>
      </c>
      <c r="J123" s="27">
        <f t="shared" si="16"/>
        <v>77219.906399682164</v>
      </c>
      <c r="K123" s="36">
        <f t="shared" si="17"/>
        <v>2.4844175610146011E-3</v>
      </c>
      <c r="L123" s="10">
        <f t="shared" si="11"/>
        <v>2.4844175610146011E-3</v>
      </c>
      <c r="M123" s="135">
        <f t="shared" si="13"/>
        <v>5962913944.3756742</v>
      </c>
      <c r="N123" s="135">
        <f t="shared" si="14"/>
        <v>-1113538.4894585982</v>
      </c>
      <c r="O123" s="135">
        <f t="shared" si="15"/>
        <v>1239967967505.7366</v>
      </c>
    </row>
    <row r="124" spans="1:16" x14ac:dyDescent="0.2">
      <c r="A124" s="43">
        <v>45351</v>
      </c>
      <c r="B124" s="44">
        <f>Inputs!D145</f>
        <v>28269261</v>
      </c>
      <c r="C124" s="44">
        <v>637.70000000000016</v>
      </c>
      <c r="D124" s="99">
        <v>29</v>
      </c>
      <c r="E124" s="109">
        <v>0</v>
      </c>
      <c r="F124" s="130">
        <v>0</v>
      </c>
      <c r="G124" s="137">
        <f>Inputs!G145+Inputs!I145+Inputs!L145</f>
        <v>14633</v>
      </c>
      <c r="H124" s="137">
        <v>0</v>
      </c>
      <c r="I124" s="44">
        <f t="shared" si="12"/>
        <v>28987557.674290776</v>
      </c>
      <c r="J124" s="27">
        <f t="shared" si="16"/>
        <v>718296.67429077625</v>
      </c>
      <c r="K124" s="36">
        <f t="shared" si="17"/>
        <v>2.5409106884356696E-2</v>
      </c>
      <c r="L124" s="10">
        <f t="shared" si="11"/>
        <v>2.5409106884356696E-2</v>
      </c>
      <c r="M124" s="135">
        <f t="shared" si="13"/>
        <v>515950112297.18951</v>
      </c>
      <c r="N124" s="135">
        <f t="shared" si="14"/>
        <v>641076.76789109409</v>
      </c>
      <c r="O124" s="135">
        <f t="shared" si="15"/>
        <v>410979422329.69171</v>
      </c>
      <c r="P124"/>
    </row>
    <row r="125" spans="1:16" x14ac:dyDescent="0.2">
      <c r="A125" s="43">
        <v>45382</v>
      </c>
      <c r="B125" s="44">
        <f>Inputs!D146</f>
        <v>28028742</v>
      </c>
      <c r="C125" s="44">
        <v>545.1</v>
      </c>
      <c r="D125" s="99">
        <v>31</v>
      </c>
      <c r="E125" s="109">
        <v>1</v>
      </c>
      <c r="F125" s="130">
        <v>0</v>
      </c>
      <c r="G125" s="137">
        <f>Inputs!G146+Inputs!I146+Inputs!L146</f>
        <v>14633</v>
      </c>
      <c r="H125" s="137">
        <v>0</v>
      </c>
      <c r="I125" s="44">
        <f t="shared" si="12"/>
        <v>27900705.014520541</v>
      </c>
      <c r="J125" s="27">
        <f t="shared" si="16"/>
        <v>-128036.98547945917</v>
      </c>
      <c r="K125" s="36">
        <f t="shared" si="17"/>
        <v>-4.5680603674420764E-3</v>
      </c>
      <c r="L125" s="10">
        <f t="shared" si="11"/>
        <v>4.5680603674420764E-3</v>
      </c>
      <c r="M125" s="135">
        <f t="shared" si="13"/>
        <v>16393469650.667238</v>
      </c>
      <c r="N125" s="135">
        <f t="shared" si="14"/>
        <v>-846333.65977023542</v>
      </c>
      <c r="O125" s="135">
        <f t="shared" si="15"/>
        <v>716280663660.08057</v>
      </c>
      <c r="P125"/>
    </row>
    <row r="126" spans="1:16" x14ac:dyDescent="0.2">
      <c r="A126" s="43">
        <v>45412</v>
      </c>
      <c r="B126" s="44">
        <f>Inputs!D147</f>
        <v>24581293</v>
      </c>
      <c r="C126" s="44">
        <v>371.3</v>
      </c>
      <c r="D126" s="99">
        <v>30</v>
      </c>
      <c r="E126" s="109">
        <v>1</v>
      </c>
      <c r="F126" s="130">
        <v>0</v>
      </c>
      <c r="G126" s="137">
        <f>Inputs!G147+Inputs!I147+Inputs!L147</f>
        <v>14658</v>
      </c>
      <c r="H126" s="137">
        <v>0</v>
      </c>
      <c r="I126" s="44">
        <f t="shared" si="12"/>
        <v>25265833.251967136</v>
      </c>
      <c r="J126" s="27">
        <f t="shared" si="16"/>
        <v>684540.25196713582</v>
      </c>
      <c r="K126" s="36">
        <f t="shared" si="17"/>
        <v>2.7848016455730616E-2</v>
      </c>
      <c r="L126" s="10">
        <f t="shared" si="11"/>
        <v>2.7848016455730616E-2</v>
      </c>
      <c r="M126" s="135">
        <f t="shared" si="13"/>
        <v>468595356563.2298</v>
      </c>
      <c r="N126" s="135">
        <f t="shared" si="14"/>
        <v>812577.23744659498</v>
      </c>
      <c r="O126" s="135">
        <f t="shared" si="15"/>
        <v>660281766816.33997</v>
      </c>
      <c r="P126"/>
    </row>
    <row r="127" spans="1:16" x14ac:dyDescent="0.2">
      <c r="A127" s="43">
        <v>45443</v>
      </c>
      <c r="B127" s="44">
        <f>Inputs!D148</f>
        <v>23038858</v>
      </c>
      <c r="C127" s="44">
        <v>145.59999999999997</v>
      </c>
      <c r="D127" s="99">
        <v>31</v>
      </c>
      <c r="E127" s="109">
        <v>1</v>
      </c>
      <c r="F127" s="130">
        <v>0</v>
      </c>
      <c r="G127" s="137">
        <f>Inputs!G148+Inputs!I148+Inputs!L148</f>
        <v>14670</v>
      </c>
      <c r="H127" s="137">
        <v>0</v>
      </c>
      <c r="I127" s="44">
        <f t="shared" si="12"/>
        <v>23085439.723462608</v>
      </c>
      <c r="J127" s="27">
        <f t="shared" si="16"/>
        <v>46581.723462607712</v>
      </c>
      <c r="K127" s="36">
        <f t="shared" si="17"/>
        <v>2.0218764082233463E-3</v>
      </c>
      <c r="L127" s="10">
        <f t="shared" si="11"/>
        <v>2.0218764082233463E-3</v>
      </c>
      <c r="M127" s="135">
        <f t="shared" si="13"/>
        <v>2169856960.7468576</v>
      </c>
      <c r="N127" s="135">
        <f t="shared" si="14"/>
        <v>-637958.52850452811</v>
      </c>
      <c r="O127" s="135">
        <f t="shared" si="15"/>
        <v>406991084091.66278</v>
      </c>
      <c r="P127"/>
    </row>
    <row r="128" spans="1:16" x14ac:dyDescent="0.2">
      <c r="A128" s="43">
        <v>45473</v>
      </c>
      <c r="B128" s="44">
        <f>Inputs!D149</f>
        <v>23532824</v>
      </c>
      <c r="C128" s="44">
        <v>67.2</v>
      </c>
      <c r="D128" s="99">
        <v>30</v>
      </c>
      <c r="E128" s="109">
        <v>0</v>
      </c>
      <c r="F128" s="130">
        <v>0</v>
      </c>
      <c r="G128" s="137">
        <f>Inputs!G149+Inputs!I149+Inputs!L149</f>
        <v>14675</v>
      </c>
      <c r="H128" s="137">
        <v>0</v>
      </c>
      <c r="I128" s="44">
        <f t="shared" si="12"/>
        <v>22649135.529233433</v>
      </c>
      <c r="J128" s="27">
        <f t="shared" si="16"/>
        <v>-883688.47076656669</v>
      </c>
      <c r="K128" s="36">
        <f t="shared" si="17"/>
        <v>-3.7551314315976983E-2</v>
      </c>
      <c r="L128" s="10">
        <f t="shared" si="11"/>
        <v>3.7551314315976983E-2</v>
      </c>
      <c r="M128" s="135">
        <f t="shared" si="13"/>
        <v>780905313365.75317</v>
      </c>
      <c r="N128" s="135">
        <f t="shared" si="14"/>
        <v>-930270.19422917441</v>
      </c>
      <c r="O128" s="135">
        <f t="shared" si="15"/>
        <v>865402634271.18591</v>
      </c>
      <c r="P128"/>
    </row>
    <row r="129" spans="1:16" x14ac:dyDescent="0.2">
      <c r="A129" s="43">
        <v>45504</v>
      </c>
      <c r="B129" s="44">
        <f>Inputs!D150</f>
        <v>26577704</v>
      </c>
      <c r="C129" s="44">
        <v>19.599999999999998</v>
      </c>
      <c r="D129" s="99">
        <v>31</v>
      </c>
      <c r="E129" s="109">
        <v>0</v>
      </c>
      <c r="F129" s="130">
        <v>1</v>
      </c>
      <c r="G129" s="137">
        <f>Inputs!G150+Inputs!I150+Inputs!L150</f>
        <v>14668</v>
      </c>
      <c r="H129" s="137">
        <v>0</v>
      </c>
      <c r="I129" s="44">
        <f t="shared" si="12"/>
        <v>25537641.997225665</v>
      </c>
      <c r="J129" s="27">
        <f t="shared" si="16"/>
        <v>-1040062.0027743354</v>
      </c>
      <c r="K129" s="36">
        <f t="shared" si="17"/>
        <v>-3.9132876292637446E-2</v>
      </c>
      <c r="L129" s="10">
        <f t="shared" si="11"/>
        <v>3.9132876292637446E-2</v>
      </c>
      <c r="M129" s="135">
        <f t="shared" si="13"/>
        <v>1081728969614.9618</v>
      </c>
      <c r="N129" s="135">
        <f t="shared" si="14"/>
        <v>-156373.53200776875</v>
      </c>
      <c r="O129" s="135">
        <f t="shared" si="15"/>
        <v>24452681512.584679</v>
      </c>
      <c r="P129"/>
    </row>
    <row r="130" spans="1:16" x14ac:dyDescent="0.2">
      <c r="A130" s="43">
        <v>45535</v>
      </c>
      <c r="B130" s="44">
        <f>Inputs!D151</f>
        <v>26337062</v>
      </c>
      <c r="C130" s="44">
        <v>37.600000000000009</v>
      </c>
      <c r="D130" s="99">
        <v>31</v>
      </c>
      <c r="E130" s="109">
        <v>0</v>
      </c>
      <c r="F130" s="130">
        <v>1</v>
      </c>
      <c r="G130" s="137">
        <f>Inputs!G151+Inputs!I151+Inputs!L151</f>
        <v>14710</v>
      </c>
      <c r="H130" s="137">
        <v>0</v>
      </c>
      <c r="I130" s="44">
        <f t="shared" si="12"/>
        <v>25801452.662004281</v>
      </c>
      <c r="J130" s="27">
        <f t="shared" si="16"/>
        <v>-535609.33799571916</v>
      </c>
      <c r="K130" s="36">
        <f t="shared" si="17"/>
        <v>-2.0336715537812043E-2</v>
      </c>
      <c r="L130" s="10">
        <f t="shared" si="11"/>
        <v>2.0336715537812043E-2</v>
      </c>
      <c r="M130" s="135">
        <f t="shared" si="13"/>
        <v>286877362948.21252</v>
      </c>
      <c r="N130" s="135">
        <f t="shared" si="14"/>
        <v>504452.66477861628</v>
      </c>
      <c r="O130" s="135">
        <f t="shared" si="15"/>
        <v>254472491002.24701</v>
      </c>
      <c r="P130"/>
    </row>
    <row r="131" spans="1:16" x14ac:dyDescent="0.2">
      <c r="A131" s="43">
        <v>45565</v>
      </c>
      <c r="B131" s="44">
        <f>Inputs!D152</f>
        <v>23770050</v>
      </c>
      <c r="C131" s="44">
        <v>70.000000000000014</v>
      </c>
      <c r="D131" s="99">
        <v>30</v>
      </c>
      <c r="E131" s="109">
        <v>0</v>
      </c>
      <c r="F131" s="130">
        <v>0</v>
      </c>
      <c r="G131" s="137">
        <f>Inputs!G152+Inputs!I152+Inputs!L152</f>
        <v>14736</v>
      </c>
      <c r="H131" s="137">
        <v>0</v>
      </c>
      <c r="I131" s="44">
        <f t="shared" si="12"/>
        <v>22748612.668175269</v>
      </c>
      <c r="J131" s="27">
        <f t="shared" si="16"/>
        <v>-1021437.3318247311</v>
      </c>
      <c r="K131" s="36">
        <f t="shared" si="17"/>
        <v>-4.2971610569802379E-2</v>
      </c>
      <c r="L131" s="10">
        <f t="shared" ref="L131:L134" si="18">ABS(K131)</f>
        <v>4.2971610569802379E-2</v>
      </c>
      <c r="M131" s="135">
        <f t="shared" si="13"/>
        <v>1043334222845.2258</v>
      </c>
      <c r="N131" s="135">
        <f t="shared" si="14"/>
        <v>-485827.99382901192</v>
      </c>
      <c r="O131" s="135">
        <f t="shared" si="15"/>
        <v>236028839587.92245</v>
      </c>
      <c r="P131"/>
    </row>
    <row r="132" spans="1:16" x14ac:dyDescent="0.2">
      <c r="A132" s="43">
        <v>45596</v>
      </c>
      <c r="B132" s="44">
        <f>Inputs!D153</f>
        <v>24811935</v>
      </c>
      <c r="C132" s="44">
        <v>308.99999999999989</v>
      </c>
      <c r="D132" s="99">
        <v>31</v>
      </c>
      <c r="E132" s="109">
        <v>1</v>
      </c>
      <c r="F132" s="130">
        <v>0</v>
      </c>
      <c r="G132" s="137">
        <f>Inputs!G153+Inputs!I153+Inputs!L153</f>
        <v>14744</v>
      </c>
      <c r="H132" s="137">
        <v>0</v>
      </c>
      <c r="I132" s="44">
        <f t="shared" ref="I132:I146" si="19">$R$18+$R$19*C132+$R$20*D132+$R$21*E132+$R$22*F132+$R$23*G132+$R$24*H132</f>
        <v>25150573.026515171</v>
      </c>
      <c r="J132" s="27">
        <f t="shared" si="16"/>
        <v>338638.02651517093</v>
      </c>
      <c r="K132" s="36">
        <f t="shared" si="17"/>
        <v>1.3648190941785513E-2</v>
      </c>
      <c r="L132" s="10">
        <f t="shared" si="18"/>
        <v>1.3648190941785513E-2</v>
      </c>
      <c r="M132" s="135">
        <f t="shared" ref="M132:M134" si="20">J132*J132</f>
        <v>114675713002.08961</v>
      </c>
      <c r="N132" s="135">
        <f t="shared" si="14"/>
        <v>1360075.358339902</v>
      </c>
      <c r="O132" s="135">
        <f t="shared" si="15"/>
        <v>1849804980363.4128</v>
      </c>
      <c r="P132"/>
    </row>
    <row r="133" spans="1:16" x14ac:dyDescent="0.2">
      <c r="A133" s="43">
        <v>45626</v>
      </c>
      <c r="B133" s="44">
        <f>Inputs!D154</f>
        <v>26163462</v>
      </c>
      <c r="C133" s="44">
        <v>449.7</v>
      </c>
      <c r="D133" s="99">
        <v>30</v>
      </c>
      <c r="E133" s="109">
        <v>1</v>
      </c>
      <c r="F133" s="130">
        <v>0</v>
      </c>
      <c r="G133" s="137">
        <f>Inputs!G154+Inputs!I154+Inputs!L154</f>
        <v>14771</v>
      </c>
      <c r="H133" s="137">
        <v>0</v>
      </c>
      <c r="I133" s="44">
        <f t="shared" si="19"/>
        <v>26339840.398439303</v>
      </c>
      <c r="J133" s="27">
        <f t="shared" si="16"/>
        <v>176378.39843930304</v>
      </c>
      <c r="K133" s="36">
        <f t="shared" si="17"/>
        <v>6.7414013649762039E-3</v>
      </c>
      <c r="L133" s="10">
        <f t="shared" si="18"/>
        <v>6.7414013649762039E-3</v>
      </c>
      <c r="M133" s="135">
        <f t="shared" si="20"/>
        <v>31109339436.013538</v>
      </c>
      <c r="N133" s="135">
        <f t="shared" ref="N133:N134" si="21">J133-J132</f>
        <v>-162259.62807586789</v>
      </c>
      <c r="O133" s="135">
        <f t="shared" ref="O133:O134" si="22">N133*N133</f>
        <v>26328186903.318977</v>
      </c>
      <c r="P133"/>
    </row>
    <row r="134" spans="1:16" x14ac:dyDescent="0.2">
      <c r="A134" s="43">
        <v>45657</v>
      </c>
      <c r="B134" s="44">
        <f>Inputs!D155</f>
        <v>31129577</v>
      </c>
      <c r="C134" s="44">
        <v>694.5</v>
      </c>
      <c r="D134" s="99">
        <v>31</v>
      </c>
      <c r="E134" s="109">
        <v>0</v>
      </c>
      <c r="F134" s="130">
        <v>0</v>
      </c>
      <c r="G134" s="137">
        <f>Inputs!G155+Inputs!I155+Inputs!L155</f>
        <v>14773</v>
      </c>
      <c r="H134" s="137">
        <v>0</v>
      </c>
      <c r="I134" s="44">
        <f t="shared" si="19"/>
        <v>30927184.823759034</v>
      </c>
      <c r="J134" s="27">
        <f t="shared" si="16"/>
        <v>-202392.17624096572</v>
      </c>
      <c r="K134" s="36">
        <f t="shared" si="17"/>
        <v>-6.50160380402746E-3</v>
      </c>
      <c r="L134" s="10">
        <f t="shared" si="18"/>
        <v>6.50160380402746E-3</v>
      </c>
      <c r="M134" s="135">
        <f t="shared" si="20"/>
        <v>40962593003.554131</v>
      </c>
      <c r="N134" s="135">
        <f t="shared" si="21"/>
        <v>-378770.57468026876</v>
      </c>
      <c r="O134" s="135">
        <f t="shared" si="22"/>
        <v>143467148243.62106</v>
      </c>
      <c r="P134"/>
    </row>
    <row r="135" spans="1:16" x14ac:dyDescent="0.2">
      <c r="A135" s="43">
        <v>45688</v>
      </c>
      <c r="B135" s="44"/>
      <c r="C135" s="51">
        <f>(C3+C15+C27+C39+C51+C63+C75+C87+C99+C111+C123)/11</f>
        <v>834.24545454545466</v>
      </c>
      <c r="D135" s="99">
        <v>31</v>
      </c>
      <c r="E135" s="109">
        <v>0</v>
      </c>
      <c r="F135" s="130">
        <v>0</v>
      </c>
      <c r="G135" s="137">
        <f>'Rate Class Customer Model'!O4</f>
        <v>14774.001235799718</v>
      </c>
      <c r="H135" s="137">
        <v>0</v>
      </c>
      <c r="I135" s="44">
        <f t="shared" si="19"/>
        <v>32626529.947933227</v>
      </c>
      <c r="J135" s="27"/>
      <c r="K135" s="38" t="s">
        <v>51</v>
      </c>
      <c r="L135" s="4">
        <f>AVERAGE(L3:L134)</f>
        <v>2.7707161497747126E-2</v>
      </c>
      <c r="M135" s="5">
        <f>SUM(M3:M134)</f>
        <v>107217263732025.86</v>
      </c>
      <c r="N135" s="135"/>
      <c r="O135" s="5">
        <f>SUM(O3:O134)</f>
        <v>154271045859113.41</v>
      </c>
      <c r="P135"/>
    </row>
    <row r="136" spans="1:16" x14ac:dyDescent="0.2">
      <c r="A136" s="43">
        <v>45716</v>
      </c>
      <c r="B136" s="44"/>
      <c r="C136" s="51">
        <f t="shared" ref="C136:C146" si="23">(C4+C16+C28+C40+C52+C64+C76+C88+C100+C112+C124)/11</f>
        <v>763.4909090909091</v>
      </c>
      <c r="D136" s="99">
        <v>28</v>
      </c>
      <c r="E136" s="109">
        <v>0</v>
      </c>
      <c r="F136" s="130">
        <v>0</v>
      </c>
      <c r="G136" s="137">
        <f>'Rate Class Customer Model'!O5</f>
        <v>14792.258942365021</v>
      </c>
      <c r="H136" s="137">
        <v>0</v>
      </c>
      <c r="I136" s="44">
        <f t="shared" si="19"/>
        <v>30137547.82694909</v>
      </c>
      <c r="J136" s="27"/>
      <c r="K136"/>
      <c r="L136"/>
      <c r="M136"/>
      <c r="N136" s="135"/>
      <c r="O136"/>
      <c r="P136"/>
    </row>
    <row r="137" spans="1:16" x14ac:dyDescent="0.2">
      <c r="A137" s="43">
        <v>45747</v>
      </c>
      <c r="B137" s="44"/>
      <c r="C137" s="51">
        <f t="shared" si="23"/>
        <v>663.67272727272734</v>
      </c>
      <c r="D137" s="99">
        <v>31</v>
      </c>
      <c r="E137" s="109">
        <v>1</v>
      </c>
      <c r="F137" s="130">
        <v>0</v>
      </c>
      <c r="G137" s="137">
        <f>'Rate Class Customer Model'!O6</f>
        <v>14810.539211798952</v>
      </c>
      <c r="H137" s="137">
        <v>0</v>
      </c>
      <c r="I137" s="44">
        <f t="shared" si="19"/>
        <v>29532162.561014451</v>
      </c>
      <c r="J137" s="27"/>
      <c r="K137"/>
      <c r="L137"/>
      <c r="M137"/>
      <c r="N137" s="135"/>
      <c r="O137"/>
      <c r="P137"/>
    </row>
    <row r="138" spans="1:16" x14ac:dyDescent="0.2">
      <c r="A138" s="43">
        <v>45777</v>
      </c>
      <c r="B138" s="44"/>
      <c r="C138" s="51">
        <f t="shared" si="23"/>
        <v>423.24545454545455</v>
      </c>
      <c r="D138" s="99">
        <v>30</v>
      </c>
      <c r="E138" s="109">
        <v>1</v>
      </c>
      <c r="F138" s="130">
        <v>0</v>
      </c>
      <c r="G138" s="137">
        <f>'Rate Class Customer Model'!O7</f>
        <v>14828.8420719847</v>
      </c>
      <c r="H138" s="137">
        <v>0</v>
      </c>
      <c r="I138" s="44">
        <f t="shared" si="19"/>
        <v>26080410.404379029</v>
      </c>
      <c r="J138" s="27"/>
      <c r="K138"/>
      <c r="L138"/>
      <c r="M138"/>
      <c r="N138" s="135"/>
      <c r="O138"/>
      <c r="P138"/>
    </row>
    <row r="139" spans="1:16" x14ac:dyDescent="0.2">
      <c r="A139" s="43">
        <v>45808</v>
      </c>
      <c r="B139" s="44"/>
      <c r="C139" s="51">
        <f t="shared" si="23"/>
        <v>211.25454545454542</v>
      </c>
      <c r="D139" s="99">
        <v>31</v>
      </c>
      <c r="E139" s="109">
        <v>1</v>
      </c>
      <c r="F139" s="130">
        <v>0</v>
      </c>
      <c r="G139" s="137">
        <f>'Rate Class Customer Model'!O8</f>
        <v>14847.167550839909</v>
      </c>
      <c r="H139" s="137">
        <v>0</v>
      </c>
      <c r="I139" s="44">
        <f t="shared" si="19"/>
        <v>24073404.910090193</v>
      </c>
      <c r="J139" s="27"/>
      <c r="K139"/>
      <c r="L139"/>
      <c r="M139"/>
      <c r="N139" s="135"/>
      <c r="O139"/>
      <c r="P139"/>
    </row>
    <row r="140" spans="1:16" x14ac:dyDescent="0.2">
      <c r="A140" s="43">
        <v>45838</v>
      </c>
      <c r="B140" s="44"/>
      <c r="C140" s="51">
        <f t="shared" si="23"/>
        <v>79.27272727272728</v>
      </c>
      <c r="D140" s="99">
        <v>30</v>
      </c>
      <c r="E140" s="109">
        <v>0</v>
      </c>
      <c r="F140" s="130">
        <v>0</v>
      </c>
      <c r="G140" s="137">
        <f>'Rate Class Customer Model'!O9</f>
        <v>14865.515676316727</v>
      </c>
      <c r="H140" s="137">
        <v>0</v>
      </c>
      <c r="I140" s="44">
        <f t="shared" si="19"/>
        <v>23000264.070887029</v>
      </c>
      <c r="J140" s="27"/>
      <c r="K140"/>
      <c r="L140"/>
      <c r="M140"/>
      <c r="N140" s="135"/>
      <c r="O140"/>
      <c r="P140"/>
    </row>
    <row r="141" spans="1:16" x14ac:dyDescent="0.2">
      <c r="A141" s="43">
        <v>45869</v>
      </c>
      <c r="B141" s="44"/>
      <c r="C141" s="51">
        <f t="shared" si="23"/>
        <v>27.636363636363637</v>
      </c>
      <c r="D141" s="99">
        <v>31</v>
      </c>
      <c r="E141" s="109">
        <v>0</v>
      </c>
      <c r="F141" s="130">
        <v>1</v>
      </c>
      <c r="G141" s="137">
        <f>'Rate Class Customer Model'!O10</f>
        <v>14883.88647640184</v>
      </c>
      <c r="H141" s="137">
        <v>0</v>
      </c>
      <c r="I141" s="44">
        <f t="shared" si="19"/>
        <v>25866939.779340193</v>
      </c>
      <c r="J141" s="27"/>
      <c r="K141"/>
      <c r="L141"/>
      <c r="M141"/>
      <c r="N141" s="135"/>
      <c r="O141"/>
      <c r="P141"/>
    </row>
    <row r="142" spans="1:16" x14ac:dyDescent="0.2">
      <c r="A142" s="43">
        <v>45900</v>
      </c>
      <c r="B142" s="44"/>
      <c r="C142" s="51">
        <f t="shared" si="23"/>
        <v>40.327272727272721</v>
      </c>
      <c r="D142" s="99">
        <v>31</v>
      </c>
      <c r="E142" s="109">
        <v>0</v>
      </c>
      <c r="F142" s="130">
        <v>1</v>
      </c>
      <c r="G142" s="137">
        <f>'Rate Class Customer Model'!O11</f>
        <v>14902.279979116522</v>
      </c>
      <c r="H142" s="137">
        <v>0</v>
      </c>
      <c r="I142" s="44">
        <f t="shared" si="19"/>
        <v>26040902.62269019</v>
      </c>
      <c r="J142" s="27"/>
      <c r="K142"/>
      <c r="L142"/>
      <c r="M142"/>
      <c r="N142" s="135"/>
      <c r="O142"/>
      <c r="P142"/>
    </row>
    <row r="143" spans="1:16" x14ac:dyDescent="0.2">
      <c r="A143" s="43">
        <v>45930</v>
      </c>
      <c r="B143" s="44"/>
      <c r="C143" s="51">
        <f t="shared" si="23"/>
        <v>123.35454545454546</v>
      </c>
      <c r="D143" s="99">
        <v>30</v>
      </c>
      <c r="E143" s="109">
        <v>0</v>
      </c>
      <c r="F143" s="130">
        <v>0</v>
      </c>
      <c r="G143" s="137">
        <f>'Rate Class Customer Model'!O12</f>
        <v>14920.696212516677</v>
      </c>
      <c r="H143" s="137">
        <v>0</v>
      </c>
      <c r="I143" s="44">
        <f t="shared" si="19"/>
        <v>23595178.719493579</v>
      </c>
      <c r="J143" s="27"/>
      <c r="K143"/>
      <c r="L143"/>
      <c r="M143"/>
      <c r="N143" s="135"/>
      <c r="O143"/>
      <c r="P143"/>
    </row>
    <row r="144" spans="1:16" x14ac:dyDescent="0.2">
      <c r="A144" s="43">
        <v>45961</v>
      </c>
      <c r="B144" s="44"/>
      <c r="C144" s="51">
        <f t="shared" si="23"/>
        <v>312.07272727272726</v>
      </c>
      <c r="D144" s="99">
        <v>31</v>
      </c>
      <c r="E144" s="109">
        <v>1</v>
      </c>
      <c r="F144" s="130">
        <v>0</v>
      </c>
      <c r="G144" s="137">
        <f>'Rate Class Customer Model'!O13</f>
        <v>14939.135204692881</v>
      </c>
      <c r="H144" s="137">
        <v>0</v>
      </c>
      <c r="I144" s="44">
        <f t="shared" si="19"/>
        <v>25397284.668496665</v>
      </c>
      <c r="J144" s="27"/>
      <c r="K144"/>
      <c r="L144"/>
      <c r="M144"/>
      <c r="N144" s="135"/>
      <c r="O144"/>
      <c r="P144"/>
    </row>
    <row r="145" spans="1:16" x14ac:dyDescent="0.2">
      <c r="A145" s="43">
        <v>45991</v>
      </c>
      <c r="B145" s="44"/>
      <c r="C145" s="51">
        <f t="shared" si="23"/>
        <v>496.43636363636364</v>
      </c>
      <c r="D145" s="99">
        <v>30</v>
      </c>
      <c r="E145" s="109">
        <v>1</v>
      </c>
      <c r="F145" s="130">
        <v>0</v>
      </c>
      <c r="G145" s="137">
        <f>'Rate Class Customer Model'!O14</f>
        <v>14957.596983770422</v>
      </c>
      <c r="H145" s="137">
        <v>0</v>
      </c>
      <c r="I145" s="44">
        <f t="shared" si="19"/>
        <v>27108017.751610741</v>
      </c>
      <c r="J145" s="27"/>
      <c r="N145" s="135"/>
      <c r="P145"/>
    </row>
    <row r="146" spans="1:16" x14ac:dyDescent="0.2">
      <c r="A146" s="43">
        <v>46022</v>
      </c>
      <c r="B146" s="44"/>
      <c r="C146" s="51">
        <f t="shared" si="23"/>
        <v>679.73636363636365</v>
      </c>
      <c r="D146" s="99">
        <v>31</v>
      </c>
      <c r="E146" s="109">
        <v>0</v>
      </c>
      <c r="F146" s="130">
        <v>0</v>
      </c>
      <c r="G146" s="137">
        <f>'Rate Class Customer Model'!O15</f>
        <v>14976.081577909345</v>
      </c>
      <c r="H146" s="137">
        <v>0</v>
      </c>
      <c r="I146" s="44">
        <f t="shared" si="19"/>
        <v>30965664.291180078</v>
      </c>
      <c r="J146" s="27"/>
      <c r="N146" s="135"/>
      <c r="P146"/>
    </row>
    <row r="147" spans="1:16" x14ac:dyDescent="0.2">
      <c r="A147" s="28"/>
      <c r="D147" s="8"/>
      <c r="E147" s="53"/>
      <c r="P147"/>
    </row>
    <row r="148" spans="1:16" x14ac:dyDescent="0.2">
      <c r="A148" s="28"/>
      <c r="D148" s="8"/>
      <c r="E148" s="53"/>
      <c r="P148"/>
    </row>
    <row r="149" spans="1:16" x14ac:dyDescent="0.2">
      <c r="A149" s="28"/>
      <c r="C149" s="101" t="s">
        <v>123</v>
      </c>
      <c r="D149" s="8"/>
      <c r="E149" s="53"/>
      <c r="P149"/>
    </row>
    <row r="150" spans="1:16" x14ac:dyDescent="0.2">
      <c r="A150" s="28"/>
      <c r="C150" s="102" t="s">
        <v>89</v>
      </c>
      <c r="D150" s="8"/>
      <c r="E150" s="53"/>
      <c r="I150" s="27">
        <f>SUM(I2:I146)</f>
        <v>3740717463.0240636</v>
      </c>
      <c r="P150"/>
    </row>
    <row r="151" spans="1:16" x14ac:dyDescent="0.2">
      <c r="A151" s="28"/>
      <c r="D151" s="8"/>
      <c r="E151" s="53"/>
      <c r="P151"/>
    </row>
    <row r="152" spans="1:16" x14ac:dyDescent="0.2">
      <c r="A152" s="22">
        <v>2014</v>
      </c>
      <c r="B152" s="5">
        <f>SUM(B3:B14)</f>
        <v>319149657</v>
      </c>
      <c r="I152" s="5">
        <f>SUM(I3:I14)</f>
        <v>309053650.44764197</v>
      </c>
      <c r="J152"/>
      <c r="K152"/>
      <c r="L152" s="4"/>
      <c r="M152" s="4"/>
      <c r="N152" s="4"/>
      <c r="O152" s="4"/>
      <c r="P152"/>
    </row>
    <row r="153" spans="1:16" x14ac:dyDescent="0.2">
      <c r="A153" s="22">
        <v>2015</v>
      </c>
      <c r="B153" s="5">
        <f>SUM(B15:B26)</f>
        <v>308961454</v>
      </c>
      <c r="G153" s="36"/>
      <c r="H153" s="36"/>
      <c r="I153" s="5">
        <f>SUM(I15:I26)</f>
        <v>306881369.40230405</v>
      </c>
      <c r="J153"/>
      <c r="K153"/>
      <c r="L153" s="4"/>
      <c r="M153" s="4"/>
      <c r="N153" s="4"/>
      <c r="O153" s="4"/>
      <c r="P153"/>
    </row>
    <row r="154" spans="1:16" x14ac:dyDescent="0.2">
      <c r="A154" s="22">
        <v>2016</v>
      </c>
      <c r="B154" s="5">
        <f>SUM(B27:B38)</f>
        <v>302232068</v>
      </c>
      <c r="G154" s="36"/>
      <c r="H154" s="36"/>
      <c r="I154" s="5">
        <f>SUM(I27:I38)</f>
        <v>303651713.3178646</v>
      </c>
      <c r="J154"/>
      <c r="K154"/>
      <c r="L154" s="4"/>
      <c r="M154" s="4"/>
      <c r="N154" s="4"/>
      <c r="O154" s="4"/>
      <c r="P154"/>
    </row>
    <row r="155" spans="1:16" x14ac:dyDescent="0.2">
      <c r="A155" s="22">
        <v>2017</v>
      </c>
      <c r="B155" s="5">
        <f>SUM(B39:B50)</f>
        <v>297287399</v>
      </c>
      <c r="G155" s="36"/>
      <c r="H155" s="36"/>
      <c r="I155" s="5">
        <f>SUM(I39:I50)</f>
        <v>304745921.78254604</v>
      </c>
      <c r="J155"/>
      <c r="K155"/>
      <c r="L155" s="4"/>
      <c r="M155" s="4"/>
      <c r="N155" s="4"/>
      <c r="O155" s="4"/>
      <c r="P155"/>
    </row>
    <row r="156" spans="1:16" x14ac:dyDescent="0.2">
      <c r="A156" s="22">
        <v>2018</v>
      </c>
      <c r="B156" s="5">
        <f>SUM(B51:B62)</f>
        <v>309247473</v>
      </c>
      <c r="G156" s="36"/>
      <c r="H156" s="36"/>
      <c r="I156" s="5">
        <f>SUM(I51:I62)</f>
        <v>310470786.39033937</v>
      </c>
      <c r="J156"/>
      <c r="K156"/>
      <c r="L156" s="4"/>
      <c r="M156" s="4"/>
      <c r="N156" s="4"/>
      <c r="O156" s="4"/>
      <c r="P156"/>
    </row>
    <row r="157" spans="1:16" x14ac:dyDescent="0.2">
      <c r="A157" s="22">
        <v>2019</v>
      </c>
      <c r="B157" s="5">
        <f>SUM(B63:B74)</f>
        <v>309952095.46999997</v>
      </c>
      <c r="G157" s="36"/>
      <c r="H157" s="36"/>
      <c r="I157" s="5">
        <f>SUM(I63:I74)</f>
        <v>315285936.05228049</v>
      </c>
      <c r="J157"/>
      <c r="K157"/>
      <c r="L157" s="4"/>
      <c r="M157" s="4"/>
      <c r="N157" s="4"/>
      <c r="O157" s="4"/>
      <c r="P157"/>
    </row>
    <row r="158" spans="1:16" x14ac:dyDescent="0.2">
      <c r="A158" s="22">
        <v>2020</v>
      </c>
      <c r="B158" s="5">
        <f>SUM(B75:B86)</f>
        <v>304387702</v>
      </c>
      <c r="G158" s="36"/>
      <c r="H158" s="36"/>
      <c r="I158" s="5">
        <f>SUM(I75:I86)</f>
        <v>307539315.59453505</v>
      </c>
      <c r="J158"/>
      <c r="K158"/>
      <c r="L158" s="4"/>
      <c r="M158" s="4"/>
      <c r="N158" s="4"/>
      <c r="O158" s="4"/>
      <c r="P158"/>
    </row>
    <row r="159" spans="1:16" x14ac:dyDescent="0.2">
      <c r="A159" s="22">
        <v>2021</v>
      </c>
      <c r="B159" s="5">
        <f>SUM(B87:B98)</f>
        <v>309941422</v>
      </c>
      <c r="G159" s="36"/>
      <c r="H159" s="36"/>
      <c r="I159" s="5">
        <f>SUM(I87:I98)</f>
        <v>310944826.79909241</v>
      </c>
      <c r="J159"/>
      <c r="K159"/>
      <c r="L159" s="4"/>
      <c r="M159" s="4"/>
      <c r="N159" s="4"/>
      <c r="O159" s="4"/>
      <c r="P159"/>
    </row>
    <row r="160" spans="1:16" x14ac:dyDescent="0.2">
      <c r="A160" s="22">
        <v>2022</v>
      </c>
      <c r="B160" s="5">
        <f>SUM(B99:B110)</f>
        <v>322673989</v>
      </c>
      <c r="G160" s="36"/>
      <c r="H160" s="36"/>
      <c r="I160" s="5">
        <f>SUM(I99:I110)</f>
        <v>317030636.12954813</v>
      </c>
      <c r="J160"/>
      <c r="K160"/>
      <c r="L160" s="4"/>
      <c r="M160" s="4"/>
      <c r="N160" s="4"/>
      <c r="O160" s="4"/>
      <c r="P160"/>
    </row>
    <row r="161" spans="1:18" x14ac:dyDescent="0.2">
      <c r="A161" s="22">
        <v>2023</v>
      </c>
      <c r="B161" s="5">
        <f>SUM(B111:B122)</f>
        <v>315137434</v>
      </c>
      <c r="G161" s="36"/>
      <c r="H161" s="36"/>
      <c r="I161" s="5">
        <f>SUM(I111:I122)</f>
        <v>315136108.87785494</v>
      </c>
      <c r="J161"/>
      <c r="K161"/>
      <c r="L161" s="4"/>
      <c r="M161" s="4"/>
      <c r="N161" s="4"/>
      <c r="O161" s="4"/>
      <c r="P161"/>
    </row>
    <row r="162" spans="1:18" x14ac:dyDescent="0.2">
      <c r="A162" s="22">
        <v>2024</v>
      </c>
      <c r="B162" s="5">
        <f>SUM(B123:B134)</f>
        <v>317322462</v>
      </c>
      <c r="G162" s="36"/>
      <c r="H162" s="36"/>
      <c r="I162" s="5">
        <f>SUM(I123:I134)</f>
        <v>315552890.67599291</v>
      </c>
      <c r="J162"/>
      <c r="K162"/>
      <c r="L162" s="4"/>
      <c r="M162" s="4"/>
      <c r="N162" s="4"/>
      <c r="O162" s="4"/>
      <c r="P162"/>
    </row>
    <row r="163" spans="1:18" x14ac:dyDescent="0.2">
      <c r="A163" s="22">
        <v>2025</v>
      </c>
      <c r="G163" s="36"/>
      <c r="H163" s="36"/>
      <c r="I163" s="13">
        <f>SUM(I135:I146)</f>
        <v>324424307.55406445</v>
      </c>
      <c r="J163" s="21"/>
      <c r="K163" s="4"/>
      <c r="L163" s="4"/>
      <c r="M163" s="4"/>
      <c r="N163" s="4"/>
      <c r="O163" s="4"/>
      <c r="P163"/>
      <c r="Q163" s="5"/>
      <c r="R163" s="31"/>
    </row>
    <row r="164" spans="1:18" x14ac:dyDescent="0.2">
      <c r="I164" s="5"/>
      <c r="P164"/>
      <c r="Q164" s="5"/>
      <c r="R164" s="31"/>
    </row>
    <row r="165" spans="1:18" x14ac:dyDescent="0.2">
      <c r="A165" s="37" t="s">
        <v>5</v>
      </c>
      <c r="B165" s="5">
        <f>SUM(B152:B162)</f>
        <v>3416293155.4700003</v>
      </c>
      <c r="I165" s="5">
        <f>SUM(I152:I162)</f>
        <v>3416293155.4699998</v>
      </c>
      <c r="J165" s="27">
        <f>I165-B165</f>
        <v>0</v>
      </c>
      <c r="K165" s="1" t="s">
        <v>64</v>
      </c>
      <c r="P165" s="4"/>
      <c r="Q165" s="5"/>
      <c r="R165" s="31"/>
    </row>
    <row r="166" spans="1:18" x14ac:dyDescent="0.2">
      <c r="P166" s="4"/>
      <c r="Q166" s="5"/>
      <c r="R166" s="31"/>
    </row>
    <row r="167" spans="1:18" x14ac:dyDescent="0.2">
      <c r="I167" s="5">
        <f>SUM(I152:I163)</f>
        <v>3740717463.0240641</v>
      </c>
      <c r="J167" s="27">
        <f>I150-I167</f>
        <v>0</v>
      </c>
      <c r="P167" s="4"/>
      <c r="Q167" s="5"/>
      <c r="R167" s="31"/>
    </row>
    <row r="168" spans="1:18" x14ac:dyDescent="0.2">
      <c r="I168" s="157"/>
      <c r="J168" s="157"/>
      <c r="K168"/>
      <c r="L168"/>
      <c r="M168"/>
      <c r="N168"/>
      <c r="O168"/>
      <c r="P168" s="4"/>
      <c r="Q168" s="5"/>
      <c r="R168" s="31"/>
    </row>
    <row r="169" spans="1:18" x14ac:dyDescent="0.2">
      <c r="P169" s="5"/>
      <c r="Q169" s="5"/>
      <c r="R169" s="31"/>
    </row>
    <row r="170" spans="1:18" x14ac:dyDescent="0.2">
      <c r="P170" s="5"/>
      <c r="Q170" s="5"/>
      <c r="R170" s="31"/>
    </row>
    <row r="171" spans="1:18" x14ac:dyDescent="0.2">
      <c r="A171"/>
      <c r="B171"/>
      <c r="C171"/>
      <c r="D171"/>
      <c r="F171"/>
      <c r="G171"/>
      <c r="H171"/>
      <c r="I171"/>
      <c r="J171"/>
    </row>
    <row r="172" spans="1:18" x14ac:dyDescent="0.2">
      <c r="A172"/>
      <c r="B172" t="s">
        <v>100</v>
      </c>
      <c r="C172"/>
      <c r="D172"/>
      <c r="F172"/>
      <c r="G172"/>
      <c r="H172"/>
      <c r="I172"/>
      <c r="J172"/>
    </row>
    <row r="173" spans="1:18" x14ac:dyDescent="0.2">
      <c r="A173"/>
      <c r="B173"/>
      <c r="C173"/>
      <c r="D173"/>
      <c r="F173"/>
      <c r="G173"/>
      <c r="H173"/>
      <c r="I173"/>
      <c r="J173"/>
    </row>
    <row r="174" spans="1:18" x14ac:dyDescent="0.2">
      <c r="A174"/>
      <c r="B174"/>
      <c r="C174"/>
      <c r="D174"/>
      <c r="F174"/>
      <c r="G174"/>
      <c r="H174"/>
      <c r="I174"/>
      <c r="J174"/>
    </row>
    <row r="175" spans="1:18" x14ac:dyDescent="0.2">
      <c r="A175"/>
      <c r="B175"/>
      <c r="C175"/>
      <c r="D175"/>
      <c r="F175"/>
      <c r="G175"/>
      <c r="H175"/>
      <c r="I175"/>
      <c r="J175"/>
    </row>
    <row r="176" spans="1:18" x14ac:dyDescent="0.2">
      <c r="A176"/>
      <c r="B176"/>
      <c r="C176"/>
      <c r="D176"/>
      <c r="F176"/>
      <c r="G176"/>
      <c r="H176" s="146"/>
      <c r="I176"/>
      <c r="J176"/>
    </row>
    <row r="177" spans="1:16" x14ac:dyDescent="0.2">
      <c r="A177"/>
      <c r="B177"/>
      <c r="C177"/>
      <c r="D177"/>
      <c r="F177"/>
      <c r="G177"/>
      <c r="H177"/>
      <c r="I177"/>
      <c r="J177"/>
    </row>
    <row r="178" spans="1:16" x14ac:dyDescent="0.2">
      <c r="A178"/>
      <c r="B178"/>
      <c r="C178"/>
      <c r="D178"/>
      <c r="F178"/>
      <c r="G178"/>
      <c r="H178"/>
      <c r="I178"/>
      <c r="J178"/>
    </row>
    <row r="179" spans="1:16" x14ac:dyDescent="0.2">
      <c r="A179"/>
      <c r="B179"/>
      <c r="C179"/>
      <c r="D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>
      <c r="E195" s="52"/>
    </row>
    <row r="196" spans="1:16" customFormat="1" x14ac:dyDescent="0.2">
      <c r="E196" s="52"/>
    </row>
  </sheetData>
  <mergeCells count="1">
    <mergeCell ref="I168:J168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B9FB-4E14-4F9A-B647-C0E5B94F6D81}">
  <sheetPr>
    <tabColor rgb="FF00B0F0"/>
    <pageSetUpPr fitToPage="1"/>
  </sheetPr>
  <dimension ref="A1:AD196"/>
  <sheetViews>
    <sheetView zoomScale="78" zoomScaleNormal="78" workbookViewId="0">
      <pane xSplit="1" ySplit="2" topLeftCell="B123" activePane="bottomRight" state="frozen"/>
      <selection pane="topRight" activeCell="C1" sqref="C1"/>
      <selection pane="bottomLeft" activeCell="A3" sqref="A3"/>
      <selection pane="bottomRight" activeCell="I152" sqref="I152"/>
    </sheetView>
  </sheetViews>
  <sheetFormatPr defaultRowHeight="12.75" x14ac:dyDescent="0.2"/>
  <cols>
    <col min="1" max="1" width="11.85546875" style="22" customWidth="1"/>
    <col min="2" max="2" width="16.85546875" style="5" customWidth="1"/>
    <col min="3" max="3" width="11.5703125" style="1" customWidth="1"/>
    <col min="4" max="4" width="10.140625" style="1" customWidth="1"/>
    <col min="5" max="5" width="10.28515625" style="52" customWidth="1"/>
    <col min="6" max="8" width="13" style="1" customWidth="1"/>
    <col min="9" max="9" width="15.5703125" style="1" bestFit="1" customWidth="1"/>
    <col min="10" max="10" width="16" style="1" customWidth="1"/>
    <col min="11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0.42578125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108" t="s">
        <v>59</v>
      </c>
      <c r="AA1" s="108"/>
      <c r="AB1" s="108"/>
      <c r="AC1" s="108"/>
      <c r="AD1" s="108"/>
    </row>
    <row r="2" spans="1:30" ht="38.25" x14ac:dyDescent="0.2">
      <c r="A2" s="103" t="s">
        <v>68</v>
      </c>
      <c r="B2" s="104" t="s">
        <v>50</v>
      </c>
      <c r="C2" s="105" t="s">
        <v>111</v>
      </c>
      <c r="D2" s="105" t="s">
        <v>90</v>
      </c>
      <c r="E2" s="106" t="s">
        <v>11</v>
      </c>
      <c r="F2" s="129" t="s">
        <v>110</v>
      </c>
      <c r="G2" s="129" t="s">
        <v>124</v>
      </c>
      <c r="H2" s="136" t="s">
        <v>125</v>
      </c>
      <c r="I2" s="105" t="s">
        <v>6</v>
      </c>
      <c r="J2" s="107" t="s">
        <v>112</v>
      </c>
      <c r="K2" s="105" t="s">
        <v>113</v>
      </c>
      <c r="L2" s="105" t="s">
        <v>114</v>
      </c>
      <c r="M2" s="125" t="s">
        <v>115</v>
      </c>
      <c r="N2" s="125" t="s">
        <v>116</v>
      </c>
      <c r="O2" s="125" t="s">
        <v>117</v>
      </c>
      <c r="P2"/>
      <c r="Q2" t="s">
        <v>12</v>
      </c>
      <c r="Z2" s="108" t="s">
        <v>60</v>
      </c>
      <c r="AA2" s="108"/>
      <c r="AB2" s="108"/>
      <c r="AC2" s="108"/>
      <c r="AD2" s="108"/>
    </row>
    <row r="3" spans="1:30" ht="13.5" thickBot="1" x14ac:dyDescent="0.25">
      <c r="A3" s="43">
        <v>41670</v>
      </c>
      <c r="B3" s="44">
        <f>Inputs!D24</f>
        <v>35005917</v>
      </c>
      <c r="C3" s="44">
        <f>'Power Purchased Model'!C135</f>
        <v>834.24545454545466</v>
      </c>
      <c r="D3" s="44">
        <v>31</v>
      </c>
      <c r="E3" s="109">
        <v>0</v>
      </c>
      <c r="F3" s="130">
        <v>0</v>
      </c>
      <c r="G3" s="137">
        <f>Inputs!G24+Inputs!I24+Inputs!L24</f>
        <v>13223</v>
      </c>
      <c r="H3" s="137">
        <v>0</v>
      </c>
      <c r="I3" s="44">
        <f>$R$18+$R$19*C3+$R$20*D3+$R$21*E3+$R$22*F3+$R$23*G3+$R$24*H3</f>
        <v>30962385.608950824</v>
      </c>
      <c r="J3" s="27">
        <f t="shared" ref="J3:J66" si="0">I3-B3</f>
        <v>-4043531.3910491765</v>
      </c>
      <c r="K3" s="36">
        <f t="shared" ref="K3:K66" si="1">J3/B3</f>
        <v>-0.11550994053517229</v>
      </c>
      <c r="L3" s="10">
        <f>ABS(K3)</f>
        <v>0.11550994053517229</v>
      </c>
      <c r="M3" s="135">
        <f>J3*J3</f>
        <v>16350146110400.088</v>
      </c>
      <c r="N3" s="10"/>
      <c r="O3" s="10"/>
      <c r="P3" s="10"/>
      <c r="Z3" s="108" t="s">
        <v>61</v>
      </c>
      <c r="AA3" s="108"/>
      <c r="AB3" s="108"/>
      <c r="AC3" s="108"/>
      <c r="AD3" s="108"/>
    </row>
    <row r="4" spans="1:30" x14ac:dyDescent="0.2">
      <c r="A4" s="43">
        <v>41698</v>
      </c>
      <c r="B4" s="44">
        <f>Inputs!D25</f>
        <v>30863808</v>
      </c>
      <c r="C4" s="44">
        <f>'Power Purchased Model'!C136</f>
        <v>763.4909090909091</v>
      </c>
      <c r="D4" s="44">
        <v>28</v>
      </c>
      <c r="E4" s="109">
        <v>0</v>
      </c>
      <c r="F4" s="130">
        <v>0</v>
      </c>
      <c r="G4" s="137">
        <f>Inputs!G25+Inputs!I25+Inputs!L25</f>
        <v>13219</v>
      </c>
      <c r="H4" s="137">
        <v>0</v>
      </c>
      <c r="I4" s="44">
        <f t="shared" ref="I4:I67" si="2">$R$18+$R$19*C4+$R$20*D4+$R$21*E4+$R$22*F4+$R$23*G4+$R$24*H4</f>
        <v>28449522.116679262</v>
      </c>
      <c r="J4" s="27">
        <f t="shared" si="0"/>
        <v>-2414285.8833207376</v>
      </c>
      <c r="K4" s="36">
        <f t="shared" si="1"/>
        <v>-7.8223849867156303E-2</v>
      </c>
      <c r="L4" s="10">
        <f t="shared" ref="L4:L67" si="3">ABS(K4)</f>
        <v>7.8223849867156303E-2</v>
      </c>
      <c r="M4" s="135">
        <f t="shared" ref="M4:M67" si="4">J4*J4</f>
        <v>5828776326401.7939</v>
      </c>
      <c r="N4" s="135">
        <f>J4-J3</f>
        <v>1629245.5077284388</v>
      </c>
      <c r="O4" s="135">
        <f>N4*N4</f>
        <v>2654440924453.2983</v>
      </c>
      <c r="P4" s="10"/>
      <c r="Q4" s="133" t="s">
        <v>13</v>
      </c>
      <c r="R4" s="133"/>
      <c r="Z4" s="108"/>
      <c r="AA4" s="108"/>
      <c r="AB4" s="108"/>
      <c r="AC4" s="108"/>
      <c r="AD4" s="108"/>
    </row>
    <row r="5" spans="1:30" x14ac:dyDescent="0.2">
      <c r="A5" s="43">
        <v>41729</v>
      </c>
      <c r="B5" s="44">
        <f>Inputs!D26</f>
        <v>32142987</v>
      </c>
      <c r="C5" s="44">
        <f>'Power Purchased Model'!C137</f>
        <v>663.67272727272734</v>
      </c>
      <c r="D5" s="44">
        <v>31</v>
      </c>
      <c r="E5" s="109">
        <v>1</v>
      </c>
      <c r="F5" s="130">
        <v>0</v>
      </c>
      <c r="G5" s="137">
        <f>Inputs!G26+Inputs!I26+Inputs!L26</f>
        <v>13219</v>
      </c>
      <c r="H5" s="137">
        <v>0</v>
      </c>
      <c r="I5" s="44">
        <f t="shared" si="2"/>
        <v>27824523.064377867</v>
      </c>
      <c r="J5" s="27">
        <f t="shared" si="0"/>
        <v>-4318463.9356221333</v>
      </c>
      <c r="K5" s="36">
        <f t="shared" si="1"/>
        <v>-0.13435166854972544</v>
      </c>
      <c r="L5" s="10">
        <f t="shared" si="3"/>
        <v>0.13435166854972544</v>
      </c>
      <c r="M5" s="135">
        <f t="shared" si="4"/>
        <v>18649130763269.004</v>
      </c>
      <c r="N5" s="135">
        <f t="shared" ref="N5:N68" si="5">J5-J4</f>
        <v>-1904178.0523013957</v>
      </c>
      <c r="O5" s="135">
        <f t="shared" ref="O5:O68" si="6">N5*N5</f>
        <v>3625894054866.3369</v>
      </c>
      <c r="P5" s="10"/>
      <c r="Q5" t="s">
        <v>14</v>
      </c>
      <c r="R5" s="40">
        <v>0.96046196215346324</v>
      </c>
      <c r="Z5" s="108" t="s">
        <v>58</v>
      </c>
      <c r="AA5" s="108"/>
      <c r="AB5" s="108"/>
      <c r="AC5" s="108"/>
      <c r="AD5" s="108"/>
    </row>
    <row r="6" spans="1:30" x14ac:dyDescent="0.2">
      <c r="A6" s="43">
        <v>41759</v>
      </c>
      <c r="B6" s="44">
        <f>Inputs!D27</f>
        <v>25688722</v>
      </c>
      <c r="C6" s="44">
        <f>'Power Purchased Model'!C138</f>
        <v>423.24545454545455</v>
      </c>
      <c r="D6" s="44">
        <v>30</v>
      </c>
      <c r="E6" s="109">
        <v>1</v>
      </c>
      <c r="F6" s="130">
        <v>0</v>
      </c>
      <c r="G6" s="137">
        <f>Inputs!G27+Inputs!I27+Inputs!L27</f>
        <v>13228</v>
      </c>
      <c r="H6" s="137">
        <v>0</v>
      </c>
      <c r="I6" s="44">
        <f t="shared" si="2"/>
        <v>24362789.418523014</v>
      </c>
      <c r="J6" s="27">
        <f t="shared" si="0"/>
        <v>-1325932.5814769864</v>
      </c>
      <c r="K6" s="36">
        <f t="shared" si="1"/>
        <v>-5.161535795657668E-2</v>
      </c>
      <c r="L6" s="10">
        <f t="shared" si="3"/>
        <v>5.161535795657668E-2</v>
      </c>
      <c r="M6" s="135">
        <f t="shared" si="4"/>
        <v>1758097210622.2251</v>
      </c>
      <c r="N6" s="135">
        <f t="shared" si="5"/>
        <v>2992531.3541451469</v>
      </c>
      <c r="O6" s="135">
        <f t="shared" si="6"/>
        <v>8955243905541.7871</v>
      </c>
      <c r="P6" s="10"/>
      <c r="Q6" t="s">
        <v>15</v>
      </c>
      <c r="R6" s="40">
        <v>0.92248718074368075</v>
      </c>
      <c r="Z6" s="108" t="s">
        <v>62</v>
      </c>
      <c r="AA6" s="108"/>
      <c r="AB6" s="108"/>
      <c r="AC6" s="108"/>
      <c r="AD6" s="108"/>
    </row>
    <row r="7" spans="1:30" x14ac:dyDescent="0.2">
      <c r="A7" s="43">
        <v>41790</v>
      </c>
      <c r="B7" s="44">
        <f>Inputs!D28</f>
        <v>22896808</v>
      </c>
      <c r="C7" s="44">
        <f>'Power Purchased Model'!C139</f>
        <v>211.25454545454542</v>
      </c>
      <c r="D7" s="44">
        <v>31</v>
      </c>
      <c r="E7" s="109">
        <v>1</v>
      </c>
      <c r="F7" s="130">
        <v>0</v>
      </c>
      <c r="G7" s="137">
        <f>Inputs!G28+Inputs!I28+Inputs!L28</f>
        <v>13222</v>
      </c>
      <c r="H7" s="137">
        <v>0</v>
      </c>
      <c r="I7" s="44">
        <f t="shared" si="2"/>
        <v>22329683.939917237</v>
      </c>
      <c r="J7" s="27">
        <f t="shared" si="0"/>
        <v>-567124.06008276343</v>
      </c>
      <c r="K7" s="36">
        <f t="shared" si="1"/>
        <v>-2.4768695273278418E-2</v>
      </c>
      <c r="L7" s="10">
        <f t="shared" si="3"/>
        <v>2.4768695273278418E-2</v>
      </c>
      <c r="M7" s="135">
        <f t="shared" si="4"/>
        <v>321629699524.75787</v>
      </c>
      <c r="N7" s="135">
        <f t="shared" si="5"/>
        <v>758808.52139422297</v>
      </c>
      <c r="O7" s="135">
        <f t="shared" si="6"/>
        <v>575790372140.48694</v>
      </c>
      <c r="P7" s="10"/>
      <c r="Q7" t="s">
        <v>16</v>
      </c>
      <c r="R7" s="40">
        <v>0.91876656541937751</v>
      </c>
      <c r="Z7" s="108"/>
      <c r="AA7" s="108"/>
      <c r="AB7" s="108"/>
      <c r="AC7" s="108"/>
      <c r="AD7" s="108"/>
    </row>
    <row r="8" spans="1:30" x14ac:dyDescent="0.2">
      <c r="A8" s="43">
        <v>41820</v>
      </c>
      <c r="B8" s="44">
        <f>Inputs!D29</f>
        <v>22467129</v>
      </c>
      <c r="C8" s="44">
        <f>'Power Purchased Model'!C140</f>
        <v>79.27272727272728</v>
      </c>
      <c r="D8" s="44">
        <v>30</v>
      </c>
      <c r="E8" s="109">
        <v>0</v>
      </c>
      <c r="F8" s="130">
        <v>0</v>
      </c>
      <c r="G8" s="137">
        <f>Inputs!G29+Inputs!I29+Inputs!L29</f>
        <v>13245</v>
      </c>
      <c r="H8" s="137">
        <v>0</v>
      </c>
      <c r="I8" s="44">
        <f t="shared" si="2"/>
        <v>21261534.32217459</v>
      </c>
      <c r="J8" s="27">
        <f t="shared" si="0"/>
        <v>-1205594.6778254099</v>
      </c>
      <c r="K8" s="36">
        <f t="shared" si="1"/>
        <v>-5.3660379918832081E-2</v>
      </c>
      <c r="L8" s="10">
        <f t="shared" si="3"/>
        <v>5.3660379918832081E-2</v>
      </c>
      <c r="M8" s="135">
        <f t="shared" si="4"/>
        <v>1453458527200.9539</v>
      </c>
      <c r="N8" s="135">
        <f t="shared" si="5"/>
        <v>-638470.61774264649</v>
      </c>
      <c r="O8" s="135">
        <f t="shared" si="6"/>
        <v>407644729720.67664</v>
      </c>
      <c r="P8" s="10"/>
      <c r="Q8" t="s">
        <v>17</v>
      </c>
      <c r="R8">
        <v>926141.51718633494</v>
      </c>
      <c r="Z8" s="108"/>
      <c r="AA8" s="108"/>
      <c r="AB8" s="108"/>
      <c r="AC8" s="108"/>
      <c r="AD8" s="108"/>
    </row>
    <row r="9" spans="1:30" ht="13.5" thickBot="1" x14ac:dyDescent="0.25">
      <c r="A9" s="43">
        <v>41851</v>
      </c>
      <c r="B9" s="44">
        <f>Inputs!D30</f>
        <v>23174494</v>
      </c>
      <c r="C9" s="44">
        <f>'Power Purchased Model'!C141</f>
        <v>27.636363636363637</v>
      </c>
      <c r="D9" s="44">
        <v>31</v>
      </c>
      <c r="E9" s="109">
        <v>0</v>
      </c>
      <c r="F9" s="130">
        <v>1</v>
      </c>
      <c r="G9" s="137">
        <f>Inputs!G30+Inputs!I30+Inputs!L30</f>
        <v>13246</v>
      </c>
      <c r="H9" s="137">
        <v>0</v>
      </c>
      <c r="I9" s="44">
        <f t="shared" si="2"/>
        <v>24109572.057969835</v>
      </c>
      <c r="J9" s="27">
        <f t="shared" si="0"/>
        <v>935078.05796983466</v>
      </c>
      <c r="K9" s="36">
        <f t="shared" si="1"/>
        <v>4.0349448750416496E-2</v>
      </c>
      <c r="L9" s="10">
        <f t="shared" si="3"/>
        <v>4.0349448750416496E-2</v>
      </c>
      <c r="M9" s="135">
        <f t="shared" si="4"/>
        <v>874370974496.63745</v>
      </c>
      <c r="N9" s="135">
        <f t="shared" si="5"/>
        <v>2140672.7357952446</v>
      </c>
      <c r="O9" s="135">
        <f t="shared" si="6"/>
        <v>4582479761777.0967</v>
      </c>
      <c r="P9" s="10"/>
      <c r="Q9" s="131" t="s">
        <v>18</v>
      </c>
      <c r="R9" s="131">
        <v>132</v>
      </c>
      <c r="Z9" s="108"/>
      <c r="AA9" s="108"/>
      <c r="AB9" s="108"/>
      <c r="AC9" s="108"/>
      <c r="AD9" s="108"/>
    </row>
    <row r="10" spans="1:30" x14ac:dyDescent="0.2">
      <c r="A10" s="43">
        <v>41882</v>
      </c>
      <c r="B10" s="44">
        <f>Inputs!D31</f>
        <v>23391322</v>
      </c>
      <c r="C10" s="44">
        <f>'Power Purchased Model'!C142</f>
        <v>40.327272727272721</v>
      </c>
      <c r="D10" s="44">
        <v>31</v>
      </c>
      <c r="E10" s="109">
        <v>0</v>
      </c>
      <c r="F10" s="130">
        <v>1</v>
      </c>
      <c r="G10" s="137">
        <f>Inputs!G31+Inputs!I31+Inputs!L31</f>
        <v>13249</v>
      </c>
      <c r="H10" s="137">
        <v>0</v>
      </c>
      <c r="I10" s="44">
        <f t="shared" si="2"/>
        <v>24267018.466768734</v>
      </c>
      <c r="J10" s="27">
        <f t="shared" si="0"/>
        <v>875696.46676873416</v>
      </c>
      <c r="K10" s="36">
        <f t="shared" si="1"/>
        <v>3.7436809547093323E-2</v>
      </c>
      <c r="L10" s="10">
        <f t="shared" si="3"/>
        <v>3.7436809547093323E-2</v>
      </c>
      <c r="M10" s="135">
        <f t="shared" si="4"/>
        <v>766844301911.24475</v>
      </c>
      <c r="N10" s="135">
        <f t="shared" si="5"/>
        <v>-59381.591201100498</v>
      </c>
      <c r="O10" s="135">
        <f t="shared" si="6"/>
        <v>3526173373.574616</v>
      </c>
      <c r="P10" s="10"/>
      <c r="Z10" s="108"/>
      <c r="AA10" s="108"/>
      <c r="AB10" s="108"/>
      <c r="AC10" s="108"/>
      <c r="AD10" s="108"/>
    </row>
    <row r="11" spans="1:30" ht="13.5" thickBot="1" x14ac:dyDescent="0.25">
      <c r="A11" s="43">
        <v>41912</v>
      </c>
      <c r="B11" s="44">
        <f>Inputs!D32</f>
        <v>22126761</v>
      </c>
      <c r="C11" s="44">
        <f>'Power Purchased Model'!C143</f>
        <v>123.35454545454546</v>
      </c>
      <c r="D11" s="44">
        <v>30</v>
      </c>
      <c r="E11" s="109">
        <v>0</v>
      </c>
      <c r="F11" s="130">
        <v>0</v>
      </c>
      <c r="G11" s="137">
        <f>Inputs!G32+Inputs!I32+Inputs!L32</f>
        <v>13253</v>
      </c>
      <c r="H11" s="137">
        <v>0</v>
      </c>
      <c r="I11" s="44">
        <f t="shared" si="2"/>
        <v>21805826.688596547</v>
      </c>
      <c r="J11" s="27">
        <f t="shared" si="0"/>
        <v>-320934.31140345335</v>
      </c>
      <c r="K11" s="36">
        <f t="shared" si="1"/>
        <v>-1.4504351152138958E-2</v>
      </c>
      <c r="L11" s="10">
        <f t="shared" si="3"/>
        <v>1.4504351152138958E-2</v>
      </c>
      <c r="M11" s="135">
        <f t="shared" si="4"/>
        <v>102998832236.00877</v>
      </c>
      <c r="N11" s="135">
        <f t="shared" si="5"/>
        <v>-1196630.7781721875</v>
      </c>
      <c r="O11" s="135">
        <f t="shared" si="6"/>
        <v>1431925219268.9751</v>
      </c>
      <c r="P11" s="10"/>
      <c r="Q11" t="s">
        <v>19</v>
      </c>
    </row>
    <row r="12" spans="1:30" x14ac:dyDescent="0.2">
      <c r="A12" s="43">
        <v>41943</v>
      </c>
      <c r="B12" s="44">
        <f>Inputs!D33</f>
        <v>23838442</v>
      </c>
      <c r="C12" s="44">
        <f>'Power Purchased Model'!C144</f>
        <v>312.07272727272726</v>
      </c>
      <c r="D12" s="44">
        <v>31</v>
      </c>
      <c r="E12" s="109">
        <v>1</v>
      </c>
      <c r="F12" s="130">
        <v>0</v>
      </c>
      <c r="G12" s="137">
        <f>Inputs!G33+Inputs!I33+Inputs!L33</f>
        <v>13272</v>
      </c>
      <c r="H12" s="137">
        <v>0</v>
      </c>
      <c r="I12" s="44">
        <f t="shared" si="2"/>
        <v>23608534.570062704</v>
      </c>
      <c r="J12" s="27">
        <f t="shared" si="0"/>
        <v>-229907.42993729562</v>
      </c>
      <c r="K12" s="36">
        <f t="shared" si="1"/>
        <v>-9.6443983183672668E-3</v>
      </c>
      <c r="L12" s="10">
        <f t="shared" si="3"/>
        <v>9.6443983183672668E-3</v>
      </c>
      <c r="M12" s="135">
        <f t="shared" si="4"/>
        <v>52857426340.37249</v>
      </c>
      <c r="N12" s="135">
        <f t="shared" si="5"/>
        <v>91026.881466157734</v>
      </c>
      <c r="O12" s="135">
        <f t="shared" si="6"/>
        <v>8285893149.4539309</v>
      </c>
      <c r="P12" s="10"/>
      <c r="Q12" s="132"/>
      <c r="R12" s="132" t="s">
        <v>23</v>
      </c>
      <c r="S12" s="132" t="s">
        <v>24</v>
      </c>
      <c r="T12" s="132" t="s">
        <v>25</v>
      </c>
      <c r="U12" s="132" t="s">
        <v>26</v>
      </c>
      <c r="V12" s="132" t="s">
        <v>27</v>
      </c>
    </row>
    <row r="13" spans="1:30" x14ac:dyDescent="0.2">
      <c r="A13" s="43">
        <v>41973</v>
      </c>
      <c r="B13" s="44">
        <f>Inputs!D34</f>
        <v>27733031</v>
      </c>
      <c r="C13" s="44">
        <f>'Power Purchased Model'!C145</f>
        <v>496.43636363636364</v>
      </c>
      <c r="D13" s="44">
        <v>30</v>
      </c>
      <c r="E13" s="109">
        <v>1</v>
      </c>
      <c r="F13" s="130">
        <v>0</v>
      </c>
      <c r="G13" s="137">
        <f>Inputs!G34+Inputs!I34+Inputs!L34</f>
        <v>13265</v>
      </c>
      <c r="H13" s="137">
        <v>0</v>
      </c>
      <c r="I13" s="44">
        <f t="shared" si="2"/>
        <v>25291948.477321669</v>
      </c>
      <c r="J13" s="27">
        <f t="shared" si="0"/>
        <v>-2441082.5226783305</v>
      </c>
      <c r="K13" s="36">
        <f t="shared" si="1"/>
        <v>-8.802076205367998E-2</v>
      </c>
      <c r="L13" s="10">
        <f t="shared" si="3"/>
        <v>8.802076205367998E-2</v>
      </c>
      <c r="M13" s="135">
        <f t="shared" si="4"/>
        <v>5958883882525.6025</v>
      </c>
      <c r="N13" s="135">
        <f t="shared" si="5"/>
        <v>-2211175.0927410349</v>
      </c>
      <c r="O13" s="135">
        <f t="shared" si="6"/>
        <v>4889295290758.3242</v>
      </c>
      <c r="P13" s="10"/>
      <c r="Q13" t="s">
        <v>20</v>
      </c>
      <c r="R13">
        <v>6</v>
      </c>
      <c r="S13">
        <v>1276002502504058</v>
      </c>
      <c r="T13">
        <v>212667083750676.34</v>
      </c>
      <c r="U13">
        <v>247.93941333250126</v>
      </c>
      <c r="V13">
        <v>6.7331652328461838E-67</v>
      </c>
    </row>
    <row r="14" spans="1:30" x14ac:dyDescent="0.2">
      <c r="A14" s="43">
        <v>42004</v>
      </c>
      <c r="B14" s="44">
        <f>Inputs!D35</f>
        <v>29820236</v>
      </c>
      <c r="C14" s="44">
        <f>'Power Purchased Model'!C146</f>
        <v>679.73636363636365</v>
      </c>
      <c r="D14" s="44">
        <v>31</v>
      </c>
      <c r="E14" s="109">
        <v>0</v>
      </c>
      <c r="F14" s="130">
        <v>0</v>
      </c>
      <c r="G14" s="137">
        <f>Inputs!G35+Inputs!I35+Inputs!L35</f>
        <v>13264</v>
      </c>
      <c r="H14" s="137">
        <v>0</v>
      </c>
      <c r="I14" s="44">
        <f t="shared" si="2"/>
        <v>29128689.052224293</v>
      </c>
      <c r="J14" s="27">
        <f t="shared" si="0"/>
        <v>-691546.94777570665</v>
      </c>
      <c r="K14" s="36">
        <f t="shared" si="1"/>
        <v>-2.319052564760744E-2</v>
      </c>
      <c r="L14" s="10">
        <f t="shared" si="3"/>
        <v>2.319052564760744E-2</v>
      </c>
      <c r="M14" s="135">
        <f t="shared" si="4"/>
        <v>478237180977.89594</v>
      </c>
      <c r="N14" s="135">
        <f t="shared" si="5"/>
        <v>1749535.5749026239</v>
      </c>
      <c r="O14" s="135">
        <f t="shared" si="6"/>
        <v>3060874727849.8545</v>
      </c>
      <c r="P14" s="10"/>
      <c r="Q14" t="s">
        <v>21</v>
      </c>
      <c r="R14">
        <v>125</v>
      </c>
      <c r="S14">
        <v>107217263732025.8</v>
      </c>
      <c r="T14">
        <v>857738109856.20642</v>
      </c>
    </row>
    <row r="15" spans="1:30" ht="13.5" thickBot="1" x14ac:dyDescent="0.25">
      <c r="A15" s="43">
        <v>42035</v>
      </c>
      <c r="B15" s="44">
        <f>Inputs!D36</f>
        <v>33934616</v>
      </c>
      <c r="C15" s="44">
        <f>C3</f>
        <v>834.24545454545466</v>
      </c>
      <c r="D15" s="44">
        <v>31</v>
      </c>
      <c r="E15" s="109">
        <v>0</v>
      </c>
      <c r="F15" s="130">
        <v>0</v>
      </c>
      <c r="G15" s="137">
        <f>Inputs!G36+Inputs!I36+Inputs!L36</f>
        <v>13303</v>
      </c>
      <c r="H15" s="137">
        <v>0</v>
      </c>
      <c r="I15" s="44">
        <f t="shared" si="2"/>
        <v>31048221.483252976</v>
      </c>
      <c r="J15" s="27">
        <f t="shared" si="0"/>
        <v>-2886394.5167470239</v>
      </c>
      <c r="K15" s="36">
        <f t="shared" si="1"/>
        <v>-8.5057527002722649E-2</v>
      </c>
      <c r="L15" s="10">
        <f t="shared" si="3"/>
        <v>8.5057527002722649E-2</v>
      </c>
      <c r="M15" s="135">
        <f t="shared" si="4"/>
        <v>8331273306307.2861</v>
      </c>
      <c r="N15" s="135">
        <f t="shared" si="5"/>
        <v>-2194847.5689713173</v>
      </c>
      <c r="O15" s="135">
        <f t="shared" si="6"/>
        <v>4817355851019.3018</v>
      </c>
      <c r="P15" s="10"/>
      <c r="Q15" s="131" t="s">
        <v>5</v>
      </c>
      <c r="R15" s="131">
        <v>131</v>
      </c>
      <c r="S15" s="131">
        <v>1383219766236083.8</v>
      </c>
      <c r="T15" s="131"/>
      <c r="U15" s="131"/>
      <c r="V15" s="131"/>
    </row>
    <row r="16" spans="1:30" ht="13.5" thickBot="1" x14ac:dyDescent="0.25">
      <c r="A16" s="43">
        <v>42063</v>
      </c>
      <c r="B16" s="44">
        <f>Inputs!D37</f>
        <v>32617573</v>
      </c>
      <c r="C16" s="44">
        <f t="shared" ref="C16:C79" si="7">C4</f>
        <v>763.4909090909091</v>
      </c>
      <c r="D16" s="44">
        <v>28</v>
      </c>
      <c r="E16" s="109">
        <v>0</v>
      </c>
      <c r="F16" s="130">
        <v>0</v>
      </c>
      <c r="G16" s="137">
        <f>Inputs!G37+Inputs!I37+Inputs!L37</f>
        <v>13295</v>
      </c>
      <c r="H16" s="137">
        <v>0</v>
      </c>
      <c r="I16" s="44">
        <f t="shared" si="2"/>
        <v>28531066.19726631</v>
      </c>
      <c r="J16" s="27">
        <f t="shared" si="0"/>
        <v>-4086506.8027336895</v>
      </c>
      <c r="K16" s="36">
        <f t="shared" si="1"/>
        <v>-0.12528543441088305</v>
      </c>
      <c r="L16" s="10">
        <f t="shared" si="3"/>
        <v>0.12528543441088305</v>
      </c>
      <c r="M16" s="135">
        <f t="shared" si="4"/>
        <v>16699537848788.723</v>
      </c>
      <c r="N16" s="135">
        <f t="shared" si="5"/>
        <v>-1200112.2859866656</v>
      </c>
      <c r="O16" s="135">
        <f t="shared" si="6"/>
        <v>1440269498976.1404</v>
      </c>
      <c r="P16" s="10"/>
    </row>
    <row r="17" spans="1:25" x14ac:dyDescent="0.2">
      <c r="A17" s="43">
        <v>42094</v>
      </c>
      <c r="B17" s="44">
        <f>Inputs!D38</f>
        <v>30305598</v>
      </c>
      <c r="C17" s="44">
        <f t="shared" si="7"/>
        <v>663.67272727272734</v>
      </c>
      <c r="D17" s="44">
        <v>31</v>
      </c>
      <c r="E17" s="109">
        <v>1</v>
      </c>
      <c r="F17" s="130">
        <v>0</v>
      </c>
      <c r="G17" s="137">
        <f>Inputs!G38+Inputs!I38+Inputs!L38</f>
        <v>13290</v>
      </c>
      <c r="H17" s="137">
        <v>0</v>
      </c>
      <c r="I17" s="44">
        <f t="shared" si="2"/>
        <v>27900702.40282103</v>
      </c>
      <c r="J17" s="27">
        <f t="shared" si="0"/>
        <v>-2404895.5971789695</v>
      </c>
      <c r="K17" s="36">
        <f t="shared" si="1"/>
        <v>-7.9354830654685307E-2</v>
      </c>
      <c r="L17" s="10">
        <f t="shared" si="3"/>
        <v>7.9354830654685307E-2</v>
      </c>
      <c r="M17" s="135">
        <f t="shared" si="4"/>
        <v>5783522833330.793</v>
      </c>
      <c r="N17" s="135">
        <f t="shared" si="5"/>
        <v>1681611.20555472</v>
      </c>
      <c r="O17" s="135">
        <f t="shared" si="6"/>
        <v>2827816246647.1987</v>
      </c>
      <c r="P17" s="10"/>
      <c r="Q17" s="132"/>
      <c r="R17" s="132" t="s">
        <v>101</v>
      </c>
      <c r="S17" s="132" t="s">
        <v>17</v>
      </c>
      <c r="T17" s="132" t="s">
        <v>102</v>
      </c>
      <c r="U17" s="132" t="s">
        <v>103</v>
      </c>
      <c r="V17" s="132" t="s">
        <v>104</v>
      </c>
      <c r="W17" s="132" t="s">
        <v>105</v>
      </c>
      <c r="X17" s="132" t="s">
        <v>106</v>
      </c>
      <c r="Y17" s="132" t="s">
        <v>107</v>
      </c>
    </row>
    <row r="18" spans="1:25" x14ac:dyDescent="0.2">
      <c r="A18" s="43">
        <v>42124</v>
      </c>
      <c r="B18" s="44">
        <f>Inputs!D39</f>
        <v>24419034</v>
      </c>
      <c r="C18" s="44">
        <f t="shared" si="7"/>
        <v>423.24545454545455</v>
      </c>
      <c r="D18" s="44">
        <v>30</v>
      </c>
      <c r="E18" s="109">
        <v>1</v>
      </c>
      <c r="F18" s="130">
        <v>0</v>
      </c>
      <c r="G18" s="137">
        <f>Inputs!G39+Inputs!I39+Inputs!L39</f>
        <v>13284</v>
      </c>
      <c r="H18" s="137">
        <v>0</v>
      </c>
      <c r="I18" s="44">
        <f t="shared" si="2"/>
        <v>24422874.530534524</v>
      </c>
      <c r="J18" s="27">
        <f t="shared" si="0"/>
        <v>3840.5305345244706</v>
      </c>
      <c r="K18" s="36">
        <f t="shared" si="1"/>
        <v>1.5727610414582619E-4</v>
      </c>
      <c r="L18" s="10">
        <f t="shared" si="3"/>
        <v>1.5727610414582619E-4</v>
      </c>
      <c r="M18" s="135">
        <f t="shared" si="4"/>
        <v>14749674.786614815</v>
      </c>
      <c r="N18" s="135">
        <f t="shared" si="5"/>
        <v>2408736.127713494</v>
      </c>
      <c r="O18" s="135">
        <f t="shared" si="6"/>
        <v>5802009732952.1973</v>
      </c>
      <c r="P18" s="10"/>
      <c r="Q18" t="s">
        <v>22</v>
      </c>
      <c r="R18" s="31">
        <v>-10400236.383089241</v>
      </c>
      <c r="S18">
        <v>4059614.2502390519</v>
      </c>
      <c r="T18">
        <v>-2.5618779869237129</v>
      </c>
      <c r="U18">
        <v>1.1598109809280865E-2</v>
      </c>
      <c r="V18">
        <v>-18434716.82069777</v>
      </c>
      <c r="W18">
        <v>-2365755.9454807127</v>
      </c>
      <c r="X18">
        <v>-18434716.82069777</v>
      </c>
      <c r="Y18">
        <v>-2365755.9454807127</v>
      </c>
    </row>
    <row r="19" spans="1:25" x14ac:dyDescent="0.2">
      <c r="A19" s="43">
        <v>42155</v>
      </c>
      <c r="B19" s="44">
        <f>Inputs!D40</f>
        <v>22122315</v>
      </c>
      <c r="C19" s="44">
        <f t="shared" si="7"/>
        <v>211.25454545454542</v>
      </c>
      <c r="D19" s="44">
        <v>31</v>
      </c>
      <c r="E19" s="109">
        <v>1</v>
      </c>
      <c r="F19" s="130">
        <v>0</v>
      </c>
      <c r="G19" s="137">
        <f>Inputs!G40+Inputs!I40+Inputs!L40</f>
        <v>13286</v>
      </c>
      <c r="H19" s="137">
        <v>0</v>
      </c>
      <c r="I19" s="44">
        <f t="shared" si="2"/>
        <v>22398352.63935896</v>
      </c>
      <c r="J19" s="27">
        <f t="shared" si="0"/>
        <v>276037.63935896009</v>
      </c>
      <c r="K19" s="36">
        <f t="shared" si="1"/>
        <v>1.2477791739199089E-2</v>
      </c>
      <c r="L19" s="10">
        <f t="shared" si="3"/>
        <v>1.2477791739199089E-2</v>
      </c>
      <c r="M19" s="135">
        <f t="shared" si="4"/>
        <v>76196778342.86731</v>
      </c>
      <c r="N19" s="135">
        <f t="shared" si="5"/>
        <v>272197.10882443562</v>
      </c>
      <c r="O19" s="135">
        <f t="shared" si="6"/>
        <v>74091266052.381653</v>
      </c>
      <c r="P19" s="10"/>
      <c r="Q19" t="s">
        <v>111</v>
      </c>
      <c r="R19" s="31">
        <v>12152.601709443508</v>
      </c>
      <c r="S19">
        <v>335.88090209030179</v>
      </c>
      <c r="T19">
        <v>36.181282215850054</v>
      </c>
      <c r="U19">
        <v>4.3957763753676092E-68</v>
      </c>
      <c r="V19">
        <v>11487.851718221578</v>
      </c>
      <c r="W19">
        <v>12817.351700665438</v>
      </c>
      <c r="X19">
        <v>11487.851718221578</v>
      </c>
      <c r="Y19">
        <v>12817.351700665438</v>
      </c>
    </row>
    <row r="20" spans="1:25" x14ac:dyDescent="0.2">
      <c r="A20" s="43">
        <v>42185</v>
      </c>
      <c r="B20" s="44">
        <f>Inputs!D41</f>
        <v>21687054</v>
      </c>
      <c r="C20" s="44">
        <f t="shared" si="7"/>
        <v>79.27272727272728</v>
      </c>
      <c r="D20" s="44">
        <v>30</v>
      </c>
      <c r="E20" s="109">
        <v>0</v>
      </c>
      <c r="F20" s="130">
        <v>0</v>
      </c>
      <c r="G20" s="137">
        <f>Inputs!G41+Inputs!I41+Inputs!L41</f>
        <v>13286</v>
      </c>
      <c r="H20" s="137">
        <v>0</v>
      </c>
      <c r="I20" s="44">
        <f t="shared" si="2"/>
        <v>21305525.207754448</v>
      </c>
      <c r="J20" s="27">
        <f t="shared" si="0"/>
        <v>-381528.79224555194</v>
      </c>
      <c r="K20" s="36">
        <f t="shared" si="1"/>
        <v>-1.7592467480624707E-2</v>
      </c>
      <c r="L20" s="10">
        <f t="shared" si="3"/>
        <v>1.7592467480624707E-2</v>
      </c>
      <c r="M20" s="135">
        <f t="shared" si="4"/>
        <v>145564219312.34955</v>
      </c>
      <c r="N20" s="135">
        <f t="shared" si="5"/>
        <v>-657566.43160451204</v>
      </c>
      <c r="O20" s="135">
        <f t="shared" si="6"/>
        <v>432393611973.09143</v>
      </c>
      <c r="P20" s="10"/>
      <c r="Q20" t="s">
        <v>90</v>
      </c>
      <c r="R20" s="31">
        <v>549573.29617154668</v>
      </c>
      <c r="S20">
        <v>110709.62311132</v>
      </c>
      <c r="T20">
        <v>4.9640968935369187</v>
      </c>
      <c r="U20">
        <v>2.2099599489046274E-6</v>
      </c>
      <c r="V20">
        <v>330465.21192671102</v>
      </c>
      <c r="W20">
        <v>768681.38041638234</v>
      </c>
      <c r="X20">
        <v>330465.21192671102</v>
      </c>
      <c r="Y20">
        <v>768681.38041638234</v>
      </c>
    </row>
    <row r="21" spans="1:25" x14ac:dyDescent="0.2">
      <c r="A21" s="43">
        <v>42216</v>
      </c>
      <c r="B21" s="44">
        <f>Inputs!D42</f>
        <v>23793533</v>
      </c>
      <c r="C21" s="44">
        <f t="shared" si="7"/>
        <v>27.636363636363637</v>
      </c>
      <c r="D21" s="44">
        <v>31</v>
      </c>
      <c r="E21" s="109">
        <v>0</v>
      </c>
      <c r="F21" s="130">
        <v>1</v>
      </c>
      <c r="G21" s="137">
        <f>Inputs!G42+Inputs!I42+Inputs!L42</f>
        <v>13337</v>
      </c>
      <c r="H21" s="137">
        <v>0</v>
      </c>
      <c r="I21" s="44">
        <f t="shared" si="2"/>
        <v>24207210.364988536</v>
      </c>
      <c r="J21" s="27">
        <f t="shared" si="0"/>
        <v>413677.36498853564</v>
      </c>
      <c r="K21" s="36">
        <f t="shared" si="1"/>
        <v>1.7386126095209804E-2</v>
      </c>
      <c r="L21" s="10">
        <f t="shared" si="3"/>
        <v>1.7386126095209804E-2</v>
      </c>
      <c r="M21" s="135">
        <f t="shared" si="4"/>
        <v>171128962303.85812</v>
      </c>
      <c r="N21" s="135">
        <f t="shared" si="5"/>
        <v>795206.15723408759</v>
      </c>
      <c r="O21" s="135">
        <f t="shared" si="6"/>
        <v>632352832503.00439</v>
      </c>
      <c r="P21" s="10"/>
      <c r="Q21" t="s">
        <v>11</v>
      </c>
      <c r="R21" s="31">
        <v>-1060668.333818859</v>
      </c>
      <c r="S21">
        <v>189337.58907796154</v>
      </c>
      <c r="T21">
        <v>-5.6019955624454409</v>
      </c>
      <c r="U21">
        <v>1.2847135450161905E-7</v>
      </c>
      <c r="V21">
        <v>-1435390.921183229</v>
      </c>
      <c r="W21">
        <v>-685945.74645448907</v>
      </c>
      <c r="X21">
        <v>-1435390.921183229</v>
      </c>
      <c r="Y21">
        <v>-685945.74645448907</v>
      </c>
    </row>
    <row r="22" spans="1:25" x14ac:dyDescent="0.2">
      <c r="A22" s="43">
        <v>42247</v>
      </c>
      <c r="B22" s="44">
        <f>Inputs!D43</f>
        <v>23664046</v>
      </c>
      <c r="C22" s="44">
        <f t="shared" si="7"/>
        <v>40.327272727272721</v>
      </c>
      <c r="D22" s="44">
        <v>31</v>
      </c>
      <c r="E22" s="109">
        <v>0</v>
      </c>
      <c r="F22" s="130">
        <v>1</v>
      </c>
      <c r="G22" s="137">
        <f>Inputs!G43+Inputs!I43+Inputs!L43</f>
        <v>13308</v>
      </c>
      <c r="H22" s="137">
        <v>0</v>
      </c>
      <c r="I22" s="44">
        <f t="shared" si="2"/>
        <v>24330322.424066573</v>
      </c>
      <c r="J22" s="27">
        <f t="shared" si="0"/>
        <v>666276.42406657338</v>
      </c>
      <c r="K22" s="36">
        <f t="shared" si="1"/>
        <v>2.8155642702290783E-2</v>
      </c>
      <c r="L22" s="10">
        <f t="shared" si="3"/>
        <v>2.8155642702290783E-2</v>
      </c>
      <c r="M22" s="135">
        <f t="shared" si="4"/>
        <v>443924273266.94031</v>
      </c>
      <c r="N22" s="135">
        <f t="shared" si="5"/>
        <v>252599.05907803774</v>
      </c>
      <c r="O22" s="135">
        <f t="shared" si="6"/>
        <v>63806284647.110001</v>
      </c>
      <c r="P22" s="10"/>
      <c r="Q22" t="s">
        <v>110</v>
      </c>
      <c r="R22" s="31">
        <v>2924907.6521916362</v>
      </c>
      <c r="S22">
        <v>298890.42697218165</v>
      </c>
      <c r="T22">
        <v>9.785886024592763</v>
      </c>
      <c r="U22">
        <v>3.8997532706075582E-17</v>
      </c>
      <c r="V22">
        <v>2333366.402095018</v>
      </c>
      <c r="W22">
        <v>3516448.9022882544</v>
      </c>
      <c r="X22">
        <v>2333366.402095018</v>
      </c>
      <c r="Y22">
        <v>3516448.9022882544</v>
      </c>
    </row>
    <row r="23" spans="1:25" x14ac:dyDescent="0.2">
      <c r="A23" s="43">
        <v>42277</v>
      </c>
      <c r="B23" s="44">
        <f>Inputs!D44</f>
        <v>21503656</v>
      </c>
      <c r="C23" s="44">
        <f t="shared" si="7"/>
        <v>123.35454545454546</v>
      </c>
      <c r="D23" s="44">
        <v>30</v>
      </c>
      <c r="E23" s="109">
        <v>0</v>
      </c>
      <c r="F23" s="130">
        <v>0</v>
      </c>
      <c r="G23" s="137">
        <f>Inputs!G44+Inputs!I44+Inputs!L44</f>
        <v>13313</v>
      </c>
      <c r="H23" s="137">
        <v>0</v>
      </c>
      <c r="I23" s="44">
        <f t="shared" si="2"/>
        <v>21870203.594323166</v>
      </c>
      <c r="J23" s="27">
        <f t="shared" si="0"/>
        <v>366547.59432316571</v>
      </c>
      <c r="K23" s="36">
        <f t="shared" si="1"/>
        <v>1.7045826733982618E-2</v>
      </c>
      <c r="L23" s="10">
        <f t="shared" si="3"/>
        <v>1.7045826733982618E-2</v>
      </c>
      <c r="M23" s="135">
        <f t="shared" si="4"/>
        <v>134357138904.10007</v>
      </c>
      <c r="N23" s="135">
        <f t="shared" si="5"/>
        <v>-299728.82974340767</v>
      </c>
      <c r="O23" s="135">
        <f t="shared" si="6"/>
        <v>89837371379.352661</v>
      </c>
      <c r="P23" s="10"/>
      <c r="Q23" t="s">
        <v>124</v>
      </c>
      <c r="R23" s="31">
        <v>1072.9484287769451</v>
      </c>
      <c r="S23">
        <v>172.30535684096671</v>
      </c>
      <c r="T23">
        <v>6.2270172468709033</v>
      </c>
      <c r="U23">
        <v>6.627195141149766E-9</v>
      </c>
      <c r="V23">
        <v>731.93474287011691</v>
      </c>
      <c r="W23">
        <v>1413.9621146837733</v>
      </c>
      <c r="X23">
        <v>731.93474287011691</v>
      </c>
      <c r="Y23">
        <v>1413.9621146837733</v>
      </c>
    </row>
    <row r="24" spans="1:25" ht="13.5" thickBot="1" x14ac:dyDescent="0.25">
      <c r="A24" s="43">
        <v>42308</v>
      </c>
      <c r="B24" s="44">
        <f>Inputs!D45</f>
        <v>24025252</v>
      </c>
      <c r="C24" s="44">
        <f t="shared" si="7"/>
        <v>312.07272727272726</v>
      </c>
      <c r="D24" s="44">
        <v>31</v>
      </c>
      <c r="E24" s="109">
        <v>1</v>
      </c>
      <c r="F24" s="130">
        <v>0</v>
      </c>
      <c r="G24" s="137">
        <f>Inputs!G45+Inputs!I45+Inputs!L45</f>
        <v>13322</v>
      </c>
      <c r="H24" s="137">
        <v>0</v>
      </c>
      <c r="I24" s="44">
        <f t="shared" si="2"/>
        <v>23662181.991501555</v>
      </c>
      <c r="J24" s="27">
        <f t="shared" si="0"/>
        <v>-363070.00849844515</v>
      </c>
      <c r="K24" s="36">
        <f t="shared" si="1"/>
        <v>-1.5112016660572183E-2</v>
      </c>
      <c r="L24" s="10">
        <f t="shared" si="3"/>
        <v>1.5112016660572183E-2</v>
      </c>
      <c r="M24" s="135">
        <f t="shared" si="4"/>
        <v>131819831071.06104</v>
      </c>
      <c r="N24" s="135">
        <f t="shared" si="5"/>
        <v>-729617.60282161087</v>
      </c>
      <c r="O24" s="135">
        <f t="shared" si="6"/>
        <v>532341846347.15393</v>
      </c>
      <c r="P24" s="10"/>
      <c r="Q24" s="131" t="s">
        <v>125</v>
      </c>
      <c r="R24" s="134">
        <v>-1359463.7771541732</v>
      </c>
      <c r="S24" s="131">
        <v>601115.13790883147</v>
      </c>
      <c r="T24" s="131">
        <v>-2.2615696917623747</v>
      </c>
      <c r="U24" s="131">
        <v>2.545177707801129E-2</v>
      </c>
      <c r="V24" s="131">
        <v>-2549145.2391291535</v>
      </c>
      <c r="W24" s="131">
        <v>-169782.31517919293</v>
      </c>
      <c r="X24" s="131">
        <v>-2549145.2391291535</v>
      </c>
      <c r="Y24" s="131">
        <v>-169782.31517919293</v>
      </c>
    </row>
    <row r="25" spans="1:25" x14ac:dyDescent="0.2">
      <c r="A25" s="43">
        <v>42338</v>
      </c>
      <c r="B25" s="44">
        <f>Inputs!D46</f>
        <v>24608541</v>
      </c>
      <c r="C25" s="44">
        <f t="shared" si="7"/>
        <v>496.43636363636364</v>
      </c>
      <c r="D25" s="44">
        <v>30</v>
      </c>
      <c r="E25" s="109">
        <v>1</v>
      </c>
      <c r="F25" s="130">
        <v>0</v>
      </c>
      <c r="G25" s="137">
        <f>Inputs!G46+Inputs!I46+Inputs!L46</f>
        <v>13343</v>
      </c>
      <c r="H25" s="137">
        <v>0</v>
      </c>
      <c r="I25" s="44">
        <f t="shared" si="2"/>
        <v>25375638.45476627</v>
      </c>
      <c r="J25" s="27">
        <f t="shared" si="0"/>
        <v>767097.45476626977</v>
      </c>
      <c r="K25" s="36">
        <f t="shared" si="1"/>
        <v>3.1172000597933448E-2</v>
      </c>
      <c r="L25" s="10">
        <f t="shared" si="3"/>
        <v>3.1172000597933448E-2</v>
      </c>
      <c r="M25" s="135">
        <f t="shared" si="4"/>
        <v>588438505108.88928</v>
      </c>
      <c r="N25" s="135">
        <f t="shared" si="5"/>
        <v>1130167.4632647149</v>
      </c>
      <c r="O25" s="135">
        <f t="shared" si="6"/>
        <v>1277278495022.2007</v>
      </c>
      <c r="P25" s="10"/>
    </row>
    <row r="26" spans="1:25" x14ac:dyDescent="0.2">
      <c r="A26" s="43">
        <v>42369</v>
      </c>
      <c r="B26" s="44">
        <f>Inputs!D47</f>
        <v>26280236</v>
      </c>
      <c r="C26" s="44">
        <f t="shared" si="7"/>
        <v>679.73636363636365</v>
      </c>
      <c r="D26" s="44">
        <v>31</v>
      </c>
      <c r="E26" s="109">
        <v>0</v>
      </c>
      <c r="F26" s="130">
        <v>0</v>
      </c>
      <c r="G26" s="137">
        <f>Inputs!G47+Inputs!I47+Inputs!L47</f>
        <v>13345</v>
      </c>
      <c r="H26" s="137">
        <v>0</v>
      </c>
      <c r="I26" s="44">
        <f t="shared" si="2"/>
        <v>29215597.874955226</v>
      </c>
      <c r="J26" s="27">
        <f t="shared" si="0"/>
        <v>2935361.8749552257</v>
      </c>
      <c r="K26" s="36">
        <f t="shared" si="1"/>
        <v>0.11169465430048747</v>
      </c>
      <c r="L26" s="10">
        <f t="shared" si="3"/>
        <v>0.11169465430048747</v>
      </c>
      <c r="M26" s="135">
        <f t="shared" si="4"/>
        <v>8616349336940.6582</v>
      </c>
      <c r="N26" s="135">
        <f t="shared" si="5"/>
        <v>2168264.420188956</v>
      </c>
      <c r="O26" s="135">
        <f t="shared" si="6"/>
        <v>4701370595857.3496</v>
      </c>
      <c r="P26" s="10"/>
      <c r="Q26" s="38" t="s">
        <v>51</v>
      </c>
      <c r="R26" s="147">
        <f>L135</f>
        <v>3.4934108673926351E-2</v>
      </c>
    </row>
    <row r="27" spans="1:25" x14ac:dyDescent="0.2">
      <c r="A27" s="43">
        <v>42400</v>
      </c>
      <c r="B27" s="44">
        <f>Inputs!D48</f>
        <v>30495180</v>
      </c>
      <c r="C27" s="44">
        <f t="shared" si="7"/>
        <v>834.24545454545466</v>
      </c>
      <c r="D27" s="44">
        <v>31</v>
      </c>
      <c r="E27" s="109">
        <v>0</v>
      </c>
      <c r="F27" s="130">
        <v>0</v>
      </c>
      <c r="G27" s="137">
        <f>Inputs!G48+Inputs!I48+Inputs!L48</f>
        <v>13350</v>
      </c>
      <c r="H27" s="137">
        <v>0</v>
      </c>
      <c r="I27" s="44">
        <f t="shared" si="2"/>
        <v>31098650.059405491</v>
      </c>
      <c r="J27" s="27">
        <f t="shared" si="0"/>
        <v>603470.05940549076</v>
      </c>
      <c r="K27" s="36">
        <f t="shared" si="1"/>
        <v>1.9789030902768595E-2</v>
      </c>
      <c r="L27" s="10">
        <f t="shared" si="3"/>
        <v>1.9789030902768595E-2</v>
      </c>
      <c r="M27" s="135">
        <f t="shared" si="4"/>
        <v>364176112598.86652</v>
      </c>
      <c r="N27" s="135">
        <f t="shared" si="5"/>
        <v>-2331891.815549735</v>
      </c>
      <c r="O27" s="135">
        <f t="shared" si="6"/>
        <v>5437719439427.8389</v>
      </c>
    </row>
    <row r="28" spans="1:25" x14ac:dyDescent="0.2">
      <c r="A28" s="43">
        <v>42429</v>
      </c>
      <c r="B28" s="44">
        <f>Inputs!D49</f>
        <v>29063252</v>
      </c>
      <c r="C28" s="44">
        <f t="shared" si="7"/>
        <v>763.4909090909091</v>
      </c>
      <c r="D28" s="44">
        <v>29</v>
      </c>
      <c r="E28" s="109">
        <v>0</v>
      </c>
      <c r="F28" s="130">
        <v>0</v>
      </c>
      <c r="G28" s="137">
        <f>Inputs!G49+Inputs!I49+Inputs!L49</f>
        <v>13354</v>
      </c>
      <c r="H28" s="137">
        <v>0</v>
      </c>
      <c r="I28" s="44">
        <f t="shared" si="2"/>
        <v>29143943.450735696</v>
      </c>
      <c r="J28" s="27">
        <f t="shared" si="0"/>
        <v>80691.45073569566</v>
      </c>
      <c r="K28" s="36">
        <f t="shared" si="1"/>
        <v>2.776408185006126E-3</v>
      </c>
      <c r="L28" s="10">
        <f t="shared" si="3"/>
        <v>2.776408185006126E-3</v>
      </c>
      <c r="M28" s="135">
        <f t="shared" si="4"/>
        <v>6511110221.8311996</v>
      </c>
      <c r="N28" s="135">
        <f t="shared" si="5"/>
        <v>-522778.6086697951</v>
      </c>
      <c r="O28" s="135">
        <f t="shared" si="6"/>
        <v>273297473682.72675</v>
      </c>
      <c r="Q28" t="s">
        <v>118</v>
      </c>
      <c r="R28" s="31">
        <f>O135</f>
        <v>220687857384421.88</v>
      </c>
    </row>
    <row r="29" spans="1:25" x14ac:dyDescent="0.2">
      <c r="A29" s="43">
        <v>42460</v>
      </c>
      <c r="B29" s="44">
        <f>Inputs!D50</f>
        <v>27667287</v>
      </c>
      <c r="C29" s="44">
        <f t="shared" si="7"/>
        <v>663.67272727272734</v>
      </c>
      <c r="D29" s="44">
        <v>31</v>
      </c>
      <c r="E29" s="109">
        <v>1</v>
      </c>
      <c r="F29" s="130">
        <v>0</v>
      </c>
      <c r="G29" s="137">
        <f>Inputs!G50+Inputs!I50+Inputs!L50</f>
        <v>13356</v>
      </c>
      <c r="H29" s="137">
        <v>0</v>
      </c>
      <c r="I29" s="44">
        <f t="shared" si="2"/>
        <v>27971516.99912031</v>
      </c>
      <c r="J29" s="27">
        <f t="shared" si="0"/>
        <v>304229.99912030995</v>
      </c>
      <c r="K29" s="36">
        <f t="shared" si="1"/>
        <v>1.0996018479163134E-2</v>
      </c>
      <c r="L29" s="10">
        <f t="shared" si="3"/>
        <v>1.0996018479163134E-2</v>
      </c>
      <c r="M29" s="135">
        <f t="shared" si="4"/>
        <v>92555892364.74379</v>
      </c>
      <c r="N29" s="135">
        <f t="shared" si="5"/>
        <v>223538.54838461429</v>
      </c>
      <c r="O29" s="135">
        <f t="shared" si="6"/>
        <v>49969482613.900543</v>
      </c>
      <c r="Q29" t="s">
        <v>119</v>
      </c>
      <c r="R29" s="31">
        <f>M135</f>
        <v>201523667528195.22</v>
      </c>
    </row>
    <row r="30" spans="1:25" x14ac:dyDescent="0.2">
      <c r="A30" s="43">
        <v>42490</v>
      </c>
      <c r="B30" s="44">
        <f>Inputs!D51</f>
        <v>24587318</v>
      </c>
      <c r="C30" s="44">
        <f t="shared" si="7"/>
        <v>423.24545454545455</v>
      </c>
      <c r="D30" s="44">
        <v>30</v>
      </c>
      <c r="E30" s="109">
        <v>1</v>
      </c>
      <c r="F30" s="130">
        <v>0</v>
      </c>
      <c r="G30" s="137">
        <f>Inputs!G51+Inputs!I51+Inputs!L51</f>
        <v>13358</v>
      </c>
      <c r="H30" s="137">
        <v>0</v>
      </c>
      <c r="I30" s="44">
        <f t="shared" si="2"/>
        <v>24502272.71426402</v>
      </c>
      <c r="J30" s="27">
        <f t="shared" si="0"/>
        <v>-85045.285735979676</v>
      </c>
      <c r="K30" s="36">
        <f t="shared" si="1"/>
        <v>-3.4589086022306166E-3</v>
      </c>
      <c r="L30" s="10">
        <f t="shared" si="3"/>
        <v>3.4589086022306166E-3</v>
      </c>
      <c r="M30" s="135">
        <f t="shared" si="4"/>
        <v>7232700625.9144278</v>
      </c>
      <c r="N30" s="135">
        <f t="shared" si="5"/>
        <v>-389275.28485628963</v>
      </c>
      <c r="O30" s="135">
        <f t="shared" si="6"/>
        <v>151535247399.94543</v>
      </c>
    </row>
    <row r="31" spans="1:25" x14ac:dyDescent="0.2">
      <c r="A31" s="43">
        <v>42521</v>
      </c>
      <c r="B31" s="44">
        <f>Inputs!D52</f>
        <v>21916797</v>
      </c>
      <c r="C31" s="44">
        <f t="shared" si="7"/>
        <v>211.25454545454542</v>
      </c>
      <c r="D31" s="44">
        <v>31</v>
      </c>
      <c r="E31" s="109">
        <v>1</v>
      </c>
      <c r="F31" s="130">
        <v>0</v>
      </c>
      <c r="G31" s="137">
        <f>Inputs!G52+Inputs!I52+Inputs!L52</f>
        <v>13356</v>
      </c>
      <c r="H31" s="137">
        <v>0</v>
      </c>
      <c r="I31" s="44">
        <f t="shared" si="2"/>
        <v>22473459.029373348</v>
      </c>
      <c r="J31" s="27">
        <f t="shared" si="0"/>
        <v>556662.02937334776</v>
      </c>
      <c r="K31" s="36">
        <f t="shared" si="1"/>
        <v>2.5398876914968359E-2</v>
      </c>
      <c r="L31" s="10">
        <f t="shared" si="3"/>
        <v>2.5398876914968359E-2</v>
      </c>
      <c r="M31" s="135">
        <f t="shared" si="4"/>
        <v>309872614946.05389</v>
      </c>
      <c r="N31" s="135">
        <f t="shared" si="5"/>
        <v>641707.31510932744</v>
      </c>
      <c r="O31" s="135">
        <f t="shared" si="6"/>
        <v>411788278264.82166</v>
      </c>
      <c r="Q31" t="s">
        <v>120</v>
      </c>
      <c r="R31">
        <f>R28/R29</f>
        <v>1.0950964722470893</v>
      </c>
    </row>
    <row r="32" spans="1:25" x14ac:dyDescent="0.2">
      <c r="A32" s="43">
        <v>42551</v>
      </c>
      <c r="B32" s="44">
        <f>Inputs!D53</f>
        <v>22063036</v>
      </c>
      <c r="C32" s="44">
        <f t="shared" si="7"/>
        <v>79.27272727272728</v>
      </c>
      <c r="D32" s="44">
        <v>30</v>
      </c>
      <c r="E32" s="109">
        <v>0</v>
      </c>
      <c r="F32" s="130">
        <v>0</v>
      </c>
      <c r="G32" s="137">
        <f>Inputs!G53+Inputs!I53+Inputs!L53</f>
        <v>13361</v>
      </c>
      <c r="H32" s="137">
        <v>0</v>
      </c>
      <c r="I32" s="44">
        <f t="shared" si="2"/>
        <v>21385996.339912716</v>
      </c>
      <c r="J32" s="27">
        <f t="shared" si="0"/>
        <v>-677039.6600872837</v>
      </c>
      <c r="K32" s="36">
        <f t="shared" si="1"/>
        <v>-3.0686604512963841E-2</v>
      </c>
      <c r="L32" s="10">
        <f t="shared" si="3"/>
        <v>3.0686604512963841E-2</v>
      </c>
      <c r="M32" s="135">
        <f t="shared" si="4"/>
        <v>458382701331.10468</v>
      </c>
      <c r="N32" s="135">
        <f t="shared" si="5"/>
        <v>-1233701.6894606315</v>
      </c>
      <c r="O32" s="135">
        <f t="shared" si="6"/>
        <v>1522019858578.0164</v>
      </c>
    </row>
    <row r="33" spans="1:18" x14ac:dyDescent="0.2">
      <c r="A33" s="43">
        <v>42582</v>
      </c>
      <c r="B33" s="44">
        <f>Inputs!D54</f>
        <v>24449967</v>
      </c>
      <c r="C33" s="44">
        <f t="shared" si="7"/>
        <v>27.636363636363637</v>
      </c>
      <c r="D33" s="44">
        <v>31</v>
      </c>
      <c r="E33" s="109">
        <v>0</v>
      </c>
      <c r="F33" s="130">
        <v>1</v>
      </c>
      <c r="G33" s="137">
        <f>Inputs!G54+Inputs!I54+Inputs!L54</f>
        <v>13361</v>
      </c>
      <c r="H33" s="137">
        <v>0</v>
      </c>
      <c r="I33" s="44">
        <f t="shared" si="2"/>
        <v>24232961.127279185</v>
      </c>
      <c r="J33" s="27">
        <f t="shared" si="0"/>
        <v>-217005.87272081524</v>
      </c>
      <c r="K33" s="36">
        <f t="shared" si="1"/>
        <v>-8.8755077960152359E-3</v>
      </c>
      <c r="L33" s="10">
        <f t="shared" si="3"/>
        <v>8.8755077960152359E-3</v>
      </c>
      <c r="M33" s="135">
        <f t="shared" si="4"/>
        <v>47091548795.322662</v>
      </c>
      <c r="N33" s="135">
        <f t="shared" si="5"/>
        <v>460033.78736646846</v>
      </c>
      <c r="O33" s="135">
        <f t="shared" si="6"/>
        <v>211631085518.73712</v>
      </c>
      <c r="P33"/>
      <c r="R33" s="40"/>
    </row>
    <row r="34" spans="1:18" x14ac:dyDescent="0.2">
      <c r="A34" s="43">
        <v>42613</v>
      </c>
      <c r="B34" s="44">
        <f>Inputs!D55</f>
        <v>25086525</v>
      </c>
      <c r="C34" s="44">
        <f t="shared" si="7"/>
        <v>40.327272727272721</v>
      </c>
      <c r="D34" s="44">
        <v>31</v>
      </c>
      <c r="E34" s="109">
        <v>0</v>
      </c>
      <c r="F34" s="130">
        <v>1</v>
      </c>
      <c r="G34" s="137">
        <f>Inputs!G55+Inputs!I55+Inputs!L55</f>
        <v>13361</v>
      </c>
      <c r="H34" s="137">
        <v>0</v>
      </c>
      <c r="I34" s="44">
        <f t="shared" si="2"/>
        <v>24387188.690791756</v>
      </c>
      <c r="J34" s="27">
        <f t="shared" si="0"/>
        <v>-699336.30920824409</v>
      </c>
      <c r="K34" s="36">
        <f t="shared" si="1"/>
        <v>-2.7876970174555628E-2</v>
      </c>
      <c r="L34" s="10">
        <f t="shared" si="3"/>
        <v>2.7876970174555628E-2</v>
      </c>
      <c r="M34" s="135">
        <f t="shared" si="4"/>
        <v>489071273377.00879</v>
      </c>
      <c r="N34" s="135">
        <f t="shared" si="5"/>
        <v>-482330.43648742884</v>
      </c>
      <c r="O34" s="135">
        <f t="shared" si="6"/>
        <v>232642649962.15363</v>
      </c>
      <c r="P34"/>
    </row>
    <row r="35" spans="1:18" x14ac:dyDescent="0.2">
      <c r="A35" s="43">
        <v>42643</v>
      </c>
      <c r="B35" s="44">
        <f>Inputs!D56</f>
        <v>21516383</v>
      </c>
      <c r="C35" s="44">
        <f t="shared" si="7"/>
        <v>123.35454545454546</v>
      </c>
      <c r="D35" s="44">
        <v>30</v>
      </c>
      <c r="E35" s="109">
        <v>0</v>
      </c>
      <c r="F35" s="130">
        <v>0</v>
      </c>
      <c r="G35" s="137">
        <f>Inputs!G56+Inputs!I56+Inputs!L56</f>
        <v>13366</v>
      </c>
      <c r="H35" s="137">
        <v>0</v>
      </c>
      <c r="I35" s="44">
        <f t="shared" si="2"/>
        <v>21927069.861048341</v>
      </c>
      <c r="J35" s="27">
        <f t="shared" si="0"/>
        <v>410686.8610483408</v>
      </c>
      <c r="K35" s="36">
        <f t="shared" si="1"/>
        <v>1.9087170043791318E-2</v>
      </c>
      <c r="L35" s="10">
        <f t="shared" si="3"/>
        <v>1.9087170043791318E-2</v>
      </c>
      <c r="M35" s="135">
        <f t="shared" si="4"/>
        <v>168663697837.7392</v>
      </c>
      <c r="N35" s="135">
        <f t="shared" si="5"/>
        <v>1110023.1702565849</v>
      </c>
      <c r="O35" s="135">
        <f t="shared" si="6"/>
        <v>1232151438506.4792</v>
      </c>
      <c r="P35"/>
    </row>
    <row r="36" spans="1:18" x14ac:dyDescent="0.2">
      <c r="A36" s="43">
        <v>42674</v>
      </c>
      <c r="B36" s="44">
        <f>Inputs!D57</f>
        <v>22851618</v>
      </c>
      <c r="C36" s="44">
        <f t="shared" si="7"/>
        <v>312.07272727272726</v>
      </c>
      <c r="D36" s="44">
        <v>31</v>
      </c>
      <c r="E36" s="109">
        <v>1</v>
      </c>
      <c r="F36" s="130">
        <v>0</v>
      </c>
      <c r="G36" s="137">
        <f>Inputs!G57+Inputs!I57+Inputs!L57</f>
        <v>13364</v>
      </c>
      <c r="H36" s="137">
        <v>0</v>
      </c>
      <c r="I36" s="44">
        <f t="shared" si="2"/>
        <v>23707245.825510185</v>
      </c>
      <c r="J36" s="27">
        <f t="shared" si="0"/>
        <v>855627.82551018521</v>
      </c>
      <c r="K36" s="36">
        <f t="shared" si="1"/>
        <v>3.7442767751070631E-2</v>
      </c>
      <c r="L36" s="10">
        <f t="shared" si="3"/>
        <v>3.7442767751070631E-2</v>
      </c>
      <c r="M36" s="135">
        <f t="shared" si="4"/>
        <v>732098975787.28796</v>
      </c>
      <c r="N36" s="135">
        <f t="shared" si="5"/>
        <v>444940.96446184441</v>
      </c>
      <c r="O36" s="135">
        <f t="shared" si="6"/>
        <v>197972461856.2363</v>
      </c>
      <c r="P36"/>
    </row>
    <row r="37" spans="1:18" x14ac:dyDescent="0.2">
      <c r="A37" s="43">
        <v>42704</v>
      </c>
      <c r="B37" s="44">
        <f>Inputs!D58</f>
        <v>24193372</v>
      </c>
      <c r="C37" s="44">
        <f t="shared" si="7"/>
        <v>496.43636363636364</v>
      </c>
      <c r="D37" s="44">
        <v>30</v>
      </c>
      <c r="E37" s="109">
        <v>1</v>
      </c>
      <c r="F37" s="130">
        <v>0</v>
      </c>
      <c r="G37" s="137">
        <f>Inputs!G58+Inputs!I58+Inputs!L58</f>
        <v>13392</v>
      </c>
      <c r="H37" s="137">
        <v>0</v>
      </c>
      <c r="I37" s="44">
        <f t="shared" si="2"/>
        <v>25428212.92777634</v>
      </c>
      <c r="J37" s="27">
        <f t="shared" si="0"/>
        <v>1234840.9277763404</v>
      </c>
      <c r="K37" s="36">
        <f t="shared" si="1"/>
        <v>5.1040463800430154E-2</v>
      </c>
      <c r="L37" s="10">
        <f t="shared" si="3"/>
        <v>5.1040463800430154E-2</v>
      </c>
      <c r="M37" s="135">
        <f t="shared" si="4"/>
        <v>1524832116911.5332</v>
      </c>
      <c r="N37" s="135">
        <f t="shared" si="5"/>
        <v>379213.10226615518</v>
      </c>
      <c r="O37" s="135">
        <f t="shared" si="6"/>
        <v>143802576930.32147</v>
      </c>
      <c r="P37"/>
    </row>
    <row r="38" spans="1:18" x14ac:dyDescent="0.2">
      <c r="A38" s="43">
        <v>42735</v>
      </c>
      <c r="B38" s="44">
        <f>Inputs!D59</f>
        <v>28341333</v>
      </c>
      <c r="C38" s="44">
        <f t="shared" si="7"/>
        <v>679.73636363636365</v>
      </c>
      <c r="D38" s="44">
        <v>31</v>
      </c>
      <c r="E38" s="109">
        <v>0</v>
      </c>
      <c r="F38" s="130">
        <v>0</v>
      </c>
      <c r="G38" s="137">
        <f>Inputs!G59+Inputs!I59+Inputs!L59</f>
        <v>13406</v>
      </c>
      <c r="H38" s="137">
        <v>0</v>
      </c>
      <c r="I38" s="44">
        <f t="shared" si="2"/>
        <v>29281047.729110621</v>
      </c>
      <c r="J38" s="27">
        <f t="shared" si="0"/>
        <v>939714.72911062092</v>
      </c>
      <c r="K38" s="36">
        <f t="shared" si="1"/>
        <v>3.315704060605127E-2</v>
      </c>
      <c r="L38" s="10">
        <f t="shared" si="3"/>
        <v>3.315704060605127E-2</v>
      </c>
      <c r="M38" s="135">
        <f t="shared" si="4"/>
        <v>883063772107.44763</v>
      </c>
      <c r="N38" s="135">
        <f t="shared" si="5"/>
        <v>-295126.19866571948</v>
      </c>
      <c r="O38" s="135">
        <f t="shared" si="6"/>
        <v>87099473138.877716</v>
      </c>
      <c r="P38"/>
    </row>
    <row r="39" spans="1:18" x14ac:dyDescent="0.2">
      <c r="A39" s="43">
        <v>42766</v>
      </c>
      <c r="B39" s="44">
        <f>Inputs!D60</f>
        <v>29369246</v>
      </c>
      <c r="C39" s="44">
        <f t="shared" si="7"/>
        <v>834.24545454545466</v>
      </c>
      <c r="D39" s="44">
        <v>31</v>
      </c>
      <c r="E39" s="109">
        <v>0</v>
      </c>
      <c r="F39" s="130">
        <v>0</v>
      </c>
      <c r="G39" s="137">
        <f>Inputs!G60+Inputs!I60+Inputs!L60</f>
        <v>13414</v>
      </c>
      <c r="H39" s="137">
        <v>0</v>
      </c>
      <c r="I39" s="44">
        <f t="shared" si="2"/>
        <v>31167318.758847218</v>
      </c>
      <c r="J39" s="27">
        <f t="shared" si="0"/>
        <v>1798072.758847218</v>
      </c>
      <c r="K39" s="36">
        <f t="shared" si="1"/>
        <v>6.1222979944640661E-2</v>
      </c>
      <c r="L39" s="10">
        <f t="shared" si="3"/>
        <v>6.1222979944640661E-2</v>
      </c>
      <c r="M39" s="135">
        <f t="shared" si="4"/>
        <v>3233065646108.4458</v>
      </c>
      <c r="N39" s="135">
        <f t="shared" si="5"/>
        <v>858358.02973659709</v>
      </c>
      <c r="O39" s="135">
        <f t="shared" si="6"/>
        <v>736778507213.29285</v>
      </c>
      <c r="P39"/>
    </row>
    <row r="40" spans="1:18" x14ac:dyDescent="0.2">
      <c r="A40" s="43">
        <v>42794</v>
      </c>
      <c r="B40" s="44">
        <f>Inputs!D61</f>
        <v>26144559</v>
      </c>
      <c r="C40" s="44">
        <f t="shared" si="7"/>
        <v>763.4909090909091</v>
      </c>
      <c r="D40" s="44">
        <v>28</v>
      </c>
      <c r="E40" s="109">
        <v>0</v>
      </c>
      <c r="F40" s="130">
        <v>0</v>
      </c>
      <c r="G40" s="137">
        <f>Inputs!G61+Inputs!I61+Inputs!L61</f>
        <v>13414</v>
      </c>
      <c r="H40" s="137">
        <v>0</v>
      </c>
      <c r="I40" s="44">
        <f t="shared" si="2"/>
        <v>28658747.060290769</v>
      </c>
      <c r="J40" s="27">
        <f t="shared" si="0"/>
        <v>2514188.0602907687</v>
      </c>
      <c r="K40" s="36">
        <f t="shared" si="1"/>
        <v>9.6164867814017008E-2</v>
      </c>
      <c r="L40" s="10">
        <f t="shared" si="3"/>
        <v>9.6164867814017008E-2</v>
      </c>
      <c r="M40" s="135">
        <f t="shared" si="4"/>
        <v>6321141602508.6582</v>
      </c>
      <c r="N40" s="135">
        <f t="shared" si="5"/>
        <v>716115.30144355074</v>
      </c>
      <c r="O40" s="135">
        <f t="shared" si="6"/>
        <v>512821124961.58752</v>
      </c>
      <c r="P40"/>
    </row>
    <row r="41" spans="1:18" x14ac:dyDescent="0.2">
      <c r="A41" s="43">
        <v>42825</v>
      </c>
      <c r="B41" s="44">
        <f>Inputs!D62</f>
        <v>28985084</v>
      </c>
      <c r="C41" s="44">
        <f t="shared" si="7"/>
        <v>663.67272727272734</v>
      </c>
      <c r="D41" s="44">
        <v>31</v>
      </c>
      <c r="E41" s="109">
        <v>1</v>
      </c>
      <c r="F41" s="130">
        <v>0</v>
      </c>
      <c r="G41" s="137">
        <f>Inputs!G62+Inputs!I62+Inputs!L62</f>
        <v>13412</v>
      </c>
      <c r="H41" s="137">
        <v>0</v>
      </c>
      <c r="I41" s="44">
        <f t="shared" si="2"/>
        <v>28031602.111131817</v>
      </c>
      <c r="J41" s="27">
        <f t="shared" si="0"/>
        <v>-953481.8888681829</v>
      </c>
      <c r="K41" s="36">
        <f t="shared" si="1"/>
        <v>-3.2895605507583935E-2</v>
      </c>
      <c r="L41" s="10">
        <f t="shared" si="3"/>
        <v>3.2895605507583935E-2</v>
      </c>
      <c r="M41" s="135">
        <f t="shared" si="4"/>
        <v>909127712399.63794</v>
      </c>
      <c r="N41" s="135">
        <f t="shared" si="5"/>
        <v>-3467669.9491589516</v>
      </c>
      <c r="O41" s="135">
        <f t="shared" si="6"/>
        <v>12024734876300.047</v>
      </c>
      <c r="P41"/>
    </row>
    <row r="42" spans="1:18" x14ac:dyDescent="0.2">
      <c r="A42" s="43">
        <v>42855</v>
      </c>
      <c r="B42" s="44">
        <f>Inputs!D63</f>
        <v>22823269</v>
      </c>
      <c r="C42" s="44">
        <f t="shared" si="7"/>
        <v>423.24545454545455</v>
      </c>
      <c r="D42" s="44">
        <v>30</v>
      </c>
      <c r="E42" s="109">
        <v>1</v>
      </c>
      <c r="F42" s="130">
        <v>0</v>
      </c>
      <c r="G42" s="137">
        <f>Inputs!G63+Inputs!I63+Inputs!L63</f>
        <v>13422</v>
      </c>
      <c r="H42" s="137">
        <v>0</v>
      </c>
      <c r="I42" s="44">
        <f t="shared" si="2"/>
        <v>24570941.413705744</v>
      </c>
      <c r="J42" s="27">
        <f t="shared" si="0"/>
        <v>1747672.4137057438</v>
      </c>
      <c r="K42" s="36">
        <f t="shared" si="1"/>
        <v>7.6574149553499268E-2</v>
      </c>
      <c r="L42" s="10">
        <f t="shared" si="3"/>
        <v>7.6574149553499268E-2</v>
      </c>
      <c r="M42" s="135">
        <f t="shared" si="4"/>
        <v>3054358865628.0605</v>
      </c>
      <c r="N42" s="135">
        <f t="shared" si="5"/>
        <v>2701154.3025739267</v>
      </c>
      <c r="O42" s="135">
        <f t="shared" si="6"/>
        <v>7296234566313.6367</v>
      </c>
      <c r="P42"/>
    </row>
    <row r="43" spans="1:18" x14ac:dyDescent="0.2">
      <c r="A43" s="43">
        <v>42886</v>
      </c>
      <c r="B43" s="44">
        <f>Inputs!D64</f>
        <v>22196746</v>
      </c>
      <c r="C43" s="44">
        <f t="shared" si="7"/>
        <v>211.25454545454542</v>
      </c>
      <c r="D43" s="44">
        <v>31</v>
      </c>
      <c r="E43" s="109">
        <v>1</v>
      </c>
      <c r="F43" s="130">
        <v>0</v>
      </c>
      <c r="G43" s="137">
        <f>Inputs!G64+Inputs!I64+Inputs!L64</f>
        <v>13437</v>
      </c>
      <c r="H43" s="137">
        <v>0</v>
      </c>
      <c r="I43" s="44">
        <f t="shared" si="2"/>
        <v>22560367.85210428</v>
      </c>
      <c r="J43" s="27">
        <f t="shared" si="0"/>
        <v>363621.85210428014</v>
      </c>
      <c r="K43" s="36">
        <f t="shared" si="1"/>
        <v>1.6381763890269328E-2</v>
      </c>
      <c r="L43" s="10">
        <f t="shared" si="3"/>
        <v>1.6381763890269328E-2</v>
      </c>
      <c r="M43" s="135">
        <f t="shared" si="4"/>
        <v>132220851327.74698</v>
      </c>
      <c r="N43" s="135">
        <f t="shared" si="5"/>
        <v>-1384050.5616014637</v>
      </c>
      <c r="O43" s="135">
        <f t="shared" si="6"/>
        <v>1915595957069.3271</v>
      </c>
      <c r="P43"/>
    </row>
    <row r="44" spans="1:18" x14ac:dyDescent="0.2">
      <c r="A44" s="43">
        <v>42916</v>
      </c>
      <c r="B44" s="44">
        <f>Inputs!D65</f>
        <v>21339393</v>
      </c>
      <c r="C44" s="44">
        <f t="shared" si="7"/>
        <v>79.27272727272728</v>
      </c>
      <c r="D44" s="44">
        <v>30</v>
      </c>
      <c r="E44" s="109">
        <v>0</v>
      </c>
      <c r="F44" s="130">
        <v>0</v>
      </c>
      <c r="G44" s="137">
        <f>Inputs!G65+Inputs!I65+Inputs!L65</f>
        <v>13468</v>
      </c>
      <c r="H44" s="137">
        <v>0</v>
      </c>
      <c r="I44" s="44">
        <f t="shared" si="2"/>
        <v>21500801.82179185</v>
      </c>
      <c r="J44" s="27">
        <f t="shared" si="0"/>
        <v>161408.82179185003</v>
      </c>
      <c r="K44" s="36">
        <f t="shared" si="1"/>
        <v>7.5638900221693291E-3</v>
      </c>
      <c r="L44" s="10">
        <f t="shared" si="3"/>
        <v>7.5638900221693291E-3</v>
      </c>
      <c r="M44" s="135">
        <f t="shared" si="4"/>
        <v>26052807752.2332</v>
      </c>
      <c r="N44" s="135">
        <f t="shared" si="5"/>
        <v>-202213.03031243011</v>
      </c>
      <c r="O44" s="135">
        <f t="shared" si="6"/>
        <v>40890109628.13578</v>
      </c>
      <c r="P44"/>
    </row>
    <row r="45" spans="1:18" x14ac:dyDescent="0.2">
      <c r="A45" s="43">
        <v>42947</v>
      </c>
      <c r="B45" s="44">
        <f>Inputs!D66</f>
        <v>22953227</v>
      </c>
      <c r="C45" s="44">
        <f t="shared" si="7"/>
        <v>27.636363636363637</v>
      </c>
      <c r="D45" s="44">
        <v>31</v>
      </c>
      <c r="E45" s="109">
        <v>0</v>
      </c>
      <c r="F45" s="130">
        <v>1</v>
      </c>
      <c r="G45" s="137">
        <f>Inputs!G66+Inputs!I66+Inputs!L66</f>
        <v>13466</v>
      </c>
      <c r="H45" s="137">
        <v>0</v>
      </c>
      <c r="I45" s="44">
        <f t="shared" si="2"/>
        <v>24345620.712300763</v>
      </c>
      <c r="J45" s="27">
        <f t="shared" si="0"/>
        <v>1392393.7123007625</v>
      </c>
      <c r="K45" s="36">
        <f t="shared" si="1"/>
        <v>6.0662220275204112E-2</v>
      </c>
      <c r="L45" s="10">
        <f t="shared" si="3"/>
        <v>6.0662220275204112E-2</v>
      </c>
      <c r="M45" s="135">
        <f t="shared" si="4"/>
        <v>1938760250054.6987</v>
      </c>
      <c r="N45" s="135">
        <f t="shared" si="5"/>
        <v>1230984.8905089125</v>
      </c>
      <c r="O45" s="135">
        <f t="shared" si="6"/>
        <v>1515323800661.2393</v>
      </c>
      <c r="P45"/>
    </row>
    <row r="46" spans="1:18" x14ac:dyDescent="0.2">
      <c r="A46" s="43">
        <v>42978</v>
      </c>
      <c r="B46" s="44">
        <f>Inputs!D67</f>
        <v>22947367</v>
      </c>
      <c r="C46" s="44">
        <f t="shared" si="7"/>
        <v>40.327272727272721</v>
      </c>
      <c r="D46" s="44">
        <v>31</v>
      </c>
      <c r="E46" s="109">
        <v>0</v>
      </c>
      <c r="F46" s="130">
        <v>1</v>
      </c>
      <c r="G46" s="137">
        <f>Inputs!G67+Inputs!I67+Inputs!L67</f>
        <v>13469</v>
      </c>
      <c r="H46" s="137">
        <v>0</v>
      </c>
      <c r="I46" s="44">
        <f t="shared" si="2"/>
        <v>24503067.121099666</v>
      </c>
      <c r="J46" s="27">
        <f t="shared" si="0"/>
        <v>1555700.1210996658</v>
      </c>
      <c r="K46" s="36">
        <f t="shared" si="1"/>
        <v>6.7794275530594236E-2</v>
      </c>
      <c r="L46" s="10">
        <f t="shared" si="3"/>
        <v>6.7794275530594236E-2</v>
      </c>
      <c r="M46" s="135">
        <f t="shared" si="4"/>
        <v>2420202866789.5146</v>
      </c>
      <c r="N46" s="135">
        <f t="shared" si="5"/>
        <v>163306.40879890323</v>
      </c>
      <c r="O46" s="135">
        <f t="shared" si="6"/>
        <v>26668983154.794498</v>
      </c>
      <c r="P46"/>
    </row>
    <row r="47" spans="1:18" x14ac:dyDescent="0.2">
      <c r="A47" s="43">
        <v>43008</v>
      </c>
      <c r="B47" s="44">
        <f>Inputs!D68</f>
        <v>21826159</v>
      </c>
      <c r="C47" s="44">
        <f t="shared" si="7"/>
        <v>123.35454545454546</v>
      </c>
      <c r="D47" s="44">
        <v>30</v>
      </c>
      <c r="E47" s="109">
        <v>0</v>
      </c>
      <c r="F47" s="130">
        <v>0</v>
      </c>
      <c r="G47" s="137">
        <f>Inputs!G68+Inputs!I68+Inputs!L68</f>
        <v>13463</v>
      </c>
      <c r="H47" s="137">
        <v>0</v>
      </c>
      <c r="I47" s="44">
        <f t="shared" si="2"/>
        <v>22031145.85863971</v>
      </c>
      <c r="J47" s="27">
        <f t="shared" si="0"/>
        <v>204986.85863970965</v>
      </c>
      <c r="K47" s="36">
        <f t="shared" si="1"/>
        <v>9.39179718427368E-3</v>
      </c>
      <c r="L47" s="10">
        <f t="shared" si="3"/>
        <v>9.39179718427368E-3</v>
      </c>
      <c r="M47" s="135">
        <f t="shared" si="4"/>
        <v>42019612214.976311</v>
      </c>
      <c r="N47" s="135">
        <f t="shared" si="5"/>
        <v>-1350713.2624599561</v>
      </c>
      <c r="O47" s="135">
        <f t="shared" si="6"/>
        <v>1824426317385.2183</v>
      </c>
      <c r="P47"/>
    </row>
    <row r="48" spans="1:18" x14ac:dyDescent="0.2">
      <c r="A48" s="43">
        <v>43039</v>
      </c>
      <c r="B48" s="44">
        <f>Inputs!D69</f>
        <v>22377976</v>
      </c>
      <c r="C48" s="44">
        <f t="shared" si="7"/>
        <v>312.07272727272726</v>
      </c>
      <c r="D48" s="44">
        <v>31</v>
      </c>
      <c r="E48" s="109">
        <v>1</v>
      </c>
      <c r="F48" s="130">
        <v>0</v>
      </c>
      <c r="G48" s="137">
        <f>Inputs!G69+Inputs!I69+Inputs!L69</f>
        <v>13474</v>
      </c>
      <c r="H48" s="137">
        <v>0</v>
      </c>
      <c r="I48" s="44">
        <f t="shared" si="2"/>
        <v>23825270.152675651</v>
      </c>
      <c r="J48" s="27">
        <f t="shared" si="0"/>
        <v>1447294.152675651</v>
      </c>
      <c r="K48" s="36">
        <f t="shared" si="1"/>
        <v>6.4674935422026153E-2</v>
      </c>
      <c r="L48" s="10">
        <f t="shared" si="3"/>
        <v>6.4674935422026153E-2</v>
      </c>
      <c r="M48" s="135">
        <f t="shared" si="4"/>
        <v>2094660364369.1306</v>
      </c>
      <c r="N48" s="135">
        <f t="shared" si="5"/>
        <v>1242307.2940359414</v>
      </c>
      <c r="O48" s="135">
        <f t="shared" si="6"/>
        <v>1543327412814.9028</v>
      </c>
      <c r="P48"/>
    </row>
    <row r="49" spans="1:16" x14ac:dyDescent="0.2">
      <c r="A49" s="43">
        <v>43069</v>
      </c>
      <c r="B49" s="44">
        <f>Inputs!D70</f>
        <v>25903115</v>
      </c>
      <c r="C49" s="44">
        <f t="shared" si="7"/>
        <v>496.43636363636364</v>
      </c>
      <c r="D49" s="44">
        <v>30</v>
      </c>
      <c r="E49" s="109">
        <v>1</v>
      </c>
      <c r="F49" s="130">
        <v>0</v>
      </c>
      <c r="G49" s="137">
        <f>Inputs!G70+Inputs!I70+Inputs!L70</f>
        <v>13483</v>
      </c>
      <c r="H49" s="137">
        <v>0</v>
      </c>
      <c r="I49" s="44">
        <f t="shared" si="2"/>
        <v>25525851.234795041</v>
      </c>
      <c r="J49" s="27">
        <f t="shared" si="0"/>
        <v>-377263.76520495862</v>
      </c>
      <c r="K49" s="36">
        <f t="shared" si="1"/>
        <v>-1.4564416874378183E-2</v>
      </c>
      <c r="L49" s="10">
        <f t="shared" si="3"/>
        <v>1.4564416874378183E-2</v>
      </c>
      <c r="M49" s="135">
        <f t="shared" si="4"/>
        <v>142327948536.62213</v>
      </c>
      <c r="N49" s="135">
        <f t="shared" si="5"/>
        <v>-1824557.9178806096</v>
      </c>
      <c r="O49" s="135">
        <f t="shared" si="6"/>
        <v>3329011595700.8257</v>
      </c>
      <c r="P49"/>
    </row>
    <row r="50" spans="1:16" x14ac:dyDescent="0.2">
      <c r="A50" s="43">
        <v>43100</v>
      </c>
      <c r="B50" s="44">
        <f>Inputs!D71</f>
        <v>30421258</v>
      </c>
      <c r="C50" s="44">
        <f t="shared" si="7"/>
        <v>679.73636363636365</v>
      </c>
      <c r="D50" s="44">
        <v>31</v>
      </c>
      <c r="E50" s="109">
        <v>0</v>
      </c>
      <c r="F50" s="130">
        <v>0</v>
      </c>
      <c r="G50" s="137">
        <f>Inputs!G71+Inputs!I71+Inputs!L71</f>
        <v>13491</v>
      </c>
      <c r="H50" s="137">
        <v>0</v>
      </c>
      <c r="I50" s="44">
        <f t="shared" si="2"/>
        <v>29372248.345556661</v>
      </c>
      <c r="J50" s="27">
        <f t="shared" si="0"/>
        <v>-1049009.6544433385</v>
      </c>
      <c r="K50" s="36">
        <f t="shared" si="1"/>
        <v>-3.4482783533913638E-2</v>
      </c>
      <c r="L50" s="10">
        <f t="shared" si="3"/>
        <v>3.4482783533913638E-2</v>
      </c>
      <c r="M50" s="135">
        <f t="shared" si="4"/>
        <v>1100421255115.3325</v>
      </c>
      <c r="N50" s="135">
        <f t="shared" si="5"/>
        <v>-671745.8892383799</v>
      </c>
      <c r="O50" s="135">
        <f t="shared" si="6"/>
        <v>451242539708.66174</v>
      </c>
      <c r="P50"/>
    </row>
    <row r="51" spans="1:16" x14ac:dyDescent="0.2">
      <c r="A51" s="43">
        <v>43131</v>
      </c>
      <c r="B51" s="44">
        <f>Inputs!D72</f>
        <v>32733608</v>
      </c>
      <c r="C51" s="44">
        <f t="shared" si="7"/>
        <v>834.24545454545466</v>
      </c>
      <c r="D51" s="44">
        <v>31</v>
      </c>
      <c r="E51" s="109">
        <v>0</v>
      </c>
      <c r="F51" s="130">
        <v>0</v>
      </c>
      <c r="G51" s="137">
        <f>Inputs!G72+Inputs!I72+Inputs!L72</f>
        <v>13479</v>
      </c>
      <c r="H51" s="137">
        <v>0</v>
      </c>
      <c r="I51" s="44">
        <f t="shared" si="2"/>
        <v>31237060.406717718</v>
      </c>
      <c r="J51" s="27">
        <f t="shared" si="0"/>
        <v>-1496547.5932822824</v>
      </c>
      <c r="K51" s="36">
        <f t="shared" si="1"/>
        <v>-4.5718992947012815E-2</v>
      </c>
      <c r="L51" s="10">
        <f t="shared" si="3"/>
        <v>4.5718992947012815E-2</v>
      </c>
      <c r="M51" s="135">
        <f t="shared" si="4"/>
        <v>2239654698958.9917</v>
      </c>
      <c r="N51" s="135">
        <f t="shared" si="5"/>
        <v>-447537.93883894384</v>
      </c>
      <c r="O51" s="135">
        <f t="shared" si="6"/>
        <v>200290206700.21024</v>
      </c>
      <c r="P51"/>
    </row>
    <row r="52" spans="1:16" x14ac:dyDescent="0.2">
      <c r="A52" s="43">
        <v>43159</v>
      </c>
      <c r="B52" s="44">
        <f>Inputs!D73</f>
        <v>27371745</v>
      </c>
      <c r="C52" s="44">
        <f t="shared" si="7"/>
        <v>763.4909090909091</v>
      </c>
      <c r="D52" s="44">
        <v>28</v>
      </c>
      <c r="E52" s="109">
        <v>0</v>
      </c>
      <c r="F52" s="130">
        <v>0</v>
      </c>
      <c r="G52" s="137">
        <f>Inputs!G73+Inputs!I73+Inputs!L73</f>
        <v>13547</v>
      </c>
      <c r="H52" s="137">
        <v>0</v>
      </c>
      <c r="I52" s="44">
        <f t="shared" si="2"/>
        <v>28801449.2013181</v>
      </c>
      <c r="J52" s="27">
        <f t="shared" si="0"/>
        <v>1429704.2013181001</v>
      </c>
      <c r="K52" s="36">
        <f t="shared" si="1"/>
        <v>5.2232848191377648E-2</v>
      </c>
      <c r="L52" s="10">
        <f t="shared" si="3"/>
        <v>5.2232848191377648E-2</v>
      </c>
      <c r="M52" s="135">
        <f t="shared" si="4"/>
        <v>2044054103266.6265</v>
      </c>
      <c r="N52" s="135">
        <f t="shared" si="5"/>
        <v>2926251.7946003824</v>
      </c>
      <c r="O52" s="135">
        <f t="shared" si="6"/>
        <v>8562949565401.959</v>
      </c>
      <c r="P52"/>
    </row>
    <row r="53" spans="1:16" x14ac:dyDescent="0.2">
      <c r="A53" s="43">
        <v>43190</v>
      </c>
      <c r="B53" s="44">
        <f>Inputs!D74</f>
        <v>27619983</v>
      </c>
      <c r="C53" s="44">
        <f t="shared" si="7"/>
        <v>663.67272727272734</v>
      </c>
      <c r="D53" s="44">
        <v>31</v>
      </c>
      <c r="E53" s="109">
        <v>1</v>
      </c>
      <c r="F53" s="130">
        <v>0</v>
      </c>
      <c r="G53" s="137">
        <f>Inputs!G74+Inputs!I74+Inputs!L74</f>
        <v>13545</v>
      </c>
      <c r="H53" s="137">
        <v>0</v>
      </c>
      <c r="I53" s="44">
        <f t="shared" si="2"/>
        <v>28174304.252159152</v>
      </c>
      <c r="J53" s="27">
        <f t="shared" si="0"/>
        <v>554321.25215915218</v>
      </c>
      <c r="K53" s="36">
        <f t="shared" si="1"/>
        <v>2.0069572532291281E-2</v>
      </c>
      <c r="L53" s="10">
        <f t="shared" si="3"/>
        <v>2.0069572532291281E-2</v>
      </c>
      <c r="M53" s="135">
        <f t="shared" si="4"/>
        <v>307272050595.29041</v>
      </c>
      <c r="N53" s="135">
        <f t="shared" si="5"/>
        <v>-875382.94915894791</v>
      </c>
      <c r="O53" s="135">
        <f t="shared" si="6"/>
        <v>766295307678.21716</v>
      </c>
      <c r="P53"/>
    </row>
    <row r="54" spans="1:16" x14ac:dyDescent="0.2">
      <c r="A54" s="43">
        <v>43220</v>
      </c>
      <c r="B54" s="44">
        <f>Inputs!D75</f>
        <v>25333746</v>
      </c>
      <c r="C54" s="44">
        <f t="shared" si="7"/>
        <v>423.24545454545455</v>
      </c>
      <c r="D54" s="44">
        <v>30</v>
      </c>
      <c r="E54" s="109">
        <v>1</v>
      </c>
      <c r="F54" s="130">
        <v>0</v>
      </c>
      <c r="G54" s="137">
        <f>Inputs!G75+Inputs!I75+Inputs!L75</f>
        <v>13570</v>
      </c>
      <c r="H54" s="137">
        <v>0</v>
      </c>
      <c r="I54" s="44">
        <f t="shared" si="2"/>
        <v>24729737.781164728</v>
      </c>
      <c r="J54" s="27">
        <f t="shared" si="0"/>
        <v>-604008.21883527189</v>
      </c>
      <c r="K54" s="36">
        <f t="shared" si="1"/>
        <v>-2.3842041316561393E-2</v>
      </c>
      <c r="L54" s="10">
        <f t="shared" si="3"/>
        <v>2.3842041316561393E-2</v>
      </c>
      <c r="M54" s="135">
        <f t="shared" si="4"/>
        <v>364825928420.55768</v>
      </c>
      <c r="N54" s="135">
        <f t="shared" si="5"/>
        <v>-1158329.4709944241</v>
      </c>
      <c r="O54" s="135">
        <f t="shared" si="6"/>
        <v>1341727163374.2224</v>
      </c>
      <c r="P54"/>
    </row>
    <row r="55" spans="1:16" x14ac:dyDescent="0.2">
      <c r="A55" s="43">
        <v>43251</v>
      </c>
      <c r="B55" s="44">
        <f>Inputs!D76</f>
        <v>21970207</v>
      </c>
      <c r="C55" s="44">
        <f t="shared" si="7"/>
        <v>211.25454545454542</v>
      </c>
      <c r="D55" s="44">
        <v>31</v>
      </c>
      <c r="E55" s="109">
        <v>1</v>
      </c>
      <c r="F55" s="130">
        <v>0</v>
      </c>
      <c r="G55" s="137">
        <f>Inputs!G76+Inputs!I76+Inputs!L76</f>
        <v>13573</v>
      </c>
      <c r="H55" s="137">
        <v>0</v>
      </c>
      <c r="I55" s="44">
        <f t="shared" si="2"/>
        <v>22706288.838417947</v>
      </c>
      <c r="J55" s="27">
        <f t="shared" si="0"/>
        <v>736081.83841794729</v>
      </c>
      <c r="K55" s="36">
        <f t="shared" si="1"/>
        <v>3.3503636921488597E-2</v>
      </c>
      <c r="L55" s="10">
        <f t="shared" si="3"/>
        <v>3.3503636921488597E-2</v>
      </c>
      <c r="M55" s="135">
        <f t="shared" si="4"/>
        <v>541816472848.74506</v>
      </c>
      <c r="N55" s="135">
        <f t="shared" si="5"/>
        <v>1340090.0572532192</v>
      </c>
      <c r="O55" s="135">
        <f t="shared" si="6"/>
        <v>1795841361548.9363</v>
      </c>
      <c r="P55"/>
    </row>
    <row r="56" spans="1:16" x14ac:dyDescent="0.2">
      <c r="A56" s="43">
        <v>43281</v>
      </c>
      <c r="B56" s="44">
        <f>Inputs!D77</f>
        <v>22053298</v>
      </c>
      <c r="C56" s="44">
        <f t="shared" si="7"/>
        <v>79.27272727272728</v>
      </c>
      <c r="D56" s="44">
        <v>30</v>
      </c>
      <c r="E56" s="109">
        <v>0</v>
      </c>
      <c r="F56" s="130">
        <v>0</v>
      </c>
      <c r="G56" s="137">
        <f>Inputs!G77+Inputs!I77+Inputs!L77</f>
        <v>13581</v>
      </c>
      <c r="H56" s="137">
        <v>0</v>
      </c>
      <c r="I56" s="44">
        <f t="shared" si="2"/>
        <v>21622044.994243644</v>
      </c>
      <c r="J56" s="27">
        <f t="shared" si="0"/>
        <v>-431253.00575635582</v>
      </c>
      <c r="K56" s="36">
        <f t="shared" si="1"/>
        <v>-1.95550346146121E-2</v>
      </c>
      <c r="L56" s="10">
        <f t="shared" si="3"/>
        <v>1.95550346146121E-2</v>
      </c>
      <c r="M56" s="135">
        <f t="shared" si="4"/>
        <v>185979154973.89148</v>
      </c>
      <c r="N56" s="135">
        <f t="shared" si="5"/>
        <v>-1167334.8441743031</v>
      </c>
      <c r="O56" s="135">
        <f t="shared" si="6"/>
        <v>1362670638423.4446</v>
      </c>
      <c r="P56"/>
    </row>
    <row r="57" spans="1:16" x14ac:dyDescent="0.2">
      <c r="A57" s="43">
        <v>43312</v>
      </c>
      <c r="B57" s="44">
        <f>Inputs!D78</f>
        <v>25386186</v>
      </c>
      <c r="C57" s="44">
        <f t="shared" si="7"/>
        <v>27.636363636363637</v>
      </c>
      <c r="D57" s="44">
        <v>31</v>
      </c>
      <c r="E57" s="109">
        <v>0</v>
      </c>
      <c r="F57" s="130">
        <v>1</v>
      </c>
      <c r="G57" s="137">
        <f>Inputs!G78+Inputs!I78+Inputs!L78</f>
        <v>13593</v>
      </c>
      <c r="H57" s="137">
        <v>0</v>
      </c>
      <c r="I57" s="44">
        <f t="shared" si="2"/>
        <v>24481885.162755433</v>
      </c>
      <c r="J57" s="27">
        <f t="shared" si="0"/>
        <v>-904300.83724456653</v>
      </c>
      <c r="K57" s="36">
        <f t="shared" si="1"/>
        <v>-3.5621768360342372E-2</v>
      </c>
      <c r="L57" s="10">
        <f t="shared" si="3"/>
        <v>3.5621768360342372E-2</v>
      </c>
      <c r="M57" s="135">
        <f t="shared" si="4"/>
        <v>817760004241.224</v>
      </c>
      <c r="N57" s="135">
        <f t="shared" si="5"/>
        <v>-473047.83148821071</v>
      </c>
      <c r="O57" s="135">
        <f t="shared" si="6"/>
        <v>223774250875.69861</v>
      </c>
      <c r="P57"/>
    </row>
    <row r="58" spans="1:16" x14ac:dyDescent="0.2">
      <c r="A58" s="43">
        <v>43343</v>
      </c>
      <c r="B58" s="44">
        <f>Inputs!D79</f>
        <v>24965359</v>
      </c>
      <c r="C58" s="44">
        <f t="shared" si="7"/>
        <v>40.327272727272721</v>
      </c>
      <c r="D58" s="44">
        <v>31</v>
      </c>
      <c r="E58" s="109">
        <v>0</v>
      </c>
      <c r="F58" s="130">
        <v>1</v>
      </c>
      <c r="G58" s="137">
        <f>Inputs!G79+Inputs!I79+Inputs!L79</f>
        <v>13615</v>
      </c>
      <c r="H58" s="137">
        <v>0</v>
      </c>
      <c r="I58" s="44">
        <f t="shared" si="2"/>
        <v>24659717.591701098</v>
      </c>
      <c r="J58" s="27">
        <f t="shared" si="0"/>
        <v>-305641.40829890221</v>
      </c>
      <c r="K58" s="36">
        <f t="shared" si="1"/>
        <v>-1.2242620196204758E-2</v>
      </c>
      <c r="L58" s="10">
        <f t="shared" si="3"/>
        <v>1.2242620196204758E-2</v>
      </c>
      <c r="M58" s="135">
        <f t="shared" si="4"/>
        <v>93416670466.936249</v>
      </c>
      <c r="N58" s="135">
        <f t="shared" si="5"/>
        <v>598659.42894566432</v>
      </c>
      <c r="O58" s="135">
        <f t="shared" si="6"/>
        <v>358393111865.54889</v>
      </c>
      <c r="P58"/>
    </row>
    <row r="59" spans="1:16" x14ac:dyDescent="0.2">
      <c r="A59" s="43">
        <v>43373</v>
      </c>
      <c r="B59" s="44">
        <f>Inputs!D80</f>
        <v>22184261</v>
      </c>
      <c r="C59" s="44">
        <f t="shared" si="7"/>
        <v>123.35454545454546</v>
      </c>
      <c r="D59" s="44">
        <v>30</v>
      </c>
      <c r="E59" s="109">
        <v>0</v>
      </c>
      <c r="F59" s="130">
        <v>0</v>
      </c>
      <c r="G59" s="137">
        <f>Inputs!G80+Inputs!I80+Inputs!L80</f>
        <v>13615</v>
      </c>
      <c r="H59" s="137">
        <v>0</v>
      </c>
      <c r="I59" s="44">
        <f t="shared" si="2"/>
        <v>22194234.019813802</v>
      </c>
      <c r="J59" s="27">
        <f t="shared" si="0"/>
        <v>9973.0198138020933</v>
      </c>
      <c r="K59" s="36">
        <f t="shared" si="1"/>
        <v>4.4955384422325781E-4</v>
      </c>
      <c r="L59" s="10">
        <f t="shared" si="3"/>
        <v>4.4955384422325781E-4</v>
      </c>
      <c r="M59" s="135">
        <f t="shared" si="4"/>
        <v>99461124.206489146</v>
      </c>
      <c r="N59" s="135">
        <f t="shared" si="5"/>
        <v>315614.42811270431</v>
      </c>
      <c r="O59" s="135">
        <f t="shared" si="6"/>
        <v>99612467232.909393</v>
      </c>
      <c r="P59"/>
    </row>
    <row r="60" spans="1:16" x14ac:dyDescent="0.2">
      <c r="A60" s="43">
        <v>43404</v>
      </c>
      <c r="B60" s="44">
        <f>Inputs!D81</f>
        <v>24204812</v>
      </c>
      <c r="C60" s="44">
        <f t="shared" si="7"/>
        <v>312.07272727272726</v>
      </c>
      <c r="D60" s="44">
        <v>31</v>
      </c>
      <c r="E60" s="109">
        <v>1</v>
      </c>
      <c r="F60" s="130">
        <v>0</v>
      </c>
      <c r="G60" s="137">
        <f>Inputs!G81+Inputs!I81+Inputs!L81</f>
        <v>13624</v>
      </c>
      <c r="H60" s="137">
        <v>0</v>
      </c>
      <c r="I60" s="44">
        <f t="shared" si="2"/>
        <v>23986212.416992191</v>
      </c>
      <c r="J60" s="27">
        <f t="shared" si="0"/>
        <v>-218599.58300780877</v>
      </c>
      <c r="K60" s="36">
        <f t="shared" si="1"/>
        <v>-9.0312448205674464E-3</v>
      </c>
      <c r="L60" s="10">
        <f t="shared" si="3"/>
        <v>9.0312448205674464E-3</v>
      </c>
      <c r="M60" s="135">
        <f t="shared" si="4"/>
        <v>47785777691.187881</v>
      </c>
      <c r="N60" s="135">
        <f t="shared" si="5"/>
        <v>-228572.60282161087</v>
      </c>
      <c r="O60" s="135">
        <f t="shared" si="6"/>
        <v>52245434760.645874</v>
      </c>
      <c r="P60"/>
    </row>
    <row r="61" spans="1:16" x14ac:dyDescent="0.2">
      <c r="A61" s="43">
        <v>43434</v>
      </c>
      <c r="B61" s="44">
        <f>Inputs!D82</f>
        <v>26802618</v>
      </c>
      <c r="C61" s="44">
        <f t="shared" si="7"/>
        <v>496.43636363636364</v>
      </c>
      <c r="D61" s="44">
        <v>30</v>
      </c>
      <c r="E61" s="109">
        <v>1</v>
      </c>
      <c r="F61" s="130">
        <v>0</v>
      </c>
      <c r="G61" s="137">
        <f>Inputs!G82+Inputs!I82+Inputs!L82</f>
        <v>13634</v>
      </c>
      <c r="H61" s="137">
        <v>0</v>
      </c>
      <c r="I61" s="44">
        <f t="shared" si="2"/>
        <v>25687866.447540361</v>
      </c>
      <c r="J61" s="27">
        <f t="shared" si="0"/>
        <v>-1114751.5524596386</v>
      </c>
      <c r="K61" s="36">
        <f t="shared" si="1"/>
        <v>-4.1591144285220143E-2</v>
      </c>
      <c r="L61" s="10">
        <f t="shared" si="3"/>
        <v>4.1591144285220143E-2</v>
      </c>
      <c r="M61" s="135">
        <f t="shared" si="4"/>
        <v>1242671023711.1743</v>
      </c>
      <c r="N61" s="135">
        <f t="shared" si="5"/>
        <v>-896151.96945182979</v>
      </c>
      <c r="O61" s="135">
        <f t="shared" si="6"/>
        <v>803088352352.39331</v>
      </c>
      <c r="P61"/>
    </row>
    <row r="62" spans="1:16" x14ac:dyDescent="0.2">
      <c r="A62" s="43">
        <v>43465</v>
      </c>
      <c r="B62" s="44">
        <f>Inputs!D83</f>
        <v>28621650</v>
      </c>
      <c r="C62" s="44">
        <f t="shared" si="7"/>
        <v>679.73636363636365</v>
      </c>
      <c r="D62" s="44">
        <v>31</v>
      </c>
      <c r="E62" s="109">
        <v>0</v>
      </c>
      <c r="F62" s="130">
        <v>0</v>
      </c>
      <c r="G62" s="137">
        <f>Inputs!G83+Inputs!I83+Inputs!L83</f>
        <v>13644</v>
      </c>
      <c r="H62" s="137">
        <v>0</v>
      </c>
      <c r="I62" s="44">
        <f t="shared" si="2"/>
        <v>29536409.45515953</v>
      </c>
      <c r="J62" s="27">
        <f t="shared" si="0"/>
        <v>914759.45515953004</v>
      </c>
      <c r="K62" s="36">
        <f t="shared" si="1"/>
        <v>3.1960402533031118E-2</v>
      </c>
      <c r="L62" s="10">
        <f t="shared" si="3"/>
        <v>3.1960402533031118E-2</v>
      </c>
      <c r="M62" s="135">
        <f t="shared" si="4"/>
        <v>836784860803.76025</v>
      </c>
      <c r="N62" s="135">
        <f t="shared" si="5"/>
        <v>2029511.0076191686</v>
      </c>
      <c r="O62" s="135">
        <f t="shared" si="6"/>
        <v>4118914930047.373</v>
      </c>
      <c r="P62"/>
    </row>
    <row r="63" spans="1:16" x14ac:dyDescent="0.2">
      <c r="A63" s="43">
        <v>43496</v>
      </c>
      <c r="B63" s="44">
        <f>Inputs!D84</f>
        <v>32743936.59</v>
      </c>
      <c r="C63" s="44">
        <f t="shared" si="7"/>
        <v>834.24545454545466</v>
      </c>
      <c r="D63" s="44">
        <v>31</v>
      </c>
      <c r="E63" s="109">
        <v>0</v>
      </c>
      <c r="F63" s="130">
        <v>0</v>
      </c>
      <c r="G63" s="137">
        <f>Inputs!G84+Inputs!I84+Inputs!L84</f>
        <v>13661</v>
      </c>
      <c r="H63" s="137">
        <v>0</v>
      </c>
      <c r="I63" s="44">
        <f t="shared" si="2"/>
        <v>31432337.020755123</v>
      </c>
      <c r="J63" s="27">
        <f t="shared" si="0"/>
        <v>-1311599.5692448765</v>
      </c>
      <c r="K63" s="36">
        <f t="shared" si="1"/>
        <v>-4.0056257916326381E-2</v>
      </c>
      <c r="L63" s="10">
        <f t="shared" si="3"/>
        <v>4.0056257916326381E-2</v>
      </c>
      <c r="M63" s="135">
        <f t="shared" si="4"/>
        <v>1720293430043.3457</v>
      </c>
      <c r="N63" s="135">
        <f t="shared" si="5"/>
        <v>-2226359.0244044065</v>
      </c>
      <c r="O63" s="135">
        <f t="shared" si="6"/>
        <v>4956674505546.9404</v>
      </c>
      <c r="P63"/>
    </row>
    <row r="64" spans="1:16" x14ac:dyDescent="0.2">
      <c r="A64" s="43">
        <v>43524</v>
      </c>
      <c r="B64" s="44">
        <f>Inputs!D85</f>
        <v>28440395.719999999</v>
      </c>
      <c r="C64" s="44">
        <f t="shared" si="7"/>
        <v>763.4909090909091</v>
      </c>
      <c r="D64" s="44">
        <v>28</v>
      </c>
      <c r="E64" s="109">
        <v>0</v>
      </c>
      <c r="F64" s="130">
        <v>0</v>
      </c>
      <c r="G64" s="137">
        <f>Inputs!G85+Inputs!I85+Inputs!L85</f>
        <v>13667</v>
      </c>
      <c r="H64" s="137">
        <v>0</v>
      </c>
      <c r="I64" s="44">
        <f t="shared" si="2"/>
        <v>28930203.012771331</v>
      </c>
      <c r="J64" s="27">
        <f t="shared" si="0"/>
        <v>489807.29277133197</v>
      </c>
      <c r="K64" s="36">
        <f t="shared" si="1"/>
        <v>1.7222239015010864E-2</v>
      </c>
      <c r="L64" s="10">
        <f t="shared" si="3"/>
        <v>1.7222239015010864E-2</v>
      </c>
      <c r="M64" s="135">
        <f t="shared" si="4"/>
        <v>239911184051.98129</v>
      </c>
      <c r="N64" s="135">
        <f t="shared" si="5"/>
        <v>1801406.8620162085</v>
      </c>
      <c r="O64" s="135">
        <f t="shared" si="6"/>
        <v>3245066682519.083</v>
      </c>
      <c r="P64"/>
    </row>
    <row r="65" spans="1:16" x14ac:dyDescent="0.2">
      <c r="A65" s="43">
        <v>43555</v>
      </c>
      <c r="B65" s="44">
        <f>Inputs!D86</f>
        <v>29353455.600000001</v>
      </c>
      <c r="C65" s="44">
        <f t="shared" si="7"/>
        <v>663.67272727272734</v>
      </c>
      <c r="D65" s="44">
        <v>31</v>
      </c>
      <c r="E65" s="109">
        <v>1</v>
      </c>
      <c r="F65" s="130">
        <v>0</v>
      </c>
      <c r="G65" s="137">
        <f>Inputs!G86+Inputs!I86+Inputs!L86</f>
        <v>13695</v>
      </c>
      <c r="H65" s="137">
        <v>0</v>
      </c>
      <c r="I65" s="44">
        <f t="shared" si="2"/>
        <v>28335246.516475692</v>
      </c>
      <c r="J65" s="27">
        <f t="shared" si="0"/>
        <v>-1018209.0835243091</v>
      </c>
      <c r="K65" s="36">
        <f t="shared" si="1"/>
        <v>-3.4687877890748543E-2</v>
      </c>
      <c r="L65" s="10">
        <f t="shared" si="3"/>
        <v>3.4687877890748543E-2</v>
      </c>
      <c r="M65" s="135">
        <f t="shared" si="4"/>
        <v>1036749737771.4135</v>
      </c>
      <c r="N65" s="135">
        <f t="shared" si="5"/>
        <v>-1508016.3762956411</v>
      </c>
      <c r="O65" s="135">
        <f t="shared" si="6"/>
        <v>2274113391175.8364</v>
      </c>
    </row>
    <row r="66" spans="1:16" x14ac:dyDescent="0.2">
      <c r="A66" s="43">
        <v>43585</v>
      </c>
      <c r="B66" s="44">
        <f>Inputs!D87</f>
        <v>24614385.100000001</v>
      </c>
      <c r="C66" s="44">
        <f t="shared" si="7"/>
        <v>423.24545454545455</v>
      </c>
      <c r="D66" s="44">
        <v>30</v>
      </c>
      <c r="E66" s="109">
        <v>1</v>
      </c>
      <c r="F66" s="130">
        <v>0</v>
      </c>
      <c r="G66" s="137">
        <f>Inputs!G87+Inputs!I87+Inputs!L87</f>
        <v>13703</v>
      </c>
      <c r="H66" s="137">
        <v>0</v>
      </c>
      <c r="I66" s="44">
        <f t="shared" si="2"/>
        <v>24872439.922192063</v>
      </c>
      <c r="J66" s="27">
        <f t="shared" si="0"/>
        <v>258054.82219206169</v>
      </c>
      <c r="K66" s="36">
        <f t="shared" si="1"/>
        <v>1.04839028537041E-2</v>
      </c>
      <c r="L66" s="10">
        <f t="shared" si="3"/>
        <v>1.04839028537041E-2</v>
      </c>
      <c r="M66" s="135">
        <f t="shared" si="4"/>
        <v>66592291256.576576</v>
      </c>
      <c r="N66" s="135">
        <f t="shared" si="5"/>
        <v>1276263.9057163708</v>
      </c>
      <c r="O66" s="135">
        <f t="shared" si="6"/>
        <v>1628849557034.4053</v>
      </c>
    </row>
    <row r="67" spans="1:16" x14ac:dyDescent="0.2">
      <c r="A67" s="43">
        <v>43616</v>
      </c>
      <c r="B67" s="44">
        <f>Inputs!D88</f>
        <v>22757878</v>
      </c>
      <c r="C67" s="44">
        <f t="shared" si="7"/>
        <v>211.25454545454542</v>
      </c>
      <c r="D67" s="44">
        <v>31</v>
      </c>
      <c r="E67" s="109">
        <v>1</v>
      </c>
      <c r="F67" s="130">
        <v>0</v>
      </c>
      <c r="G67" s="137">
        <f>Inputs!G88+Inputs!I88+Inputs!L88</f>
        <v>13708</v>
      </c>
      <c r="H67" s="137">
        <v>0</v>
      </c>
      <c r="I67" s="44">
        <f t="shared" si="2"/>
        <v>22851136.876302831</v>
      </c>
      <c r="J67" s="27">
        <f t="shared" ref="J67:J130" si="8">I67-B67</f>
        <v>93258.876302830875</v>
      </c>
      <c r="K67" s="36">
        <f t="shared" ref="K67:K130" si="9">J67/B67</f>
        <v>4.0978722314457825E-3</v>
      </c>
      <c r="L67" s="10">
        <f t="shared" si="3"/>
        <v>4.0978722314457825E-3</v>
      </c>
      <c r="M67" s="135">
        <f t="shared" si="4"/>
        <v>8697218009.2667103</v>
      </c>
      <c r="N67" s="135">
        <f t="shared" si="5"/>
        <v>-164795.94588923082</v>
      </c>
      <c r="O67" s="135">
        <f t="shared" si="6"/>
        <v>27157703781.526291</v>
      </c>
    </row>
    <row r="68" spans="1:16" x14ac:dyDescent="0.2">
      <c r="A68" s="43">
        <v>43646</v>
      </c>
      <c r="B68" s="44">
        <f>Inputs!D89</f>
        <v>21375937</v>
      </c>
      <c r="C68" s="44">
        <f t="shared" si="7"/>
        <v>79.27272727272728</v>
      </c>
      <c r="D68" s="44">
        <v>30</v>
      </c>
      <c r="E68" s="109">
        <v>0</v>
      </c>
      <c r="F68" s="130">
        <v>0</v>
      </c>
      <c r="G68" s="137">
        <f>Inputs!G89+Inputs!I89+Inputs!L89</f>
        <v>13714</v>
      </c>
      <c r="H68" s="137">
        <v>0</v>
      </c>
      <c r="I68" s="44">
        <f t="shared" ref="I68:I131" si="10">$R$18+$R$19*C68+$R$20*D68+$R$21*E68+$R$22*F68+$R$23*G68+$R$24*H68</f>
        <v>21764747.135270976</v>
      </c>
      <c r="J68" s="27">
        <f t="shared" si="8"/>
        <v>388810.13527097553</v>
      </c>
      <c r="K68" s="36">
        <f t="shared" si="9"/>
        <v>1.8189150504652758E-2</v>
      </c>
      <c r="L68" s="10">
        <f t="shared" ref="L68:L131" si="11">ABS(K68)</f>
        <v>1.8189150504652758E-2</v>
      </c>
      <c r="M68" s="135">
        <f t="shared" ref="M68:M131" si="12">J68*J68</f>
        <v>151173321289.4343</v>
      </c>
      <c r="N68" s="135">
        <f t="shared" si="5"/>
        <v>295551.25896814466</v>
      </c>
      <c r="O68" s="135">
        <f t="shared" si="6"/>
        <v>87350546677.655304</v>
      </c>
    </row>
    <row r="69" spans="1:16" x14ac:dyDescent="0.2">
      <c r="A69" s="43">
        <v>43677</v>
      </c>
      <c r="B69" s="44">
        <f>Inputs!D90</f>
        <v>25496655.219999999</v>
      </c>
      <c r="C69" s="44">
        <f t="shared" si="7"/>
        <v>27.636363636363637</v>
      </c>
      <c r="D69" s="44">
        <v>31</v>
      </c>
      <c r="E69" s="109">
        <v>0</v>
      </c>
      <c r="F69" s="130">
        <v>1</v>
      </c>
      <c r="G69" s="137">
        <f>Inputs!G90+Inputs!I90+Inputs!L90</f>
        <v>13721</v>
      </c>
      <c r="H69" s="137">
        <v>0</v>
      </c>
      <c r="I69" s="44">
        <f t="shared" si="10"/>
        <v>24619222.561638884</v>
      </c>
      <c r="J69" s="27">
        <f t="shared" si="8"/>
        <v>-877432.65836111456</v>
      </c>
      <c r="K69" s="36">
        <f t="shared" si="9"/>
        <v>-3.4413637819945962E-2</v>
      </c>
      <c r="L69" s="10">
        <f t="shared" si="11"/>
        <v>3.4413637819945962E-2</v>
      </c>
      <c r="M69" s="135">
        <f t="shared" si="12"/>
        <v>769888069958.65234</v>
      </c>
      <c r="N69" s="135">
        <f t="shared" ref="N69:N132" si="13">J69-J68</f>
        <v>-1266242.7936320901</v>
      </c>
      <c r="O69" s="135">
        <f t="shared" ref="O69:O132" si="14">N69*N69</f>
        <v>1603370812425.2</v>
      </c>
    </row>
    <row r="70" spans="1:16" x14ac:dyDescent="0.2">
      <c r="A70" s="43">
        <v>43708</v>
      </c>
      <c r="B70" s="44">
        <f>Inputs!D91</f>
        <v>23892941.600000001</v>
      </c>
      <c r="C70" s="44">
        <f t="shared" si="7"/>
        <v>40.327272727272721</v>
      </c>
      <c r="D70" s="44">
        <v>31</v>
      </c>
      <c r="E70" s="109">
        <v>0</v>
      </c>
      <c r="F70" s="130">
        <v>1</v>
      </c>
      <c r="G70" s="137">
        <f>Inputs!G91+Inputs!I91+Inputs!L91</f>
        <v>13733</v>
      </c>
      <c r="H70" s="137">
        <v>0</v>
      </c>
      <c r="I70" s="44">
        <f t="shared" si="10"/>
        <v>24786325.506296776</v>
      </c>
      <c r="J70" s="27">
        <f t="shared" si="8"/>
        <v>893383.90629677474</v>
      </c>
      <c r="K70" s="36">
        <f t="shared" si="9"/>
        <v>3.7391122501918082E-2</v>
      </c>
      <c r="L70" s="10">
        <f t="shared" si="11"/>
        <v>3.7391122501918082E-2</v>
      </c>
      <c r="M70" s="135">
        <f t="shared" si="12"/>
        <v>798134804030.08435</v>
      </c>
      <c r="N70" s="135">
        <f t="shared" si="13"/>
        <v>1770816.5646578893</v>
      </c>
      <c r="O70" s="135">
        <f t="shared" si="14"/>
        <v>3135791305666.7686</v>
      </c>
    </row>
    <row r="71" spans="1:16" x14ac:dyDescent="0.2">
      <c r="A71" s="43">
        <v>43738</v>
      </c>
      <c r="B71" s="44">
        <f>Inputs!D92</f>
        <v>21583546.969999999</v>
      </c>
      <c r="C71" s="44">
        <f t="shared" si="7"/>
        <v>123.35454545454546</v>
      </c>
      <c r="D71" s="44">
        <v>30</v>
      </c>
      <c r="E71" s="109">
        <v>0</v>
      </c>
      <c r="F71" s="130">
        <v>0</v>
      </c>
      <c r="G71" s="137">
        <f>Inputs!G92+Inputs!I92+Inputs!L92</f>
        <v>13762</v>
      </c>
      <c r="H71" s="137">
        <v>0</v>
      </c>
      <c r="I71" s="44">
        <f t="shared" si="10"/>
        <v>22351957.438844014</v>
      </c>
      <c r="J71" s="27">
        <f t="shared" si="8"/>
        <v>768410.46884401515</v>
      </c>
      <c r="K71" s="36">
        <f t="shared" si="9"/>
        <v>3.5601677051138328E-2</v>
      </c>
      <c r="L71" s="10">
        <f t="shared" si="11"/>
        <v>3.5601677051138328E-2</v>
      </c>
      <c r="M71" s="135">
        <f t="shared" si="12"/>
        <v>590454648629.07922</v>
      </c>
      <c r="N71" s="135">
        <f t="shared" si="13"/>
        <v>-124973.43745275959</v>
      </c>
      <c r="O71" s="135">
        <f t="shared" si="14"/>
        <v>15618360068.758814</v>
      </c>
    </row>
    <row r="72" spans="1:16" x14ac:dyDescent="0.2">
      <c r="A72" s="43">
        <v>43769</v>
      </c>
      <c r="B72" s="44">
        <f>Inputs!D93</f>
        <v>23416882.789999999</v>
      </c>
      <c r="C72" s="44">
        <f t="shared" si="7"/>
        <v>312.07272727272726</v>
      </c>
      <c r="D72" s="44">
        <v>31</v>
      </c>
      <c r="E72" s="109">
        <v>1</v>
      </c>
      <c r="F72" s="130">
        <v>0</v>
      </c>
      <c r="G72" s="137">
        <f>Inputs!G93+Inputs!I93+Inputs!L93</f>
        <v>13762</v>
      </c>
      <c r="H72" s="137">
        <v>0</v>
      </c>
      <c r="I72" s="44">
        <f t="shared" si="10"/>
        <v>24134279.300163411</v>
      </c>
      <c r="J72" s="27">
        <f t="shared" si="8"/>
        <v>717396.5101634115</v>
      </c>
      <c r="K72" s="36">
        <f t="shared" si="9"/>
        <v>3.0635867147516756E-2</v>
      </c>
      <c r="L72" s="10">
        <f t="shared" si="11"/>
        <v>3.0635867147516756E-2</v>
      </c>
      <c r="M72" s="135">
        <f t="shared" si="12"/>
        <v>514657752794.64178</v>
      </c>
      <c r="N72" s="135">
        <f t="shared" si="13"/>
        <v>-51013.958680603653</v>
      </c>
      <c r="O72" s="135">
        <f t="shared" si="14"/>
        <v>2602423980.2663369</v>
      </c>
    </row>
    <row r="73" spans="1:16" x14ac:dyDescent="0.2">
      <c r="A73" s="43">
        <v>43799</v>
      </c>
      <c r="B73" s="44">
        <f>Inputs!D94</f>
        <v>27163548.379999999</v>
      </c>
      <c r="C73" s="44">
        <f t="shared" si="7"/>
        <v>496.43636363636364</v>
      </c>
      <c r="D73" s="44">
        <v>30</v>
      </c>
      <c r="E73" s="109">
        <v>1</v>
      </c>
      <c r="F73" s="130">
        <v>0</v>
      </c>
      <c r="G73" s="137">
        <f>Inputs!G94+Inputs!I94+Inputs!L94</f>
        <v>13761</v>
      </c>
      <c r="H73" s="137">
        <v>0</v>
      </c>
      <c r="I73" s="44">
        <f t="shared" si="10"/>
        <v>25824130.897995032</v>
      </c>
      <c r="J73" s="27">
        <f t="shared" si="8"/>
        <v>-1339417.4820049666</v>
      </c>
      <c r="K73" s="36">
        <f t="shared" si="9"/>
        <v>-4.9309370899096309E-2</v>
      </c>
      <c r="L73" s="10">
        <f t="shared" si="11"/>
        <v>4.9309370899096309E-2</v>
      </c>
      <c r="M73" s="135">
        <f t="shared" si="12"/>
        <v>1794039191100.5249</v>
      </c>
      <c r="N73" s="135">
        <f t="shared" si="13"/>
        <v>-2056813.9921683781</v>
      </c>
      <c r="O73" s="135">
        <f t="shared" si="14"/>
        <v>4230483798379.6211</v>
      </c>
    </row>
    <row r="74" spans="1:16" x14ac:dyDescent="0.2">
      <c r="A74" s="43">
        <v>43830</v>
      </c>
      <c r="B74" s="44">
        <f>Inputs!D95</f>
        <v>29112532.5</v>
      </c>
      <c r="C74" s="44">
        <f t="shared" si="7"/>
        <v>679.73636363636365</v>
      </c>
      <c r="D74" s="44">
        <v>31</v>
      </c>
      <c r="E74" s="109">
        <v>0</v>
      </c>
      <c r="F74" s="130">
        <v>0</v>
      </c>
      <c r="G74" s="137">
        <f>Inputs!G95+Inputs!I95+Inputs!L95</f>
        <v>13762</v>
      </c>
      <c r="H74" s="137">
        <v>0</v>
      </c>
      <c r="I74" s="44">
        <f t="shared" si="10"/>
        <v>29663017.369755212</v>
      </c>
      <c r="J74" s="27">
        <f t="shared" si="8"/>
        <v>550484.86975521222</v>
      </c>
      <c r="K74" s="36">
        <f t="shared" si="9"/>
        <v>1.8908862351814024E-2</v>
      </c>
      <c r="L74" s="10">
        <f t="shared" si="11"/>
        <v>1.8908862351814024E-2</v>
      </c>
      <c r="M74" s="135">
        <f t="shared" si="12"/>
        <v>303033591829.41296</v>
      </c>
      <c r="N74" s="135">
        <f t="shared" si="13"/>
        <v>1889902.3517601788</v>
      </c>
      <c r="O74" s="135">
        <f t="shared" si="14"/>
        <v>3571730899188.6548</v>
      </c>
    </row>
    <row r="75" spans="1:16" x14ac:dyDescent="0.2">
      <c r="A75" s="43">
        <v>43861</v>
      </c>
      <c r="B75" s="44">
        <f>Inputs!D96</f>
        <v>30452078</v>
      </c>
      <c r="C75" s="44">
        <f t="shared" si="7"/>
        <v>834.24545454545466</v>
      </c>
      <c r="D75" s="44">
        <v>31</v>
      </c>
      <c r="E75" s="109">
        <v>0</v>
      </c>
      <c r="F75" s="130">
        <v>0</v>
      </c>
      <c r="G75" s="137">
        <f>Inputs!G96+Inputs!I96+Inputs!L96</f>
        <v>13799</v>
      </c>
      <c r="H75" s="137">
        <v>0</v>
      </c>
      <c r="I75" s="44">
        <f t="shared" si="10"/>
        <v>31580403.903926343</v>
      </c>
      <c r="J75" s="27">
        <f t="shared" si="8"/>
        <v>1128325.9039263427</v>
      </c>
      <c r="K75" s="36">
        <f t="shared" si="9"/>
        <v>3.7052509320590295E-2</v>
      </c>
      <c r="L75" s="10">
        <f t="shared" si="11"/>
        <v>3.7052509320590295E-2</v>
      </c>
      <c r="M75" s="135">
        <f t="shared" si="12"/>
        <v>1273119345471.1985</v>
      </c>
      <c r="N75" s="135">
        <f t="shared" si="13"/>
        <v>577841.03417113051</v>
      </c>
      <c r="O75" s="135">
        <f t="shared" si="14"/>
        <v>333900260771.96161</v>
      </c>
      <c r="P75" s="37"/>
    </row>
    <row r="76" spans="1:16" x14ac:dyDescent="0.2">
      <c r="A76" s="43">
        <v>43890</v>
      </c>
      <c r="B76" s="44">
        <f>Inputs!D97</f>
        <v>28729836</v>
      </c>
      <c r="C76" s="44">
        <f t="shared" si="7"/>
        <v>763.4909090909091</v>
      </c>
      <c r="D76" s="44">
        <v>29</v>
      </c>
      <c r="E76" s="109">
        <v>0</v>
      </c>
      <c r="F76" s="130">
        <v>0</v>
      </c>
      <c r="G76" s="137">
        <f>Inputs!G97+Inputs!I97+Inputs!L97</f>
        <v>13808</v>
      </c>
      <c r="H76" s="137">
        <v>0</v>
      </c>
      <c r="I76" s="44">
        <f t="shared" si="10"/>
        <v>29631062.037400432</v>
      </c>
      <c r="J76" s="27">
        <f t="shared" si="8"/>
        <v>901226.03740043193</v>
      </c>
      <c r="K76" s="36">
        <f t="shared" si="9"/>
        <v>3.1368993453371331E-2</v>
      </c>
      <c r="L76" s="10">
        <f t="shared" si="11"/>
        <v>3.1368993453371331E-2</v>
      </c>
      <c r="M76" s="135">
        <f t="shared" si="12"/>
        <v>812208370488.48474</v>
      </c>
      <c r="N76" s="135">
        <f t="shared" si="13"/>
        <v>-227099.86652591079</v>
      </c>
      <c r="O76" s="135">
        <f t="shared" si="14"/>
        <v>51574349376.086502</v>
      </c>
    </row>
    <row r="77" spans="1:16" x14ac:dyDescent="0.2">
      <c r="A77" s="43">
        <v>43921</v>
      </c>
      <c r="B77" s="44">
        <f>Inputs!D98</f>
        <v>26931054</v>
      </c>
      <c r="C77" s="44">
        <f t="shared" si="7"/>
        <v>663.67272727272734</v>
      </c>
      <c r="D77" s="44">
        <v>31</v>
      </c>
      <c r="E77" s="109">
        <v>1</v>
      </c>
      <c r="F77" s="130">
        <v>0</v>
      </c>
      <c r="G77" s="137">
        <f>Inputs!G98+Inputs!I98+Inputs!L98</f>
        <v>13819</v>
      </c>
      <c r="H77" s="145">
        <v>0.5</v>
      </c>
      <c r="I77" s="44">
        <f t="shared" si="10"/>
        <v>27788560.23306695</v>
      </c>
      <c r="J77" s="27">
        <f t="shared" si="8"/>
        <v>857506.23306694999</v>
      </c>
      <c r="K77" s="36">
        <f t="shared" si="9"/>
        <v>3.1840797358579059E-2</v>
      </c>
      <c r="L77" s="10">
        <f t="shared" si="11"/>
        <v>3.1840797358579059E-2</v>
      </c>
      <c r="M77" s="135">
        <f t="shared" si="12"/>
        <v>735316939748.67041</v>
      </c>
      <c r="N77" s="135">
        <f t="shared" si="13"/>
        <v>-43719.804333481938</v>
      </c>
      <c r="O77" s="135">
        <f t="shared" si="14"/>
        <v>1911421290.9579461</v>
      </c>
    </row>
    <row r="78" spans="1:16" x14ac:dyDescent="0.2">
      <c r="A78" s="43">
        <v>43951</v>
      </c>
      <c r="B78" s="44">
        <f>Inputs!D99</f>
        <v>23177143</v>
      </c>
      <c r="C78" s="44">
        <f t="shared" si="7"/>
        <v>423.24545454545455</v>
      </c>
      <c r="D78" s="44">
        <v>30</v>
      </c>
      <c r="E78" s="109">
        <v>1</v>
      </c>
      <c r="F78" s="130">
        <v>0</v>
      </c>
      <c r="G78" s="137">
        <f>Inputs!G99+Inputs!I99+Inputs!L99</f>
        <v>13837</v>
      </c>
      <c r="H78" s="145">
        <v>1</v>
      </c>
      <c r="I78" s="44">
        <f t="shared" si="10"/>
        <v>23656751.234494001</v>
      </c>
      <c r="J78" s="27">
        <f t="shared" si="8"/>
        <v>479608.23449400067</v>
      </c>
      <c r="K78" s="36">
        <f t="shared" si="9"/>
        <v>2.0693155946528902E-2</v>
      </c>
      <c r="L78" s="10">
        <f t="shared" si="11"/>
        <v>2.0693155946528902E-2</v>
      </c>
      <c r="M78" s="135">
        <f t="shared" si="12"/>
        <v>230024058594.45233</v>
      </c>
      <c r="N78" s="135">
        <f t="shared" si="13"/>
        <v>-377897.99857294932</v>
      </c>
      <c r="O78" s="135">
        <f t="shared" si="14"/>
        <v>142806897325.4408</v>
      </c>
    </row>
    <row r="79" spans="1:16" x14ac:dyDescent="0.2">
      <c r="A79" s="43">
        <v>43982</v>
      </c>
      <c r="B79" s="44">
        <f>Inputs!D100</f>
        <v>22565297</v>
      </c>
      <c r="C79" s="44">
        <f t="shared" si="7"/>
        <v>211.25454545454542</v>
      </c>
      <c r="D79" s="44">
        <v>31</v>
      </c>
      <c r="E79" s="109">
        <v>1</v>
      </c>
      <c r="F79" s="130">
        <v>0</v>
      </c>
      <c r="G79" s="137">
        <f>Inputs!G100+Inputs!I100+Inputs!L100</f>
        <v>13842</v>
      </c>
      <c r="H79" s="145">
        <v>1</v>
      </c>
      <c r="I79" s="44">
        <f t="shared" si="10"/>
        <v>21635448.188604768</v>
      </c>
      <c r="J79" s="27">
        <f t="shared" si="8"/>
        <v>-929848.81139523163</v>
      </c>
      <c r="K79" s="36">
        <f t="shared" si="9"/>
        <v>-4.120702738347435E-2</v>
      </c>
      <c r="L79" s="10">
        <f t="shared" si="11"/>
        <v>4.120702738347435E-2</v>
      </c>
      <c r="M79" s="135">
        <f t="shared" si="12"/>
        <v>864618812053.125</v>
      </c>
      <c r="N79" s="135">
        <f t="shared" si="13"/>
        <v>-1409457.0458892323</v>
      </c>
      <c r="O79" s="135">
        <f t="shared" si="14"/>
        <v>1986569164206.8015</v>
      </c>
    </row>
    <row r="80" spans="1:16" x14ac:dyDescent="0.2">
      <c r="A80" s="43">
        <v>44012</v>
      </c>
      <c r="B80" s="44">
        <f>Inputs!D101</f>
        <v>22325604</v>
      </c>
      <c r="C80" s="44">
        <f t="shared" ref="C80:C143" si="15">C68</f>
        <v>79.27272727272728</v>
      </c>
      <c r="D80" s="44">
        <v>30</v>
      </c>
      <c r="E80" s="109">
        <v>0</v>
      </c>
      <c r="F80" s="130">
        <v>0</v>
      </c>
      <c r="G80" s="137">
        <f>Inputs!G101+Inputs!I101+Inputs!L101</f>
        <v>13845</v>
      </c>
      <c r="H80" s="145">
        <v>0.5</v>
      </c>
      <c r="I80" s="44">
        <f t="shared" si="10"/>
        <v>21225571.490863673</v>
      </c>
      <c r="J80" s="27">
        <f t="shared" si="8"/>
        <v>-1100032.5091363266</v>
      </c>
      <c r="K80" s="36">
        <f t="shared" si="9"/>
        <v>-4.9272239583588714E-2</v>
      </c>
      <c r="L80" s="10">
        <f t="shared" si="11"/>
        <v>4.9272239583588714E-2</v>
      </c>
      <c r="M80" s="135">
        <f t="shared" si="12"/>
        <v>1210071521156.7625</v>
      </c>
      <c r="N80" s="135">
        <f t="shared" si="13"/>
        <v>-170183.69774109498</v>
      </c>
      <c r="O80" s="135">
        <f t="shared" si="14"/>
        <v>28962490976.832375</v>
      </c>
    </row>
    <row r="81" spans="1:16" x14ac:dyDescent="0.2">
      <c r="A81" s="43">
        <v>44043</v>
      </c>
      <c r="B81" s="44">
        <f>Inputs!D102</f>
        <v>26178908</v>
      </c>
      <c r="C81" s="44">
        <f t="shared" si="15"/>
        <v>27.636363636363637</v>
      </c>
      <c r="D81" s="44">
        <v>31</v>
      </c>
      <c r="E81" s="109">
        <v>0</v>
      </c>
      <c r="F81" s="130">
        <v>1</v>
      </c>
      <c r="G81" s="137">
        <f>Inputs!G102+Inputs!I102+Inputs!L102</f>
        <v>13860</v>
      </c>
      <c r="H81" s="137">
        <v>0</v>
      </c>
      <c r="I81" s="44">
        <f t="shared" si="10"/>
        <v>24768362.39323888</v>
      </c>
      <c r="J81" s="27">
        <f t="shared" si="8"/>
        <v>-1410545.6067611203</v>
      </c>
      <c r="K81" s="36">
        <f t="shared" si="9"/>
        <v>-5.388099483603824E-2</v>
      </c>
      <c r="L81" s="10">
        <f t="shared" si="11"/>
        <v>5.388099483603824E-2</v>
      </c>
      <c r="M81" s="135">
        <f t="shared" si="12"/>
        <v>1989638908753.0969</v>
      </c>
      <c r="N81" s="135">
        <f t="shared" si="13"/>
        <v>-310513.09762479365</v>
      </c>
      <c r="O81" s="135">
        <f t="shared" si="14"/>
        <v>96418383796.544632</v>
      </c>
      <c r="P81"/>
    </row>
    <row r="82" spans="1:16" x14ac:dyDescent="0.2">
      <c r="A82" s="43">
        <v>44074</v>
      </c>
      <c r="B82" s="44">
        <f>Inputs!D103</f>
        <v>24180956</v>
      </c>
      <c r="C82" s="44">
        <f t="shared" si="15"/>
        <v>40.327272727272721</v>
      </c>
      <c r="D82" s="44">
        <v>31</v>
      </c>
      <c r="E82" s="109">
        <v>0</v>
      </c>
      <c r="F82" s="130">
        <v>1</v>
      </c>
      <c r="G82" s="137">
        <f>Inputs!G103+Inputs!I103+Inputs!L103</f>
        <v>13862</v>
      </c>
      <c r="H82" s="137">
        <v>0</v>
      </c>
      <c r="I82" s="44">
        <f t="shared" si="10"/>
        <v>24924735.853609003</v>
      </c>
      <c r="J82" s="27">
        <f t="shared" si="8"/>
        <v>743779.85360900313</v>
      </c>
      <c r="K82" s="36">
        <f t="shared" si="9"/>
        <v>3.0758910177455478E-2</v>
      </c>
      <c r="L82" s="10">
        <f t="shared" si="11"/>
        <v>3.0758910177455478E-2</v>
      </c>
      <c r="M82" s="135">
        <f t="shared" si="12"/>
        <v>553208470634.63013</v>
      </c>
      <c r="N82" s="135">
        <f t="shared" si="13"/>
        <v>2154325.4603701234</v>
      </c>
      <c r="O82" s="135">
        <f t="shared" si="14"/>
        <v>4641118189198.9443</v>
      </c>
      <c r="P82"/>
    </row>
    <row r="83" spans="1:16" x14ac:dyDescent="0.2">
      <c r="A83" s="43">
        <v>44104</v>
      </c>
      <c r="B83" s="44">
        <f>Inputs!D104</f>
        <v>21706905</v>
      </c>
      <c r="C83" s="44">
        <f t="shared" si="15"/>
        <v>123.35454545454546</v>
      </c>
      <c r="D83" s="44">
        <v>30</v>
      </c>
      <c r="E83" s="109">
        <v>0</v>
      </c>
      <c r="F83" s="130">
        <v>0</v>
      </c>
      <c r="G83" s="137">
        <f>Inputs!G104+Inputs!I104+Inputs!L104</f>
        <v>13883</v>
      </c>
      <c r="H83" s="137">
        <v>0</v>
      </c>
      <c r="I83" s="44">
        <f t="shared" si="10"/>
        <v>22481784.198726024</v>
      </c>
      <c r="J83" s="27">
        <f t="shared" si="8"/>
        <v>774879.19872602448</v>
      </c>
      <c r="K83" s="36">
        <f t="shared" si="9"/>
        <v>3.569735983669825E-2</v>
      </c>
      <c r="L83" s="10">
        <f t="shared" si="11"/>
        <v>3.569735983669825E-2</v>
      </c>
      <c r="M83" s="135">
        <f t="shared" si="12"/>
        <v>600437772618.28577</v>
      </c>
      <c r="N83" s="135">
        <f t="shared" si="13"/>
        <v>31099.345117021352</v>
      </c>
      <c r="O83" s="135">
        <f t="shared" si="14"/>
        <v>967169266.70759976</v>
      </c>
      <c r="P83"/>
    </row>
    <row r="84" spans="1:16" x14ac:dyDescent="0.2">
      <c r="A84" s="43">
        <v>44135</v>
      </c>
      <c r="B84" s="44">
        <f>Inputs!D105</f>
        <v>24121204</v>
      </c>
      <c r="C84" s="44">
        <f t="shared" si="15"/>
        <v>312.07272727272726</v>
      </c>
      <c r="D84" s="44">
        <v>31</v>
      </c>
      <c r="E84" s="109">
        <v>1</v>
      </c>
      <c r="F84" s="130">
        <v>0</v>
      </c>
      <c r="G84" s="137">
        <f>Inputs!G105+Inputs!I105+Inputs!L105</f>
        <v>13884</v>
      </c>
      <c r="H84" s="137">
        <v>0</v>
      </c>
      <c r="I84" s="44">
        <f t="shared" si="10"/>
        <v>24265179.008474197</v>
      </c>
      <c r="J84" s="27">
        <f t="shared" si="8"/>
        <v>143975.00847419724</v>
      </c>
      <c r="K84" s="36">
        <f t="shared" si="9"/>
        <v>5.968815174988663E-3</v>
      </c>
      <c r="L84" s="10">
        <f t="shared" si="11"/>
        <v>5.968815174988663E-3</v>
      </c>
      <c r="M84" s="135">
        <f t="shared" si="12"/>
        <v>20728803065.145168</v>
      </c>
      <c r="N84" s="135">
        <f t="shared" si="13"/>
        <v>-630904.19025182724</v>
      </c>
      <c r="O84" s="135">
        <f t="shared" si="14"/>
        <v>398040097277.31384</v>
      </c>
      <c r="P84"/>
    </row>
    <row r="85" spans="1:16" x14ac:dyDescent="0.2">
      <c r="A85" s="43">
        <v>44165</v>
      </c>
      <c r="B85" s="44">
        <f>Inputs!D106</f>
        <v>25126449</v>
      </c>
      <c r="C85" s="44">
        <f t="shared" si="15"/>
        <v>496.43636363636364</v>
      </c>
      <c r="D85" s="44">
        <v>30</v>
      </c>
      <c r="E85" s="109">
        <v>1</v>
      </c>
      <c r="F85" s="130">
        <v>0</v>
      </c>
      <c r="G85" s="137">
        <f>Inputs!G106+Inputs!I106+Inputs!L106</f>
        <v>13911</v>
      </c>
      <c r="H85" s="137">
        <v>0</v>
      </c>
      <c r="I85" s="44">
        <f t="shared" si="10"/>
        <v>25985073.162311576</v>
      </c>
      <c r="J85" s="27">
        <f t="shared" si="8"/>
        <v>858624.16231157631</v>
      </c>
      <c r="K85" s="36">
        <f t="shared" si="9"/>
        <v>3.4172125249834401E-2</v>
      </c>
      <c r="L85" s="10">
        <f t="shared" si="11"/>
        <v>3.4172125249834401E-2</v>
      </c>
      <c r="M85" s="135">
        <f t="shared" si="12"/>
        <v>737235452105.2561</v>
      </c>
      <c r="N85" s="135">
        <f t="shared" si="13"/>
        <v>714649.15383737907</v>
      </c>
      <c r="O85" s="135">
        <f t="shared" si="14"/>
        <v>510723413080.48187</v>
      </c>
      <c r="P85"/>
    </row>
    <row r="86" spans="1:16" x14ac:dyDescent="0.2">
      <c r="A86" s="43">
        <v>44196</v>
      </c>
      <c r="B86" s="44">
        <f>Inputs!D107</f>
        <v>28892268</v>
      </c>
      <c r="C86" s="44">
        <f t="shared" si="15"/>
        <v>679.73636363636365</v>
      </c>
      <c r="D86" s="44">
        <v>31</v>
      </c>
      <c r="E86" s="109">
        <v>0</v>
      </c>
      <c r="F86" s="130">
        <v>0</v>
      </c>
      <c r="G86" s="137">
        <f>Inputs!G107+Inputs!I107+Inputs!L107</f>
        <v>13936</v>
      </c>
      <c r="H86" s="137">
        <v>0</v>
      </c>
      <c r="I86" s="44">
        <f t="shared" si="10"/>
        <v>29849710.396362402</v>
      </c>
      <c r="J86" s="27">
        <f t="shared" si="8"/>
        <v>957442.39636240155</v>
      </c>
      <c r="K86" s="36">
        <f t="shared" si="9"/>
        <v>3.3138360628608372E-2</v>
      </c>
      <c r="L86" s="10">
        <f t="shared" si="11"/>
        <v>3.3138360628608372E-2</v>
      </c>
      <c r="M86" s="135">
        <f t="shared" si="12"/>
        <v>916695942352.17798</v>
      </c>
      <c r="N86" s="135">
        <f t="shared" si="13"/>
        <v>98818.234050825238</v>
      </c>
      <c r="O86" s="135">
        <f t="shared" si="14"/>
        <v>9765043380.9236774</v>
      </c>
      <c r="P86"/>
    </row>
    <row r="87" spans="1:16" x14ac:dyDescent="0.2">
      <c r="A87" s="43">
        <v>44227</v>
      </c>
      <c r="B87" s="44">
        <f>Inputs!D108</f>
        <v>29919109</v>
      </c>
      <c r="C87" s="44">
        <f t="shared" si="15"/>
        <v>834.24545454545466</v>
      </c>
      <c r="D87" s="44">
        <v>31</v>
      </c>
      <c r="E87" s="109">
        <v>0</v>
      </c>
      <c r="F87" s="130">
        <v>0</v>
      </c>
      <c r="G87" s="137">
        <f>Inputs!G108+Inputs!I108+Inputs!L108</f>
        <v>13940</v>
      </c>
      <c r="H87" s="137">
        <v>0</v>
      </c>
      <c r="I87" s="44">
        <f t="shared" si="10"/>
        <v>31731689.63238389</v>
      </c>
      <c r="J87" s="27">
        <f t="shared" si="8"/>
        <v>1812580.6323838905</v>
      </c>
      <c r="K87" s="36">
        <f t="shared" si="9"/>
        <v>6.0582707606162016E-2</v>
      </c>
      <c r="L87" s="10">
        <f t="shared" si="11"/>
        <v>6.0582707606162016E-2</v>
      </c>
      <c r="M87" s="135">
        <f t="shared" si="12"/>
        <v>3285448548893.1841</v>
      </c>
      <c r="N87" s="135">
        <f t="shared" si="13"/>
        <v>855138.2360214889</v>
      </c>
      <c r="O87" s="135">
        <f t="shared" si="14"/>
        <v>731261402705.9436</v>
      </c>
      <c r="P87"/>
    </row>
    <row r="88" spans="1:16" x14ac:dyDescent="0.2">
      <c r="A88" s="43">
        <v>44255</v>
      </c>
      <c r="B88" s="44">
        <f>Inputs!D109</f>
        <v>28503891</v>
      </c>
      <c r="C88" s="44">
        <f t="shared" si="15"/>
        <v>763.4909090909091</v>
      </c>
      <c r="D88" s="44">
        <v>28</v>
      </c>
      <c r="E88" s="109">
        <v>0</v>
      </c>
      <c r="F88" s="130">
        <v>0</v>
      </c>
      <c r="G88" s="137">
        <f>Inputs!G109+Inputs!I109+Inputs!L109</f>
        <v>13979</v>
      </c>
      <c r="H88" s="137">
        <v>0</v>
      </c>
      <c r="I88" s="44">
        <f t="shared" si="10"/>
        <v>29264962.922549739</v>
      </c>
      <c r="J88" s="27">
        <f t="shared" si="8"/>
        <v>761071.92254973948</v>
      </c>
      <c r="K88" s="36">
        <f t="shared" si="9"/>
        <v>2.6700632645197089E-2</v>
      </c>
      <c r="L88" s="10">
        <f t="shared" si="11"/>
        <v>2.6700632645197089E-2</v>
      </c>
      <c r="M88" s="135">
        <f t="shared" si="12"/>
        <v>579230471293.55664</v>
      </c>
      <c r="N88" s="135">
        <f t="shared" si="13"/>
        <v>-1051508.709834151</v>
      </c>
      <c r="O88" s="135">
        <f t="shared" si="14"/>
        <v>1105670566857.0808</v>
      </c>
      <c r="P88"/>
    </row>
    <row r="89" spans="1:16" x14ac:dyDescent="0.2">
      <c r="A89" s="43">
        <v>44286</v>
      </c>
      <c r="B89" s="44">
        <f>Inputs!D110</f>
        <v>27991373</v>
      </c>
      <c r="C89" s="44">
        <f t="shared" si="15"/>
        <v>663.67272727272734</v>
      </c>
      <c r="D89" s="44">
        <v>31</v>
      </c>
      <c r="E89" s="109">
        <v>1</v>
      </c>
      <c r="F89" s="130">
        <v>0</v>
      </c>
      <c r="G89" s="137">
        <f>Inputs!G110+Inputs!I110+Inputs!L110</f>
        <v>13988</v>
      </c>
      <c r="H89" s="137">
        <v>0</v>
      </c>
      <c r="I89" s="44">
        <f t="shared" si="10"/>
        <v>28649620.406107336</v>
      </c>
      <c r="J89" s="27">
        <f t="shared" si="8"/>
        <v>658247.40610733628</v>
      </c>
      <c r="K89" s="36">
        <f t="shared" si="9"/>
        <v>2.3516081405057777E-2</v>
      </c>
      <c r="L89" s="10">
        <f t="shared" si="11"/>
        <v>2.3516081405057777E-2</v>
      </c>
      <c r="M89" s="135">
        <f t="shared" si="12"/>
        <v>433289647647.0365</v>
      </c>
      <c r="N89" s="135">
        <f t="shared" si="13"/>
        <v>-102824.5164424032</v>
      </c>
      <c r="O89" s="135">
        <f t="shared" si="14"/>
        <v>10572881181.614046</v>
      </c>
      <c r="P89"/>
    </row>
    <row r="90" spans="1:16" x14ac:dyDescent="0.2">
      <c r="A90" s="43">
        <v>44316</v>
      </c>
      <c r="B90" s="44">
        <f>Inputs!D111</f>
        <v>23510679</v>
      </c>
      <c r="C90" s="44">
        <f t="shared" si="15"/>
        <v>423.24545454545455</v>
      </c>
      <c r="D90" s="44">
        <v>30</v>
      </c>
      <c r="E90" s="109">
        <v>1</v>
      </c>
      <c r="F90" s="130">
        <v>0</v>
      </c>
      <c r="G90" s="137">
        <f>Inputs!G111+Inputs!I111+Inputs!L111</f>
        <v>13990</v>
      </c>
      <c r="H90" s="137">
        <v>0</v>
      </c>
      <c r="I90" s="44">
        <f t="shared" si="10"/>
        <v>25180376.121251047</v>
      </c>
      <c r="J90" s="27">
        <f t="shared" si="8"/>
        <v>1669697.1212510467</v>
      </c>
      <c r="K90" s="36">
        <f t="shared" si="9"/>
        <v>7.1018668633562085E-2</v>
      </c>
      <c r="L90" s="10">
        <f t="shared" si="11"/>
        <v>7.1018668633562085E-2</v>
      </c>
      <c r="M90" s="135">
        <f t="shared" si="12"/>
        <v>2787888476714.0322</v>
      </c>
      <c r="N90" s="135">
        <f t="shared" si="13"/>
        <v>1011449.7151437104</v>
      </c>
      <c r="O90" s="135">
        <f t="shared" si="14"/>
        <v>1023030526264.2928</v>
      </c>
      <c r="P90"/>
    </row>
    <row r="91" spans="1:16" x14ac:dyDescent="0.2">
      <c r="A91" s="43">
        <v>44347</v>
      </c>
      <c r="B91" s="44">
        <f>Inputs!D112</f>
        <v>22807571</v>
      </c>
      <c r="C91" s="44">
        <f t="shared" si="15"/>
        <v>211.25454545454542</v>
      </c>
      <c r="D91" s="44">
        <v>31</v>
      </c>
      <c r="E91" s="109">
        <v>1</v>
      </c>
      <c r="F91" s="130">
        <v>0</v>
      </c>
      <c r="G91" s="137">
        <f>Inputs!G112+Inputs!I112+Inputs!L112</f>
        <v>14022</v>
      </c>
      <c r="H91" s="137">
        <v>0</v>
      </c>
      <c r="I91" s="44">
        <f t="shared" si="10"/>
        <v>23188042.682938792</v>
      </c>
      <c r="J91" s="27">
        <f t="shared" si="8"/>
        <v>380471.68293879181</v>
      </c>
      <c r="K91" s="36">
        <f t="shared" si="9"/>
        <v>1.6681815127914841E-2</v>
      </c>
      <c r="L91" s="10">
        <f t="shared" si="11"/>
        <v>1.6681815127914841E-2</v>
      </c>
      <c r="M91" s="135">
        <f t="shared" si="12"/>
        <v>144758701518.27652</v>
      </c>
      <c r="N91" s="135">
        <f t="shared" si="13"/>
        <v>-1289225.4383122548</v>
      </c>
      <c r="O91" s="135">
        <f t="shared" si="14"/>
        <v>1662102230791.4255</v>
      </c>
      <c r="P91"/>
    </row>
    <row r="92" spans="1:16" x14ac:dyDescent="0.2">
      <c r="A92" s="43">
        <v>44377</v>
      </c>
      <c r="B92" s="44">
        <f>Inputs!D113</f>
        <v>23479543</v>
      </c>
      <c r="C92" s="44">
        <f t="shared" si="15"/>
        <v>79.27272727272728</v>
      </c>
      <c r="D92" s="44">
        <v>30</v>
      </c>
      <c r="E92" s="109">
        <v>0</v>
      </c>
      <c r="F92" s="130">
        <v>0</v>
      </c>
      <c r="G92" s="137">
        <f>Inputs!G113+Inputs!I113+Inputs!L113</f>
        <v>14033</v>
      </c>
      <c r="H92" s="137">
        <v>0</v>
      </c>
      <c r="I92" s="44">
        <f t="shared" si="10"/>
        <v>22107017.684050821</v>
      </c>
      <c r="J92" s="27">
        <f t="shared" si="8"/>
        <v>-1372525.3159491792</v>
      </c>
      <c r="K92" s="36">
        <f t="shared" si="9"/>
        <v>-5.845621935440478E-2</v>
      </c>
      <c r="L92" s="10">
        <f t="shared" si="11"/>
        <v>5.845621935440478E-2</v>
      </c>
      <c r="M92" s="135">
        <f t="shared" si="12"/>
        <v>1883825742921.3943</v>
      </c>
      <c r="N92" s="135">
        <f t="shared" si="13"/>
        <v>-1752996.998887971</v>
      </c>
      <c r="O92" s="135">
        <f t="shared" si="14"/>
        <v>3072998478110.2329</v>
      </c>
      <c r="P92"/>
    </row>
    <row r="93" spans="1:16" x14ac:dyDescent="0.2">
      <c r="A93" s="43">
        <v>44408</v>
      </c>
      <c r="B93" s="44">
        <f>Inputs!D114</f>
        <v>24849711</v>
      </c>
      <c r="C93" s="44">
        <f t="shared" si="15"/>
        <v>27.636363636363637</v>
      </c>
      <c r="D93" s="44">
        <v>31</v>
      </c>
      <c r="E93" s="109">
        <v>0</v>
      </c>
      <c r="F93" s="130">
        <v>1</v>
      </c>
      <c r="G93" s="137">
        <f>Inputs!G114+Inputs!I114+Inputs!L114</f>
        <v>14035</v>
      </c>
      <c r="H93" s="137">
        <v>0</v>
      </c>
      <c r="I93" s="44">
        <f t="shared" si="10"/>
        <v>24956128.368274845</v>
      </c>
      <c r="J93" s="27">
        <f t="shared" si="8"/>
        <v>106417.36827484518</v>
      </c>
      <c r="K93" s="36">
        <f t="shared" si="9"/>
        <v>4.2824388692023494E-3</v>
      </c>
      <c r="L93" s="10">
        <f t="shared" si="11"/>
        <v>4.2824388692023494E-3</v>
      </c>
      <c r="M93" s="135">
        <f t="shared" si="12"/>
        <v>11324656270.544025</v>
      </c>
      <c r="N93" s="135">
        <f t="shared" si="13"/>
        <v>1478942.6842240244</v>
      </c>
      <c r="O93" s="135">
        <f t="shared" si="14"/>
        <v>2187271463219.7625</v>
      </c>
      <c r="P93"/>
    </row>
    <row r="94" spans="1:16" x14ac:dyDescent="0.2">
      <c r="A94" s="43">
        <v>44439</v>
      </c>
      <c r="B94" s="44">
        <f>Inputs!D115</f>
        <v>27059084</v>
      </c>
      <c r="C94" s="44">
        <f t="shared" si="15"/>
        <v>40.327272727272721</v>
      </c>
      <c r="D94" s="44">
        <v>31</v>
      </c>
      <c r="E94" s="109">
        <v>0</v>
      </c>
      <c r="F94" s="130">
        <v>1</v>
      </c>
      <c r="G94" s="137">
        <f>Inputs!G115+Inputs!I115+Inputs!L115</f>
        <v>14061</v>
      </c>
      <c r="H94" s="137">
        <v>0</v>
      </c>
      <c r="I94" s="44">
        <f t="shared" si="10"/>
        <v>25138252.590935618</v>
      </c>
      <c r="J94" s="27">
        <f t="shared" si="8"/>
        <v>-1920831.4090643823</v>
      </c>
      <c r="K94" s="36">
        <f t="shared" si="9"/>
        <v>-7.0986564403450692E-2</v>
      </c>
      <c r="L94" s="10">
        <f t="shared" si="11"/>
        <v>7.0986564403450692E-2</v>
      </c>
      <c r="M94" s="135">
        <f t="shared" si="12"/>
        <v>3689593302048.2603</v>
      </c>
      <c r="N94" s="135">
        <f t="shared" si="13"/>
        <v>-2027248.7773392275</v>
      </c>
      <c r="O94" s="135">
        <f t="shared" si="14"/>
        <v>4109737605223.3926</v>
      </c>
      <c r="P94"/>
    </row>
    <row r="95" spans="1:16" x14ac:dyDescent="0.2">
      <c r="A95" s="43">
        <v>44469</v>
      </c>
      <c r="B95" s="44">
        <f>Inputs!D116</f>
        <v>22357163</v>
      </c>
      <c r="C95" s="44">
        <f t="shared" si="15"/>
        <v>123.35454545454546</v>
      </c>
      <c r="D95" s="44">
        <v>30</v>
      </c>
      <c r="E95" s="109">
        <v>0</v>
      </c>
      <c r="F95" s="130">
        <v>0</v>
      </c>
      <c r="G95" s="137">
        <f>Inputs!G116+Inputs!I116+Inputs!L116</f>
        <v>14082</v>
      </c>
      <c r="H95" s="137">
        <v>0</v>
      </c>
      <c r="I95" s="44">
        <f t="shared" si="10"/>
        <v>22695300.936052635</v>
      </c>
      <c r="J95" s="27">
        <f t="shared" si="8"/>
        <v>338137.93605263531</v>
      </c>
      <c r="K95" s="36">
        <f t="shared" si="9"/>
        <v>1.5124366899889548E-2</v>
      </c>
      <c r="L95" s="10">
        <f t="shared" si="11"/>
        <v>1.5124366899889548E-2</v>
      </c>
      <c r="M95" s="135">
        <f t="shared" si="12"/>
        <v>114337263797.93608</v>
      </c>
      <c r="N95" s="135">
        <f t="shared" si="13"/>
        <v>2258969.3451170176</v>
      </c>
      <c r="O95" s="135">
        <f t="shared" si="14"/>
        <v>5102942502178.4072</v>
      </c>
      <c r="P95"/>
    </row>
    <row r="96" spans="1:16" x14ac:dyDescent="0.2">
      <c r="A96" s="43">
        <v>44500</v>
      </c>
      <c r="B96" s="44">
        <f>Inputs!D117</f>
        <v>23786911</v>
      </c>
      <c r="C96" s="44">
        <f t="shared" si="15"/>
        <v>312.07272727272726</v>
      </c>
      <c r="D96" s="44">
        <v>31</v>
      </c>
      <c r="E96" s="109">
        <v>1</v>
      </c>
      <c r="F96" s="130">
        <v>0</v>
      </c>
      <c r="G96" s="137">
        <f>Inputs!G117+Inputs!I117+Inputs!L117</f>
        <v>14103</v>
      </c>
      <c r="H96" s="137">
        <v>0</v>
      </c>
      <c r="I96" s="44">
        <f t="shared" si="10"/>
        <v>24500154.714376349</v>
      </c>
      <c r="J96" s="27">
        <f t="shared" si="8"/>
        <v>713243.714376349</v>
      </c>
      <c r="K96" s="36">
        <f t="shared" si="9"/>
        <v>2.9984713625756155E-2</v>
      </c>
      <c r="L96" s="10">
        <f t="shared" si="11"/>
        <v>2.9984713625756155E-2</v>
      </c>
      <c r="M96" s="135">
        <f t="shared" si="12"/>
        <v>508716596097.37091</v>
      </c>
      <c r="N96" s="135">
        <f t="shared" si="13"/>
        <v>375105.77832371369</v>
      </c>
      <c r="O96" s="135">
        <f t="shared" si="14"/>
        <v>140704344931.83905</v>
      </c>
      <c r="P96"/>
    </row>
    <row r="97" spans="1:16" x14ac:dyDescent="0.2">
      <c r="A97" s="43">
        <v>44530</v>
      </c>
      <c r="B97" s="44">
        <f>Inputs!D118</f>
        <v>26548630</v>
      </c>
      <c r="C97" s="44">
        <f t="shared" si="15"/>
        <v>496.43636363636364</v>
      </c>
      <c r="D97" s="44">
        <v>30</v>
      </c>
      <c r="E97" s="109">
        <v>1</v>
      </c>
      <c r="F97" s="130">
        <v>0</v>
      </c>
      <c r="G97" s="137">
        <f>Inputs!G118+Inputs!I118+Inputs!L118</f>
        <v>14157</v>
      </c>
      <c r="H97" s="137">
        <v>0</v>
      </c>
      <c r="I97" s="44">
        <f t="shared" si="10"/>
        <v>26249018.475790702</v>
      </c>
      <c r="J97" s="27">
        <f t="shared" si="8"/>
        <v>-299611.52420929819</v>
      </c>
      <c r="K97" s="36">
        <f t="shared" si="9"/>
        <v>-1.1285385506118326E-2</v>
      </c>
      <c r="L97" s="10">
        <f t="shared" si="11"/>
        <v>1.1285385506118326E-2</v>
      </c>
      <c r="M97" s="135">
        <f t="shared" si="12"/>
        <v>89767065439.018875</v>
      </c>
      <c r="N97" s="135">
        <f t="shared" si="13"/>
        <v>-1012855.2385856472</v>
      </c>
      <c r="O97" s="135">
        <f t="shared" si="14"/>
        <v>1025875734330.3883</v>
      </c>
      <c r="P97"/>
    </row>
    <row r="98" spans="1:16" x14ac:dyDescent="0.2">
      <c r="A98" s="43">
        <v>44561</v>
      </c>
      <c r="B98" s="44">
        <f>Inputs!D119</f>
        <v>29127757</v>
      </c>
      <c r="C98" s="44">
        <f t="shared" si="15"/>
        <v>679.73636363636365</v>
      </c>
      <c r="D98" s="44">
        <v>31</v>
      </c>
      <c r="E98" s="109">
        <v>0</v>
      </c>
      <c r="F98" s="130">
        <v>0</v>
      </c>
      <c r="G98" s="137">
        <f>Inputs!G119+Inputs!I119+Inputs!L119</f>
        <v>14180</v>
      </c>
      <c r="H98" s="137">
        <v>0</v>
      </c>
      <c r="I98" s="44">
        <f t="shared" si="10"/>
        <v>30111509.812983975</v>
      </c>
      <c r="J98" s="27">
        <f t="shared" si="8"/>
        <v>983752.81298397481</v>
      </c>
      <c r="K98" s="36">
        <f t="shared" si="9"/>
        <v>3.3773723564913524E-2</v>
      </c>
      <c r="L98" s="10">
        <f t="shared" si="11"/>
        <v>3.3773723564913524E-2</v>
      </c>
      <c r="M98" s="135">
        <f t="shared" si="12"/>
        <v>967769597053.8833</v>
      </c>
      <c r="N98" s="135">
        <f t="shared" si="13"/>
        <v>1283364.337193273</v>
      </c>
      <c r="O98" s="135">
        <f t="shared" si="14"/>
        <v>1647024021979.5291</v>
      </c>
      <c r="P98"/>
    </row>
    <row r="99" spans="1:16" x14ac:dyDescent="0.2">
      <c r="A99" s="43">
        <v>44592</v>
      </c>
      <c r="B99" s="44">
        <f>Inputs!D120</f>
        <v>34795564</v>
      </c>
      <c r="C99" s="44">
        <f t="shared" si="15"/>
        <v>834.24545454545466</v>
      </c>
      <c r="D99" s="44">
        <v>31</v>
      </c>
      <c r="E99" s="109">
        <v>0</v>
      </c>
      <c r="F99" s="130">
        <v>0</v>
      </c>
      <c r="G99" s="137">
        <f>Inputs!G120+Inputs!I120+Inputs!L120</f>
        <v>14191</v>
      </c>
      <c r="H99" s="137">
        <v>0</v>
      </c>
      <c r="I99" s="44">
        <f t="shared" si="10"/>
        <v>32000999.688006904</v>
      </c>
      <c r="J99" s="27">
        <f t="shared" si="8"/>
        <v>-2794564.311993096</v>
      </c>
      <c r="K99" s="36">
        <f t="shared" si="9"/>
        <v>-8.0313809886602097E-2</v>
      </c>
      <c r="L99" s="10">
        <f t="shared" si="11"/>
        <v>8.0313809886602097E-2</v>
      </c>
      <c r="M99" s="135">
        <f t="shared" si="12"/>
        <v>7809589693865.4463</v>
      </c>
      <c r="N99" s="135">
        <f t="shared" si="13"/>
        <v>-3778317.1249770708</v>
      </c>
      <c r="O99" s="135">
        <f t="shared" si="14"/>
        <v>14275680296894.998</v>
      </c>
      <c r="P99"/>
    </row>
    <row r="100" spans="1:16" x14ac:dyDescent="0.2">
      <c r="A100" s="43">
        <v>44620</v>
      </c>
      <c r="B100" s="44">
        <f>Inputs!D121</f>
        <v>30039948</v>
      </c>
      <c r="C100" s="44">
        <f t="shared" si="15"/>
        <v>763.4909090909091</v>
      </c>
      <c r="D100" s="44">
        <v>28</v>
      </c>
      <c r="E100" s="109">
        <v>0</v>
      </c>
      <c r="F100" s="130">
        <v>0</v>
      </c>
      <c r="G100" s="137">
        <f>Inputs!G121+Inputs!I121+Inputs!L121</f>
        <v>14206</v>
      </c>
      <c r="H100" s="137">
        <v>0</v>
      </c>
      <c r="I100" s="44">
        <f t="shared" si="10"/>
        <v>29508522.215882108</v>
      </c>
      <c r="J100" s="27">
        <f t="shared" si="8"/>
        <v>-531425.78411789238</v>
      </c>
      <c r="K100" s="36">
        <f t="shared" si="9"/>
        <v>-1.7690635953094606E-2</v>
      </c>
      <c r="L100" s="10">
        <f t="shared" si="11"/>
        <v>1.7690635953094606E-2</v>
      </c>
      <c r="M100" s="135">
        <f t="shared" si="12"/>
        <v>282413364025.31677</v>
      </c>
      <c r="N100" s="135">
        <f t="shared" si="13"/>
        <v>2263138.5278752036</v>
      </c>
      <c r="O100" s="135">
        <f t="shared" si="14"/>
        <v>5121795996353.1436</v>
      </c>
      <c r="P100"/>
    </row>
    <row r="101" spans="1:16" x14ac:dyDescent="0.2">
      <c r="A101" s="43">
        <v>44651</v>
      </c>
      <c r="B101" s="44">
        <f>Inputs!D122</f>
        <v>29938094</v>
      </c>
      <c r="C101" s="44">
        <f t="shared" si="15"/>
        <v>663.67272727272734</v>
      </c>
      <c r="D101" s="44">
        <v>31</v>
      </c>
      <c r="E101" s="109">
        <v>1</v>
      </c>
      <c r="F101" s="130">
        <v>0</v>
      </c>
      <c r="G101" s="137">
        <f>Inputs!G122+Inputs!I122+Inputs!L122</f>
        <v>14199</v>
      </c>
      <c r="H101" s="137">
        <v>0</v>
      </c>
      <c r="I101" s="44">
        <f t="shared" si="10"/>
        <v>28876012.524579272</v>
      </c>
      <c r="J101" s="27">
        <f t="shared" si="8"/>
        <v>-1062081.4754207283</v>
      </c>
      <c r="K101" s="36">
        <f t="shared" si="9"/>
        <v>-3.5475921594097751E-2</v>
      </c>
      <c r="L101" s="10">
        <f t="shared" si="11"/>
        <v>3.5475921594097751E-2</v>
      </c>
      <c r="M101" s="135">
        <f t="shared" si="12"/>
        <v>1128017060431.8711</v>
      </c>
      <c r="N101" s="135">
        <f t="shared" si="13"/>
        <v>-530655.69130283594</v>
      </c>
      <c r="O101" s="135">
        <f t="shared" si="14"/>
        <v>281595462712.0907</v>
      </c>
      <c r="P101"/>
    </row>
    <row r="102" spans="1:16" x14ac:dyDescent="0.2">
      <c r="A102" s="43">
        <v>44681</v>
      </c>
      <c r="B102" s="44">
        <f>Inputs!D123</f>
        <v>25592068</v>
      </c>
      <c r="C102" s="44">
        <f t="shared" si="15"/>
        <v>423.24545454545455</v>
      </c>
      <c r="D102" s="44">
        <v>30</v>
      </c>
      <c r="E102" s="109">
        <v>1</v>
      </c>
      <c r="F102" s="130">
        <v>0</v>
      </c>
      <c r="G102" s="137">
        <f>Inputs!G123+Inputs!I123+Inputs!L123</f>
        <v>14215</v>
      </c>
      <c r="H102" s="137">
        <v>0</v>
      </c>
      <c r="I102" s="44">
        <f t="shared" si="10"/>
        <v>25421789.517725863</v>
      </c>
      <c r="J102" s="27">
        <f t="shared" si="8"/>
        <v>-170278.48227413744</v>
      </c>
      <c r="K102" s="36">
        <f t="shared" si="9"/>
        <v>-6.6535647792955784E-3</v>
      </c>
      <c r="L102" s="10">
        <f t="shared" si="11"/>
        <v>6.6535647792955784E-3</v>
      </c>
      <c r="M102" s="135">
        <f t="shared" si="12"/>
        <v>28994761525.583736</v>
      </c>
      <c r="N102" s="135">
        <f t="shared" si="13"/>
        <v>891802.99314659089</v>
      </c>
      <c r="O102" s="135">
        <f t="shared" si="14"/>
        <v>795312578585.21838</v>
      </c>
      <c r="P102"/>
    </row>
    <row r="103" spans="1:16" x14ac:dyDescent="0.2">
      <c r="A103" s="43">
        <v>44712</v>
      </c>
      <c r="B103" s="44">
        <f>Inputs!D124</f>
        <v>23761000</v>
      </c>
      <c r="C103" s="44">
        <f t="shared" si="15"/>
        <v>211.25454545454542</v>
      </c>
      <c r="D103" s="44">
        <v>31</v>
      </c>
      <c r="E103" s="109">
        <v>1</v>
      </c>
      <c r="F103" s="130">
        <v>0</v>
      </c>
      <c r="G103" s="137">
        <f>Inputs!G124+Inputs!I124+Inputs!L124</f>
        <v>14224</v>
      </c>
      <c r="H103" s="137">
        <v>0</v>
      </c>
      <c r="I103" s="44">
        <f t="shared" si="10"/>
        <v>23404778.265551738</v>
      </c>
      <c r="J103" s="27">
        <f t="shared" si="8"/>
        <v>-356221.73444826156</v>
      </c>
      <c r="K103" s="36">
        <f t="shared" si="9"/>
        <v>-1.4991866270285828E-2</v>
      </c>
      <c r="L103" s="10">
        <f t="shared" si="11"/>
        <v>1.4991866270285828E-2</v>
      </c>
      <c r="M103" s="135">
        <f t="shared" si="12"/>
        <v>126893924093.32777</v>
      </c>
      <c r="N103" s="135">
        <f t="shared" si="13"/>
        <v>-185943.25217412412</v>
      </c>
      <c r="O103" s="135">
        <f t="shared" si="14"/>
        <v>34574893029.089912</v>
      </c>
      <c r="P103"/>
    </row>
    <row r="104" spans="1:16" x14ac:dyDescent="0.2">
      <c r="A104" s="43">
        <v>44742</v>
      </c>
      <c r="B104" s="44">
        <f>Inputs!D125</f>
        <v>23802150</v>
      </c>
      <c r="C104" s="44">
        <f t="shared" si="15"/>
        <v>79.27272727272728</v>
      </c>
      <c r="D104" s="44">
        <v>30</v>
      </c>
      <c r="E104" s="109">
        <v>0</v>
      </c>
      <c r="F104" s="130">
        <v>0</v>
      </c>
      <c r="G104" s="137">
        <f>Inputs!G125+Inputs!I125+Inputs!L125</f>
        <v>14228</v>
      </c>
      <c r="H104" s="137">
        <v>0</v>
      </c>
      <c r="I104" s="44">
        <f t="shared" si="10"/>
        <v>22316242.627662327</v>
      </c>
      <c r="J104" s="27">
        <f t="shared" si="8"/>
        <v>-1485907.3723376729</v>
      </c>
      <c r="K104" s="36">
        <f t="shared" si="9"/>
        <v>-6.2427443417408635E-2</v>
      </c>
      <c r="L104" s="10">
        <f t="shared" si="11"/>
        <v>6.2427443417408635E-2</v>
      </c>
      <c r="M104" s="135">
        <f t="shared" si="12"/>
        <v>2207920719167.4478</v>
      </c>
      <c r="N104" s="135">
        <f t="shared" si="13"/>
        <v>-1129685.6378894113</v>
      </c>
      <c r="O104" s="135">
        <f t="shared" si="14"/>
        <v>1276189640453.6062</v>
      </c>
      <c r="P104"/>
    </row>
    <row r="105" spans="1:16" x14ac:dyDescent="0.2">
      <c r="A105" s="43">
        <v>44773</v>
      </c>
      <c r="B105" s="44">
        <f>Inputs!D126</f>
        <v>25485797</v>
      </c>
      <c r="C105" s="44">
        <f t="shared" si="15"/>
        <v>27.636363636363637</v>
      </c>
      <c r="D105" s="44">
        <v>31</v>
      </c>
      <c r="E105" s="109">
        <v>0</v>
      </c>
      <c r="F105" s="130">
        <v>1</v>
      </c>
      <c r="G105" s="137">
        <f>Inputs!G126+Inputs!I126+Inputs!L126</f>
        <v>14232</v>
      </c>
      <c r="H105" s="137">
        <v>0</v>
      </c>
      <c r="I105" s="44">
        <f t="shared" si="10"/>
        <v>25167499.2087439</v>
      </c>
      <c r="J105" s="27">
        <f t="shared" si="8"/>
        <v>-318297.79125609994</v>
      </c>
      <c r="K105" s="36">
        <f t="shared" si="9"/>
        <v>-1.248922257585666E-2</v>
      </c>
      <c r="L105" s="10">
        <f t="shared" si="11"/>
        <v>1.248922257585666E-2</v>
      </c>
      <c r="M105" s="135">
        <f t="shared" si="12"/>
        <v>101313483918.51176</v>
      </c>
      <c r="N105" s="135">
        <f t="shared" si="13"/>
        <v>1167609.5810815729</v>
      </c>
      <c r="O105" s="135">
        <f t="shared" si="14"/>
        <v>1363312133833.4863</v>
      </c>
      <c r="P105"/>
    </row>
    <row r="106" spans="1:16" x14ac:dyDescent="0.2">
      <c r="A106" s="43">
        <v>44804</v>
      </c>
      <c r="B106" s="44">
        <f>Inputs!D127</f>
        <v>26149673</v>
      </c>
      <c r="C106" s="44">
        <f t="shared" si="15"/>
        <v>40.327272727272721</v>
      </c>
      <c r="D106" s="44">
        <v>31</v>
      </c>
      <c r="E106" s="109">
        <v>0</v>
      </c>
      <c r="F106" s="130">
        <v>1</v>
      </c>
      <c r="G106" s="137">
        <f>Inputs!G127+Inputs!I127+Inputs!L127</f>
        <v>14232</v>
      </c>
      <c r="H106" s="137">
        <v>0</v>
      </c>
      <c r="I106" s="44">
        <f t="shared" si="10"/>
        <v>25321726.772256471</v>
      </c>
      <c r="J106" s="27">
        <f t="shared" si="8"/>
        <v>-827946.22774352878</v>
      </c>
      <c r="K106" s="36">
        <f t="shared" si="9"/>
        <v>-3.1661819547170962E-2</v>
      </c>
      <c r="L106" s="10">
        <f t="shared" si="11"/>
        <v>3.1661819547170962E-2</v>
      </c>
      <c r="M106" s="135">
        <f t="shared" si="12"/>
        <v>685494956034.73926</v>
      </c>
      <c r="N106" s="135">
        <f t="shared" si="13"/>
        <v>-509648.43648742884</v>
      </c>
      <c r="O106" s="135">
        <f t="shared" si="14"/>
        <v>259741528814.08078</v>
      </c>
      <c r="P106"/>
    </row>
    <row r="107" spans="1:16" x14ac:dyDescent="0.2">
      <c r="A107" s="43">
        <v>44834</v>
      </c>
      <c r="B107" s="44">
        <f>Inputs!D128</f>
        <v>23192024</v>
      </c>
      <c r="C107" s="44">
        <f t="shared" si="15"/>
        <v>123.35454545454546</v>
      </c>
      <c r="D107" s="44">
        <v>30</v>
      </c>
      <c r="E107" s="109">
        <v>0</v>
      </c>
      <c r="F107" s="130">
        <v>0</v>
      </c>
      <c r="G107" s="137">
        <f>Inputs!G128+Inputs!I128+Inputs!L128</f>
        <v>14238</v>
      </c>
      <c r="H107" s="137">
        <v>0</v>
      </c>
      <c r="I107" s="44">
        <f t="shared" si="10"/>
        <v>22862680.89094184</v>
      </c>
      <c r="J107" s="27">
        <f t="shared" si="8"/>
        <v>-329343.10905816033</v>
      </c>
      <c r="K107" s="36">
        <f t="shared" si="9"/>
        <v>-1.4200705771008185E-2</v>
      </c>
      <c r="L107" s="10">
        <f t="shared" si="11"/>
        <v>1.4200705771008185E-2</v>
      </c>
      <c r="M107" s="135">
        <f t="shared" si="12"/>
        <v>108466883484.09529</v>
      </c>
      <c r="N107" s="135">
        <f t="shared" si="13"/>
        <v>498603.11868536845</v>
      </c>
      <c r="O107" s="135">
        <f t="shared" si="14"/>
        <v>248605069962.7756</v>
      </c>
      <c r="P107"/>
    </row>
    <row r="108" spans="1:16" x14ac:dyDescent="0.2">
      <c r="A108" s="43">
        <v>44865</v>
      </c>
      <c r="B108" s="44">
        <f>Inputs!D129</f>
        <v>24211097</v>
      </c>
      <c r="C108" s="44">
        <f t="shared" si="15"/>
        <v>312.07272727272726</v>
      </c>
      <c r="D108" s="44">
        <v>31</v>
      </c>
      <c r="E108" s="109">
        <v>1</v>
      </c>
      <c r="F108" s="130">
        <v>0</v>
      </c>
      <c r="G108" s="137">
        <f>Inputs!G129+Inputs!I129+Inputs!L129</f>
        <v>14300</v>
      </c>
      <c r="H108" s="137">
        <v>0</v>
      </c>
      <c r="I108" s="44">
        <f t="shared" si="10"/>
        <v>24711525.554845408</v>
      </c>
      <c r="J108" s="27">
        <f t="shared" si="8"/>
        <v>500428.55484540761</v>
      </c>
      <c r="K108" s="36">
        <f t="shared" si="9"/>
        <v>2.0669387878021701E-2</v>
      </c>
      <c r="L108" s="10">
        <f t="shared" si="11"/>
        <v>2.0669387878021701E-2</v>
      </c>
      <c r="M108" s="135">
        <f t="shared" si="12"/>
        <v>250428738504.66312</v>
      </c>
      <c r="N108" s="135">
        <f t="shared" si="13"/>
        <v>829771.66390356794</v>
      </c>
      <c r="O108" s="135">
        <f t="shared" si="14"/>
        <v>688521014217.29565</v>
      </c>
      <c r="P108"/>
    </row>
    <row r="109" spans="1:16" x14ac:dyDescent="0.2">
      <c r="A109" s="43">
        <v>44895</v>
      </c>
      <c r="B109" s="44">
        <f>Inputs!D130</f>
        <v>26468247</v>
      </c>
      <c r="C109" s="44">
        <f t="shared" si="15"/>
        <v>496.43636363636364</v>
      </c>
      <c r="D109" s="44">
        <v>30</v>
      </c>
      <c r="E109" s="109">
        <v>1</v>
      </c>
      <c r="F109" s="130">
        <v>0</v>
      </c>
      <c r="G109" s="137">
        <f>Inputs!G130+Inputs!I130+Inputs!L130</f>
        <v>14338</v>
      </c>
      <c r="H109" s="137">
        <v>0</v>
      </c>
      <c r="I109" s="44">
        <f t="shared" si="10"/>
        <v>26443222.141399331</v>
      </c>
      <c r="J109" s="27">
        <f t="shared" si="8"/>
        <v>-25024.858600668609</v>
      </c>
      <c r="K109" s="36">
        <f t="shared" si="9"/>
        <v>-9.4546717055604809E-4</v>
      </c>
      <c r="L109" s="10">
        <f t="shared" si="11"/>
        <v>9.4546717055604809E-4</v>
      </c>
      <c r="M109" s="135">
        <f t="shared" si="12"/>
        <v>626243547.98345768</v>
      </c>
      <c r="N109" s="135">
        <f t="shared" si="13"/>
        <v>-525453.41344607621</v>
      </c>
      <c r="O109" s="135">
        <f t="shared" si="14"/>
        <v>276101289702.13312</v>
      </c>
      <c r="P109"/>
    </row>
    <row r="110" spans="1:16" x14ac:dyDescent="0.2">
      <c r="A110" s="43">
        <v>44926</v>
      </c>
      <c r="B110" s="44">
        <f>Inputs!D131</f>
        <v>29238327</v>
      </c>
      <c r="C110" s="44">
        <f t="shared" si="15"/>
        <v>679.73636363636365</v>
      </c>
      <c r="D110" s="44">
        <v>31</v>
      </c>
      <c r="E110" s="109">
        <v>0</v>
      </c>
      <c r="F110" s="130">
        <v>0</v>
      </c>
      <c r="G110" s="137">
        <f>Inputs!G131+Inputs!I131+Inputs!L131</f>
        <v>14351</v>
      </c>
      <c r="H110" s="137">
        <v>0</v>
      </c>
      <c r="I110" s="44">
        <f t="shared" si="10"/>
        <v>30294983.994304832</v>
      </c>
      <c r="J110" s="27">
        <f t="shared" si="8"/>
        <v>1056656.9943048321</v>
      </c>
      <c r="K110" s="36">
        <f t="shared" si="9"/>
        <v>3.6139447865975095E-2</v>
      </c>
      <c r="L110" s="10">
        <f t="shared" si="11"/>
        <v>3.6139447865975095E-2</v>
      </c>
      <c r="M110" s="135">
        <f t="shared" si="12"/>
        <v>1116524003613.322</v>
      </c>
      <c r="N110" s="135">
        <f t="shared" si="13"/>
        <v>1081681.8529055007</v>
      </c>
      <c r="O110" s="135">
        <f t="shared" si="14"/>
        <v>1170035630905.0771</v>
      </c>
      <c r="P110"/>
    </row>
    <row r="111" spans="1:16" x14ac:dyDescent="0.2">
      <c r="A111" s="43">
        <v>44957</v>
      </c>
      <c r="B111" s="44">
        <f>Inputs!D132</f>
        <v>30877295</v>
      </c>
      <c r="C111" s="44">
        <f t="shared" si="15"/>
        <v>834.24545454545466</v>
      </c>
      <c r="D111" s="44">
        <v>31</v>
      </c>
      <c r="E111" s="109">
        <v>0</v>
      </c>
      <c r="F111" s="130">
        <v>0</v>
      </c>
      <c r="G111" s="137">
        <f>Inputs!G132+Inputs!I132+Inputs!L132</f>
        <v>14366</v>
      </c>
      <c r="H111" s="137">
        <v>0</v>
      </c>
      <c r="I111" s="44">
        <f t="shared" si="10"/>
        <v>32188765.663042869</v>
      </c>
      <c r="J111" s="27">
        <f t="shared" si="8"/>
        <v>1311470.6630428694</v>
      </c>
      <c r="K111" s="36">
        <f t="shared" si="9"/>
        <v>4.2473625459836087E-2</v>
      </c>
      <c r="L111" s="10">
        <f t="shared" si="11"/>
        <v>4.2473625459836087E-2</v>
      </c>
      <c r="M111" s="135">
        <f t="shared" si="12"/>
        <v>1719955300022.1035</v>
      </c>
      <c r="N111" s="135">
        <f t="shared" si="13"/>
        <v>254813.66873803735</v>
      </c>
      <c r="O111" s="135">
        <f t="shared" si="14"/>
        <v>64930005775.738235</v>
      </c>
      <c r="P111"/>
    </row>
    <row r="112" spans="1:16" x14ac:dyDescent="0.2">
      <c r="A112" s="43">
        <v>44985</v>
      </c>
      <c r="B112" s="44">
        <f>Inputs!D133</f>
        <v>28906608</v>
      </c>
      <c r="C112" s="44">
        <f t="shared" si="15"/>
        <v>763.4909090909091</v>
      </c>
      <c r="D112" s="44">
        <v>28</v>
      </c>
      <c r="E112" s="109">
        <v>0</v>
      </c>
      <c r="F112" s="130">
        <v>0</v>
      </c>
      <c r="G112" s="137">
        <f>Inputs!G133+Inputs!I133+Inputs!L133</f>
        <v>14382</v>
      </c>
      <c r="H112" s="137">
        <v>0</v>
      </c>
      <c r="I112" s="44">
        <f t="shared" si="10"/>
        <v>29697361.139346849</v>
      </c>
      <c r="J112" s="27">
        <f t="shared" si="8"/>
        <v>790753.13934684917</v>
      </c>
      <c r="K112" s="36">
        <f t="shared" si="9"/>
        <v>2.7355445486611545E-2</v>
      </c>
      <c r="L112" s="10">
        <f t="shared" si="11"/>
        <v>2.7355445486611545E-2</v>
      </c>
      <c r="M112" s="135">
        <f t="shared" si="12"/>
        <v>625290527386.89746</v>
      </c>
      <c r="N112" s="135">
        <f t="shared" si="13"/>
        <v>-520717.52369602025</v>
      </c>
      <c r="O112" s="135">
        <f t="shared" si="14"/>
        <v>271146739484.11542</v>
      </c>
      <c r="P112"/>
    </row>
    <row r="113" spans="1:16" x14ac:dyDescent="0.2">
      <c r="A113" s="43">
        <v>45016</v>
      </c>
      <c r="B113" s="44">
        <f>Inputs!D134</f>
        <v>29869663</v>
      </c>
      <c r="C113" s="44">
        <f t="shared" si="15"/>
        <v>663.67272727272734</v>
      </c>
      <c r="D113" s="44">
        <v>31</v>
      </c>
      <c r="E113" s="109">
        <v>1</v>
      </c>
      <c r="F113" s="130">
        <v>0</v>
      </c>
      <c r="G113" s="137">
        <f>Inputs!G134+Inputs!I134+Inputs!L134</f>
        <v>14394</v>
      </c>
      <c r="H113" s="137">
        <v>0</v>
      </c>
      <c r="I113" s="44">
        <f t="shared" si="10"/>
        <v>29085237.468190778</v>
      </c>
      <c r="J113" s="27">
        <f t="shared" si="8"/>
        <v>-784425.53180922195</v>
      </c>
      <c r="K113" s="36">
        <f t="shared" si="9"/>
        <v>-2.6261613055668622E-2</v>
      </c>
      <c r="L113" s="10">
        <f t="shared" si="11"/>
        <v>2.6261613055668622E-2</v>
      </c>
      <c r="M113" s="135">
        <f t="shared" si="12"/>
        <v>615323414954.18066</v>
      </c>
      <c r="N113" s="135">
        <f t="shared" si="13"/>
        <v>-1575178.6711560711</v>
      </c>
      <c r="O113" s="135">
        <f t="shared" si="14"/>
        <v>2481187846065.0059</v>
      </c>
      <c r="P113"/>
    </row>
    <row r="114" spans="1:16" x14ac:dyDescent="0.2">
      <c r="A114" s="43">
        <v>45046</v>
      </c>
      <c r="B114" s="44">
        <f>Inputs!D135</f>
        <v>25209778</v>
      </c>
      <c r="C114" s="44">
        <f t="shared" si="15"/>
        <v>423.24545454545455</v>
      </c>
      <c r="D114" s="44">
        <v>30</v>
      </c>
      <c r="E114" s="109">
        <v>1</v>
      </c>
      <c r="F114" s="130">
        <v>0</v>
      </c>
      <c r="G114" s="137">
        <f>Inputs!G135+Inputs!I135+Inputs!L135</f>
        <v>14392</v>
      </c>
      <c r="H114" s="137">
        <v>0</v>
      </c>
      <c r="I114" s="44">
        <f t="shared" si="10"/>
        <v>25611701.38961938</v>
      </c>
      <c r="J114" s="27">
        <f t="shared" si="8"/>
        <v>401923.38961938024</v>
      </c>
      <c r="K114" s="36">
        <f t="shared" si="9"/>
        <v>1.5943154660837563E-2</v>
      </c>
      <c r="L114" s="10">
        <f t="shared" si="11"/>
        <v>1.5943154660837563E-2</v>
      </c>
      <c r="M114" s="135">
        <f t="shared" si="12"/>
        <v>161542411123.13214</v>
      </c>
      <c r="N114" s="135">
        <f t="shared" si="13"/>
        <v>1186348.9214286022</v>
      </c>
      <c r="O114" s="135">
        <f t="shared" si="14"/>
        <v>1407423763374.8076</v>
      </c>
      <c r="P114"/>
    </row>
    <row r="115" spans="1:16" x14ac:dyDescent="0.2">
      <c r="A115" s="43">
        <v>45077</v>
      </c>
      <c r="B115" s="44">
        <f>Inputs!D136</f>
        <v>23723123</v>
      </c>
      <c r="C115" s="44">
        <f t="shared" si="15"/>
        <v>211.25454545454542</v>
      </c>
      <c r="D115" s="44">
        <v>31</v>
      </c>
      <c r="E115" s="109">
        <v>1</v>
      </c>
      <c r="F115" s="130">
        <v>0</v>
      </c>
      <c r="G115" s="137">
        <f>Inputs!G136+Inputs!I136+Inputs!L136</f>
        <v>14414</v>
      </c>
      <c r="H115" s="137">
        <v>0</v>
      </c>
      <c r="I115" s="44">
        <f t="shared" si="10"/>
        <v>23608638.467019357</v>
      </c>
      <c r="J115" s="27">
        <f t="shared" si="8"/>
        <v>-114484.53298064321</v>
      </c>
      <c r="K115" s="36">
        <f t="shared" si="9"/>
        <v>-4.8258626396129722E-3</v>
      </c>
      <c r="L115" s="10">
        <f t="shared" si="11"/>
        <v>4.8258626396129722E-3</v>
      </c>
      <c r="M115" s="135">
        <f t="shared" si="12"/>
        <v>13106708291.795984</v>
      </c>
      <c r="N115" s="135">
        <f t="shared" si="13"/>
        <v>-516407.92260002345</v>
      </c>
      <c r="O115" s="135">
        <f t="shared" si="14"/>
        <v>266677142524.07181</v>
      </c>
      <c r="P115"/>
    </row>
    <row r="116" spans="1:16" x14ac:dyDescent="0.2">
      <c r="A116" s="43">
        <v>45107</v>
      </c>
      <c r="B116" s="44">
        <f>Inputs!D137</f>
        <v>23955844</v>
      </c>
      <c r="C116" s="44">
        <f t="shared" si="15"/>
        <v>79.27272727272728</v>
      </c>
      <c r="D116" s="44">
        <v>30</v>
      </c>
      <c r="E116" s="109">
        <v>0</v>
      </c>
      <c r="F116" s="130">
        <v>0</v>
      </c>
      <c r="G116" s="137">
        <f>Inputs!G137+Inputs!I137+Inputs!L137</f>
        <v>14450</v>
      </c>
      <c r="H116" s="137">
        <v>0</v>
      </c>
      <c r="I116" s="44">
        <f t="shared" si="10"/>
        <v>22554437.178850807</v>
      </c>
      <c r="J116" s="27">
        <f t="shared" si="8"/>
        <v>-1401406.8211491928</v>
      </c>
      <c r="K116" s="36">
        <f t="shared" si="9"/>
        <v>-5.8499580359147138E-2</v>
      </c>
      <c r="L116" s="10">
        <f t="shared" si="11"/>
        <v>5.8499580359147138E-2</v>
      </c>
      <c r="M116" s="135">
        <f t="shared" si="12"/>
        <v>1963941078363.4856</v>
      </c>
      <c r="N116" s="135">
        <f t="shared" si="13"/>
        <v>-1286922.2881685495</v>
      </c>
      <c r="O116" s="135">
        <f t="shared" si="14"/>
        <v>1656168975784.9753</v>
      </c>
      <c r="P116"/>
    </row>
    <row r="117" spans="1:16" x14ac:dyDescent="0.2">
      <c r="A117" s="43">
        <v>45138</v>
      </c>
      <c r="B117" s="44">
        <f>Inputs!D138</f>
        <v>25445214</v>
      </c>
      <c r="C117" s="44">
        <f t="shared" si="15"/>
        <v>27.636363636363637</v>
      </c>
      <c r="D117" s="44">
        <v>31</v>
      </c>
      <c r="E117" s="109">
        <v>0</v>
      </c>
      <c r="F117" s="130">
        <v>1</v>
      </c>
      <c r="G117" s="137">
        <f>Inputs!G138+Inputs!I138+Inputs!L138</f>
        <v>14453</v>
      </c>
      <c r="H117" s="137">
        <v>0</v>
      </c>
      <c r="I117" s="44">
        <f t="shared" si="10"/>
        <v>25404620.811503608</v>
      </c>
      <c r="J117" s="27">
        <f t="shared" si="8"/>
        <v>-40593.18849639222</v>
      </c>
      <c r="K117" s="36">
        <f t="shared" si="9"/>
        <v>-1.5953172371194135E-3</v>
      </c>
      <c r="L117" s="10">
        <f t="shared" si="11"/>
        <v>1.5953172371194135E-3</v>
      </c>
      <c r="M117" s="135">
        <f t="shared" si="12"/>
        <v>1647806952.3036296</v>
      </c>
      <c r="N117" s="135">
        <f t="shared" si="13"/>
        <v>1360813.6326528005</v>
      </c>
      <c r="O117" s="135">
        <f t="shared" si="14"/>
        <v>1851813742813.7112</v>
      </c>
      <c r="P117"/>
    </row>
    <row r="118" spans="1:16" x14ac:dyDescent="0.2">
      <c r="A118" s="43">
        <v>45169</v>
      </c>
      <c r="B118" s="44">
        <f>Inputs!D139</f>
        <v>24199133</v>
      </c>
      <c r="C118" s="44">
        <f t="shared" si="15"/>
        <v>40.327272727272721</v>
      </c>
      <c r="D118" s="44">
        <v>31</v>
      </c>
      <c r="E118" s="109">
        <v>0</v>
      </c>
      <c r="F118" s="130">
        <v>1</v>
      </c>
      <c r="G118" s="137">
        <f>Inputs!G139+Inputs!I139+Inputs!L139</f>
        <v>14476</v>
      </c>
      <c r="H118" s="137">
        <v>0</v>
      </c>
      <c r="I118" s="44">
        <f t="shared" si="10"/>
        <v>25583526.188878048</v>
      </c>
      <c r="J118" s="27">
        <f t="shared" si="8"/>
        <v>1384393.1888780482</v>
      </c>
      <c r="K118" s="36">
        <f t="shared" si="9"/>
        <v>5.7208379691869468E-2</v>
      </c>
      <c r="L118" s="10">
        <f t="shared" si="11"/>
        <v>5.7208379691869468E-2</v>
      </c>
      <c r="M118" s="135">
        <f t="shared" si="12"/>
        <v>1916544501411.9312</v>
      </c>
      <c r="N118" s="135">
        <f t="shared" si="13"/>
        <v>1424986.3773744404</v>
      </c>
      <c r="O118" s="135">
        <f t="shared" si="14"/>
        <v>2030586175702.7312</v>
      </c>
      <c r="P118"/>
    </row>
    <row r="119" spans="1:16" x14ac:dyDescent="0.2">
      <c r="A119" s="43">
        <v>45199</v>
      </c>
      <c r="B119" s="44">
        <f>Inputs!D140</f>
        <v>22957346</v>
      </c>
      <c r="C119" s="44">
        <f t="shared" si="15"/>
        <v>123.35454545454546</v>
      </c>
      <c r="D119" s="44">
        <v>30</v>
      </c>
      <c r="E119" s="109">
        <v>0</v>
      </c>
      <c r="F119" s="130">
        <v>0</v>
      </c>
      <c r="G119" s="137">
        <f>Inputs!G140+Inputs!I140+Inputs!L140</f>
        <v>14518</v>
      </c>
      <c r="H119" s="137">
        <v>0</v>
      </c>
      <c r="I119" s="44">
        <f t="shared" si="10"/>
        <v>23163106.450999387</v>
      </c>
      <c r="J119" s="27">
        <f t="shared" si="8"/>
        <v>205760.45099938661</v>
      </c>
      <c r="K119" s="36">
        <f t="shared" si="9"/>
        <v>8.9627281393670939E-3</v>
      </c>
      <c r="L119" s="10">
        <f t="shared" si="11"/>
        <v>8.9627281393670939E-3</v>
      </c>
      <c r="M119" s="135">
        <f t="shared" si="12"/>
        <v>42337363195.470978</v>
      </c>
      <c r="N119" s="135">
        <f t="shared" si="13"/>
        <v>-1178632.7378786616</v>
      </c>
      <c r="O119" s="135">
        <f t="shared" si="14"/>
        <v>1389175130799.3499</v>
      </c>
      <c r="P119"/>
    </row>
    <row r="120" spans="1:16" x14ac:dyDescent="0.2">
      <c r="A120" s="43">
        <v>45230</v>
      </c>
      <c r="B120" s="44">
        <f>Inputs!D141</f>
        <v>24656330</v>
      </c>
      <c r="C120" s="44">
        <f t="shared" si="15"/>
        <v>312.07272727272726</v>
      </c>
      <c r="D120" s="44">
        <v>31</v>
      </c>
      <c r="E120" s="109">
        <v>1</v>
      </c>
      <c r="F120" s="130">
        <v>0</v>
      </c>
      <c r="G120" s="137">
        <f>Inputs!G141+Inputs!I141+Inputs!L141</f>
        <v>14534</v>
      </c>
      <c r="H120" s="137">
        <v>0</v>
      </c>
      <c r="I120" s="44">
        <f t="shared" si="10"/>
        <v>24962595.487179212</v>
      </c>
      <c r="J120" s="27">
        <f t="shared" si="8"/>
        <v>306265.48717921227</v>
      </c>
      <c r="K120" s="36">
        <f t="shared" si="9"/>
        <v>1.2421373626132205E-2</v>
      </c>
      <c r="L120" s="10">
        <f t="shared" si="11"/>
        <v>1.2421373626132205E-2</v>
      </c>
      <c r="M120" s="135">
        <f t="shared" si="12"/>
        <v>93798548637.120239</v>
      </c>
      <c r="N120" s="135">
        <f t="shared" si="13"/>
        <v>100505.03617982566</v>
      </c>
      <c r="O120" s="135">
        <f t="shared" si="14"/>
        <v>10101262297.508066</v>
      </c>
      <c r="P120"/>
    </row>
    <row r="121" spans="1:16" x14ac:dyDescent="0.2">
      <c r="A121" s="43">
        <v>45260</v>
      </c>
      <c r="B121" s="44">
        <f>Inputs!D142</f>
        <v>27066324</v>
      </c>
      <c r="C121" s="44">
        <f t="shared" si="15"/>
        <v>496.43636363636364</v>
      </c>
      <c r="D121" s="44">
        <v>30</v>
      </c>
      <c r="E121" s="109">
        <v>1</v>
      </c>
      <c r="F121" s="130">
        <v>0</v>
      </c>
      <c r="G121" s="137">
        <f>Inputs!G142+Inputs!I142+Inputs!L142</f>
        <v>14568</v>
      </c>
      <c r="H121" s="137">
        <v>0</v>
      </c>
      <c r="I121" s="44">
        <f t="shared" si="10"/>
        <v>26690000.280018028</v>
      </c>
      <c r="J121" s="27">
        <f t="shared" si="8"/>
        <v>-376323.71998197213</v>
      </c>
      <c r="K121" s="36">
        <f t="shared" si="9"/>
        <v>-1.3903761736613075E-2</v>
      </c>
      <c r="L121" s="10">
        <f t="shared" si="11"/>
        <v>1.3903761736613075E-2</v>
      </c>
      <c r="M121" s="135">
        <f t="shared" si="12"/>
        <v>141619542221.06976</v>
      </c>
      <c r="N121" s="135">
        <f t="shared" si="13"/>
        <v>-682589.2071611844</v>
      </c>
      <c r="O121" s="135">
        <f t="shared" si="14"/>
        <v>465928025732.93433</v>
      </c>
      <c r="P121"/>
    </row>
    <row r="122" spans="1:16" x14ac:dyDescent="0.2">
      <c r="A122" s="43">
        <v>45291</v>
      </c>
      <c r="B122" s="44">
        <f>Inputs!D143</f>
        <v>28270776</v>
      </c>
      <c r="C122" s="44">
        <f t="shared" si="15"/>
        <v>679.73636363636365</v>
      </c>
      <c r="D122" s="44">
        <v>31</v>
      </c>
      <c r="E122" s="109">
        <v>0</v>
      </c>
      <c r="F122" s="130">
        <v>0</v>
      </c>
      <c r="G122" s="137">
        <f>Inputs!G143+Inputs!I143+Inputs!L143</f>
        <v>14594</v>
      </c>
      <c r="H122" s="137">
        <v>0</v>
      </c>
      <c r="I122" s="44">
        <f t="shared" si="10"/>
        <v>30555710.462497629</v>
      </c>
      <c r="J122" s="27">
        <f t="shared" si="8"/>
        <v>2284934.4624976292</v>
      </c>
      <c r="K122" s="36">
        <f t="shared" si="9"/>
        <v>8.0823195744525345E-2</v>
      </c>
      <c r="L122" s="10">
        <f t="shared" si="11"/>
        <v>8.0823195744525345E-2</v>
      </c>
      <c r="M122" s="135">
        <f t="shared" si="12"/>
        <v>5220925497909.3301</v>
      </c>
      <c r="N122" s="135">
        <f t="shared" si="13"/>
        <v>2661258.1824796014</v>
      </c>
      <c r="O122" s="135">
        <f t="shared" si="14"/>
        <v>7082295113814.6309</v>
      </c>
      <c r="P122"/>
    </row>
    <row r="123" spans="1:16" x14ac:dyDescent="0.2">
      <c r="A123" s="43">
        <v>45322</v>
      </c>
      <c r="B123" s="44">
        <f>Inputs!D144</f>
        <v>31081694</v>
      </c>
      <c r="C123" s="44">
        <f t="shared" si="15"/>
        <v>834.24545454545466</v>
      </c>
      <c r="D123" s="99">
        <v>31</v>
      </c>
      <c r="E123" s="109">
        <v>0</v>
      </c>
      <c r="F123" s="130">
        <v>0</v>
      </c>
      <c r="G123" s="137">
        <f>Inputs!G144+Inputs!I144+Inputs!L144</f>
        <v>14622</v>
      </c>
      <c r="H123" s="137">
        <v>0</v>
      </c>
      <c r="I123" s="44">
        <f t="shared" si="10"/>
        <v>32463440.460809767</v>
      </c>
      <c r="J123" s="27">
        <f t="shared" si="8"/>
        <v>1381746.4608097672</v>
      </c>
      <c r="K123" s="36">
        <f t="shared" si="9"/>
        <v>4.4455313819438777E-2</v>
      </c>
      <c r="L123" s="10">
        <f t="shared" si="11"/>
        <v>4.4455313819438777E-2</v>
      </c>
      <c r="M123" s="135">
        <f t="shared" si="12"/>
        <v>1909223281960.3176</v>
      </c>
      <c r="N123" s="135">
        <f t="shared" si="13"/>
        <v>-903188.00168786198</v>
      </c>
      <c r="O123" s="135">
        <f t="shared" si="14"/>
        <v>815748566392.91333</v>
      </c>
    </row>
    <row r="124" spans="1:16" x14ac:dyDescent="0.2">
      <c r="A124" s="43">
        <v>45351</v>
      </c>
      <c r="B124" s="44">
        <f>Inputs!D145</f>
        <v>28269261</v>
      </c>
      <c r="C124" s="44">
        <f t="shared" si="15"/>
        <v>763.4909090909091</v>
      </c>
      <c r="D124" s="99">
        <v>29</v>
      </c>
      <c r="E124" s="109">
        <v>0</v>
      </c>
      <c r="F124" s="130">
        <v>0</v>
      </c>
      <c r="G124" s="137">
        <f>Inputs!G145+Inputs!I145+Inputs!L145</f>
        <v>14633</v>
      </c>
      <c r="H124" s="137">
        <v>0</v>
      </c>
      <c r="I124" s="44">
        <f t="shared" si="10"/>
        <v>30516244.491141409</v>
      </c>
      <c r="J124" s="27">
        <f t="shared" si="8"/>
        <v>2246983.4911414087</v>
      </c>
      <c r="K124" s="36">
        <f t="shared" si="9"/>
        <v>7.9485045298545609E-2</v>
      </c>
      <c r="L124" s="10">
        <f t="shared" si="11"/>
        <v>7.9485045298545609E-2</v>
      </c>
      <c r="M124" s="135">
        <f t="shared" si="12"/>
        <v>5048934809462.0332</v>
      </c>
      <c r="N124" s="135">
        <f t="shared" si="13"/>
        <v>865237.03033164144</v>
      </c>
      <c r="O124" s="135">
        <f t="shared" si="14"/>
        <v>748635118657.1178</v>
      </c>
      <c r="P124"/>
    </row>
    <row r="125" spans="1:16" x14ac:dyDescent="0.2">
      <c r="A125" s="43">
        <v>45382</v>
      </c>
      <c r="B125" s="44">
        <f>Inputs!D146</f>
        <v>28028742</v>
      </c>
      <c r="C125" s="44">
        <f t="shared" si="15"/>
        <v>663.67272727272734</v>
      </c>
      <c r="D125" s="99">
        <v>31</v>
      </c>
      <c r="E125" s="109">
        <v>1</v>
      </c>
      <c r="F125" s="130">
        <v>0</v>
      </c>
      <c r="G125" s="137">
        <f>Inputs!G146+Inputs!I146+Inputs!L146</f>
        <v>14633</v>
      </c>
      <c r="H125" s="137">
        <v>0</v>
      </c>
      <c r="I125" s="44">
        <f t="shared" si="10"/>
        <v>29341672.142668471</v>
      </c>
      <c r="J125" s="27">
        <f t="shared" si="8"/>
        <v>1312930.1426684707</v>
      </c>
      <c r="K125" s="36">
        <f t="shared" si="9"/>
        <v>4.6842278639136599E-2</v>
      </c>
      <c r="L125" s="10">
        <f t="shared" si="11"/>
        <v>4.6842278639136599E-2</v>
      </c>
      <c r="M125" s="135">
        <f t="shared" si="12"/>
        <v>1723785559527.4509</v>
      </c>
      <c r="N125" s="135">
        <f t="shared" si="13"/>
        <v>-934053.34847293794</v>
      </c>
      <c r="O125" s="135">
        <f t="shared" si="14"/>
        <v>872455657793.50769</v>
      </c>
      <c r="P125"/>
    </row>
    <row r="126" spans="1:16" x14ac:dyDescent="0.2">
      <c r="A126" s="43">
        <v>45412</v>
      </c>
      <c r="B126" s="44">
        <f>Inputs!D147</f>
        <v>24581293</v>
      </c>
      <c r="C126" s="44">
        <f t="shared" si="15"/>
        <v>423.24545454545455</v>
      </c>
      <c r="D126" s="99">
        <v>30</v>
      </c>
      <c r="E126" s="109">
        <v>1</v>
      </c>
      <c r="F126" s="130">
        <v>0</v>
      </c>
      <c r="G126" s="137">
        <f>Inputs!G147+Inputs!I147+Inputs!L147</f>
        <v>14658</v>
      </c>
      <c r="H126" s="137">
        <v>0</v>
      </c>
      <c r="I126" s="44">
        <f t="shared" si="10"/>
        <v>25897105.671674047</v>
      </c>
      <c r="J126" s="27">
        <f t="shared" si="8"/>
        <v>1315812.6716740467</v>
      </c>
      <c r="K126" s="36">
        <f t="shared" si="9"/>
        <v>5.3529025982239693E-2</v>
      </c>
      <c r="L126" s="10">
        <f t="shared" si="11"/>
        <v>5.3529025982239693E-2</v>
      </c>
      <c r="M126" s="135">
        <f t="shared" si="12"/>
        <v>1731362986937.9924</v>
      </c>
      <c r="N126" s="135">
        <f t="shared" si="13"/>
        <v>2882.5290055759251</v>
      </c>
      <c r="O126" s="135">
        <f t="shared" si="14"/>
        <v>8308973.4679865316</v>
      </c>
      <c r="P126"/>
    </row>
    <row r="127" spans="1:16" x14ac:dyDescent="0.2">
      <c r="A127" s="43">
        <v>45443</v>
      </c>
      <c r="B127" s="44">
        <f>Inputs!D148</f>
        <v>23038858</v>
      </c>
      <c r="C127" s="44">
        <f t="shared" si="15"/>
        <v>211.25454545454542</v>
      </c>
      <c r="D127" s="99">
        <v>31</v>
      </c>
      <c r="E127" s="109">
        <v>1</v>
      </c>
      <c r="F127" s="130">
        <v>0</v>
      </c>
      <c r="G127" s="137">
        <f>Inputs!G148+Inputs!I148+Inputs!L148</f>
        <v>14670</v>
      </c>
      <c r="H127" s="137">
        <v>0</v>
      </c>
      <c r="I127" s="44">
        <f t="shared" si="10"/>
        <v>23883313.264786251</v>
      </c>
      <c r="J127" s="27">
        <f t="shared" si="8"/>
        <v>844455.26478625089</v>
      </c>
      <c r="K127" s="36">
        <f t="shared" si="9"/>
        <v>3.6653520968194298E-2</v>
      </c>
      <c r="L127" s="10">
        <f t="shared" si="11"/>
        <v>3.6653520968194298E-2</v>
      </c>
      <c r="M127" s="135">
        <f t="shared" si="12"/>
        <v>713104694225.21704</v>
      </c>
      <c r="N127" s="135">
        <f t="shared" si="13"/>
        <v>-471357.40688779578</v>
      </c>
      <c r="O127" s="135">
        <f t="shared" si="14"/>
        <v>222177805027.98706</v>
      </c>
      <c r="P127"/>
    </row>
    <row r="128" spans="1:16" x14ac:dyDescent="0.2">
      <c r="A128" s="43">
        <v>45473</v>
      </c>
      <c r="B128" s="44">
        <f>Inputs!D149</f>
        <v>23532824</v>
      </c>
      <c r="C128" s="44">
        <f t="shared" si="15"/>
        <v>79.27272727272728</v>
      </c>
      <c r="D128" s="99">
        <v>30</v>
      </c>
      <c r="E128" s="109">
        <v>0</v>
      </c>
      <c r="F128" s="130">
        <v>0</v>
      </c>
      <c r="G128" s="137">
        <f>Inputs!G149+Inputs!I149+Inputs!L149</f>
        <v>14675</v>
      </c>
      <c r="H128" s="137">
        <v>0</v>
      </c>
      <c r="I128" s="44">
        <f t="shared" si="10"/>
        <v>22795850.575325623</v>
      </c>
      <c r="J128" s="27">
        <f t="shared" si="8"/>
        <v>-736973.42467437685</v>
      </c>
      <c r="K128" s="36">
        <f t="shared" si="9"/>
        <v>-3.1316828982122027E-2</v>
      </c>
      <c r="L128" s="10">
        <f t="shared" si="11"/>
        <v>3.1316828982122027E-2</v>
      </c>
      <c r="M128" s="135">
        <f t="shared" si="12"/>
        <v>543129828676.27942</v>
      </c>
      <c r="N128" s="135">
        <f t="shared" si="13"/>
        <v>-1581428.6894606277</v>
      </c>
      <c r="O128" s="135">
        <f t="shared" si="14"/>
        <v>2500916699849.1587</v>
      </c>
      <c r="P128"/>
    </row>
    <row r="129" spans="1:16" x14ac:dyDescent="0.2">
      <c r="A129" s="43">
        <v>45504</v>
      </c>
      <c r="B129" s="44">
        <f>Inputs!D150</f>
        <v>26577704</v>
      </c>
      <c r="C129" s="44">
        <f t="shared" si="15"/>
        <v>27.636363636363637</v>
      </c>
      <c r="D129" s="99">
        <v>31</v>
      </c>
      <c r="E129" s="109">
        <v>0</v>
      </c>
      <c r="F129" s="130">
        <v>1</v>
      </c>
      <c r="G129" s="137">
        <f>Inputs!G150+Inputs!I150+Inputs!L150</f>
        <v>14668</v>
      </c>
      <c r="H129" s="137">
        <v>0</v>
      </c>
      <c r="I129" s="44">
        <f t="shared" si="10"/>
        <v>25635304.723690651</v>
      </c>
      <c r="J129" s="27">
        <f t="shared" si="8"/>
        <v>-942399.27630934864</v>
      </c>
      <c r="K129" s="36">
        <f t="shared" si="9"/>
        <v>-3.5458265180067797E-2</v>
      </c>
      <c r="L129" s="10">
        <f t="shared" si="11"/>
        <v>3.5458265180067797E-2</v>
      </c>
      <c r="M129" s="135">
        <f t="shared" si="12"/>
        <v>888116395988.38403</v>
      </c>
      <c r="N129" s="135">
        <f t="shared" si="13"/>
        <v>-205425.8516349718</v>
      </c>
      <c r="O129" s="135">
        <f t="shared" si="14"/>
        <v>42199780519.953445</v>
      </c>
      <c r="P129"/>
    </row>
    <row r="130" spans="1:16" x14ac:dyDescent="0.2">
      <c r="A130" s="43">
        <v>45535</v>
      </c>
      <c r="B130" s="44">
        <f>Inputs!D151</f>
        <v>26337062</v>
      </c>
      <c r="C130" s="44">
        <f t="shared" si="15"/>
        <v>40.327272727272721</v>
      </c>
      <c r="D130" s="99">
        <v>31</v>
      </c>
      <c r="E130" s="109">
        <v>0</v>
      </c>
      <c r="F130" s="130">
        <v>1</v>
      </c>
      <c r="G130" s="137">
        <f>Inputs!G151+Inputs!I151+Inputs!L151</f>
        <v>14710</v>
      </c>
      <c r="H130" s="137">
        <v>0</v>
      </c>
      <c r="I130" s="44">
        <f t="shared" si="10"/>
        <v>25834596.121211853</v>
      </c>
      <c r="J130" s="27">
        <f t="shared" si="8"/>
        <v>-502465.87878814712</v>
      </c>
      <c r="K130" s="36">
        <f t="shared" si="9"/>
        <v>-1.9078281350750025E-2</v>
      </c>
      <c r="L130" s="10">
        <f t="shared" si="11"/>
        <v>1.9078281350750025E-2</v>
      </c>
      <c r="M130" s="135">
        <f t="shared" si="12"/>
        <v>252471959346.34497</v>
      </c>
      <c r="N130" s="135">
        <f t="shared" si="13"/>
        <v>439933.39752120152</v>
      </c>
      <c r="O130" s="135">
        <f t="shared" si="14"/>
        <v>193541394254.54752</v>
      </c>
      <c r="P130"/>
    </row>
    <row r="131" spans="1:16" x14ac:dyDescent="0.2">
      <c r="A131" s="43">
        <v>45565</v>
      </c>
      <c r="B131" s="44">
        <f>Inputs!D152</f>
        <v>23770050</v>
      </c>
      <c r="C131" s="44">
        <f t="shared" si="15"/>
        <v>123.35454545454546</v>
      </c>
      <c r="D131" s="99">
        <v>30</v>
      </c>
      <c r="E131" s="109">
        <v>0</v>
      </c>
      <c r="F131" s="130">
        <v>0</v>
      </c>
      <c r="G131" s="137">
        <f>Inputs!G152+Inputs!I152+Inputs!L152</f>
        <v>14736</v>
      </c>
      <c r="H131" s="137">
        <v>0</v>
      </c>
      <c r="I131" s="44">
        <f t="shared" si="10"/>
        <v>23397009.208472759</v>
      </c>
      <c r="J131" s="27">
        <f t="shared" ref="J131:J134" si="16">I131-B131</f>
        <v>-373040.79152724147</v>
      </c>
      <c r="K131" s="36">
        <f t="shared" ref="K131:K134" si="17">J131/B131</f>
        <v>-1.5693731882231693E-2</v>
      </c>
      <c r="L131" s="10">
        <f t="shared" si="11"/>
        <v>1.5693731882231693E-2</v>
      </c>
      <c r="M131" s="135">
        <f t="shared" si="12"/>
        <v>139159432143.27084</v>
      </c>
      <c r="N131" s="135">
        <f t="shared" si="13"/>
        <v>129425.08726090565</v>
      </c>
      <c r="O131" s="135">
        <f t="shared" si="14"/>
        <v>16750853212.493042</v>
      </c>
      <c r="P131"/>
    </row>
    <row r="132" spans="1:16" x14ac:dyDescent="0.2">
      <c r="A132" s="43">
        <v>45596</v>
      </c>
      <c r="B132" s="44">
        <f>Inputs!D153</f>
        <v>24811935</v>
      </c>
      <c r="C132" s="44">
        <f t="shared" si="15"/>
        <v>312.07272727272726</v>
      </c>
      <c r="D132" s="99">
        <v>31</v>
      </c>
      <c r="E132" s="109">
        <v>1</v>
      </c>
      <c r="F132" s="130">
        <v>0</v>
      </c>
      <c r="G132" s="137">
        <f>Inputs!G153+Inputs!I153+Inputs!L153</f>
        <v>14744</v>
      </c>
      <c r="H132" s="137">
        <v>0</v>
      </c>
      <c r="I132" s="44">
        <f t="shared" ref="I132:I146" si="18">$R$18+$R$19*C132+$R$20*D132+$R$21*E132+$R$22*F132+$R$23*G132+$R$24*H132</f>
        <v>25187914.657222368</v>
      </c>
      <c r="J132" s="27">
        <f t="shared" si="16"/>
        <v>375979.65722236782</v>
      </c>
      <c r="K132" s="36">
        <f t="shared" si="17"/>
        <v>1.515317758257741E-2</v>
      </c>
      <c r="L132" s="10">
        <f t="shared" ref="L132:L134" si="19">ABS(K132)</f>
        <v>1.515317758257741E-2</v>
      </c>
      <c r="M132" s="135">
        <f t="shared" ref="M132:M134" si="20">J132*J132</f>
        <v>141360702645.04919</v>
      </c>
      <c r="N132" s="135">
        <f t="shared" si="13"/>
        <v>749020.44874960929</v>
      </c>
      <c r="O132" s="135">
        <f t="shared" si="14"/>
        <v>561031632645.06604</v>
      </c>
      <c r="P132"/>
    </row>
    <row r="133" spans="1:16" x14ac:dyDescent="0.2">
      <c r="A133" s="43">
        <v>45626</v>
      </c>
      <c r="B133" s="44">
        <f>Inputs!D154</f>
        <v>26163462</v>
      </c>
      <c r="C133" s="44">
        <f t="shared" si="15"/>
        <v>496.43636363636364</v>
      </c>
      <c r="D133" s="99">
        <v>30</v>
      </c>
      <c r="E133" s="109">
        <v>1</v>
      </c>
      <c r="F133" s="130">
        <v>0</v>
      </c>
      <c r="G133" s="137">
        <f>Inputs!G154+Inputs!I154+Inputs!L154</f>
        <v>14771</v>
      </c>
      <c r="H133" s="137">
        <v>0</v>
      </c>
      <c r="I133" s="44">
        <f t="shared" si="18"/>
        <v>26907808.811059747</v>
      </c>
      <c r="J133" s="27">
        <f t="shared" si="16"/>
        <v>744346.81105974689</v>
      </c>
      <c r="K133" s="36">
        <f t="shared" si="17"/>
        <v>2.8449859237273219E-2</v>
      </c>
      <c r="L133" s="10">
        <f t="shared" si="19"/>
        <v>2.8449859237273219E-2</v>
      </c>
      <c r="M133" s="135">
        <f t="shared" si="20"/>
        <v>554052175134.81458</v>
      </c>
      <c r="N133" s="135">
        <f t="shared" ref="N133:N134" si="21">J133-J132</f>
        <v>368367.15383737907</v>
      </c>
      <c r="O133" s="135">
        <f t="shared" ref="O133:O134" si="22">N133*N133</f>
        <v>135694360026.2513</v>
      </c>
      <c r="P133"/>
    </row>
    <row r="134" spans="1:16" x14ac:dyDescent="0.2">
      <c r="A134" s="43">
        <v>45657</v>
      </c>
      <c r="B134" s="44">
        <f>Inputs!D155</f>
        <v>31129577</v>
      </c>
      <c r="C134" s="44">
        <f t="shared" si="15"/>
        <v>679.73636363636365</v>
      </c>
      <c r="D134" s="99">
        <v>31</v>
      </c>
      <c r="E134" s="109">
        <v>0</v>
      </c>
      <c r="F134" s="130">
        <v>0</v>
      </c>
      <c r="G134" s="137">
        <f>Inputs!G155+Inputs!I155+Inputs!L155</f>
        <v>14773</v>
      </c>
      <c r="H134" s="137">
        <v>0</v>
      </c>
      <c r="I134" s="44">
        <f t="shared" si="18"/>
        <v>30747768.231248703</v>
      </c>
      <c r="J134" s="27">
        <f t="shared" si="16"/>
        <v>-381808.76875129715</v>
      </c>
      <c r="K134" s="36">
        <f t="shared" si="17"/>
        <v>-1.2265144776984831E-2</v>
      </c>
      <c r="L134" s="10">
        <f t="shared" si="19"/>
        <v>1.2265144776984831E-2</v>
      </c>
      <c r="M134" s="135">
        <f t="shared" si="20"/>
        <v>145777935895.3815</v>
      </c>
      <c r="N134" s="135">
        <f t="shared" si="21"/>
        <v>-1126155.579811044</v>
      </c>
      <c r="O134" s="135">
        <f t="shared" si="22"/>
        <v>1268226389939.5488</v>
      </c>
      <c r="P134"/>
    </row>
    <row r="135" spans="1:16" x14ac:dyDescent="0.2">
      <c r="A135" s="43">
        <v>45688</v>
      </c>
      <c r="B135" s="44"/>
      <c r="C135" s="44">
        <f t="shared" si="15"/>
        <v>834.24545454545466</v>
      </c>
      <c r="D135" s="99">
        <v>31</v>
      </c>
      <c r="E135" s="109">
        <v>0</v>
      </c>
      <c r="F135" s="130">
        <v>0</v>
      </c>
      <c r="G135" s="137">
        <f>'Rate Class Customer Model'!O4</f>
        <v>14774.001235799718</v>
      </c>
      <c r="H135" s="137">
        <v>0</v>
      </c>
      <c r="I135" s="44">
        <f t="shared" si="18"/>
        <v>32626529.947933227</v>
      </c>
      <c r="J135" s="27"/>
      <c r="K135" s="38" t="s">
        <v>51</v>
      </c>
      <c r="L135" s="4">
        <f>AVERAGE(L3:L134)</f>
        <v>3.4934108673926351E-2</v>
      </c>
      <c r="M135" s="5">
        <f>SUM(M3:M134)</f>
        <v>201523667528195.22</v>
      </c>
      <c r="N135" s="135"/>
      <c r="O135" s="5">
        <f>SUM(O3:O134)</f>
        <v>220687857384421.88</v>
      </c>
      <c r="P135"/>
    </row>
    <row r="136" spans="1:16" x14ac:dyDescent="0.2">
      <c r="A136" s="43">
        <v>45716</v>
      </c>
      <c r="B136" s="44"/>
      <c r="C136" s="44">
        <f t="shared" si="15"/>
        <v>763.4909090909091</v>
      </c>
      <c r="D136" s="99">
        <v>28</v>
      </c>
      <c r="E136" s="109">
        <v>0</v>
      </c>
      <c r="F136" s="130">
        <v>0</v>
      </c>
      <c r="G136" s="137">
        <f>'Rate Class Customer Model'!O5</f>
        <v>14792.258942365021</v>
      </c>
      <c r="H136" s="137">
        <v>0</v>
      </c>
      <c r="I136" s="44">
        <f t="shared" si="18"/>
        <v>30137547.82694909</v>
      </c>
      <c r="J136" s="27"/>
      <c r="K136"/>
      <c r="L136"/>
      <c r="M136"/>
      <c r="N136" s="135"/>
      <c r="O136"/>
      <c r="P136"/>
    </row>
    <row r="137" spans="1:16" x14ac:dyDescent="0.2">
      <c r="A137" s="43">
        <v>45747</v>
      </c>
      <c r="B137" s="44"/>
      <c r="C137" s="44">
        <f t="shared" si="15"/>
        <v>663.67272727272734</v>
      </c>
      <c r="D137" s="99">
        <v>31</v>
      </c>
      <c r="E137" s="109">
        <v>1</v>
      </c>
      <c r="F137" s="130">
        <v>0</v>
      </c>
      <c r="G137" s="137">
        <f>'Rate Class Customer Model'!O6</f>
        <v>14810.539211798952</v>
      </c>
      <c r="H137" s="137">
        <v>0</v>
      </c>
      <c r="I137" s="44">
        <f t="shared" si="18"/>
        <v>29532162.561014451</v>
      </c>
      <c r="J137" s="27"/>
      <c r="K137"/>
      <c r="L137"/>
      <c r="M137"/>
      <c r="N137" s="135"/>
      <c r="O137"/>
      <c r="P137"/>
    </row>
    <row r="138" spans="1:16" x14ac:dyDescent="0.2">
      <c r="A138" s="43">
        <v>45777</v>
      </c>
      <c r="B138" s="44"/>
      <c r="C138" s="44">
        <f t="shared" si="15"/>
        <v>423.24545454545455</v>
      </c>
      <c r="D138" s="99">
        <v>30</v>
      </c>
      <c r="E138" s="109">
        <v>1</v>
      </c>
      <c r="F138" s="130">
        <v>0</v>
      </c>
      <c r="G138" s="137">
        <f>'Rate Class Customer Model'!O7</f>
        <v>14828.8420719847</v>
      </c>
      <c r="H138" s="137">
        <v>0</v>
      </c>
      <c r="I138" s="44">
        <f t="shared" si="18"/>
        <v>26080410.404379029</v>
      </c>
      <c r="J138" s="27"/>
      <c r="K138"/>
      <c r="L138"/>
      <c r="M138"/>
      <c r="N138" s="135"/>
      <c r="O138"/>
      <c r="P138"/>
    </row>
    <row r="139" spans="1:16" x14ac:dyDescent="0.2">
      <c r="A139" s="43">
        <v>45808</v>
      </c>
      <c r="B139" s="44"/>
      <c r="C139" s="44">
        <f t="shared" si="15"/>
        <v>211.25454545454542</v>
      </c>
      <c r="D139" s="99">
        <v>31</v>
      </c>
      <c r="E139" s="109">
        <v>1</v>
      </c>
      <c r="F139" s="130">
        <v>0</v>
      </c>
      <c r="G139" s="137">
        <f>'Rate Class Customer Model'!O8</f>
        <v>14847.167550839909</v>
      </c>
      <c r="H139" s="137">
        <v>0</v>
      </c>
      <c r="I139" s="44">
        <f t="shared" si="18"/>
        <v>24073404.910090193</v>
      </c>
      <c r="J139" s="27"/>
      <c r="K139"/>
      <c r="L139"/>
      <c r="M139"/>
      <c r="N139" s="135"/>
      <c r="O139"/>
      <c r="P139"/>
    </row>
    <row r="140" spans="1:16" x14ac:dyDescent="0.2">
      <c r="A140" s="43">
        <v>45838</v>
      </c>
      <c r="B140" s="44"/>
      <c r="C140" s="44">
        <f t="shared" si="15"/>
        <v>79.27272727272728</v>
      </c>
      <c r="D140" s="99">
        <v>30</v>
      </c>
      <c r="E140" s="109">
        <v>0</v>
      </c>
      <c r="F140" s="130">
        <v>0</v>
      </c>
      <c r="G140" s="137">
        <f>'Rate Class Customer Model'!O9</f>
        <v>14865.515676316727</v>
      </c>
      <c r="H140" s="137">
        <v>0</v>
      </c>
      <c r="I140" s="44">
        <f t="shared" si="18"/>
        <v>23000264.070887029</v>
      </c>
      <c r="J140" s="27"/>
      <c r="K140"/>
      <c r="L140"/>
      <c r="M140"/>
      <c r="N140" s="135"/>
      <c r="O140"/>
      <c r="P140"/>
    </row>
    <row r="141" spans="1:16" x14ac:dyDescent="0.2">
      <c r="A141" s="43">
        <v>45869</v>
      </c>
      <c r="B141" s="44"/>
      <c r="C141" s="44">
        <f t="shared" si="15"/>
        <v>27.636363636363637</v>
      </c>
      <c r="D141" s="99">
        <v>31</v>
      </c>
      <c r="E141" s="109">
        <v>0</v>
      </c>
      <c r="F141" s="130">
        <v>1</v>
      </c>
      <c r="G141" s="137">
        <f>'Rate Class Customer Model'!O10</f>
        <v>14883.88647640184</v>
      </c>
      <c r="H141" s="137">
        <v>0</v>
      </c>
      <c r="I141" s="44">
        <f t="shared" si="18"/>
        <v>25866939.779340193</v>
      </c>
      <c r="J141" s="27"/>
      <c r="K141"/>
      <c r="L141"/>
      <c r="M141"/>
      <c r="N141" s="135"/>
      <c r="O141"/>
      <c r="P141"/>
    </row>
    <row r="142" spans="1:16" x14ac:dyDescent="0.2">
      <c r="A142" s="43">
        <v>45900</v>
      </c>
      <c r="B142" s="44"/>
      <c r="C142" s="44">
        <f t="shared" si="15"/>
        <v>40.327272727272721</v>
      </c>
      <c r="D142" s="99">
        <v>31</v>
      </c>
      <c r="E142" s="109">
        <v>0</v>
      </c>
      <c r="F142" s="130">
        <v>1</v>
      </c>
      <c r="G142" s="137">
        <f>'Rate Class Customer Model'!O11</f>
        <v>14902.279979116522</v>
      </c>
      <c r="H142" s="137">
        <v>0</v>
      </c>
      <c r="I142" s="44">
        <f t="shared" si="18"/>
        <v>26040902.62269019</v>
      </c>
      <c r="J142" s="27"/>
      <c r="K142"/>
      <c r="L142"/>
      <c r="M142"/>
      <c r="N142" s="135"/>
      <c r="O142"/>
      <c r="P142"/>
    </row>
    <row r="143" spans="1:16" x14ac:dyDescent="0.2">
      <c r="A143" s="43">
        <v>45930</v>
      </c>
      <c r="B143" s="44"/>
      <c r="C143" s="44">
        <f t="shared" si="15"/>
        <v>123.35454545454546</v>
      </c>
      <c r="D143" s="99">
        <v>30</v>
      </c>
      <c r="E143" s="109">
        <v>0</v>
      </c>
      <c r="F143" s="130">
        <v>0</v>
      </c>
      <c r="G143" s="137">
        <f>'Rate Class Customer Model'!O12</f>
        <v>14920.696212516677</v>
      </c>
      <c r="H143" s="137">
        <v>0</v>
      </c>
      <c r="I143" s="44">
        <f t="shared" si="18"/>
        <v>23595178.719493579</v>
      </c>
      <c r="J143" s="27"/>
      <c r="K143"/>
      <c r="L143"/>
      <c r="M143"/>
      <c r="N143" s="135"/>
      <c r="O143"/>
      <c r="P143"/>
    </row>
    <row r="144" spans="1:16" x14ac:dyDescent="0.2">
      <c r="A144" s="43">
        <v>45961</v>
      </c>
      <c r="B144" s="44"/>
      <c r="C144" s="44">
        <f t="shared" ref="C144:C146" si="23">C132</f>
        <v>312.07272727272726</v>
      </c>
      <c r="D144" s="99">
        <v>31</v>
      </c>
      <c r="E144" s="109">
        <v>1</v>
      </c>
      <c r="F144" s="130">
        <v>0</v>
      </c>
      <c r="G144" s="137">
        <f>'Rate Class Customer Model'!O13</f>
        <v>14939.135204692881</v>
      </c>
      <c r="H144" s="137">
        <v>0</v>
      </c>
      <c r="I144" s="44">
        <f t="shared" si="18"/>
        <v>25397284.668496665</v>
      </c>
      <c r="J144" s="27"/>
      <c r="K144"/>
      <c r="L144"/>
      <c r="M144"/>
      <c r="N144" s="135"/>
      <c r="O144"/>
      <c r="P144"/>
    </row>
    <row r="145" spans="1:16" x14ac:dyDescent="0.2">
      <c r="A145" s="43">
        <v>45991</v>
      </c>
      <c r="B145" s="44"/>
      <c r="C145" s="44">
        <f t="shared" si="23"/>
        <v>496.43636363636364</v>
      </c>
      <c r="D145" s="99">
        <v>30</v>
      </c>
      <c r="E145" s="109">
        <v>1</v>
      </c>
      <c r="F145" s="130">
        <v>0</v>
      </c>
      <c r="G145" s="137">
        <f>'Rate Class Customer Model'!O14</f>
        <v>14957.596983770422</v>
      </c>
      <c r="H145" s="137">
        <v>0</v>
      </c>
      <c r="I145" s="44">
        <f t="shared" si="18"/>
        <v>27108017.751610741</v>
      </c>
      <c r="J145" s="27"/>
      <c r="N145" s="135"/>
      <c r="P145"/>
    </row>
    <row r="146" spans="1:16" x14ac:dyDescent="0.2">
      <c r="A146" s="43">
        <v>46022</v>
      </c>
      <c r="B146" s="44"/>
      <c r="C146" s="44">
        <f t="shared" si="23"/>
        <v>679.73636363636365</v>
      </c>
      <c r="D146" s="99">
        <v>31</v>
      </c>
      <c r="E146" s="109">
        <v>0</v>
      </c>
      <c r="F146" s="130">
        <v>0</v>
      </c>
      <c r="G146" s="137">
        <f>'Rate Class Customer Model'!O15</f>
        <v>14976.081577909345</v>
      </c>
      <c r="H146" s="137">
        <v>0</v>
      </c>
      <c r="I146" s="44">
        <f t="shared" si="18"/>
        <v>30965664.291180078</v>
      </c>
      <c r="J146" s="27"/>
      <c r="N146" s="135"/>
      <c r="P146"/>
    </row>
    <row r="147" spans="1:16" x14ac:dyDescent="0.2">
      <c r="A147" s="28"/>
      <c r="D147" s="8"/>
      <c r="E147" s="53"/>
      <c r="P147"/>
    </row>
    <row r="148" spans="1:16" x14ac:dyDescent="0.2">
      <c r="A148" s="28"/>
      <c r="D148" s="8"/>
      <c r="E148" s="53"/>
      <c r="P148"/>
    </row>
    <row r="149" spans="1:16" x14ac:dyDescent="0.2">
      <c r="A149" s="28"/>
      <c r="C149" s="101" t="s">
        <v>123</v>
      </c>
      <c r="D149" s="8"/>
      <c r="E149" s="53"/>
      <c r="L149" s="47" t="s">
        <v>140</v>
      </c>
      <c r="P149"/>
    </row>
    <row r="150" spans="1:16" x14ac:dyDescent="0.2">
      <c r="A150" s="28"/>
      <c r="C150" s="102" t="s">
        <v>89</v>
      </c>
      <c r="D150" s="8"/>
      <c r="E150" s="53"/>
      <c r="I150" s="27">
        <f>SUM(I2:I146)</f>
        <v>3740717463.0240631</v>
      </c>
      <c r="L150" s="47" t="s">
        <v>142</v>
      </c>
      <c r="P150"/>
    </row>
    <row r="151" spans="1:16" x14ac:dyDescent="0.2">
      <c r="A151" s="28"/>
      <c r="D151" s="8"/>
      <c r="E151" s="53"/>
      <c r="L151" s="47" t="s">
        <v>141</v>
      </c>
      <c r="P151"/>
    </row>
    <row r="152" spans="1:16" x14ac:dyDescent="0.2">
      <c r="A152" s="22">
        <v>2014</v>
      </c>
      <c r="B152" s="5">
        <f>SUM(B3:B14)</f>
        <v>319149657</v>
      </c>
      <c r="I152" s="5">
        <f>SUM(I3:I14)</f>
        <v>303402027.78356653</v>
      </c>
      <c r="J152" s="31">
        <f>'Power Purchased Model'!I152</f>
        <v>309053650.44764197</v>
      </c>
      <c r="K152"/>
      <c r="L152" s="4">
        <f>I152/J152</f>
        <v>0.98171313409212457</v>
      </c>
      <c r="M152"/>
      <c r="N152" s="4"/>
      <c r="O152" s="4"/>
      <c r="P152"/>
    </row>
    <row r="153" spans="1:16" x14ac:dyDescent="0.2">
      <c r="A153" s="22">
        <v>2015</v>
      </c>
      <c r="B153" s="5">
        <f>SUM(B15:B26)</f>
        <v>308961454</v>
      </c>
      <c r="G153" s="36"/>
      <c r="H153" s="36"/>
      <c r="I153" s="5">
        <f>SUM(I15:I26)</f>
        <v>304267897.16558957</v>
      </c>
      <c r="J153" s="31">
        <f>'Power Purchased Model'!I153</f>
        <v>306881369.40230405</v>
      </c>
      <c r="K153"/>
      <c r="L153" s="4">
        <f t="shared" ref="L153:L162" si="24">I153/J153</f>
        <v>0.99148377028620338</v>
      </c>
      <c r="M153"/>
      <c r="N153" s="4"/>
      <c r="O153" s="4"/>
      <c r="P153"/>
    </row>
    <row r="154" spans="1:16" x14ac:dyDescent="0.2">
      <c r="A154" s="22">
        <v>2016</v>
      </c>
      <c r="B154" s="5">
        <f>SUM(B27:B38)</f>
        <v>302232068</v>
      </c>
      <c r="G154" s="36"/>
      <c r="H154" s="36"/>
      <c r="I154" s="5">
        <f>SUM(I27:I38)</f>
        <v>305539564.75432801</v>
      </c>
      <c r="J154" s="31">
        <f>'Power Purchased Model'!I154</f>
        <v>303651713.3178646</v>
      </c>
      <c r="K154"/>
      <c r="L154" s="4">
        <f t="shared" si="24"/>
        <v>1.0062171604956076</v>
      </c>
      <c r="M154"/>
      <c r="N154" s="4"/>
      <c r="O154" s="4"/>
      <c r="P154"/>
    </row>
    <row r="155" spans="1:16" x14ac:dyDescent="0.2">
      <c r="A155" s="22">
        <v>2017</v>
      </c>
      <c r="B155" s="5">
        <f>SUM(B39:B50)</f>
        <v>297287399</v>
      </c>
      <c r="G155" s="36"/>
      <c r="H155" s="36"/>
      <c r="I155" s="5">
        <f>SUM(I39:I50)</f>
        <v>306092982.44293922</v>
      </c>
      <c r="J155" s="31">
        <f>'Power Purchased Model'!I155</f>
        <v>304745921.78254604</v>
      </c>
      <c r="K155"/>
      <c r="L155" s="4">
        <f t="shared" si="24"/>
        <v>1.0044202746094644</v>
      </c>
      <c r="M155"/>
      <c r="N155" s="4"/>
      <c r="O155" s="4"/>
      <c r="P155"/>
    </row>
    <row r="156" spans="1:16" x14ac:dyDescent="0.2">
      <c r="A156" s="22">
        <v>2018</v>
      </c>
      <c r="B156" s="5">
        <f>SUM(B51:B62)</f>
        <v>309247473</v>
      </c>
      <c r="G156" s="36"/>
      <c r="H156" s="36"/>
      <c r="I156" s="5">
        <f>SUM(I51:I62)</f>
        <v>307817210.56798369</v>
      </c>
      <c r="J156" s="31">
        <f>'Power Purchased Model'!I156</f>
        <v>310470786.39033937</v>
      </c>
      <c r="K156"/>
      <c r="L156" s="4">
        <f t="shared" si="24"/>
        <v>0.99145305794078975</v>
      </c>
      <c r="M156"/>
      <c r="N156" s="4"/>
      <c r="O156" s="4"/>
      <c r="P156"/>
    </row>
    <row r="157" spans="1:16" x14ac:dyDescent="0.2">
      <c r="A157" s="22">
        <v>2019</v>
      </c>
      <c r="B157" s="5">
        <f>SUM(B63:B74)</f>
        <v>309952095.46999997</v>
      </c>
      <c r="G157" s="36"/>
      <c r="H157" s="36"/>
      <c r="I157" s="5">
        <f>SUM(I63:I74)</f>
        <v>309565043.55846137</v>
      </c>
      <c r="J157" s="31">
        <f>'Power Purchased Model'!I157</f>
        <v>315285936.05228049</v>
      </c>
      <c r="K157"/>
      <c r="L157" s="4">
        <f t="shared" si="24"/>
        <v>0.98185490743592674</v>
      </c>
      <c r="M157"/>
      <c r="N157" s="4"/>
      <c r="O157" s="4"/>
      <c r="P157"/>
    </row>
    <row r="158" spans="1:16" x14ac:dyDescent="0.2">
      <c r="A158" s="22">
        <v>2020</v>
      </c>
      <c r="B158" s="5">
        <f>SUM(B75:B86)</f>
        <v>304387702</v>
      </c>
      <c r="G158" s="36"/>
      <c r="H158" s="36"/>
      <c r="I158" s="5">
        <f>SUM(I75:I86)</f>
        <v>307792642.10107827</v>
      </c>
      <c r="J158" s="31">
        <f>'Power Purchased Model'!I158</f>
        <v>307539315.59453505</v>
      </c>
      <c r="K158"/>
      <c r="L158" s="4">
        <f t="shared" si="24"/>
        <v>1.0008237207202386</v>
      </c>
      <c r="M158"/>
      <c r="N158" s="4"/>
      <c r="O158" s="4"/>
      <c r="P158"/>
    </row>
    <row r="159" spans="1:16" x14ac:dyDescent="0.2">
      <c r="A159" s="22">
        <v>2021</v>
      </c>
      <c r="B159" s="5">
        <f>SUM(B87:B98)</f>
        <v>309941422</v>
      </c>
      <c r="G159" s="36"/>
      <c r="H159" s="36"/>
      <c r="I159" s="5">
        <f>SUM(I87:I98)</f>
        <v>313772074.34769577</v>
      </c>
      <c r="J159" s="31">
        <f>'Power Purchased Model'!I159</f>
        <v>310944826.79909241</v>
      </c>
      <c r="K159"/>
      <c r="L159" s="4">
        <f t="shared" si="24"/>
        <v>1.0090924411822748</v>
      </c>
      <c r="M159"/>
      <c r="N159" s="4"/>
      <c r="O159" s="4"/>
      <c r="P159"/>
    </row>
    <row r="160" spans="1:16" x14ac:dyDescent="0.2">
      <c r="A160" s="22">
        <v>2022</v>
      </c>
      <c r="B160" s="5">
        <f>SUM(B99:B110)</f>
        <v>322673989</v>
      </c>
      <c r="G160" s="36"/>
      <c r="H160" s="36"/>
      <c r="I160" s="5">
        <f>SUM(I99:I110)</f>
        <v>316329983.40189999</v>
      </c>
      <c r="J160" s="31">
        <f>'Power Purchased Model'!I160</f>
        <v>317030636.12954813</v>
      </c>
      <c r="K160"/>
      <c r="L160" s="4">
        <f t="shared" si="24"/>
        <v>0.99778995261719172</v>
      </c>
      <c r="M160"/>
      <c r="N160" s="4"/>
      <c r="O160" s="4"/>
      <c r="P160"/>
    </row>
    <row r="161" spans="1:18" x14ac:dyDescent="0.2">
      <c r="A161" s="22">
        <v>2023</v>
      </c>
      <c r="B161" s="5">
        <f>SUM(B111:B122)</f>
        <v>315137434</v>
      </c>
      <c r="G161" s="36"/>
      <c r="H161" s="36"/>
      <c r="I161" s="5">
        <f>SUM(I111:I122)</f>
        <v>319105700.98714596</v>
      </c>
      <c r="J161" s="31">
        <f>'Power Purchased Model'!I161</f>
        <v>315136108.87785494</v>
      </c>
      <c r="K161"/>
      <c r="L161" s="4">
        <f t="shared" si="24"/>
        <v>1.0125964368965081</v>
      </c>
      <c r="M161"/>
      <c r="N161" s="4"/>
      <c r="O161" s="4"/>
      <c r="P161"/>
    </row>
    <row r="162" spans="1:18" x14ac:dyDescent="0.2">
      <c r="A162" s="22">
        <v>2024</v>
      </c>
      <c r="B162" s="5">
        <f>SUM(B123:B134)</f>
        <v>317322462</v>
      </c>
      <c r="G162" s="36"/>
      <c r="H162" s="36"/>
      <c r="I162" s="5">
        <f>SUM(I123:I134)</f>
        <v>322608028.35931164</v>
      </c>
      <c r="J162" s="31">
        <f>'Power Purchased Model'!I162</f>
        <v>315552890.67599291</v>
      </c>
      <c r="K162"/>
      <c r="L162" s="4">
        <f t="shared" si="24"/>
        <v>1.0223580195009618</v>
      </c>
      <c r="M162"/>
      <c r="N162" s="4"/>
      <c r="O162" s="4"/>
      <c r="P162"/>
    </row>
    <row r="163" spans="1:18" x14ac:dyDescent="0.2">
      <c r="A163" s="22">
        <v>2025</v>
      </c>
      <c r="G163" s="36"/>
      <c r="H163" s="36"/>
      <c r="I163" s="13">
        <f>SUM(I135:I146)</f>
        <v>324424307.55406445</v>
      </c>
      <c r="J163" s="31"/>
      <c r="K163" s="4"/>
      <c r="L163" s="4"/>
      <c r="M163" s="4"/>
      <c r="N163" s="4"/>
      <c r="O163" s="4"/>
      <c r="P163"/>
      <c r="Q163" s="5"/>
      <c r="R163" s="31"/>
    </row>
    <row r="164" spans="1:18" x14ac:dyDescent="0.2">
      <c r="I164" s="5"/>
      <c r="P164"/>
      <c r="Q164" s="5"/>
      <c r="R164" s="31"/>
    </row>
    <row r="165" spans="1:18" x14ac:dyDescent="0.2">
      <c r="A165" s="37" t="s">
        <v>5</v>
      </c>
      <c r="B165" s="5">
        <f>SUM(B152:B162)</f>
        <v>3416293155.4700003</v>
      </c>
      <c r="I165" s="5">
        <f>SUM(I152:I162)</f>
        <v>3416293155.4699998</v>
      </c>
      <c r="J165" s="27">
        <f>I165-B165</f>
        <v>0</v>
      </c>
      <c r="K165" s="1" t="s">
        <v>64</v>
      </c>
      <c r="P165" s="4"/>
      <c r="Q165" s="5"/>
      <c r="R165" s="31"/>
    </row>
    <row r="166" spans="1:18" x14ac:dyDescent="0.2">
      <c r="P166" s="4"/>
      <c r="Q166" s="5"/>
      <c r="R166" s="31"/>
    </row>
    <row r="167" spans="1:18" x14ac:dyDescent="0.2">
      <c r="I167" s="5">
        <f>SUM(I152:I163)</f>
        <v>3740717463.0240641</v>
      </c>
      <c r="J167" s="27">
        <f>I150-I167</f>
        <v>0</v>
      </c>
      <c r="P167" s="4"/>
      <c r="Q167" s="5"/>
      <c r="R167" s="31"/>
    </row>
    <row r="168" spans="1:18" x14ac:dyDescent="0.2">
      <c r="I168" s="157"/>
      <c r="J168" s="157"/>
      <c r="K168"/>
      <c r="L168"/>
      <c r="M168"/>
      <c r="N168"/>
      <c r="O168"/>
      <c r="P168" s="4"/>
      <c r="Q168" s="5"/>
      <c r="R168" s="31"/>
    </row>
    <row r="169" spans="1:18" x14ac:dyDescent="0.2">
      <c r="P169" s="5"/>
      <c r="Q169" s="5"/>
      <c r="R169" s="31"/>
    </row>
    <row r="170" spans="1:18" x14ac:dyDescent="0.2">
      <c r="P170" s="5"/>
      <c r="Q170" s="5"/>
      <c r="R170" s="31"/>
    </row>
    <row r="171" spans="1:18" x14ac:dyDescent="0.2">
      <c r="A171"/>
      <c r="B171"/>
      <c r="C171"/>
      <c r="D171"/>
      <c r="F171"/>
      <c r="G171"/>
      <c r="H171"/>
      <c r="I171"/>
      <c r="J171"/>
    </row>
    <row r="172" spans="1:18" x14ac:dyDescent="0.2">
      <c r="A172"/>
      <c r="B172" t="s">
        <v>100</v>
      </c>
      <c r="C172"/>
      <c r="D172"/>
      <c r="F172"/>
      <c r="G172"/>
      <c r="H172"/>
      <c r="I172"/>
      <c r="J172"/>
    </row>
    <row r="173" spans="1:18" x14ac:dyDescent="0.2">
      <c r="A173"/>
      <c r="B173"/>
      <c r="C173"/>
      <c r="D173"/>
      <c r="F173"/>
      <c r="G173"/>
      <c r="H173"/>
      <c r="I173"/>
      <c r="J173"/>
    </row>
    <row r="174" spans="1:18" x14ac:dyDescent="0.2">
      <c r="A174"/>
      <c r="B174"/>
      <c r="C174"/>
      <c r="D174"/>
      <c r="F174"/>
      <c r="G174"/>
      <c r="H174"/>
      <c r="I174"/>
      <c r="J174"/>
    </row>
    <row r="175" spans="1:18" x14ac:dyDescent="0.2">
      <c r="A175"/>
      <c r="B175"/>
      <c r="C175"/>
      <c r="D175"/>
      <c r="F175"/>
      <c r="G175"/>
      <c r="H175"/>
      <c r="I175"/>
      <c r="J175"/>
    </row>
    <row r="176" spans="1:18" x14ac:dyDescent="0.2">
      <c r="A176"/>
      <c r="B176"/>
      <c r="C176"/>
      <c r="D176"/>
      <c r="F176"/>
      <c r="G176"/>
      <c r="H176" s="146"/>
      <c r="I176"/>
      <c r="J176"/>
    </row>
    <row r="177" spans="1:16" x14ac:dyDescent="0.2">
      <c r="A177"/>
      <c r="B177"/>
      <c r="C177"/>
      <c r="D177"/>
      <c r="F177"/>
      <c r="G177"/>
      <c r="H177"/>
      <c r="I177"/>
      <c r="J177"/>
    </row>
    <row r="178" spans="1:16" x14ac:dyDescent="0.2">
      <c r="A178"/>
      <c r="B178"/>
      <c r="C178"/>
      <c r="D178"/>
      <c r="F178"/>
      <c r="G178"/>
      <c r="H178"/>
      <c r="I178"/>
      <c r="J178"/>
    </row>
    <row r="179" spans="1:16" x14ac:dyDescent="0.2">
      <c r="A179"/>
      <c r="B179"/>
      <c r="C179"/>
      <c r="D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>
      <c r="E195" s="52"/>
    </row>
    <row r="196" spans="1:16" customFormat="1" x14ac:dyDescent="0.2">
      <c r="E196" s="52"/>
    </row>
  </sheetData>
  <mergeCells count="1">
    <mergeCell ref="I168:J168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U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7" sqref="E37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1.42578125" style="5" customWidth="1"/>
    <col min="12" max="12" width="12.42578125" style="5" customWidth="1"/>
    <col min="13" max="13" width="16.85546875" style="5" bestFit="1" customWidth="1"/>
    <col min="14" max="15" width="16.85546875" customWidth="1"/>
    <col min="16" max="16" width="14.42578125" customWidth="1"/>
    <col min="17" max="17" width="12.5703125" bestFit="1" customWidth="1"/>
    <col min="18" max="18" width="11.5703125" bestFit="1" customWidth="1"/>
    <col min="19" max="19" width="14" customWidth="1"/>
    <col min="20" max="20" width="10.140625" bestFit="1" customWidth="1"/>
    <col min="21" max="21" width="12.5703125" style="5" bestFit="1" customWidth="1"/>
  </cols>
  <sheetData>
    <row r="2" spans="1:21" s="124" customFormat="1" ht="38.25" x14ac:dyDescent="0.2">
      <c r="B2" s="125" t="s">
        <v>2</v>
      </c>
      <c r="C2" s="125" t="s">
        <v>3</v>
      </c>
      <c r="D2" s="125" t="s">
        <v>28</v>
      </c>
      <c r="E2" s="125" t="s">
        <v>4</v>
      </c>
      <c r="F2" s="125" t="s">
        <v>0</v>
      </c>
      <c r="G2" s="126" t="s">
        <v>1</v>
      </c>
      <c r="H2" s="127" t="str">
        <f>Inputs!B4</f>
        <v>Residential</v>
      </c>
      <c r="I2" s="127" t="str">
        <f>Inputs!C4</f>
        <v>General Service &lt; 50 kW</v>
      </c>
      <c r="J2" s="127" t="str">
        <f>Inputs!D4</f>
        <v>General Service &gt; 50 to 4999 kW</v>
      </c>
      <c r="K2" s="127" t="str">
        <f>Inputs!E4</f>
        <v>USL</v>
      </c>
      <c r="L2" s="127" t="str">
        <f>Inputs!F4</f>
        <v>Sentinel Lighting</v>
      </c>
      <c r="M2" s="127" t="str">
        <f>Inputs!G4</f>
        <v>Street Lighting</v>
      </c>
      <c r="U2" s="128"/>
    </row>
    <row r="3" spans="1:21" x14ac:dyDescent="0.2">
      <c r="A3">
        <v>2014</v>
      </c>
      <c r="B3" s="55">
        <f>+'Power Purchased Model'!B152</f>
        <v>319149657</v>
      </c>
      <c r="C3" s="55">
        <f>+'Power Purchased Model'!I152</f>
        <v>309053650.44764197</v>
      </c>
      <c r="D3" s="21">
        <f>C3-B3</f>
        <v>-10096006.552358031</v>
      </c>
      <c r="E3" s="4">
        <f>D3/B3</f>
        <v>-3.1634082415316622E-2</v>
      </c>
      <c r="F3" s="15">
        <f>1 +(B3-G3)/G3</f>
        <v>1.0731384565559634</v>
      </c>
      <c r="G3" s="5">
        <f t="shared" ref="G3:G11" si="0">SUM(H3:M3)</f>
        <v>297398397.24340039</v>
      </c>
      <c r="H3" s="33">
        <f>SUMIF(Inputs!A$24:A$143,'Rate Class Energy Model'!A3,Inputs!F$24:F$143)</f>
        <v>114433382.22499122</v>
      </c>
      <c r="I3" s="33">
        <f>SUMIF(Inputs!A$24:A$143,'Rate Class Energy Model'!A3,Inputs!H$24:H$143)</f>
        <v>58443482.099599421</v>
      </c>
      <c r="J3" s="33">
        <f>SUMIF(Inputs!A$24:A$143,'Rate Class Energy Model'!A3,Inputs!J$24:J$143)</f>
        <v>121885729.22737581</v>
      </c>
      <c r="K3" s="33">
        <f>SUMIF(Inputs!A$24:A$143,'Rate Class Energy Model'!A3,Inputs!M$24:M$143)</f>
        <v>180165.06688870382</v>
      </c>
      <c r="L3" s="33">
        <f>SUMIF(Inputs!A$24:A$143,'Rate Class Energy Model'!A3,Inputs!O$24:O$143)</f>
        <v>50003.862623739478</v>
      </c>
      <c r="M3" s="33">
        <f>SUMIF(Inputs!A$24:A$143,'Rate Class Energy Model'!A3,Inputs!R$24:R$143)</f>
        <v>2405634.7619215469</v>
      </c>
    </row>
    <row r="4" spans="1:21" x14ac:dyDescent="0.2">
      <c r="A4">
        <v>2015</v>
      </c>
      <c r="B4" s="55">
        <f>+'Power Purchased Model'!B153</f>
        <v>308961454</v>
      </c>
      <c r="C4" s="55">
        <f>+'Power Purchased Model'!I153</f>
        <v>306881369.40230405</v>
      </c>
      <c r="D4" s="21">
        <f t="shared" ref="D4:D11" si="1">C4-B4</f>
        <v>-2080084.5976959467</v>
      </c>
      <c r="E4" s="4">
        <f t="shared" ref="E4:E11" si="2">D4/B4</f>
        <v>-6.732505206607251E-3</v>
      </c>
      <c r="F4" s="15">
        <f>1 +(B4-G4)/G4</f>
        <v>1.0699880223556937</v>
      </c>
      <c r="G4" s="5">
        <f t="shared" si="0"/>
        <v>288752254.73999995</v>
      </c>
      <c r="H4" s="33">
        <f>SUMIF(Inputs!A$24:A$143,'Rate Class Energy Model'!A4,Inputs!F$24:F$143)</f>
        <v>108243956.44</v>
      </c>
      <c r="I4" s="33">
        <f>SUMIF(Inputs!A$24:A$143,'Rate Class Energy Model'!A4,Inputs!H$24:H$143)</f>
        <v>58492111.439999998</v>
      </c>
      <c r="J4" s="33">
        <f>SUMIF(Inputs!A$24:A$143,'Rate Class Energy Model'!A4,Inputs!J$24:J$143)</f>
        <v>119763837.52000001</v>
      </c>
      <c r="K4" s="33">
        <f>SUMIF(Inputs!A$24:A$143,'Rate Class Energy Model'!A4,Inputs!M$24:M$143)</f>
        <v>173556</v>
      </c>
      <c r="L4" s="33">
        <f>SUMIF(Inputs!A$24:A$143,'Rate Class Energy Model'!A4,Inputs!O$24:O$143)</f>
        <v>49108.439999999988</v>
      </c>
      <c r="M4" s="33">
        <f>SUMIF(Inputs!A$24:A$143,'Rate Class Energy Model'!A4,Inputs!R$24:R$143)</f>
        <v>2029684.9000000004</v>
      </c>
    </row>
    <row r="5" spans="1:21" x14ac:dyDescent="0.2">
      <c r="A5">
        <v>2016</v>
      </c>
      <c r="B5" s="55">
        <f>+'Power Purchased Model'!B154</f>
        <v>302232068</v>
      </c>
      <c r="C5" s="55">
        <f>+'Power Purchased Model'!I154</f>
        <v>303651713.3178646</v>
      </c>
      <c r="D5" s="21">
        <f t="shared" si="1"/>
        <v>1419645.3178645968</v>
      </c>
      <c r="E5" s="4">
        <f t="shared" si="2"/>
        <v>4.6972028059729153E-3</v>
      </c>
      <c r="F5" s="15">
        <f>1 +(B5-G5)/G5</f>
        <v>1.0774567014787861</v>
      </c>
      <c r="G5" s="5">
        <f t="shared" si="0"/>
        <v>280505070.49164295</v>
      </c>
      <c r="H5" s="33">
        <f>SUMIF(Inputs!A$24:A$143,'Rate Class Energy Model'!A5,Inputs!F$24:F$143)</f>
        <v>104348161.31</v>
      </c>
      <c r="I5" s="33">
        <f>SUMIF(Inputs!A$24:A$143,'Rate Class Energy Model'!A5,Inputs!H$24:H$143)</f>
        <v>58168701.330000006</v>
      </c>
      <c r="J5" s="33">
        <f>SUMIF(Inputs!A$24:A$143,'Rate Class Energy Model'!A5,Inputs!J$24:J$143)</f>
        <v>116637108.60000002</v>
      </c>
      <c r="K5" s="33">
        <f>SUMIF(Inputs!A$24:A$143,'Rate Class Energy Model'!A5,Inputs!M$24:M$143)</f>
        <v>166068</v>
      </c>
      <c r="L5" s="33">
        <f>SUMIF(Inputs!A$24:A$143,'Rate Class Energy Model'!A5,Inputs!O$24:O$143)</f>
        <v>48745.789999999994</v>
      </c>
      <c r="M5" s="33">
        <f>SUMIF(Inputs!A$24:A$143,'Rate Class Energy Model'!A5,Inputs!R$24:R$143)</f>
        <v>1136285.4616429303</v>
      </c>
    </row>
    <row r="6" spans="1:21" x14ac:dyDescent="0.2">
      <c r="A6">
        <v>2017</v>
      </c>
      <c r="B6" s="55">
        <f>+'Power Purchased Model'!B155</f>
        <v>297287399</v>
      </c>
      <c r="C6" s="55">
        <f>+'Power Purchased Model'!I155</f>
        <v>304745921.78254604</v>
      </c>
      <c r="D6" s="21">
        <f t="shared" si="1"/>
        <v>7458522.7825460434</v>
      </c>
      <c r="E6" s="4">
        <f t="shared" si="2"/>
        <v>2.5088593756865032E-2</v>
      </c>
      <c r="F6" s="15">
        <f t="shared" ref="F6:F11" si="3">1 +(B6-G6)/G6</f>
        <v>1.0633970234257246</v>
      </c>
      <c r="G6" s="5">
        <f t="shared" si="0"/>
        <v>279563881.0820545</v>
      </c>
      <c r="H6" s="33">
        <f>SUMIF(Inputs!A$24:A$143,'Rate Class Energy Model'!A6,Inputs!F$24:F$143)</f>
        <v>103129632.00000001</v>
      </c>
      <c r="I6" s="33">
        <f>SUMIF(Inputs!A$24:A$143,'Rate Class Energy Model'!A6,Inputs!H$24:H$143)</f>
        <v>57585352</v>
      </c>
      <c r="J6" s="33">
        <f>SUMIF(Inputs!A$24:A$143,'Rate Class Energy Model'!A6,Inputs!J$24:J$143)</f>
        <v>117484141.48363943</v>
      </c>
      <c r="K6" s="33">
        <f>SUMIF(Inputs!A$24:A$143,'Rate Class Energy Model'!A6,Inputs!M$24:M$143)</f>
        <v>166068</v>
      </c>
      <c r="L6" s="33">
        <f>SUMIF(Inputs!A$24:A$143,'Rate Class Energy Model'!A6,Inputs!O$24:O$143)</f>
        <v>44233.600000000006</v>
      </c>
      <c r="M6" s="33">
        <f>SUMIF(Inputs!A$24:A$143,'Rate Class Energy Model'!A6,Inputs!R$24:R$143)</f>
        <v>1154453.9984150699</v>
      </c>
    </row>
    <row r="7" spans="1:21" x14ac:dyDescent="0.2">
      <c r="A7">
        <v>2018</v>
      </c>
      <c r="B7" s="55">
        <f>+'Power Purchased Model'!B156</f>
        <v>309247473</v>
      </c>
      <c r="C7" s="55">
        <f>+'Power Purchased Model'!I156</f>
        <v>310470786.39033937</v>
      </c>
      <c r="D7" s="21">
        <f t="shared" si="1"/>
        <v>1223313.3903393745</v>
      </c>
      <c r="E7" s="4">
        <f t="shared" si="2"/>
        <v>3.9557748959823339E-3</v>
      </c>
      <c r="F7" s="15">
        <f t="shared" si="3"/>
        <v>1.0677676409663948</v>
      </c>
      <c r="G7" s="5">
        <f t="shared" si="0"/>
        <v>289620570.18333334</v>
      </c>
      <c r="H7" s="33">
        <f>SUMIF(Inputs!A$24:A$143,'Rate Class Energy Model'!A7,Inputs!F$24:F$143)</f>
        <v>109427085.33333334</v>
      </c>
      <c r="I7" s="33">
        <f>SUMIF(Inputs!A$24:A$143,'Rate Class Energy Model'!A7,Inputs!H$24:H$143)</f>
        <v>59779468</v>
      </c>
      <c r="J7" s="33">
        <f>SUMIF(Inputs!A$24:A$143,'Rate Class Energy Model'!A7,Inputs!J$24:J$143)</f>
        <v>119092478.54999998</v>
      </c>
      <c r="K7" s="33">
        <f>SUMIF(Inputs!A$24:A$143,'Rate Class Energy Model'!A7,Inputs!M$24:M$143)</f>
        <v>166686</v>
      </c>
      <c r="L7" s="33">
        <f>SUMIF(Inputs!A$24:A$143,'Rate Class Energy Model'!A7,Inputs!O$24:O$143)</f>
        <v>40821.300000000003</v>
      </c>
      <c r="M7" s="33">
        <f>SUMIF(Inputs!A$24:A$143,'Rate Class Energy Model'!A7,Inputs!R$24:R$143)</f>
        <v>1114031</v>
      </c>
    </row>
    <row r="8" spans="1:21" x14ac:dyDescent="0.2">
      <c r="A8">
        <v>2019</v>
      </c>
      <c r="B8" s="55">
        <f>+'Power Purchased Model'!B157</f>
        <v>309952095.46999997</v>
      </c>
      <c r="C8" s="55">
        <f>+'Power Purchased Model'!I157</f>
        <v>315285936.05228049</v>
      </c>
      <c r="D8" s="21">
        <f t="shared" si="1"/>
        <v>5333840.5822805166</v>
      </c>
      <c r="E8" s="4">
        <f t="shared" si="2"/>
        <v>1.720859661939848E-2</v>
      </c>
      <c r="F8" s="15">
        <f t="shared" si="3"/>
        <v>1.0693142324087659</v>
      </c>
      <c r="G8" s="5">
        <f t="shared" si="0"/>
        <v>289860628.5</v>
      </c>
      <c r="H8" s="33">
        <f>SUMIF(Inputs!A$24:A$143,'Rate Class Energy Model'!A8,Inputs!F$24:F$143)</f>
        <v>110765686</v>
      </c>
      <c r="I8" s="33">
        <f>SUMIF(Inputs!A$24:A$143,'Rate Class Energy Model'!A8,Inputs!H$24:H$143)</f>
        <v>59276659</v>
      </c>
      <c r="J8" s="33">
        <f>SUMIF(Inputs!A$24:A$143,'Rate Class Energy Model'!A8,Inputs!J$24:J$143)</f>
        <v>118495415</v>
      </c>
      <c r="K8" s="33">
        <f>SUMIF(Inputs!A$24:A$143,'Rate Class Energy Model'!A8,Inputs!M$24:M$143)</f>
        <v>172797</v>
      </c>
      <c r="L8" s="33">
        <f>SUMIF(Inputs!A$24:A$143,'Rate Class Energy Model'!A8,Inputs!O$24:O$143)</f>
        <v>39113.5</v>
      </c>
      <c r="M8" s="33">
        <f>SUMIF(Inputs!A$24:A$143,'Rate Class Energy Model'!A8,Inputs!R$24:R$143)</f>
        <v>1110958</v>
      </c>
    </row>
    <row r="9" spans="1:21" x14ac:dyDescent="0.2">
      <c r="A9">
        <v>2020</v>
      </c>
      <c r="B9" s="55">
        <f>+'Power Purchased Model'!B158</f>
        <v>304387702</v>
      </c>
      <c r="C9" s="55">
        <f>+'Power Purchased Model'!I158</f>
        <v>307539315.59453505</v>
      </c>
      <c r="D9" s="21">
        <f t="shared" si="1"/>
        <v>3151613.5945350528</v>
      </c>
      <c r="E9" s="4">
        <f t="shared" si="2"/>
        <v>1.0353945227836612E-2</v>
      </c>
      <c r="F9" s="15">
        <f t="shared" si="3"/>
        <v>1.0634349594212424</v>
      </c>
      <c r="G9" s="5">
        <f t="shared" si="0"/>
        <v>286230671</v>
      </c>
      <c r="H9" s="33">
        <f>SUMIF(Inputs!A$24:A$143,'Rate Class Energy Model'!A9,Inputs!F$24:F$143)</f>
        <v>112437412</v>
      </c>
      <c r="I9" s="33">
        <f>SUMIF(Inputs!A$24:A$143,'Rate Class Energy Model'!A9,Inputs!H$24:H$143)</f>
        <v>54635310</v>
      </c>
      <c r="J9" s="33">
        <f>SUMIF(Inputs!A$24:A$143,'Rate Class Energy Model'!A9,Inputs!J$24:J$143)</f>
        <v>117859877</v>
      </c>
      <c r="K9" s="33">
        <f>SUMIF(Inputs!A$24:A$143,'Rate Class Energy Model'!A9,Inputs!M$24:M$143)</f>
        <v>173568</v>
      </c>
      <c r="L9" s="33">
        <f>SUMIF(Inputs!A$24:A$143,'Rate Class Energy Model'!A9,Inputs!O$24:O$143)</f>
        <v>37289</v>
      </c>
      <c r="M9" s="33">
        <f>SUMIF(Inputs!A$24:A$143,'Rate Class Energy Model'!A9,Inputs!R$24:R$143)</f>
        <v>1087215</v>
      </c>
    </row>
    <row r="10" spans="1:21" x14ac:dyDescent="0.2">
      <c r="A10">
        <v>2021</v>
      </c>
      <c r="B10" s="55">
        <f>+'Power Purchased Model'!B159</f>
        <v>309941422</v>
      </c>
      <c r="C10" s="55">
        <f>+'Power Purchased Model'!I159</f>
        <v>310944826.79909241</v>
      </c>
      <c r="D10" s="21">
        <f t="shared" si="1"/>
        <v>1003404.799092412</v>
      </c>
      <c r="E10" s="4">
        <f t="shared" si="2"/>
        <v>3.2374014180408966E-3</v>
      </c>
      <c r="F10" s="15">
        <f t="shared" si="3"/>
        <v>1.0678786872223791</v>
      </c>
      <c r="G10" s="5">
        <f t="shared" si="0"/>
        <v>290240292</v>
      </c>
      <c r="H10" s="33">
        <f>SUMIF(Inputs!A$24:A$143,'Rate Class Energy Model'!A10,Inputs!F$24:F$143)</f>
        <v>112958103</v>
      </c>
      <c r="I10" s="33">
        <f>SUMIF(Inputs!A$24:A$143,'Rate Class Energy Model'!A10,Inputs!H$24:H$143)</f>
        <v>56374252</v>
      </c>
      <c r="J10" s="33">
        <f>SUMIF(Inputs!A$24:A$143,'Rate Class Energy Model'!A10,Inputs!J$24:J$143)</f>
        <v>119633612</v>
      </c>
      <c r="K10" s="33">
        <f>SUMIF(Inputs!A$24:A$143,'Rate Class Energy Model'!A10,Inputs!M$24:M$143)</f>
        <v>178362</v>
      </c>
      <c r="L10" s="33">
        <f>SUMIF(Inputs!A$24:A$143,'Rate Class Energy Model'!A10,Inputs!O$24:O$143)</f>
        <v>37046</v>
      </c>
      <c r="M10" s="33">
        <f>SUMIF(Inputs!A$24:A$143,'Rate Class Energy Model'!A10,Inputs!R$24:R$143)</f>
        <v>1058917</v>
      </c>
    </row>
    <row r="11" spans="1:21" x14ac:dyDescent="0.2">
      <c r="A11">
        <v>2022</v>
      </c>
      <c r="B11" s="55">
        <f>+'Power Purchased Model'!B160</f>
        <v>322673989</v>
      </c>
      <c r="C11" s="55">
        <f>+'Power Purchased Model'!I160</f>
        <v>317030636.12954813</v>
      </c>
      <c r="D11" s="21">
        <f t="shared" si="1"/>
        <v>-5643352.8704518676</v>
      </c>
      <c r="E11" s="4">
        <f t="shared" si="2"/>
        <v>-1.7489333081793176E-2</v>
      </c>
      <c r="F11" s="15">
        <f t="shared" si="3"/>
        <v>1.0645713130027064</v>
      </c>
      <c r="G11" s="5">
        <f t="shared" si="0"/>
        <v>303102277</v>
      </c>
      <c r="H11" s="33">
        <f>SUMIF(Inputs!A$24:A$143,'Rate Class Energy Model'!A11,Inputs!F$24:F$143)</f>
        <v>116633398</v>
      </c>
      <c r="I11" s="33">
        <f>SUMIF(Inputs!A$24:A$143,'Rate Class Energy Model'!A11,Inputs!H$24:H$143)</f>
        <v>59995612</v>
      </c>
      <c r="J11" s="33">
        <f>SUMIF(Inputs!A$24:A$143,'Rate Class Energy Model'!A11,Inputs!J$24:J$143)</f>
        <v>125207062</v>
      </c>
      <c r="K11" s="33">
        <f>SUMIF(Inputs!A$24:A$143,'Rate Class Energy Model'!A11,Inputs!M$24:M$143)</f>
        <v>172344</v>
      </c>
      <c r="L11" s="33">
        <f>SUMIF(Inputs!A$24:A$143,'Rate Class Energy Model'!A11,Inputs!O$24:O$143)</f>
        <v>34937</v>
      </c>
      <c r="M11" s="33">
        <f>SUMIF(Inputs!A$24:A$143,'Rate Class Energy Model'!A11,Inputs!R$24:R$143)</f>
        <v>1058924</v>
      </c>
    </row>
    <row r="12" spans="1:21" x14ac:dyDescent="0.2">
      <c r="A12">
        <v>2023</v>
      </c>
      <c r="B12" s="55">
        <f>+'Power Purchased Model'!B161</f>
        <v>315137434</v>
      </c>
      <c r="C12" s="55">
        <f>+'Power Purchased Model'!I161</f>
        <v>315136108.87785494</v>
      </c>
      <c r="D12" s="21">
        <f>C12-B12</f>
        <v>-1325.1221450567245</v>
      </c>
      <c r="E12" s="4">
        <f>D12/B12</f>
        <v>-4.2049023762017576E-6</v>
      </c>
      <c r="F12" s="15">
        <f>1 +(B12-G12)/G12</f>
        <v>1.0614651227240468</v>
      </c>
      <c r="G12" s="5">
        <f>SUM(H12:M12)</f>
        <v>296889108.50999999</v>
      </c>
      <c r="H12" s="33">
        <f>SUMIF(Inputs!A$24:A$143,'Rate Class Energy Model'!A12,Inputs!F$24:F$143)</f>
        <v>113520370.27</v>
      </c>
      <c r="I12" s="33">
        <f>SUMIF(Inputs!A$24:A$143,'Rate Class Energy Model'!A12,Inputs!H$24:H$143)</f>
        <v>59655079</v>
      </c>
      <c r="J12" s="33">
        <f>SUMIF(Inputs!A$24:A$143,'Rate Class Energy Model'!A12,Inputs!J$24:J$143)</f>
        <v>122453774.75</v>
      </c>
      <c r="K12" s="33">
        <f>SUMIF(Inputs!A$24:A$143,'Rate Class Energy Model'!A12,Inputs!M$24:M$143)</f>
        <v>169785</v>
      </c>
      <c r="L12" s="33">
        <f>SUMIF(Inputs!A$24:A$143,'Rate Class Energy Model'!A12,Inputs!O$24:O$143)</f>
        <v>31175.760000000002</v>
      </c>
      <c r="M12" s="33">
        <f>SUMIF(Inputs!A$24:A$143,'Rate Class Energy Model'!A12,Inputs!R$24:R$143)</f>
        <v>1058923.73</v>
      </c>
    </row>
    <row r="13" spans="1:21" x14ac:dyDescent="0.2">
      <c r="A13" s="41">
        <v>2024</v>
      </c>
      <c r="B13" s="55">
        <f>+'Power Purchased Model'!B162</f>
        <v>317322462</v>
      </c>
      <c r="C13" s="55">
        <f>+'Power Purchased Model'!I162</f>
        <v>315552890.67599291</v>
      </c>
      <c r="D13" s="21">
        <f>C13-B13</f>
        <v>-1769571.3240070939</v>
      </c>
      <c r="E13" s="4">
        <f>D13/B13</f>
        <v>-5.5765712671392732E-3</v>
      </c>
      <c r="F13" s="15">
        <f>1 +(B13-G13)/G13</f>
        <v>1.070569713570833</v>
      </c>
      <c r="G13" s="5">
        <f>SUM(H13:M13)</f>
        <v>296405229.82999998</v>
      </c>
      <c r="H13" s="33">
        <f>SUMIF(Inputs!A$24:A$155,'Rate Class Energy Model'!A13,Inputs!F$24:F$155)</f>
        <v>114578411.06999999</v>
      </c>
      <c r="I13" s="33">
        <f>SUMIF(Inputs!A$24:A$155,'Rate Class Energy Model'!A13,Inputs!H$24:H$155)</f>
        <v>59818358</v>
      </c>
      <c r="J13" s="33">
        <f>SUMIF(Inputs!A$24:A$155,'Rate Class Energy Model'!A13,Inputs!J$24:J$155)</f>
        <v>120746049.11000001</v>
      </c>
      <c r="K13" s="33">
        <f>SUMIF(Inputs!A$24:A$155,'Rate Class Energy Model'!A13,Inputs!M$24:M$155)</f>
        <v>169657</v>
      </c>
      <c r="L13" s="33">
        <f>SUMIF(Inputs!A$24:A$155,'Rate Class Energy Model'!A13,Inputs!O$24:O$155)</f>
        <v>30873.080000000005</v>
      </c>
      <c r="M13" s="33">
        <f>SUMIF(Inputs!A$24:A$155,'Rate Class Energy Model'!A13,Inputs!R$24:R$155)</f>
        <v>1061881.5699999998</v>
      </c>
    </row>
    <row r="14" spans="1:21" x14ac:dyDescent="0.2">
      <c r="A14" s="41">
        <v>2025</v>
      </c>
      <c r="B14" s="55"/>
      <c r="C14" s="13">
        <f>+'Power Purchased Model'!I163</f>
        <v>324424307.55406445</v>
      </c>
      <c r="G14" s="13">
        <f>C14/$F$16</f>
        <v>303742692.05874807</v>
      </c>
      <c r="H14"/>
      <c r="I14"/>
      <c r="J14"/>
      <c r="K14"/>
      <c r="L14"/>
      <c r="M14"/>
    </row>
    <row r="15" spans="1:21" x14ac:dyDescent="0.2">
      <c r="H15" s="29"/>
      <c r="I15" s="29"/>
      <c r="J15" s="29"/>
      <c r="K15" s="29"/>
      <c r="L15" s="29"/>
      <c r="M15" s="29"/>
    </row>
    <row r="16" spans="1:21" x14ac:dyDescent="0.2">
      <c r="A16" s="12" t="s">
        <v>7</v>
      </c>
      <c r="C16" s="30"/>
      <c r="D16" s="32"/>
      <c r="E16" s="47" t="s">
        <v>122</v>
      </c>
      <c r="F16" s="15">
        <f>AVERAGE(F3:F13)</f>
        <v>1.0680892611938668</v>
      </c>
      <c r="H16" s="54"/>
      <c r="I16" s="54"/>
      <c r="J16" s="54"/>
      <c r="K16" s="54"/>
      <c r="L16" s="54"/>
      <c r="M16" s="54"/>
    </row>
    <row r="17" spans="1:16" x14ac:dyDescent="0.2">
      <c r="C17" s="30"/>
      <c r="D17" s="32"/>
      <c r="E17" s="47"/>
      <c r="F17" s="15"/>
    </row>
    <row r="18" spans="1:16" x14ac:dyDescent="0.2">
      <c r="C18" s="121">
        <f>C13/1000000</f>
        <v>315.5528906759929</v>
      </c>
      <c r="D18" s="32"/>
      <c r="G18" s="121">
        <f>G13/1000000</f>
        <v>296.40522983</v>
      </c>
    </row>
    <row r="19" spans="1:16" x14ac:dyDescent="0.2">
      <c r="A19" s="14" t="s">
        <v>9</v>
      </c>
      <c r="B19" s="9"/>
      <c r="C19" s="121">
        <f>C14/1000000</f>
        <v>324.42430755406446</v>
      </c>
      <c r="G19" s="121">
        <f>G14/1000000</f>
        <v>303.74269205874805</v>
      </c>
    </row>
    <row r="22" spans="1:16" x14ac:dyDescent="0.2">
      <c r="A22">
        <v>2024</v>
      </c>
      <c r="H22" s="5">
        <f>H13/'Rate Class Customer Model'!B13</f>
        <v>9290.6436350613549</v>
      </c>
      <c r="I22" s="5">
        <f>I13/'Rate Class Customer Model'!C13</f>
        <v>26870.56584562402</v>
      </c>
      <c r="J22" s="5">
        <f>J13/'Rate Class Customer Model'!D13</f>
        <v>913013.60385633283</v>
      </c>
      <c r="K22" s="5">
        <f>K13/'Rate Class Customer Model'!E13</f>
        <v>2692.968253968254</v>
      </c>
      <c r="L22" s="5">
        <f>L13/'Rate Class Customer Model'!F13</f>
        <v>945.094285714286</v>
      </c>
      <c r="M22" s="5">
        <f>M13/'Rate Class Customer Model'!G13</f>
        <v>372.45933707471056</v>
      </c>
    </row>
    <row r="23" spans="1:16" x14ac:dyDescent="0.2">
      <c r="A23">
        <f>A22+1</f>
        <v>2025</v>
      </c>
      <c r="H23" s="5">
        <f>H22</f>
        <v>9290.6436350613549</v>
      </c>
      <c r="I23" s="5">
        <f t="shared" ref="I23:M23" si="4">I22</f>
        <v>26870.56584562402</v>
      </c>
      <c r="J23" s="5">
        <f t="shared" si="4"/>
        <v>913013.60385633283</v>
      </c>
      <c r="K23" s="5">
        <f t="shared" si="4"/>
        <v>2692.968253968254</v>
      </c>
      <c r="L23" s="5">
        <f t="shared" si="4"/>
        <v>945.094285714286</v>
      </c>
      <c r="M23" s="5">
        <f t="shared" si="4"/>
        <v>372.45933707471056</v>
      </c>
    </row>
    <row r="24" spans="1:16" x14ac:dyDescent="0.2">
      <c r="H24"/>
      <c r="I24"/>
      <c r="J24"/>
      <c r="K24"/>
      <c r="L24"/>
      <c r="M24"/>
    </row>
    <row r="25" spans="1:16" x14ac:dyDescent="0.2">
      <c r="D25" s="5"/>
      <c r="H25" s="16"/>
      <c r="I25" s="16"/>
      <c r="J25" s="16"/>
      <c r="K25" s="16"/>
      <c r="L25" s="16"/>
      <c r="M25" s="16"/>
    </row>
    <row r="26" spans="1:16" x14ac:dyDescent="0.2">
      <c r="A26" s="12" t="s">
        <v>31</v>
      </c>
    </row>
    <row r="27" spans="1:16" x14ac:dyDescent="0.2">
      <c r="A27" s="38"/>
    </row>
    <row r="28" spans="1:16" x14ac:dyDescent="0.2">
      <c r="A28" s="38">
        <f>A23</f>
        <v>2025</v>
      </c>
      <c r="G28" s="5">
        <f>SUM(H28:M28)</f>
        <v>305460517.02275848</v>
      </c>
      <c r="H28" s="5">
        <f>H23*'Rate Class Customer Model'!B14</f>
        <v>116160917.36917213</v>
      </c>
      <c r="I28" s="5">
        <f>I23*'Rate Class Customer Model'!C14</f>
        <v>60216938.060043432</v>
      </c>
      <c r="J28" s="5">
        <f>J23*'Rate Class Customer Model'!D14</f>
        <v>127821904.53988659</v>
      </c>
      <c r="K28" s="5">
        <f>K23*'Rate Class Customer Model'!E14</f>
        <v>169657</v>
      </c>
      <c r="L28" s="5">
        <f>L23*'Rate Class Customer Model'!F14</f>
        <v>29218.483656317727</v>
      </c>
      <c r="M28" s="5">
        <f>M23*'Rate Class Customer Model'!G14</f>
        <v>1061881.5699999998</v>
      </c>
    </row>
    <row r="30" spans="1:16" x14ac:dyDescent="0.2">
      <c r="A30" s="12" t="s">
        <v>30</v>
      </c>
      <c r="O30" s="5"/>
    </row>
    <row r="31" spans="1:16" x14ac:dyDescent="0.2">
      <c r="A31" s="38"/>
      <c r="N31" s="5"/>
      <c r="O31" s="5"/>
      <c r="P31" s="5"/>
    </row>
    <row r="32" spans="1:16" x14ac:dyDescent="0.2">
      <c r="A32" s="38">
        <f>A28</f>
        <v>2025</v>
      </c>
      <c r="G32" s="13">
        <f>G14</f>
        <v>303742692.05874807</v>
      </c>
      <c r="H32" s="5">
        <f t="shared" ref="H32:M32" si="5">H28+H40</f>
        <v>115413813.42248669</v>
      </c>
      <c r="I32" s="5">
        <f t="shared" si="5"/>
        <v>59829645.043589436</v>
      </c>
      <c r="J32" s="5">
        <f t="shared" si="5"/>
        <v>127238476.53901561</v>
      </c>
      <c r="K32" s="5">
        <f t="shared" si="5"/>
        <v>169657</v>
      </c>
      <c r="L32" s="5">
        <f t="shared" si="5"/>
        <v>29218.483656317727</v>
      </c>
      <c r="M32" s="5">
        <f t="shared" si="5"/>
        <v>1061881.5699999998</v>
      </c>
      <c r="N32" s="5">
        <f>SUM(H32:M32)</f>
        <v>303742692.05874807</v>
      </c>
      <c r="O32" s="5">
        <f>N32-G32</f>
        <v>0</v>
      </c>
      <c r="P32" s="5" t="e">
        <f>O32-#REF!</f>
        <v>#REF!</v>
      </c>
    </row>
    <row r="33" spans="1:21" x14ac:dyDescent="0.2">
      <c r="O33" s="5"/>
    </row>
    <row r="34" spans="1:21" x14ac:dyDescent="0.2">
      <c r="A34" t="s">
        <v>32</v>
      </c>
      <c r="H34" s="56">
        <f>(100%+J34)/2</f>
        <v>0.77500000000000002</v>
      </c>
      <c r="I34" s="56">
        <f>H34</f>
        <v>0.77500000000000002</v>
      </c>
      <c r="J34" s="56">
        <v>0.55000000000000004</v>
      </c>
      <c r="K34" s="46">
        <v>0</v>
      </c>
      <c r="L34" s="46">
        <v>0</v>
      </c>
      <c r="M34" s="46">
        <v>0</v>
      </c>
    </row>
    <row r="35" spans="1:21" x14ac:dyDescent="0.2">
      <c r="A35" s="38"/>
      <c r="N35" s="5"/>
    </row>
    <row r="36" spans="1:21" x14ac:dyDescent="0.2">
      <c r="A36" s="38">
        <f>+A32</f>
        <v>2025</v>
      </c>
      <c r="G36" s="5">
        <f>G32-G28</f>
        <v>-1717824.9640104175</v>
      </c>
      <c r="H36" s="5">
        <f t="shared" ref="H36:M36" si="6">H28*H$34</f>
        <v>90024710.961108401</v>
      </c>
      <c r="I36" s="5">
        <f t="shared" si="6"/>
        <v>46668126.996533662</v>
      </c>
      <c r="J36" s="5">
        <f t="shared" si="6"/>
        <v>70302047.496937633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5">
        <f>SUM(H36:M36)</f>
        <v>206994885.45457971</v>
      </c>
    </row>
    <row r="37" spans="1:21" ht="12" customHeight="1" x14ac:dyDescent="0.2"/>
    <row r="38" spans="1:21" x14ac:dyDescent="0.2">
      <c r="A38" t="s">
        <v>33</v>
      </c>
    </row>
    <row r="39" spans="1:21" x14ac:dyDescent="0.2">
      <c r="A39" s="38"/>
    </row>
    <row r="40" spans="1:21" x14ac:dyDescent="0.2">
      <c r="A40" s="38">
        <f>+A36</f>
        <v>2025</v>
      </c>
      <c r="G40" s="5">
        <f>SUM(H40:M40)</f>
        <v>-1717824.9640104172</v>
      </c>
      <c r="H40" s="5">
        <f t="shared" ref="H40:M40" si="7">H36/$N36*$G36</f>
        <v>-747103.9466854264</v>
      </c>
      <c r="I40" s="5">
        <f t="shared" si="7"/>
        <v>-387293.01645399828</v>
      </c>
      <c r="J40" s="5">
        <f t="shared" si="7"/>
        <v>-583428.00087099266</v>
      </c>
      <c r="K40" s="5">
        <f t="shared" si="7"/>
        <v>0</v>
      </c>
      <c r="L40" s="5">
        <f t="shared" si="7"/>
        <v>0</v>
      </c>
      <c r="M40" s="5">
        <f t="shared" si="7"/>
        <v>0</v>
      </c>
    </row>
    <row r="41" spans="1:21" x14ac:dyDescent="0.2">
      <c r="A41" s="38"/>
      <c r="G41" s="17"/>
    </row>
    <row r="42" spans="1:21" x14ac:dyDescent="0.2">
      <c r="A42" s="12"/>
    </row>
    <row r="43" spans="1:21" x14ac:dyDescent="0.2">
      <c r="A43" s="12"/>
    </row>
    <row r="44" spans="1:21" x14ac:dyDescent="0.2">
      <c r="A44" s="12"/>
    </row>
    <row r="45" spans="1:21" x14ac:dyDescent="0.2">
      <c r="C45" s="1">
        <f>296910135-296977680</f>
        <v>-67545</v>
      </c>
    </row>
    <row r="46" spans="1:21" x14ac:dyDescent="0.2">
      <c r="B46"/>
      <c r="C46"/>
      <c r="D46"/>
      <c r="E46"/>
      <c r="F46"/>
      <c r="G46"/>
      <c r="H46"/>
      <c r="I46"/>
      <c r="J46"/>
      <c r="K46"/>
      <c r="L46"/>
      <c r="M46"/>
      <c r="U46"/>
    </row>
    <row r="47" spans="1:21" x14ac:dyDescent="0.2">
      <c r="B47"/>
      <c r="C47"/>
      <c r="D47"/>
      <c r="E47"/>
      <c r="F47"/>
      <c r="G47"/>
      <c r="H47"/>
      <c r="I47"/>
      <c r="J47"/>
      <c r="K47"/>
      <c r="L47"/>
      <c r="M47"/>
      <c r="U47"/>
    </row>
    <row r="48" spans="1:21" x14ac:dyDescent="0.2">
      <c r="B48"/>
      <c r="C48"/>
      <c r="D48"/>
      <c r="E48"/>
      <c r="F48"/>
      <c r="G48"/>
      <c r="H48"/>
      <c r="I48"/>
      <c r="J48"/>
      <c r="K48"/>
      <c r="L48"/>
      <c r="M48"/>
      <c r="U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O82"/>
  <sheetViews>
    <sheetView workbookViewId="0">
      <selection activeCell="B25" sqref="B25:B27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5" width="12.5703125" style="5" customWidth="1"/>
    <col min="6" max="7" width="11.42578125" style="5" customWidth="1"/>
    <col min="8" max="8" width="11.5703125" customWidth="1"/>
    <col min="9" max="9" width="12.5703125" bestFit="1" customWidth="1"/>
    <col min="10" max="10" width="9.140625" customWidth="1"/>
  </cols>
  <sheetData>
    <row r="1" spans="1:15" x14ac:dyDescent="0.2">
      <c r="B1" s="158" t="s">
        <v>52</v>
      </c>
      <c r="C1" s="159"/>
      <c r="D1" s="159"/>
      <c r="E1" s="159"/>
      <c r="F1" s="159"/>
      <c r="G1" s="159"/>
    </row>
    <row r="2" spans="1:15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tr">
        <f>Inputs!E4</f>
        <v>USL</v>
      </c>
      <c r="F2" s="7" t="str">
        <f>Inputs!F4</f>
        <v>Sentinel Lighting</v>
      </c>
      <c r="G2" s="7" t="str">
        <f>Inputs!G4</f>
        <v>Street Lighting</v>
      </c>
      <c r="H2" s="1" t="s">
        <v>5</v>
      </c>
      <c r="M2" s="144" t="s">
        <v>139</v>
      </c>
      <c r="O2" s="138">
        <v>2025</v>
      </c>
    </row>
    <row r="3" spans="1:15" x14ac:dyDescent="0.2">
      <c r="A3" s="3">
        <v>2014</v>
      </c>
      <c r="B3" s="34">
        <f>Inputs!B5</f>
        <v>10964.083333333334</v>
      </c>
      <c r="C3" s="34">
        <f>Inputs!C5</f>
        <v>2106</v>
      </c>
      <c r="D3" s="34">
        <f>Inputs!D5</f>
        <v>172</v>
      </c>
      <c r="E3" s="34">
        <f>Inputs!E5</f>
        <v>54.75</v>
      </c>
      <c r="F3" s="34">
        <f>Inputs!F5</f>
        <v>56.666666666666664</v>
      </c>
      <c r="G3" s="34">
        <f>Inputs!G5</f>
        <v>2843.6666666666665</v>
      </c>
      <c r="H3" s="45">
        <f>SUM(B3:G3)</f>
        <v>16197.166666666666</v>
      </c>
      <c r="M3" s="27">
        <f>'Power Purchased Model'!G134</f>
        <v>14773</v>
      </c>
      <c r="N3" t="s">
        <v>126</v>
      </c>
      <c r="O3" s="11">
        <v>1.2357997182956694E-3</v>
      </c>
    </row>
    <row r="4" spans="1:15" x14ac:dyDescent="0.2">
      <c r="A4" s="3">
        <v>2015</v>
      </c>
      <c r="B4" s="34">
        <f>Inputs!B6</f>
        <v>11020.916666666666</v>
      </c>
      <c r="C4" s="34">
        <f>Inputs!C6</f>
        <v>2132.5833333333335</v>
      </c>
      <c r="D4" s="34">
        <f>Inputs!D6</f>
        <v>155.83333333333334</v>
      </c>
      <c r="E4" s="34">
        <f>Inputs!E6</f>
        <v>52.166666666666664</v>
      </c>
      <c r="F4" s="34">
        <f>Inputs!F6</f>
        <v>53</v>
      </c>
      <c r="G4" s="34">
        <f>Inputs!G6</f>
        <v>2766.0833333333335</v>
      </c>
      <c r="H4" s="45">
        <f t="shared" ref="H4:H14" si="0">SUM(B4:G4)</f>
        <v>16180.583333333334</v>
      </c>
      <c r="N4" s="3" t="s">
        <v>127</v>
      </c>
      <c r="O4" s="139">
        <f>M3+(1+O3)</f>
        <v>14774.001235799718</v>
      </c>
    </row>
    <row r="5" spans="1:15" x14ac:dyDescent="0.2">
      <c r="A5" s="3">
        <v>2016</v>
      </c>
      <c r="B5" s="34">
        <f>Inputs!B7</f>
        <v>11078.416666666666</v>
      </c>
      <c r="C5" s="34">
        <f>Inputs!C7</f>
        <v>2137.6666666666665</v>
      </c>
      <c r="D5" s="34">
        <f>Inputs!D7</f>
        <v>149.33333333333334</v>
      </c>
      <c r="E5" s="34">
        <f>Inputs!E7</f>
        <v>51</v>
      </c>
      <c r="F5" s="34">
        <f>Inputs!F7</f>
        <v>52.333333333333336</v>
      </c>
      <c r="G5" s="34">
        <f>Inputs!G7</f>
        <v>2679.1666666666665</v>
      </c>
      <c r="H5" s="45">
        <f t="shared" si="0"/>
        <v>16147.916666666666</v>
      </c>
      <c r="N5" s="140" t="s">
        <v>128</v>
      </c>
      <c r="O5" s="139">
        <f t="shared" ref="O5" si="1">O4*(1+O3)</f>
        <v>14792.258942365021</v>
      </c>
    </row>
    <row r="6" spans="1:15" x14ac:dyDescent="0.2">
      <c r="A6" s="3">
        <v>2017</v>
      </c>
      <c r="B6" s="34">
        <f>Inputs!B8</f>
        <v>11168.75</v>
      </c>
      <c r="C6" s="34">
        <f>Inputs!C8</f>
        <v>2144.4166666666665</v>
      </c>
      <c r="D6" s="34">
        <f>Inputs!D8</f>
        <v>137.91666666666666</v>
      </c>
      <c r="E6" s="34">
        <f>Inputs!E8</f>
        <v>51</v>
      </c>
      <c r="F6" s="34">
        <f>Inputs!F8</f>
        <v>45.5</v>
      </c>
      <c r="G6" s="34">
        <f>Inputs!G8</f>
        <v>2848.3333333333335</v>
      </c>
      <c r="H6" s="45">
        <f t="shared" si="0"/>
        <v>16395.916666666664</v>
      </c>
      <c r="N6" s="140" t="s">
        <v>129</v>
      </c>
      <c r="O6" s="139">
        <f t="shared" ref="O6" si="2">O5*(1+O3)</f>
        <v>14810.539211798952</v>
      </c>
    </row>
    <row r="7" spans="1:15" x14ac:dyDescent="0.2">
      <c r="A7" s="3">
        <v>2018</v>
      </c>
      <c r="B7" s="34">
        <f>Inputs!B9</f>
        <v>11288.666666666666</v>
      </c>
      <c r="C7" s="34">
        <f>Inputs!C9</f>
        <v>2158.8333333333335</v>
      </c>
      <c r="D7" s="34">
        <f>Inputs!D9</f>
        <v>137.5</v>
      </c>
      <c r="E7" s="34">
        <f>Inputs!E9</f>
        <v>51</v>
      </c>
      <c r="F7" s="34">
        <f>Inputs!F9</f>
        <v>44</v>
      </c>
      <c r="G7" s="34">
        <f>Inputs!G9</f>
        <v>2849</v>
      </c>
      <c r="H7" s="45">
        <f t="shared" si="0"/>
        <v>16529</v>
      </c>
      <c r="N7" s="140" t="s">
        <v>130</v>
      </c>
      <c r="O7" s="139">
        <f t="shared" ref="O7" si="3">O6*(1+O3)</f>
        <v>14828.8420719847</v>
      </c>
    </row>
    <row r="8" spans="1:15" x14ac:dyDescent="0.2">
      <c r="A8" s="3">
        <v>2019</v>
      </c>
      <c r="B8" s="34">
        <f>Inputs!B10</f>
        <v>11429.75</v>
      </c>
      <c r="C8" s="34">
        <f>Inputs!C10</f>
        <v>2154.3333333333335</v>
      </c>
      <c r="D8" s="34">
        <f>Inputs!D10</f>
        <v>136.66666666666666</v>
      </c>
      <c r="E8" s="34">
        <f>Inputs!E10</f>
        <v>54.583333333333336</v>
      </c>
      <c r="F8" s="34">
        <f>Inputs!F10</f>
        <v>41.25</v>
      </c>
      <c r="G8" s="34">
        <f>Inputs!G10</f>
        <v>2849.1666666666665</v>
      </c>
      <c r="H8" s="45">
        <f t="shared" si="0"/>
        <v>16665.75</v>
      </c>
      <c r="N8" s="140" t="s">
        <v>45</v>
      </c>
      <c r="O8" s="139">
        <f t="shared" ref="O8" si="4">O7*(1+O3)</f>
        <v>14847.167550839909</v>
      </c>
    </row>
    <row r="9" spans="1:15" x14ac:dyDescent="0.2">
      <c r="A9" s="3">
        <v>2020</v>
      </c>
      <c r="B9" s="34">
        <f>Inputs!B11</f>
        <v>11566</v>
      </c>
      <c r="C9" s="34">
        <f>Inputs!C11</f>
        <v>2155.3333333333335</v>
      </c>
      <c r="D9" s="34">
        <f>Inputs!D11</f>
        <v>135.83333333333334</v>
      </c>
      <c r="E9" s="34">
        <f>Inputs!E11</f>
        <v>56</v>
      </c>
      <c r="F9" s="34">
        <f>Inputs!F11</f>
        <v>40</v>
      </c>
      <c r="G9" s="34">
        <f>Inputs!G11</f>
        <v>2851</v>
      </c>
      <c r="H9" s="45">
        <f t="shared" si="0"/>
        <v>16804.166666666668</v>
      </c>
      <c r="N9" s="140" t="s">
        <v>131</v>
      </c>
      <c r="O9" s="139">
        <f t="shared" ref="O9" si="5">O8*(1+O3)</f>
        <v>14865.515676316727</v>
      </c>
    </row>
    <row r="10" spans="1:15" x14ac:dyDescent="0.2">
      <c r="A10" s="3">
        <v>2021</v>
      </c>
      <c r="B10" s="34">
        <f>Inputs!B12</f>
        <v>11725.916666666666</v>
      </c>
      <c r="C10" s="34">
        <f>Inputs!C12</f>
        <v>2190.8333333333335</v>
      </c>
      <c r="D10" s="34">
        <f>Inputs!D12</f>
        <v>130.75</v>
      </c>
      <c r="E10" s="34">
        <f>Inputs!E12</f>
        <v>64.5</v>
      </c>
      <c r="F10" s="34">
        <f>Inputs!F12</f>
        <v>40</v>
      </c>
      <c r="G10" s="34">
        <f>Inputs!G12</f>
        <v>2851</v>
      </c>
      <c r="H10" s="45">
        <f t="shared" si="0"/>
        <v>17003</v>
      </c>
      <c r="N10" s="140" t="s">
        <v>132</v>
      </c>
      <c r="O10" s="139">
        <f t="shared" ref="O10" si="6">O9*(1+O3)</f>
        <v>14883.88647640184</v>
      </c>
    </row>
    <row r="11" spans="1:15" x14ac:dyDescent="0.2">
      <c r="A11" s="3">
        <v>2022</v>
      </c>
      <c r="B11" s="34">
        <f>Inputs!B13</f>
        <v>11911.916666666666</v>
      </c>
      <c r="C11" s="34">
        <f>Inputs!C13</f>
        <v>2205.1666666666665</v>
      </c>
      <c r="D11" s="34">
        <f>Inputs!D13</f>
        <v>129.08333333333334</v>
      </c>
      <c r="E11" s="34">
        <f>Inputs!E13</f>
        <v>64.25</v>
      </c>
      <c r="F11" s="34">
        <f>Inputs!F13</f>
        <v>37.583333333333336</v>
      </c>
      <c r="G11" s="34">
        <f>Inputs!G13</f>
        <v>2851</v>
      </c>
      <c r="H11" s="45">
        <f t="shared" si="0"/>
        <v>17199</v>
      </c>
      <c r="N11" s="140" t="s">
        <v>133</v>
      </c>
      <c r="O11" s="139">
        <f t="shared" ref="O11" si="7">O10*(1+O3)</f>
        <v>14902.279979116522</v>
      </c>
    </row>
    <row r="12" spans="1:15" x14ac:dyDescent="0.2">
      <c r="A12" s="3">
        <v>2023</v>
      </c>
      <c r="B12" s="34">
        <f>Inputs!B14</f>
        <v>12125.25</v>
      </c>
      <c r="C12" s="34">
        <f>Inputs!C14</f>
        <v>2206.4166666666665</v>
      </c>
      <c r="D12" s="34">
        <f>Inputs!D14</f>
        <v>130.08333333333334</v>
      </c>
      <c r="E12" s="34">
        <f>Inputs!E14</f>
        <v>63.333333333333336</v>
      </c>
      <c r="F12" s="34">
        <f>Inputs!F14</f>
        <v>32.5</v>
      </c>
      <c r="G12" s="34">
        <f>Inputs!G14</f>
        <v>2851</v>
      </c>
      <c r="H12" s="45">
        <f t="shared" si="0"/>
        <v>17408.583333333336</v>
      </c>
      <c r="I12" s="31"/>
      <c r="L12" s="160"/>
      <c r="M12" s="160"/>
      <c r="N12" s="140" t="s">
        <v>134</v>
      </c>
      <c r="O12" s="139">
        <f t="shared" ref="O12" si="8">O11*(1+O3)</f>
        <v>14920.696212516677</v>
      </c>
    </row>
    <row r="13" spans="1:15" x14ac:dyDescent="0.2">
      <c r="A13" s="3">
        <v>2024</v>
      </c>
      <c r="B13" s="34">
        <f>Inputs!B15</f>
        <v>12332.666666666666</v>
      </c>
      <c r="C13" s="34">
        <f>Inputs!C15</f>
        <v>2226.1666666666665</v>
      </c>
      <c r="D13" s="34">
        <f>Inputs!D15</f>
        <v>132.25</v>
      </c>
      <c r="E13" s="34">
        <f>Inputs!E15</f>
        <v>63</v>
      </c>
      <c r="F13" s="34">
        <f>Inputs!F15</f>
        <v>32.666666666666664</v>
      </c>
      <c r="G13" s="34">
        <f>Inputs!G15</f>
        <v>2851</v>
      </c>
      <c r="H13" s="45">
        <f t="shared" si="0"/>
        <v>17637.75</v>
      </c>
      <c r="I13" s="31"/>
      <c r="J13" s="31"/>
      <c r="L13" s="141"/>
      <c r="M13" s="141"/>
      <c r="N13" s="140" t="s">
        <v>135</v>
      </c>
      <c r="O13" s="139">
        <f t="shared" ref="O13" si="9">O12*(1+O3)</f>
        <v>14939.135204692881</v>
      </c>
    </row>
    <row r="14" spans="1:15" x14ac:dyDescent="0.2">
      <c r="A14" s="3">
        <v>2025</v>
      </c>
      <c r="B14" s="49">
        <v>12503</v>
      </c>
      <c r="C14" s="49">
        <v>2241</v>
      </c>
      <c r="D14" s="49">
        <v>140</v>
      </c>
      <c r="E14" s="49">
        <v>63</v>
      </c>
      <c r="F14" s="49">
        <f t="shared" ref="F14" si="10">F13*F31</f>
        <v>30.915945739990271</v>
      </c>
      <c r="G14" s="49">
        <v>2851</v>
      </c>
      <c r="H14" s="45">
        <f t="shared" si="0"/>
        <v>17828.915945739991</v>
      </c>
      <c r="I14" s="31">
        <f t="shared" ref="I14" si="11">B14+C14+D14</f>
        <v>14884</v>
      </c>
      <c r="J14" s="31">
        <f>I14-I13</f>
        <v>14884</v>
      </c>
      <c r="L14" s="141"/>
      <c r="M14" s="141"/>
      <c r="N14" s="140" t="s">
        <v>136</v>
      </c>
      <c r="O14" s="139">
        <f t="shared" ref="O14" si="12">O13*(1+O3)</f>
        <v>14957.596983770422</v>
      </c>
    </row>
    <row r="15" spans="1:15" x14ac:dyDescent="0.2">
      <c r="A15" s="12"/>
      <c r="L15" s="141"/>
      <c r="M15" s="141"/>
      <c r="N15" s="142" t="s">
        <v>137</v>
      </c>
      <c r="O15" s="143">
        <f t="shared" ref="O15" si="13">O14*(1+O3)</f>
        <v>14976.081577909345</v>
      </c>
    </row>
    <row r="16" spans="1:15" x14ac:dyDescent="0.2">
      <c r="A16" s="12" t="s">
        <v>29</v>
      </c>
      <c r="B16" s="4"/>
      <c r="C16" s="4"/>
      <c r="D16" s="4"/>
      <c r="E16" s="4"/>
      <c r="F16" s="15"/>
      <c r="G16" s="15"/>
      <c r="N16" s="140"/>
      <c r="O16" s="139"/>
    </row>
    <row r="17" spans="1:15" x14ac:dyDescent="0.2">
      <c r="A17" s="3"/>
      <c r="B17" s="15"/>
      <c r="C17" s="15"/>
      <c r="D17" s="15"/>
      <c r="E17" s="15"/>
      <c r="F17" s="15"/>
      <c r="G17" s="15"/>
      <c r="N17" s="140" t="s">
        <v>138</v>
      </c>
      <c r="O17" s="139">
        <f t="shared" ref="O17" si="14">AVERAGE(O5:O15)</f>
        <v>14883.999989792092</v>
      </c>
    </row>
    <row r="18" spans="1:15" x14ac:dyDescent="0.2">
      <c r="A18" s="3">
        <f>+A4</f>
        <v>2015</v>
      </c>
      <c r="B18" s="15">
        <f t="shared" ref="B18:G18" si="15">B4/B3</f>
        <v>1.005183591879546</v>
      </c>
      <c r="C18" s="15">
        <f t="shared" si="15"/>
        <v>1.0126226654004433</v>
      </c>
      <c r="D18" s="15">
        <f t="shared" si="15"/>
        <v>0.90600775193798455</v>
      </c>
      <c r="E18" s="15">
        <f t="shared" si="15"/>
        <v>0.95281582952815824</v>
      </c>
      <c r="F18" s="15">
        <f t="shared" si="15"/>
        <v>0.93529411764705883</v>
      </c>
      <c r="G18" s="15">
        <f t="shared" si="15"/>
        <v>0.97271714922049013</v>
      </c>
      <c r="O18" s="5">
        <f>I14</f>
        <v>14884</v>
      </c>
    </row>
    <row r="19" spans="1:15" x14ac:dyDescent="0.2">
      <c r="A19" s="3">
        <f t="shared" ref="A19:A27" si="16">+A5</f>
        <v>2016</v>
      </c>
      <c r="B19" s="15">
        <f t="shared" ref="B19:B26" si="17">B5/B4</f>
        <v>1.0052173518536722</v>
      </c>
      <c r="C19" s="15">
        <f t="shared" ref="C19:G27" si="18">C5/C4</f>
        <v>1.0023836505021295</v>
      </c>
      <c r="D19" s="15">
        <f t="shared" si="18"/>
        <v>0.9582887700534759</v>
      </c>
      <c r="E19" s="15">
        <f t="shared" si="18"/>
        <v>0.97763578274760388</v>
      </c>
      <c r="F19" s="15">
        <f t="shared" si="18"/>
        <v>0.98742138364779874</v>
      </c>
      <c r="G19" s="15">
        <f t="shared" si="18"/>
        <v>0.96857771216822808</v>
      </c>
      <c r="O19" s="5">
        <f t="shared" ref="O19" si="19">O17-O18</f>
        <v>-1.0207908417214639E-5</v>
      </c>
    </row>
    <row r="20" spans="1:15" x14ac:dyDescent="0.2">
      <c r="A20" s="3">
        <f t="shared" si="16"/>
        <v>2017</v>
      </c>
      <c r="B20" s="15">
        <f t="shared" si="17"/>
        <v>1.0081539931247696</v>
      </c>
      <c r="C20" s="15">
        <f t="shared" si="18"/>
        <v>1.0031576485264306</v>
      </c>
      <c r="D20" s="15">
        <f t="shared" si="18"/>
        <v>0.92354910714285698</v>
      </c>
      <c r="E20" s="15">
        <f t="shared" si="18"/>
        <v>1</v>
      </c>
      <c r="F20" s="15">
        <f t="shared" si="18"/>
        <v>0.86942675159235661</v>
      </c>
      <c r="G20" s="15">
        <f t="shared" si="18"/>
        <v>1.0631415241057545</v>
      </c>
    </row>
    <row r="21" spans="1:15" x14ac:dyDescent="0.2">
      <c r="A21" s="3">
        <f t="shared" si="16"/>
        <v>2018</v>
      </c>
      <c r="B21" s="15">
        <f t="shared" si="17"/>
        <v>1.0107368028352919</v>
      </c>
      <c r="C21" s="15">
        <f t="shared" si="18"/>
        <v>1.006722885011464</v>
      </c>
      <c r="D21" s="15">
        <f t="shared" si="18"/>
        <v>0.99697885196374625</v>
      </c>
      <c r="E21" s="15">
        <f t="shared" si="18"/>
        <v>1</v>
      </c>
      <c r="F21" s="15">
        <f t="shared" si="18"/>
        <v>0.96703296703296704</v>
      </c>
      <c r="G21" s="15">
        <f t="shared" si="18"/>
        <v>1.0002340550029256</v>
      </c>
    </row>
    <row r="22" spans="1:15" x14ac:dyDescent="0.2">
      <c r="A22" s="3">
        <f t="shared" si="16"/>
        <v>2019</v>
      </c>
      <c r="B22" s="15">
        <f t="shared" si="17"/>
        <v>1.0124977853894763</v>
      </c>
      <c r="C22" s="15">
        <f t="shared" si="18"/>
        <v>0.9979155408013588</v>
      </c>
      <c r="D22" s="15">
        <f t="shared" si="18"/>
        <v>0.9939393939393939</v>
      </c>
      <c r="E22" s="15">
        <f t="shared" si="18"/>
        <v>1.0702614379084967</v>
      </c>
      <c r="F22" s="15">
        <f t="shared" si="18"/>
        <v>0.9375</v>
      </c>
      <c r="G22" s="15">
        <f t="shared" si="18"/>
        <v>1.0000585000585001</v>
      </c>
    </row>
    <row r="23" spans="1:15" x14ac:dyDescent="0.2">
      <c r="A23" s="3">
        <f t="shared" si="16"/>
        <v>2020</v>
      </c>
      <c r="B23" s="15">
        <f t="shared" si="17"/>
        <v>1.011920645683414</v>
      </c>
      <c r="C23" s="15">
        <f t="shared" si="18"/>
        <v>1.0004641807210275</v>
      </c>
      <c r="D23" s="15">
        <f t="shared" si="18"/>
        <v>0.99390243902439035</v>
      </c>
      <c r="E23" s="15">
        <f t="shared" si="18"/>
        <v>1.0259541984732825</v>
      </c>
      <c r="F23" s="15">
        <f t="shared" si="18"/>
        <v>0.96969696969696972</v>
      </c>
      <c r="G23" s="15">
        <f t="shared" si="18"/>
        <v>1.0006434630008776</v>
      </c>
    </row>
    <row r="24" spans="1:15" x14ac:dyDescent="0.2">
      <c r="A24" s="3">
        <f t="shared" si="16"/>
        <v>2021</v>
      </c>
      <c r="B24" s="15">
        <f t="shared" si="17"/>
        <v>1.013826445328261</v>
      </c>
      <c r="C24" s="15">
        <f t="shared" si="18"/>
        <v>1.0164707701824931</v>
      </c>
      <c r="D24" s="15">
        <f t="shared" si="18"/>
        <v>0.9625766871165643</v>
      </c>
      <c r="E24" s="15">
        <f t="shared" si="18"/>
        <v>1.1517857142857142</v>
      </c>
      <c r="F24" s="15">
        <f t="shared" si="18"/>
        <v>1</v>
      </c>
      <c r="G24" s="15">
        <f t="shared" si="18"/>
        <v>1</v>
      </c>
    </row>
    <row r="25" spans="1:15" x14ac:dyDescent="0.2">
      <c r="A25" s="3">
        <f t="shared" si="16"/>
        <v>2022</v>
      </c>
      <c r="B25" s="15">
        <f t="shared" si="17"/>
        <v>1.0158622993227253</v>
      </c>
      <c r="C25" s="15">
        <f t="shared" si="18"/>
        <v>1.0065424115633319</v>
      </c>
      <c r="D25" s="15">
        <f t="shared" si="18"/>
        <v>0.98725302740599119</v>
      </c>
      <c r="E25" s="15">
        <f t="shared" si="18"/>
        <v>0.99612403100775193</v>
      </c>
      <c r="F25" s="15">
        <f t="shared" si="18"/>
        <v>0.93958333333333344</v>
      </c>
      <c r="G25" s="15">
        <f t="shared" si="18"/>
        <v>1</v>
      </c>
    </row>
    <row r="26" spans="1:15" x14ac:dyDescent="0.2">
      <c r="A26" s="3">
        <f t="shared" si="16"/>
        <v>2023</v>
      </c>
      <c r="B26" s="15">
        <f t="shared" si="17"/>
        <v>1.0179092365488343</v>
      </c>
      <c r="C26" s="15">
        <f t="shared" si="18"/>
        <v>1.0005668505781875</v>
      </c>
      <c r="D26" s="15">
        <f t="shared" si="18"/>
        <v>1.0077469335054874</v>
      </c>
      <c r="E26" s="15">
        <f t="shared" si="18"/>
        <v>0.9857328145265889</v>
      </c>
      <c r="F26" s="15">
        <f t="shared" si="18"/>
        <v>0.8647450110864745</v>
      </c>
      <c r="G26" s="15">
        <f t="shared" si="18"/>
        <v>1</v>
      </c>
    </row>
    <row r="27" spans="1:15" x14ac:dyDescent="0.2">
      <c r="A27" s="3">
        <f t="shared" si="16"/>
        <v>2024</v>
      </c>
      <c r="B27" s="15">
        <f>B13/B12</f>
        <v>1.0171061765049518</v>
      </c>
      <c r="C27" s="15">
        <f>C13/C12</f>
        <v>1.0089511651622163</v>
      </c>
      <c r="D27" s="15">
        <f t="shared" si="18"/>
        <v>1.0166559897501601</v>
      </c>
      <c r="E27" s="15">
        <f t="shared" si="18"/>
        <v>0.99473684210526314</v>
      </c>
      <c r="F27" s="15">
        <f t="shared" si="18"/>
        <v>1.0051282051282051</v>
      </c>
      <c r="G27" s="15">
        <f t="shared" si="18"/>
        <v>1</v>
      </c>
    </row>
    <row r="28" spans="1:15" x14ac:dyDescent="0.2">
      <c r="A28" s="3"/>
      <c r="B28" s="15"/>
      <c r="C28" s="15"/>
      <c r="D28" s="15"/>
      <c r="E28" s="15"/>
      <c r="F28" s="15"/>
      <c r="G28" s="15"/>
    </row>
    <row r="29" spans="1:15" x14ac:dyDescent="0.2">
      <c r="A29" s="3"/>
      <c r="B29" s="15"/>
      <c r="C29" s="15"/>
      <c r="D29" s="15"/>
      <c r="E29" s="15"/>
      <c r="F29" s="15"/>
      <c r="G29" s="15"/>
    </row>
    <row r="31" spans="1:15" x14ac:dyDescent="0.2">
      <c r="A31" t="s">
        <v>43</v>
      </c>
      <c r="B31" s="50">
        <f>B33</f>
        <v>1.0118321312977654</v>
      </c>
      <c r="C31" s="50">
        <f>C33</f>
        <v>1.0055644955170264</v>
      </c>
      <c r="D31" s="50">
        <f>D33</f>
        <v>0.97406227441979099</v>
      </c>
      <c r="E31" s="50">
        <f>E33</f>
        <v>1.0141346991747959</v>
      </c>
      <c r="F31" s="50">
        <f>+F33</f>
        <v>0.94640650224460021</v>
      </c>
      <c r="G31" s="50">
        <f>+G33</f>
        <v>1.0002575842363324</v>
      </c>
      <c r="H31" s="38" t="s">
        <v>56</v>
      </c>
    </row>
    <row r="32" spans="1:15" x14ac:dyDescent="0.2">
      <c r="B32" s="16"/>
      <c r="C32" s="16"/>
      <c r="D32" s="16"/>
      <c r="E32" s="16"/>
      <c r="F32" s="16"/>
      <c r="G32" s="16"/>
    </row>
    <row r="33" spans="1:7" x14ac:dyDescent="0.2">
      <c r="A33" t="s">
        <v>8</v>
      </c>
      <c r="B33" s="16">
        <f t="shared" ref="B33:G33" si="20">IF(B11="",0,GEOMEAN(B18:B27))</f>
        <v>1.0118321312977654</v>
      </c>
      <c r="C33" s="16">
        <f t="shared" si="20"/>
        <v>1.0055644955170264</v>
      </c>
      <c r="D33" s="16">
        <f t="shared" si="20"/>
        <v>0.97406227441979099</v>
      </c>
      <c r="E33" s="16">
        <f t="shared" si="20"/>
        <v>1.0141346991747959</v>
      </c>
      <c r="F33" s="16">
        <f t="shared" si="20"/>
        <v>0.94640650224460021</v>
      </c>
      <c r="G33" s="16">
        <f t="shared" si="20"/>
        <v>1.0002575842363324</v>
      </c>
    </row>
    <row r="34" spans="1:7" x14ac:dyDescent="0.2">
      <c r="A34" s="3"/>
      <c r="B34" s="16"/>
      <c r="C34" s="16"/>
      <c r="D34" s="16"/>
      <c r="E34" s="16"/>
      <c r="F34" s="16"/>
      <c r="G34" s="16"/>
    </row>
    <row r="35" spans="1:7" x14ac:dyDescent="0.2">
      <c r="A35" s="2"/>
      <c r="B35"/>
      <c r="C35"/>
      <c r="D35"/>
      <c r="E35"/>
      <c r="F35"/>
      <c r="G35"/>
    </row>
    <row r="36" spans="1:7" x14ac:dyDescent="0.2">
      <c r="A36" s="2"/>
      <c r="B36"/>
      <c r="C36"/>
      <c r="D36"/>
      <c r="E36"/>
      <c r="F36"/>
      <c r="G36"/>
    </row>
    <row r="37" spans="1:7" x14ac:dyDescent="0.2">
      <c r="A37" s="2"/>
      <c r="B37"/>
      <c r="C37"/>
      <c r="D37"/>
      <c r="E37"/>
      <c r="F37"/>
      <c r="G37"/>
    </row>
    <row r="38" spans="1:7" x14ac:dyDescent="0.2">
      <c r="A38" s="2"/>
      <c r="B38"/>
      <c r="C38"/>
      <c r="D38"/>
      <c r="E38"/>
      <c r="F38"/>
      <c r="G38"/>
    </row>
    <row r="39" spans="1:7" x14ac:dyDescent="0.2">
      <c r="A39" s="2"/>
      <c r="B39"/>
      <c r="C39"/>
      <c r="D39"/>
      <c r="E39"/>
      <c r="F39"/>
      <c r="G39"/>
    </row>
    <row r="40" spans="1:7" x14ac:dyDescent="0.2">
      <c r="A40" s="2"/>
      <c r="B40"/>
      <c r="C40"/>
      <c r="D40"/>
      <c r="E40"/>
      <c r="F40"/>
      <c r="G40"/>
    </row>
    <row r="41" spans="1:7" x14ac:dyDescent="0.2">
      <c r="A41" s="2"/>
      <c r="B41"/>
      <c r="C41"/>
      <c r="D41"/>
      <c r="E41"/>
      <c r="F41"/>
      <c r="G41"/>
    </row>
    <row r="42" spans="1:7" x14ac:dyDescent="0.2">
      <c r="A42" s="2"/>
      <c r="B42"/>
      <c r="C42"/>
      <c r="D42"/>
      <c r="E42"/>
      <c r="F42"/>
      <c r="G42"/>
    </row>
    <row r="43" spans="1:7" x14ac:dyDescent="0.2">
      <c r="A43" s="2"/>
      <c r="B43"/>
      <c r="C43"/>
      <c r="D43"/>
      <c r="E43"/>
      <c r="F43"/>
      <c r="G43"/>
    </row>
    <row r="44" spans="1:7" x14ac:dyDescent="0.2">
      <c r="A44" s="2"/>
      <c r="B44"/>
      <c r="C44"/>
      <c r="D44"/>
      <c r="E44"/>
      <c r="F44"/>
      <c r="G44"/>
    </row>
    <row r="45" spans="1:7" x14ac:dyDescent="0.2">
      <c r="A45" s="2"/>
      <c r="B45"/>
      <c r="C45"/>
      <c r="D45"/>
      <c r="E45"/>
      <c r="F45"/>
      <c r="G45"/>
    </row>
    <row r="46" spans="1:7" x14ac:dyDescent="0.2">
      <c r="A46" s="2"/>
      <c r="B46"/>
      <c r="C46"/>
      <c r="D46"/>
      <c r="E46"/>
      <c r="F46"/>
      <c r="G46"/>
    </row>
    <row r="47" spans="1:7" x14ac:dyDescent="0.2">
      <c r="A47" s="2"/>
      <c r="B47"/>
      <c r="C47"/>
      <c r="D47"/>
      <c r="E47"/>
      <c r="F47"/>
      <c r="G47"/>
    </row>
    <row r="48" spans="1:7" x14ac:dyDescent="0.2">
      <c r="A48" s="2"/>
      <c r="B48"/>
      <c r="C48"/>
      <c r="D48"/>
      <c r="E48"/>
      <c r="F48"/>
      <c r="G48"/>
    </row>
    <row r="49" spans="1:7" x14ac:dyDescent="0.2">
      <c r="A49" s="2"/>
      <c r="B49"/>
      <c r="C49"/>
      <c r="D49"/>
      <c r="E49"/>
      <c r="F49"/>
      <c r="G49"/>
    </row>
    <row r="50" spans="1:7" x14ac:dyDescent="0.2">
      <c r="A50" s="2"/>
      <c r="B50"/>
      <c r="C50"/>
      <c r="D50"/>
      <c r="E50"/>
      <c r="F50"/>
      <c r="G50"/>
    </row>
    <row r="51" spans="1:7" x14ac:dyDescent="0.2">
      <c r="A51" s="2"/>
      <c r="B51"/>
      <c r="C51"/>
      <c r="D51"/>
      <c r="E51"/>
      <c r="F51"/>
      <c r="G51"/>
    </row>
    <row r="52" spans="1:7" x14ac:dyDescent="0.2">
      <c r="A52" s="2"/>
      <c r="B52"/>
      <c r="C52"/>
      <c r="D52"/>
      <c r="E52"/>
      <c r="F52"/>
      <c r="G52"/>
    </row>
    <row r="53" spans="1:7" x14ac:dyDescent="0.2">
      <c r="A53" s="2"/>
      <c r="B53"/>
      <c r="C53"/>
      <c r="D53"/>
      <c r="E53"/>
      <c r="F53"/>
      <c r="G53"/>
    </row>
    <row r="54" spans="1:7" x14ac:dyDescent="0.2">
      <c r="A54" s="2"/>
      <c r="B54"/>
      <c r="C54"/>
      <c r="D54"/>
      <c r="E54"/>
      <c r="F54"/>
      <c r="G54"/>
    </row>
    <row r="55" spans="1:7" x14ac:dyDescent="0.2">
      <c r="A55" s="2"/>
      <c r="B55"/>
      <c r="C55"/>
      <c r="D55"/>
      <c r="E55"/>
      <c r="F55"/>
      <c r="G55"/>
    </row>
    <row r="56" spans="1:7" x14ac:dyDescent="0.2">
      <c r="A56" s="2"/>
      <c r="B56"/>
      <c r="C56"/>
      <c r="D56"/>
      <c r="E56"/>
      <c r="F56"/>
      <c r="G56"/>
    </row>
    <row r="57" spans="1:7" x14ac:dyDescent="0.2">
      <c r="A57" s="2"/>
      <c r="B57"/>
      <c r="C57"/>
      <c r="D57"/>
      <c r="E57"/>
      <c r="F57"/>
      <c r="G57"/>
    </row>
    <row r="58" spans="1:7" x14ac:dyDescent="0.2">
      <c r="A58" s="2"/>
      <c r="B58"/>
      <c r="C58"/>
      <c r="D58"/>
      <c r="E58"/>
      <c r="F58"/>
      <c r="G58"/>
    </row>
    <row r="59" spans="1:7" x14ac:dyDescent="0.2">
      <c r="B59"/>
      <c r="C59"/>
      <c r="D59"/>
      <c r="E59"/>
      <c r="F59"/>
      <c r="G59"/>
    </row>
    <row r="60" spans="1:7" x14ac:dyDescent="0.2">
      <c r="B60"/>
      <c r="C60"/>
      <c r="D60"/>
      <c r="E60"/>
      <c r="F60"/>
      <c r="G60"/>
    </row>
    <row r="61" spans="1:7" x14ac:dyDescent="0.2">
      <c r="B61"/>
      <c r="C61"/>
      <c r="D61"/>
      <c r="E61"/>
      <c r="F61"/>
      <c r="G61"/>
    </row>
    <row r="62" spans="1:7" x14ac:dyDescent="0.2">
      <c r="B62"/>
      <c r="C62"/>
      <c r="D62"/>
      <c r="E62"/>
      <c r="F62"/>
      <c r="G62"/>
    </row>
    <row r="63" spans="1:7" x14ac:dyDescent="0.2">
      <c r="B63"/>
      <c r="C63"/>
      <c r="D63"/>
      <c r="E63"/>
      <c r="F63"/>
      <c r="G63"/>
    </row>
    <row r="64" spans="1:7" x14ac:dyDescent="0.2">
      <c r="B64"/>
      <c r="C64"/>
      <c r="D64"/>
      <c r="E64"/>
      <c r="F64"/>
      <c r="G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2">
    <mergeCell ref="B1:G1"/>
    <mergeCell ref="L12:M12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56"/>
  <sheetViews>
    <sheetView topLeftCell="A8" workbookViewId="0">
      <selection activeCell="B13" sqref="B13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2.5703125" style="5" customWidth="1"/>
    <col min="5" max="5" width="13.42578125" customWidth="1"/>
    <col min="6" max="6" width="13" customWidth="1"/>
    <col min="7" max="7" width="13.42578125" customWidth="1"/>
    <col min="8" max="8" width="12.5703125" bestFit="1" customWidth="1"/>
    <col min="10" max="10" width="12.42578125" style="5" bestFit="1" customWidth="1"/>
    <col min="11" max="11" width="13.42578125" bestFit="1" customWidth="1"/>
    <col min="12" max="13" width="9.140625" style="5" customWidth="1"/>
  </cols>
  <sheetData>
    <row r="1" spans="1:10" ht="38.25" x14ac:dyDescent="0.2">
      <c r="B1" s="6" t="str">
        <f>'Rate Class Customer Model'!D2</f>
        <v>General Service &gt; 50 to 4999 kW</v>
      </c>
      <c r="C1" s="6" t="str">
        <f>'Rate Class Customer Model'!F2</f>
        <v>Sentinel Lighting</v>
      </c>
      <c r="D1" s="100" t="str">
        <f>'Rate Class Energy Model'!M2</f>
        <v>Street Lighting</v>
      </c>
      <c r="E1" s="47" t="s">
        <v>5</v>
      </c>
      <c r="J1" s="6"/>
    </row>
    <row r="2" spans="1:10" x14ac:dyDescent="0.2">
      <c r="A2" s="20">
        <f>+'Rate Class Customer Model'!A3</f>
        <v>2014</v>
      </c>
      <c r="B2" s="34">
        <f>SUMIF(Inputs!$A$24:$A$143,'Rate Class Load Model'!$A2,Inputs!$K$24:$K$143)</f>
        <v>288260.7</v>
      </c>
      <c r="C2" s="34">
        <f>SUMIF(Inputs!$A$24:$A$143,'Rate Class Load Model'!$A2,Inputs!$P$24:$P$143)</f>
        <v>138.89961839927633</v>
      </c>
      <c r="D2" s="34">
        <f>SUMIF(Inputs!$A$24:$A$143,'Rate Class Load Model'!$A2,Inputs!$S$24:$S$143)</f>
        <v>6610.2200000000012</v>
      </c>
      <c r="E2" s="45">
        <f t="shared" ref="E2:E13" si="0">SUM(B2:D2)</f>
        <v>295009.81961839925</v>
      </c>
      <c r="F2" s="38" t="s">
        <v>65</v>
      </c>
    </row>
    <row r="3" spans="1:10" x14ac:dyDescent="0.2">
      <c r="A3" s="20">
        <f>+'Rate Class Customer Model'!A4</f>
        <v>2015</v>
      </c>
      <c r="B3" s="34">
        <f>SUMIF(Inputs!$A$24:$A$143,'Rate Class Load Model'!$A3,Inputs!$K$24:$K$143)</f>
        <v>288082.36</v>
      </c>
      <c r="C3" s="34">
        <f>SUMIF(Inputs!$A$24:$A$143,'Rate Class Load Model'!$A3,Inputs!$P$24:$P$143)</f>
        <v>136.41233333333329</v>
      </c>
      <c r="D3" s="34">
        <f>SUMIF(Inputs!$A$24:$A$143,'Rate Class Load Model'!$A3,Inputs!$S$24:$S$143)</f>
        <v>5922.15</v>
      </c>
      <c r="E3" s="45">
        <f t="shared" si="0"/>
        <v>294140.92233333335</v>
      </c>
    </row>
    <row r="4" spans="1:10" x14ac:dyDescent="0.2">
      <c r="A4" s="20">
        <f>+'Rate Class Customer Model'!A5</f>
        <v>2016</v>
      </c>
      <c r="B4" s="34">
        <f>SUMIF(Inputs!$A$24:$A$143,'Rate Class Load Model'!$A4,Inputs!$K$24:$K$143)</f>
        <v>283796.43000000005</v>
      </c>
      <c r="C4" s="34">
        <f>SUMIF(Inputs!$A$24:$A$143,'Rate Class Load Model'!$A4,Inputs!$P$24:$P$143)</f>
        <v>135.40497222222223</v>
      </c>
      <c r="D4" s="34">
        <f>SUMIF(Inputs!$A$24:$A$143,'Rate Class Load Model'!$A4,Inputs!$S$24:$S$143)</f>
        <v>3094.04</v>
      </c>
      <c r="E4" s="45">
        <f t="shared" si="0"/>
        <v>287025.87497222226</v>
      </c>
      <c r="J4" s="35"/>
    </row>
    <row r="5" spans="1:10" x14ac:dyDescent="0.2">
      <c r="A5" s="20">
        <f>+'Rate Class Customer Model'!A6</f>
        <v>2017</v>
      </c>
      <c r="B5" s="34">
        <f>SUMIF(Inputs!$A$24:$A$143,'Rate Class Load Model'!$A5,Inputs!$K$24:$K$143)</f>
        <v>281771.10000000003</v>
      </c>
      <c r="C5" s="34">
        <f>SUMIF(Inputs!$A$24:$A$143,'Rate Class Load Model'!$A5,Inputs!$P$24:$P$143)</f>
        <v>122.87111111111111</v>
      </c>
      <c r="D5" s="34">
        <f>SUMIF(Inputs!$A$24:$A$143,'Rate Class Load Model'!$A5,Inputs!$S$24:$S$143)</f>
        <v>3196.5600000000009</v>
      </c>
      <c r="E5" s="45">
        <f t="shared" si="0"/>
        <v>285090.53111111117</v>
      </c>
      <c r="J5" s="35"/>
    </row>
    <row r="6" spans="1:10" x14ac:dyDescent="0.2">
      <c r="A6" s="20">
        <f>+'Rate Class Customer Model'!A7</f>
        <v>2018</v>
      </c>
      <c r="B6" s="34">
        <f>SUMIF(Inputs!$A$24:$A$143,'Rate Class Load Model'!$A6,Inputs!$K$24:$K$143)</f>
        <v>288024.30000000005</v>
      </c>
      <c r="C6" s="34">
        <f>SUMIF(Inputs!$A$24:$A$143,'Rate Class Load Model'!$A6,Inputs!$P$24:$P$143)</f>
        <v>113.39249999999998</v>
      </c>
      <c r="D6" s="34">
        <f>SUMIF(Inputs!$A$24:$A$143,'Rate Class Load Model'!$A6,Inputs!$S$24:$S$143)</f>
        <v>3087.5699999999993</v>
      </c>
      <c r="E6" s="45">
        <f t="shared" si="0"/>
        <v>291225.26250000007</v>
      </c>
      <c r="J6" s="35"/>
    </row>
    <row r="7" spans="1:10" x14ac:dyDescent="0.2">
      <c r="A7" s="20">
        <f>+'Rate Class Customer Model'!A8</f>
        <v>2019</v>
      </c>
      <c r="B7" s="34">
        <f>SUMIF(Inputs!$A$24:$A$143,'Rate Class Load Model'!$A7,Inputs!$K$24:$K$143)</f>
        <v>289524.01999999996</v>
      </c>
      <c r="C7" s="34">
        <f>SUMIF(Inputs!$A$24:$A$143,'Rate Class Load Model'!$A7,Inputs!$P$24:$P$143)</f>
        <v>108.64861111111111</v>
      </c>
      <c r="D7" s="34">
        <f>SUMIF(Inputs!$A$24:$A$143,'Rate Class Load Model'!$A7,Inputs!$S$24:$S$143)</f>
        <v>3074.1600000000003</v>
      </c>
      <c r="E7" s="45">
        <f t="shared" si="0"/>
        <v>292706.82861111104</v>
      </c>
      <c r="J7" s="35"/>
    </row>
    <row r="8" spans="1:10" x14ac:dyDescent="0.2">
      <c r="A8" s="20">
        <f>+'Rate Class Customer Model'!A9</f>
        <v>2020</v>
      </c>
      <c r="B8" s="34">
        <f>SUMIF(Inputs!$A$24:$A$143,'Rate Class Load Model'!$A8,Inputs!$K$24:$K$143)</f>
        <v>290762.68</v>
      </c>
      <c r="C8" s="34">
        <f>SUMIF(Inputs!$A$24:$A$143,'Rate Class Load Model'!$A8,Inputs!$P$24:$P$143)</f>
        <v>103.58055555555556</v>
      </c>
      <c r="D8" s="34">
        <f>SUMIF(Inputs!$A$24:$A$143,'Rate Class Load Model'!$A8,Inputs!$S$24:$S$143)</f>
        <v>3080.420000000001</v>
      </c>
      <c r="E8" s="45">
        <f t="shared" si="0"/>
        <v>293946.6805555555</v>
      </c>
      <c r="J8" s="35"/>
    </row>
    <row r="9" spans="1:10" x14ac:dyDescent="0.2">
      <c r="A9" s="20">
        <f>+'Rate Class Customer Model'!A10</f>
        <v>2021</v>
      </c>
      <c r="B9" s="34">
        <f>SUMIF(Inputs!$A$24:$A$143,'Rate Class Load Model'!$A9,Inputs!$K$24:$K$143)</f>
        <v>285432.01</v>
      </c>
      <c r="C9" s="34">
        <f>SUMIF(Inputs!$A$24:$A$143,'Rate Class Load Model'!$A9,Inputs!$P$24:$P$143)</f>
        <v>102.90555555555558</v>
      </c>
      <c r="D9" s="34">
        <f>SUMIF(Inputs!$A$24:$A$143,'Rate Class Load Model'!$A9,Inputs!$S$24:$S$143)</f>
        <v>3082.3200000000011</v>
      </c>
      <c r="E9" s="45">
        <f t="shared" si="0"/>
        <v>288617.23555555556</v>
      </c>
    </row>
    <row r="10" spans="1:10" x14ac:dyDescent="0.2">
      <c r="A10" s="20">
        <f>+'Rate Class Customer Model'!A11</f>
        <v>2022</v>
      </c>
      <c r="B10" s="34">
        <f>SUMIF(Inputs!$A$24:$A$143,'Rate Class Load Model'!$A10,Inputs!$K$24:$K$143)</f>
        <v>308240.81</v>
      </c>
      <c r="C10" s="34">
        <f>SUMIF(Inputs!$A$24:$A$143,'Rate Class Load Model'!$A10,Inputs!$P$24:$P$143)</f>
        <v>97.047222222222217</v>
      </c>
      <c r="D10" s="34">
        <f>SUMIF(Inputs!$A$24:$A$143,'Rate Class Load Model'!$A10,Inputs!$S$24:$S$143)</f>
        <v>3082.3200000000011</v>
      </c>
      <c r="E10" s="45">
        <f t="shared" si="0"/>
        <v>311420.17722222221</v>
      </c>
    </row>
    <row r="11" spans="1:10" x14ac:dyDescent="0.2">
      <c r="A11" s="20">
        <f>+'Rate Class Customer Model'!A12</f>
        <v>2023</v>
      </c>
      <c r="B11" s="34">
        <f>SUMIF(Inputs!$A$24:$A$143,'Rate Class Load Model'!$A11,Inputs!$K$24:$K$143)</f>
        <v>315533.88999999996</v>
      </c>
      <c r="C11" s="34">
        <f>SUMIF(Inputs!$A$24:$A$143,'Rate Class Load Model'!$A11,Inputs!$P$24:$P$143)</f>
        <v>86.600000000000009</v>
      </c>
      <c r="D11" s="34">
        <f>SUMIF(Inputs!$A$24:$A$143,'Rate Class Load Model'!$A11,Inputs!$S$24:$S$143)</f>
        <v>3082.6000000000008</v>
      </c>
      <c r="E11" s="45">
        <f t="shared" si="0"/>
        <v>318703.08999999991</v>
      </c>
    </row>
    <row r="12" spans="1:10" x14ac:dyDescent="0.2">
      <c r="A12" s="20">
        <f>+'Rate Class Customer Model'!A13</f>
        <v>2024</v>
      </c>
      <c r="B12" s="34">
        <f>SUMIF(Inputs!$A$24:$A$155,'Rate Class Load Model'!$A12,Inputs!$K$24:$K$155)</f>
        <v>313416.03999999998</v>
      </c>
      <c r="C12" s="34">
        <f>SUMIF(Inputs!$A$24:$A$155,'Rate Class Load Model'!$A12,Inputs!$P$24:$P$155)</f>
        <v>85.759</v>
      </c>
      <c r="D12" s="34">
        <f>SUMIF(Inputs!$A$24:$A$155,'Rate Class Load Model'!$A12,Inputs!$S$24:$S$155)</f>
        <v>3082.3200000000011</v>
      </c>
      <c r="E12" s="45">
        <f t="shared" si="0"/>
        <v>316584.11900000001</v>
      </c>
    </row>
    <row r="13" spans="1:10" x14ac:dyDescent="0.2">
      <c r="A13" s="20">
        <f>+'Rate Class Customer Model'!A14</f>
        <v>2025</v>
      </c>
      <c r="B13" s="123">
        <f>B$28*'Rate Class Energy Model'!J32</f>
        <v>311745.42136929382</v>
      </c>
      <c r="C13" s="123">
        <f>C$28*'Rate Class Energy Model'!L32</f>
        <v>81.162549640620455</v>
      </c>
      <c r="D13" s="123">
        <f>D$28*'Rate Class Energy Model'!M32</f>
        <v>3008.4814552397265</v>
      </c>
      <c r="E13" s="45">
        <f t="shared" si="0"/>
        <v>314835.06537417416</v>
      </c>
    </row>
    <row r="14" spans="1:10" x14ac:dyDescent="0.2">
      <c r="A14" s="12"/>
      <c r="E14" s="31"/>
    </row>
    <row r="15" spans="1:10" x14ac:dyDescent="0.2">
      <c r="A15" s="12" t="s">
        <v>44</v>
      </c>
      <c r="B15" s="4"/>
      <c r="C15" s="4"/>
      <c r="D15" s="4"/>
    </row>
    <row r="16" spans="1:10" x14ac:dyDescent="0.2">
      <c r="A16" s="20">
        <f>+A2</f>
        <v>2014</v>
      </c>
      <c r="B16" s="48">
        <f>B2/'Rate Class Energy Model'!J3</f>
        <v>2.3650077972807992E-3</v>
      </c>
      <c r="C16" s="48">
        <f>C2/'Rate Class Energy Model'!L3</f>
        <v>2.7777777777777779E-3</v>
      </c>
      <c r="D16" s="48">
        <f>D2/'Rate Class Energy Model'!M3</f>
        <v>2.7478069840992658E-3</v>
      </c>
      <c r="J16" s="18"/>
    </row>
    <row r="17" spans="1:10" x14ac:dyDescent="0.2">
      <c r="A17" s="20">
        <f t="shared" ref="A17:A26" si="1">+A3</f>
        <v>2015</v>
      </c>
      <c r="B17" s="48">
        <f>B3/'Rate Class Energy Model'!J4</f>
        <v>2.4054202500975435E-3</v>
      </c>
      <c r="C17" s="48">
        <f>C3/'Rate Class Energy Model'!L4</f>
        <v>2.7777777777777775E-3</v>
      </c>
      <c r="D17" s="48">
        <f>D3/'Rate Class Energy Model'!M4</f>
        <v>2.9177681717984889E-3</v>
      </c>
      <c r="J17" s="18"/>
    </row>
    <row r="18" spans="1:10" x14ac:dyDescent="0.2">
      <c r="A18" s="20">
        <f t="shared" si="1"/>
        <v>2016</v>
      </c>
      <c r="B18" s="48">
        <f>B4/'Rate Class Energy Model'!J5</f>
        <v>2.4331572807867081E-3</v>
      </c>
      <c r="C18" s="48">
        <f>C4/'Rate Class Energy Model'!L5</f>
        <v>2.7777777777777783E-3</v>
      </c>
      <c r="D18" s="48">
        <f>D4/'Rate Class Energy Model'!M5</f>
        <v>2.7229425214385788E-3</v>
      </c>
      <c r="J18" s="18"/>
    </row>
    <row r="19" spans="1:10" x14ac:dyDescent="0.2">
      <c r="A19" s="20">
        <f t="shared" si="1"/>
        <v>2017</v>
      </c>
      <c r="B19" s="48">
        <f>B5/'Rate Class Energy Model'!J6</f>
        <v>2.3983756142886641E-3</v>
      </c>
      <c r="C19" s="48">
        <f>C5/'Rate Class Energy Model'!L6</f>
        <v>2.7777777777777775E-3</v>
      </c>
      <c r="D19" s="48">
        <f>D5/'Rate Class Energy Model'!M6</f>
        <v>2.7688933507861754E-3</v>
      </c>
      <c r="J19" s="18"/>
    </row>
    <row r="20" spans="1:10" x14ac:dyDescent="0.2">
      <c r="A20" s="20">
        <f t="shared" si="1"/>
        <v>2018</v>
      </c>
      <c r="B20" s="48">
        <f>B6/'Rate Class Energy Model'!J7</f>
        <v>2.4184927839844684E-3</v>
      </c>
      <c r="C20" s="48">
        <f>C6/'Rate Class Energy Model'!L7</f>
        <v>2.777777777777777E-3</v>
      </c>
      <c r="D20" s="48">
        <f>D6/'Rate Class Energy Model'!M7</f>
        <v>2.7715296971089665E-3</v>
      </c>
      <c r="J20" s="18"/>
    </row>
    <row r="21" spans="1:10" x14ac:dyDescent="0.2">
      <c r="A21" s="20">
        <f t="shared" si="1"/>
        <v>2019</v>
      </c>
      <c r="B21" s="48">
        <f>B7/'Rate Class Energy Model'!J8</f>
        <v>2.4433352125902926E-3</v>
      </c>
      <c r="C21" s="48">
        <f>C7/'Rate Class Energy Model'!L8</f>
        <v>2.7777777777777779E-3</v>
      </c>
      <c r="D21" s="48">
        <f>D7/'Rate Class Energy Model'!M8</f>
        <v>2.7671253098677001E-3</v>
      </c>
      <c r="J21" s="18"/>
    </row>
    <row r="22" spans="1:10" x14ac:dyDescent="0.2">
      <c r="A22" s="20">
        <f t="shared" si="1"/>
        <v>2020</v>
      </c>
      <c r="B22" s="48">
        <f>B8/'Rate Class Energy Model'!J9</f>
        <v>2.4670200529735833E-3</v>
      </c>
      <c r="C22" s="48">
        <f>C8/'Rate Class Energy Model'!L9</f>
        <v>2.7777777777777779E-3</v>
      </c>
      <c r="D22" s="48">
        <f>D8/'Rate Class Energy Model'!M9</f>
        <v>2.8333126382546238E-3</v>
      </c>
      <c r="J22" s="18"/>
    </row>
    <row r="23" spans="1:10" x14ac:dyDescent="0.2">
      <c r="A23" s="20">
        <f t="shared" si="1"/>
        <v>2021</v>
      </c>
      <c r="B23" s="48">
        <f>B9/'Rate Class Energy Model'!J10</f>
        <v>2.3858847461698308E-3</v>
      </c>
      <c r="C23" s="48">
        <f>C9/'Rate Class Energy Model'!L10</f>
        <v>2.7777777777777783E-3</v>
      </c>
      <c r="D23" s="48">
        <f>D9/'Rate Class Energy Model'!M10</f>
        <v>2.9108230390106128E-3</v>
      </c>
      <c r="J23" s="18"/>
    </row>
    <row r="24" spans="1:10" x14ac:dyDescent="0.2">
      <c r="A24" s="20">
        <f t="shared" si="1"/>
        <v>2022</v>
      </c>
      <c r="B24" s="48">
        <f>B10/'Rate Class Energy Model'!J11</f>
        <v>2.461848437909996E-3</v>
      </c>
      <c r="C24" s="48">
        <f>C10/'Rate Class Energy Model'!L11</f>
        <v>2.7777777777777775E-3</v>
      </c>
      <c r="D24" s="48">
        <f>D10/'Rate Class Energy Model'!M11</f>
        <v>2.9108037970619243E-3</v>
      </c>
      <c r="J24" s="18"/>
    </row>
    <row r="25" spans="1:10" x14ac:dyDescent="0.2">
      <c r="A25" s="20">
        <f t="shared" si="1"/>
        <v>2023</v>
      </c>
      <c r="B25" s="48">
        <f>B11/'Rate Class Energy Model'!J12</f>
        <v>2.5767591945955915E-3</v>
      </c>
      <c r="C25" s="48">
        <f>C11/'Rate Class Energy Model'!L12</f>
        <v>2.7777991619129735E-3</v>
      </c>
      <c r="D25" s="48">
        <f>D11/'Rate Class Energy Model'!M12</f>
        <v>2.9110689586680626E-3</v>
      </c>
      <c r="J25" s="18"/>
    </row>
    <row r="26" spans="1:10" x14ac:dyDescent="0.2">
      <c r="A26" s="20">
        <f t="shared" si="1"/>
        <v>2024</v>
      </c>
      <c r="B26" s="48">
        <f>B12/'Rate Class Energy Model'!J13</f>
        <v>2.5956629000297724E-3</v>
      </c>
      <c r="C26" s="48">
        <f>C12/'Rate Class Energy Model'!L13</f>
        <v>2.7777921736347648E-3</v>
      </c>
      <c r="D26" s="48">
        <f>D12/'Rate Class Energy Model'!M13</f>
        <v>2.9026965784894462E-3</v>
      </c>
      <c r="J26" s="18"/>
    </row>
    <row r="28" spans="1:10" x14ac:dyDescent="0.2">
      <c r="A28" s="38" t="s">
        <v>43</v>
      </c>
      <c r="B28" s="18">
        <f>B30</f>
        <v>2.4500876609733864E-3</v>
      </c>
      <c r="C28" s="18">
        <f>C30</f>
        <v>2.7777810305043395E-3</v>
      </c>
      <c r="D28" s="18">
        <f>D30</f>
        <v>2.8331610042348953E-3</v>
      </c>
    </row>
    <row r="30" spans="1:10" x14ac:dyDescent="0.2">
      <c r="A30" t="s">
        <v>7</v>
      </c>
      <c r="B30" s="18">
        <f>AVERAGE(B16:B26)</f>
        <v>2.4500876609733864E-3</v>
      </c>
      <c r="C30" s="18">
        <f>AVERAGE(C16:C26)</f>
        <v>2.7777810305043395E-3</v>
      </c>
      <c r="D30" s="18">
        <f>AVERAGE(D16:D26)</f>
        <v>2.8331610042348953E-3</v>
      </c>
      <c r="I30" s="18"/>
      <c r="J30" s="18"/>
    </row>
    <row r="35" spans="2:4" x14ac:dyDescent="0.2">
      <c r="B35" s="17"/>
      <c r="C35" s="17"/>
      <c r="D35" s="17"/>
    </row>
    <row r="36" spans="2:4" x14ac:dyDescent="0.2">
      <c r="B36" s="17"/>
      <c r="C36" s="17"/>
      <c r="D36" s="17"/>
    </row>
    <row r="55" spans="2:4" x14ac:dyDescent="0.2">
      <c r="B55" s="11"/>
      <c r="C55" s="11"/>
      <c r="D55" s="11"/>
    </row>
    <row r="56" spans="2:4" x14ac:dyDescent="0.2">
      <c r="B56" s="11"/>
      <c r="C56" s="11"/>
      <c r="D56" s="11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Inputs</vt:lpstr>
      <vt:lpstr>Load Forecast Summary</vt:lpstr>
      <vt:lpstr>Power Purchased Model</vt:lpstr>
      <vt:lpstr>Power Purchased Model 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 WN'!Print_Area</vt:lpstr>
      <vt:lpstr>'Rate Class Customer Model'!Print_Area</vt:lpstr>
      <vt:lpstr>'Rate Class Load Model'!Print_Area</vt:lpstr>
      <vt:lpstr>'Power Purchased Model'!Print_Titles</vt:lpstr>
      <vt:lpstr>'Power Purchased Model 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2025-02-28T00:43:28Z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