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uincca.sharepoint.com/sites/GSHICostofService2025/Shared Documents/General/05 - Settlement Proposal/01 - Models Working Copies/"/>
    </mc:Choice>
  </mc:AlternateContent>
  <xr:revisionPtr revIDLastSave="195" documentId="8_{97FF9EA2-3723-406C-84D6-F5886A629B48}" xr6:coauthVersionLast="47" xr6:coauthVersionMax="47" xr10:uidLastSave="{2484C1A9-D993-409F-BC08-19EFCE900060}"/>
  <bookViews>
    <workbookView xWindow="28680" yWindow="-120" windowWidth="29040" windowHeight="15720" xr2:uid="{137B364A-0ACE-4FDE-B1A5-50D4741E76F8}"/>
  </bookViews>
  <sheets>
    <sheet name="Summary" sheetId="5" r:id="rId1"/>
    <sheet name="Ex 9 Acc CCA 2019" sheetId="4" r:id="rId2"/>
    <sheet name="Ex 9 Acc CCA 2024" sheetId="2" r:id="rId3"/>
    <sheet name="Ex 9 Acc CCA Cressey" sheetId="3" r:id="rId4"/>
    <sheet name="Initial Submission CCA 2019" sheetId="6" r:id="rId5"/>
    <sheet name="IRR Submission CCA 2019" sheetId="7" r:id="rId6"/>
  </sheets>
  <definedNames>
    <definedName name="ApprovedYr">#REF!</definedName>
    <definedName name="BridgeYear">#REF!</definedName>
    <definedName name="CRLF">#REF!</definedName>
    <definedName name="TestYear">#REF!</definedName>
    <definedName name="TestY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7" l="1"/>
  <c r="B26" i="7"/>
  <c r="K25" i="7"/>
  <c r="L25" i="7" s="1"/>
  <c r="H25" i="7"/>
  <c r="I25" i="7" s="1"/>
  <c r="K24" i="7"/>
  <c r="L24" i="7" s="1"/>
  <c r="H24" i="7"/>
  <c r="I24" i="7" s="1"/>
  <c r="K23" i="7"/>
  <c r="L23" i="7" s="1"/>
  <c r="E23" i="7"/>
  <c r="H23" i="7" s="1"/>
  <c r="I23" i="7" s="1"/>
  <c r="K22" i="7"/>
  <c r="L22" i="7" s="1"/>
  <c r="H22" i="7"/>
  <c r="I22" i="7" s="1"/>
  <c r="K21" i="7"/>
  <c r="L21" i="7" s="1"/>
  <c r="H21" i="7"/>
  <c r="I21" i="7" s="1"/>
  <c r="K20" i="7"/>
  <c r="L20" i="7" s="1"/>
  <c r="H20" i="7"/>
  <c r="I20" i="7" s="1"/>
  <c r="K19" i="7"/>
  <c r="L19" i="7" s="1"/>
  <c r="H19" i="7"/>
  <c r="I19" i="7" s="1"/>
  <c r="K18" i="7"/>
  <c r="L18" i="7" s="1"/>
  <c r="H18" i="7"/>
  <c r="I18" i="7" s="1"/>
  <c r="K17" i="7"/>
  <c r="L17" i="7" s="1"/>
  <c r="E17" i="7"/>
  <c r="H17" i="7" s="1"/>
  <c r="I17" i="7" s="1"/>
  <c r="K16" i="7"/>
  <c r="L16" i="7" s="1"/>
  <c r="E16" i="7"/>
  <c r="H16" i="7" s="1"/>
  <c r="I16" i="7" s="1"/>
  <c r="K15" i="7"/>
  <c r="L15" i="7" s="1"/>
  <c r="H15" i="7"/>
  <c r="I15" i="7" s="1"/>
  <c r="K14" i="7"/>
  <c r="L14" i="7" s="1"/>
  <c r="H14" i="7"/>
  <c r="I14" i="7" s="1"/>
  <c r="K13" i="7"/>
  <c r="L13" i="7" s="1"/>
  <c r="H13" i="7"/>
  <c r="I13" i="7" s="1"/>
  <c r="K12" i="7"/>
  <c r="L12" i="7" s="1"/>
  <c r="H12" i="7"/>
  <c r="I12" i="7" s="1"/>
  <c r="K11" i="7"/>
  <c r="L11" i="7" s="1"/>
  <c r="E11" i="7"/>
  <c r="H11" i="7" s="1"/>
  <c r="I11" i="7" s="1"/>
  <c r="K10" i="7"/>
  <c r="L10" i="7" s="1"/>
  <c r="E10" i="7"/>
  <c r="K9" i="7"/>
  <c r="H9" i="7"/>
  <c r="I9" i="7" s="1"/>
  <c r="E26" i="7" l="1"/>
  <c r="K26" i="7"/>
  <c r="L9" i="7"/>
  <c r="L26" i="7" s="1"/>
  <c r="H10" i="7"/>
  <c r="I10" i="7" s="1"/>
  <c r="I26" i="7" s="1"/>
  <c r="N26" i="7" s="1"/>
  <c r="N29" i="7" s="1"/>
  <c r="N31" i="7" s="1"/>
  <c r="I11" i="5" l="1"/>
  <c r="I10" i="5"/>
  <c r="I9" i="5"/>
  <c r="I8" i="5"/>
  <c r="I7" i="5"/>
  <c r="I6" i="5"/>
  <c r="I5" i="5"/>
  <c r="G11" i="5"/>
  <c r="G10" i="5"/>
  <c r="G9" i="5"/>
  <c r="G8" i="5"/>
  <c r="G7" i="5"/>
  <c r="G6" i="5"/>
  <c r="G5" i="5"/>
  <c r="D12" i="5" l="1"/>
  <c r="C12" i="5"/>
  <c r="K5" i="2"/>
  <c r="K13" i="4"/>
  <c r="K6" i="4"/>
  <c r="K7" i="4"/>
  <c r="K8" i="4"/>
  <c r="K9" i="4"/>
  <c r="K10" i="4"/>
  <c r="K11" i="4"/>
  <c r="K12" i="4"/>
  <c r="K14" i="4"/>
  <c r="K15" i="4"/>
  <c r="K16" i="4"/>
  <c r="K17" i="4"/>
  <c r="K18" i="4"/>
  <c r="K19" i="4"/>
  <c r="K20" i="4"/>
  <c r="K21" i="4"/>
  <c r="K22" i="4"/>
  <c r="Q23" i="4"/>
  <c r="D26" i="6"/>
  <c r="B26" i="6"/>
  <c r="K25" i="6"/>
  <c r="L25" i="6" s="1"/>
  <c r="H25" i="6"/>
  <c r="I25" i="6" s="1"/>
  <c r="K24" i="6"/>
  <c r="L24" i="6" s="1"/>
  <c r="H24" i="6"/>
  <c r="I24" i="6" s="1"/>
  <c r="E23" i="6"/>
  <c r="H23" i="6" s="1"/>
  <c r="I23" i="6" s="1"/>
  <c r="K22" i="6"/>
  <c r="L22" i="6" s="1"/>
  <c r="H22" i="6"/>
  <c r="I22" i="6" s="1"/>
  <c r="K21" i="6"/>
  <c r="L21" i="6" s="1"/>
  <c r="H21" i="6"/>
  <c r="I21" i="6" s="1"/>
  <c r="K20" i="6"/>
  <c r="L20" i="6" s="1"/>
  <c r="H20" i="6"/>
  <c r="I20" i="6" s="1"/>
  <c r="K19" i="6"/>
  <c r="L19" i="6" s="1"/>
  <c r="H19" i="6"/>
  <c r="I19" i="6" s="1"/>
  <c r="K18" i="6"/>
  <c r="L18" i="6" s="1"/>
  <c r="H18" i="6"/>
  <c r="I18" i="6" s="1"/>
  <c r="E17" i="6"/>
  <c r="K17" i="6" s="1"/>
  <c r="L17" i="6" s="1"/>
  <c r="E16" i="6"/>
  <c r="K16" i="6" s="1"/>
  <c r="L16" i="6" s="1"/>
  <c r="K15" i="6"/>
  <c r="L15" i="6" s="1"/>
  <c r="H15" i="6"/>
  <c r="I15" i="6" s="1"/>
  <c r="K14" i="6"/>
  <c r="L14" i="6" s="1"/>
  <c r="H14" i="6"/>
  <c r="I14" i="6" s="1"/>
  <c r="K13" i="6"/>
  <c r="L13" i="6" s="1"/>
  <c r="H13" i="6"/>
  <c r="I13" i="6" s="1"/>
  <c r="K12" i="6"/>
  <c r="L12" i="6" s="1"/>
  <c r="H12" i="6"/>
  <c r="I12" i="6" s="1"/>
  <c r="E11" i="6"/>
  <c r="K11" i="6" s="1"/>
  <c r="L11" i="6" s="1"/>
  <c r="E10" i="6"/>
  <c r="K9" i="6"/>
  <c r="L9" i="6" s="1"/>
  <c r="H9" i="6"/>
  <c r="I9" i="6" s="1"/>
  <c r="K23" i="6" l="1"/>
  <c r="L23" i="6" s="1"/>
  <c r="E26" i="6"/>
  <c r="H10" i="6"/>
  <c r="I10" i="6" s="1"/>
  <c r="K10" i="6"/>
  <c r="H11" i="6"/>
  <c r="I11" i="6" s="1"/>
  <c r="H16" i="6"/>
  <c r="I16" i="6" s="1"/>
  <c r="H17" i="6"/>
  <c r="I17" i="6" s="1"/>
  <c r="I26" i="6" l="1"/>
  <c r="K26" i="6"/>
  <c r="L10" i="6"/>
  <c r="L26" i="6" s="1"/>
  <c r="N26" i="6" s="1"/>
  <c r="N29" i="6" s="1"/>
  <c r="N31" i="6" s="1"/>
  <c r="D10" i="5" l="1"/>
  <c r="D9" i="5"/>
  <c r="D8" i="5"/>
  <c r="D7" i="5"/>
  <c r="C10" i="5"/>
  <c r="E10" i="5" s="1"/>
  <c r="E11" i="5"/>
  <c r="E9" i="5"/>
  <c r="E8" i="5"/>
  <c r="E7" i="5"/>
  <c r="E6" i="5"/>
  <c r="L12" i="2" l="1"/>
  <c r="K12" i="2"/>
  <c r="H12" i="2"/>
  <c r="I12" i="2"/>
  <c r="K15" i="2"/>
  <c r="H6" i="2"/>
  <c r="H5" i="2"/>
  <c r="I8" i="2"/>
  <c r="I7" i="2"/>
  <c r="G12" i="3"/>
  <c r="G13" i="3"/>
  <c r="G14" i="3"/>
  <c r="G5" i="3"/>
  <c r="L6" i="4"/>
  <c r="I6" i="4"/>
  <c r="H6" i="4"/>
  <c r="K21" i="2" l="1"/>
  <c r="K20" i="2"/>
  <c r="K19" i="2"/>
  <c r="K18" i="2"/>
  <c r="K17" i="2"/>
  <c r="K16" i="2"/>
  <c r="K14" i="2"/>
  <c r="K13" i="2"/>
  <c r="K11" i="2"/>
  <c r="K10" i="2"/>
  <c r="K9" i="2"/>
  <c r="K8" i="2"/>
  <c r="K7" i="2"/>
  <c r="K6" i="2"/>
  <c r="L5" i="2"/>
  <c r="I5" i="2"/>
  <c r="L22" i="4"/>
  <c r="L21" i="4"/>
  <c r="L17" i="4"/>
  <c r="L16" i="4"/>
  <c r="L15" i="4"/>
  <c r="L11" i="4"/>
  <c r="L10" i="4"/>
  <c r="L9" i="4"/>
  <c r="D23" i="4"/>
  <c r="B23" i="4"/>
  <c r="H22" i="4"/>
  <c r="I22" i="4" s="1"/>
  <c r="H21" i="4"/>
  <c r="I21" i="4" s="1"/>
  <c r="E20" i="4"/>
  <c r="L19" i="4"/>
  <c r="H19" i="4"/>
  <c r="I19" i="4" s="1"/>
  <c r="L18" i="4"/>
  <c r="H18" i="4"/>
  <c r="I18" i="4" s="1"/>
  <c r="H17" i="4"/>
  <c r="I17" i="4" s="1"/>
  <c r="H16" i="4"/>
  <c r="I16" i="4" s="1"/>
  <c r="H15" i="4"/>
  <c r="I15" i="4" s="1"/>
  <c r="E14" i="4"/>
  <c r="E13" i="4"/>
  <c r="L12" i="4"/>
  <c r="H12" i="4"/>
  <c r="I12" i="4" s="1"/>
  <c r="H11" i="4"/>
  <c r="I11" i="4" s="1"/>
  <c r="H10" i="4"/>
  <c r="I10" i="4" s="1"/>
  <c r="H9" i="4"/>
  <c r="I9" i="4" s="1"/>
  <c r="E8" i="4"/>
  <c r="E7" i="4"/>
  <c r="H13" i="4" l="1"/>
  <c r="I13" i="4" s="1"/>
  <c r="L13" i="4"/>
  <c r="H8" i="4"/>
  <c r="I8" i="4" s="1"/>
  <c r="H20" i="4"/>
  <c r="I20" i="4" s="1"/>
  <c r="L20" i="4"/>
  <c r="H7" i="4"/>
  <c r="K22" i="2"/>
  <c r="E23" i="4"/>
  <c r="K23" i="4"/>
  <c r="L14" i="4"/>
  <c r="L8" i="4"/>
  <c r="L7" i="4"/>
  <c r="I7" i="4"/>
  <c r="H14" i="4"/>
  <c r="I14" i="4" s="1"/>
  <c r="I23" i="4" l="1"/>
  <c r="L23" i="4"/>
  <c r="N23" i="4" l="1"/>
  <c r="N26" i="4" s="1"/>
  <c r="N28" i="4" s="1"/>
  <c r="C5" i="5" s="1"/>
  <c r="E5" i="5" s="1"/>
  <c r="AA21" i="3"/>
  <c r="AA23" i="3" s="1"/>
  <c r="Z15" i="3"/>
  <c r="U15" i="3"/>
  <c r="P15" i="3"/>
  <c r="K15" i="3"/>
  <c r="C14" i="3"/>
  <c r="B14" i="3"/>
  <c r="A14" i="3"/>
  <c r="C13" i="3"/>
  <c r="B13" i="3"/>
  <c r="A13" i="3"/>
  <c r="F12" i="3"/>
  <c r="C12" i="3"/>
  <c r="B12" i="3"/>
  <c r="A12" i="3"/>
  <c r="Z8" i="3"/>
  <c r="U8" i="3"/>
  <c r="P8" i="3"/>
  <c r="K8" i="3"/>
  <c r="F14" i="3"/>
  <c r="H5" i="3"/>
  <c r="J5" i="3" s="1"/>
  <c r="D22" i="2"/>
  <c r="B22" i="2"/>
  <c r="L21" i="2"/>
  <c r="H21" i="2"/>
  <c r="I21" i="2" s="1"/>
  <c r="L20" i="2"/>
  <c r="I20" i="2"/>
  <c r="E20" i="2"/>
  <c r="H20" i="2" s="1"/>
  <c r="E19" i="2"/>
  <c r="H19" i="2" s="1"/>
  <c r="I19" i="2" s="1"/>
  <c r="L18" i="2"/>
  <c r="H18" i="2"/>
  <c r="I18" i="2" s="1"/>
  <c r="L17" i="2"/>
  <c r="H17" i="2"/>
  <c r="I17" i="2" s="1"/>
  <c r="L16" i="2"/>
  <c r="H16" i="2"/>
  <c r="I16" i="2" s="1"/>
  <c r="L15" i="2"/>
  <c r="H15" i="2"/>
  <c r="I15" i="2" s="1"/>
  <c r="L14" i="2"/>
  <c r="H14" i="2"/>
  <c r="I14" i="2" s="1"/>
  <c r="E13" i="2"/>
  <c r="L13" i="2" s="1"/>
  <c r="E12" i="2"/>
  <c r="L11" i="2"/>
  <c r="H11" i="2"/>
  <c r="I11" i="2" s="1"/>
  <c r="L10" i="2"/>
  <c r="H10" i="2"/>
  <c r="I10" i="2" s="1"/>
  <c r="L9" i="2"/>
  <c r="H9" i="2"/>
  <c r="I9" i="2" s="1"/>
  <c r="L8" i="2"/>
  <c r="H8" i="2"/>
  <c r="E7" i="2"/>
  <c r="E6" i="2"/>
  <c r="F13" i="3" l="1"/>
  <c r="H13" i="3" s="1"/>
  <c r="J13" i="3" s="1"/>
  <c r="G6" i="3"/>
  <c r="H7" i="2"/>
  <c r="L7" i="2"/>
  <c r="L19" i="2"/>
  <c r="E22" i="2"/>
  <c r="L13" i="3"/>
  <c r="M13" i="3" s="1"/>
  <c r="O13" i="3" s="1"/>
  <c r="H14" i="3"/>
  <c r="J14" i="3" s="1"/>
  <c r="G7" i="3"/>
  <c r="H7" i="3"/>
  <c r="J7" i="3" s="1"/>
  <c r="L5" i="3"/>
  <c r="F15" i="3"/>
  <c r="G8" i="3"/>
  <c r="G17" i="3" s="1"/>
  <c r="F8" i="3"/>
  <c r="I6" i="2"/>
  <c r="L6" i="2"/>
  <c r="H13" i="2"/>
  <c r="I13" i="2" s="1"/>
  <c r="I22" i="2" l="1"/>
  <c r="L22" i="2"/>
  <c r="H6" i="3"/>
  <c r="L14" i="3"/>
  <c r="M14" i="3" s="1"/>
  <c r="O14" i="3" s="1"/>
  <c r="Q13" i="3"/>
  <c r="R13" i="3" s="1"/>
  <c r="T13" i="3" s="1"/>
  <c r="J6" i="3"/>
  <c r="H8" i="3"/>
  <c r="G15" i="3"/>
  <c r="G18" i="3" s="1"/>
  <c r="G19" i="3" s="1"/>
  <c r="G21" i="3" s="1"/>
  <c r="G23" i="3" s="1"/>
  <c r="G24" i="3" s="1"/>
  <c r="H12" i="3"/>
  <c r="M5" i="3"/>
  <c r="L7" i="3"/>
  <c r="M7" i="3" s="1"/>
  <c r="O7" i="3" s="1"/>
  <c r="N22" i="2" l="1"/>
  <c r="N25" i="2" s="1"/>
  <c r="N27" i="2" s="1"/>
  <c r="Q7" i="3"/>
  <c r="R7" i="3" s="1"/>
  <c r="T7" i="3" s="1"/>
  <c r="V13" i="3"/>
  <c r="W13" i="3" s="1"/>
  <c r="Y13" i="3" s="1"/>
  <c r="Q14" i="3"/>
  <c r="R14" i="3" s="1"/>
  <c r="T14" i="3" s="1"/>
  <c r="O5" i="3"/>
  <c r="H15" i="3"/>
  <c r="J12" i="3"/>
  <c r="L6" i="3"/>
  <c r="L8" i="3" s="1"/>
  <c r="L17" i="3" s="1"/>
  <c r="J8" i="3"/>
  <c r="V14" i="3" l="1"/>
  <c r="W14" i="3" s="1"/>
  <c r="Y14" i="3" s="1"/>
  <c r="AA13" i="3"/>
  <c r="AB13" i="3" s="1"/>
  <c r="V7" i="3"/>
  <c r="W7" i="3" s="1"/>
  <c r="Y7" i="3" s="1"/>
  <c r="M6" i="3"/>
  <c r="J15" i="3"/>
  <c r="L12" i="3"/>
  <c r="L15" i="3" s="1"/>
  <c r="L18" i="3" s="1"/>
  <c r="L19" i="3" s="1"/>
  <c r="L21" i="3" s="1"/>
  <c r="L23" i="3" s="1"/>
  <c r="L24" i="3" s="1"/>
  <c r="Q5" i="3"/>
  <c r="R5" i="3" s="1"/>
  <c r="T5" i="3" l="1"/>
  <c r="AA7" i="3"/>
  <c r="AB7" i="3" s="1"/>
  <c r="AA14" i="3"/>
  <c r="AB14" i="3" s="1"/>
  <c r="M12" i="3"/>
  <c r="O6" i="3"/>
  <c r="M8" i="3"/>
  <c r="Q6" i="3" l="1"/>
  <c r="Q8" i="3" s="1"/>
  <c r="Q17" i="3" s="1"/>
  <c r="O8" i="3"/>
  <c r="M15" i="3"/>
  <c r="O12" i="3"/>
  <c r="W5" i="3"/>
  <c r="V5" i="3"/>
  <c r="Y5" i="3" l="1"/>
  <c r="O15" i="3"/>
  <c r="Q12" i="3"/>
  <c r="Q15" i="3" s="1"/>
  <c r="Q18" i="3" s="1"/>
  <c r="Q19" i="3" s="1"/>
  <c r="Q21" i="3" s="1"/>
  <c r="Q23" i="3" s="1"/>
  <c r="Q24" i="3" s="1"/>
  <c r="R6" i="3"/>
  <c r="T6" i="3" l="1"/>
  <c r="R8" i="3"/>
  <c r="R12" i="3"/>
  <c r="AA5" i="3"/>
  <c r="AB5" i="3" l="1"/>
  <c r="T12" i="3"/>
  <c r="R15" i="3"/>
  <c r="V6" i="3"/>
  <c r="V8" i="3" s="1"/>
  <c r="V17" i="3" s="1"/>
  <c r="T8" i="3"/>
  <c r="W6" i="3" l="1"/>
  <c r="Y6" i="3"/>
  <c r="W8" i="3"/>
  <c r="V12" i="3"/>
  <c r="V15" i="3" s="1"/>
  <c r="V18" i="3" s="1"/>
  <c r="V19" i="3" s="1"/>
  <c r="V21" i="3" s="1"/>
  <c r="V23" i="3" s="1"/>
  <c r="V24" i="3" s="1"/>
  <c r="AA24" i="3" s="1"/>
  <c r="T15" i="3"/>
  <c r="W12" i="3" l="1"/>
  <c r="AA6" i="3"/>
  <c r="AA8" i="3" s="1"/>
  <c r="AA17" i="3" s="1"/>
  <c r="Y8" i="3"/>
  <c r="AB6" i="3" l="1"/>
  <c r="AB8" i="3" s="1"/>
  <c r="Y12" i="3"/>
  <c r="W15" i="3"/>
  <c r="AA12" i="3" l="1"/>
  <c r="AA15" i="3" s="1"/>
  <c r="AA18" i="3" s="1"/>
  <c r="AA19" i="3" s="1"/>
  <c r="Y15" i="3"/>
  <c r="AB12" i="3" l="1"/>
  <c r="AB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K4" authorId="0" shapeId="0" xr:uid="{F33536F6-4C4F-473E-B6B8-70592A8D35F2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Column D/Column 9 from sch 8 of the tax return is UCC with full year addition. By backing out the AIIP adjustment of column 12, this returns the UCC value to additions being half-year ruled and gives us the correct basis to calculate CCA without AIIP.
DC 2024-09-11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F5" authorId="0" shapeId="0" xr:uid="{CF37FA33-2C48-4026-AB10-23E6E7BAFE8F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This is addition to class 1b in schedule 1 of the actual tax return, therefore assuming it all pertains to Cressey for purposes of this calc. Balance has to be distribution equipment.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K7" authorId="0" shapeId="0" xr:uid="{CA5DFD3C-75B3-420F-843F-1563DFD2A1FC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Column D/Column 9 from sch 8 of the tax return is UCC with full year addition. By backing out the AIIP adjustment of column 12, this returns the UCC value to additions being half-year ruled and gives us the correct basis to calculate CCA without AIIP.
DC 2024-09-11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K7" authorId="0" shapeId="0" xr:uid="{47E1F06D-87F5-4F00-805F-896749E8379F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Column D/Column 9 from sch 8 of the tax return is UCC with full year addition. By backing out the AIIP adjustment of column 12, this returns the UCC value to additions being half-year ruled and gives us the correct basis to calculate CCA without AIIP.
DC 2024-09-11</t>
        </r>
      </text>
    </comment>
  </commentList>
</comments>
</file>

<file path=xl/sharedStrings.xml><?xml version="1.0" encoding="utf-8"?>
<sst xmlns="http://schemas.openxmlformats.org/spreadsheetml/2006/main" count="190" uniqueCount="73">
  <si>
    <t>2019 Bill C-97 Accelerated CCA vs. Non-Accelerated</t>
  </si>
  <si>
    <t>Column 9</t>
  </si>
  <si>
    <t>Column 10</t>
  </si>
  <si>
    <t>Column 11</t>
  </si>
  <si>
    <t>Column 12</t>
  </si>
  <si>
    <t>Column 14</t>
  </si>
  <si>
    <t>Proceeds of Disposition</t>
  </si>
  <si>
    <t>Net capital cost of AIIP acquired during the year</t>
  </si>
  <si>
    <t>UCC Adjustment for AIIP acquired during the year</t>
  </si>
  <si>
    <t>CCA Rate</t>
  </si>
  <si>
    <t>UCC, with AIIP</t>
  </si>
  <si>
    <t>CCA, with AIIP</t>
  </si>
  <si>
    <t>UCC, if AIIP didn't exist</t>
  </si>
  <si>
    <t>CCA, if AIIP didn't exist</t>
  </si>
  <si>
    <t>1b</t>
  </si>
  <si>
    <t>Agrees to Sch 1</t>
  </si>
  <si>
    <t>If AIIP didn't exist</t>
  </si>
  <si>
    <t>CCA Difference</t>
  </si>
  <si>
    <t>X / (1 - 26.5%)</t>
  </si>
  <si>
    <t>2024 Bill C-97 Accelerated CCA vs. Non-Accelerated</t>
  </si>
  <si>
    <t>Cressey Station ACM - 1592 Calculations</t>
  </si>
  <si>
    <t>Accelerated CCA Calculation (Note 1)</t>
  </si>
  <si>
    <t>Description</t>
  </si>
  <si>
    <t>Class</t>
  </si>
  <si>
    <t>UCC - Opening</t>
  </si>
  <si>
    <t>Additions</t>
  </si>
  <si>
    <t>Less: CCA Deduction</t>
  </si>
  <si>
    <t>UCC - Closing</t>
  </si>
  <si>
    <t>Building</t>
  </si>
  <si>
    <t>Distribution Equipment and Structures</t>
  </si>
  <si>
    <t>SCADA</t>
  </si>
  <si>
    <t>Normal ACM treatment - CCA (non-Accelerated) Calculation (Note 2)</t>
  </si>
  <si>
    <t>Accelerated CCA - Summary</t>
  </si>
  <si>
    <t>Normal CCA (non-Accelerated) - Summary</t>
  </si>
  <si>
    <t>CCA Difference (Note 3)</t>
  </si>
  <si>
    <t>Rate</t>
  </si>
  <si>
    <t>Taxes/PILs Before Gross-Up</t>
  </si>
  <si>
    <t>Grossed-Up Taxes/PILs (In year activity)</t>
  </si>
  <si>
    <t>Cumulative 1592 Principal</t>
  </si>
  <si>
    <t>Note 1: Year 1 CCA effective rate = 1.5x</t>
  </si>
  <si>
    <t>Note 2: CCA rule used in ACM rider calculations assume CCA rate = 1x</t>
  </si>
  <si>
    <t>Note 3: Capturing the CCA deduction difference each year comparing accelerated CCA to ACM calculation</t>
  </si>
  <si>
    <t>UCC (Includes in-year additions)</t>
  </si>
  <si>
    <t>A</t>
  </si>
  <si>
    <t>B</t>
  </si>
  <si>
    <t>Agrees to PILs model</t>
  </si>
  <si>
    <t>Debit to deferral acct</t>
  </si>
  <si>
    <t>Credit to deferral acct</t>
  </si>
  <si>
    <t>B * 50% = C</t>
  </si>
  <si>
    <t>D</t>
  </si>
  <si>
    <t>A + C = E</t>
  </si>
  <si>
    <t>D * E</t>
  </si>
  <si>
    <t>D * A</t>
  </si>
  <si>
    <t>Accrual Amount</t>
  </si>
  <si>
    <t>Balance</t>
  </si>
  <si>
    <t>Period</t>
  </si>
  <si>
    <t>Bill C-97</t>
  </si>
  <si>
    <t>Cressey ACM</t>
  </si>
  <si>
    <t>Activity</t>
  </si>
  <si>
    <t>Cumulative Principal</t>
  </si>
  <si>
    <t>Cumulative Interest</t>
  </si>
  <si>
    <t>Total Balance</t>
  </si>
  <si>
    <t>1592 Balance Summary</t>
  </si>
  <si>
    <t>Note: For information purposes only - to show the calculations that tied into GSHi's initial rate application submission (Exhibit 9, Tab 1, Schedule 6)</t>
  </si>
  <si>
    <t>Column 3</t>
  </si>
  <si>
    <t>Cost of acquisitions during the year</t>
  </si>
  <si>
    <t>Values for highlighted cells have been corrected</t>
  </si>
  <si>
    <t>Value changed from initial submission (see "Initial Submission CCA 2019" tab)</t>
  </si>
  <si>
    <t>as updated on "Ex 9 Acc CCA 2019" tab</t>
  </si>
  <si>
    <t>CCA, under phase-out AIIP</t>
  </si>
  <si>
    <t>UCC, under phase-out AIIP</t>
  </si>
  <si>
    <t>Agrees to Sch 8</t>
  </si>
  <si>
    <t>Note: For information purposes only - to show the calculations that tied into GSHi's IRR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</si>
</sst>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0" fontId="0" fillId="0" borderId="0" xfId="0" applyNumberFormat="1"/>
    <xf numFmtId="43" fontId="2" fillId="0" borderId="2" xfId="0" applyNumberFormat="1" applyFont="1" applyBorder="1"/>
    <xf numFmtId="43" fontId="0" fillId="0" borderId="0" xfId="1" applyFont="1" applyFill="1"/>
    <xf numFmtId="0" fontId="2" fillId="0" borderId="0" xfId="0" applyFont="1"/>
    <xf numFmtId="0" fontId="6" fillId="0" borderId="0" xfId="0" applyFont="1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wrapText="1"/>
    </xf>
    <xf numFmtId="9" fontId="0" fillId="0" borderId="0" xfId="0" applyNumberFormat="1"/>
    <xf numFmtId="164" fontId="0" fillId="0" borderId="0" xfId="2" applyFont="1"/>
    <xf numFmtId="164" fontId="0" fillId="0" borderId="0" xfId="0" applyNumberFormat="1"/>
    <xf numFmtId="164" fontId="0" fillId="0" borderId="1" xfId="2" applyFont="1" applyBorder="1"/>
    <xf numFmtId="165" fontId="0" fillId="0" borderId="0" xfId="0" applyNumberFormat="1"/>
    <xf numFmtId="164" fontId="0" fillId="0" borderId="0" xfId="2" applyFont="1" applyBorder="1"/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44" fontId="0" fillId="0" borderId="0" xfId="3" applyFont="1"/>
    <xf numFmtId="44" fontId="0" fillId="2" borderId="0" xfId="3" applyFont="1" applyFill="1"/>
    <xf numFmtId="44" fontId="0" fillId="0" borderId="0" xfId="3" applyFont="1" applyFill="1"/>
    <xf numFmtId="0" fontId="0" fillId="0" borderId="0" xfId="0" quotePrefix="1"/>
    <xf numFmtId="44" fontId="0" fillId="0" borderId="1" xfId="0" applyNumberFormat="1" applyBorder="1"/>
    <xf numFmtId="0" fontId="9" fillId="0" borderId="0" xfId="0" applyFont="1"/>
    <xf numFmtId="0" fontId="8" fillId="3" borderId="0" xfId="0" applyFont="1" applyFill="1"/>
    <xf numFmtId="0" fontId="0" fillId="3" borderId="0" xfId="0" applyFill="1"/>
    <xf numFmtId="43" fontId="0" fillId="3" borderId="0" xfId="1" applyFont="1" applyFill="1"/>
    <xf numFmtId="43" fontId="0" fillId="0" borderId="0" xfId="1" applyFont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">
    <cellStyle name="Comma" xfId="1" builtinId="3"/>
    <cellStyle name="Comma 2" xfId="2" xr:uid="{61DA7127-3287-448C-BA3C-43C4B4FF4C87}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DB9A-230D-4589-A8C9-C40AB67951A4}">
  <dimension ref="B1:I12"/>
  <sheetViews>
    <sheetView tabSelected="1" workbookViewId="0"/>
  </sheetViews>
  <sheetFormatPr defaultRowHeight="15" x14ac:dyDescent="0.25"/>
  <cols>
    <col min="3" max="3" width="12.5703125" bestFit="1" customWidth="1"/>
    <col min="4" max="4" width="12" bestFit="1" customWidth="1"/>
    <col min="5" max="5" width="12.5703125" bestFit="1" customWidth="1"/>
    <col min="7" max="7" width="12.5703125" bestFit="1" customWidth="1"/>
    <col min="8" max="8" width="11.5703125" bestFit="1" customWidth="1"/>
    <col min="9" max="9" width="13.140625" bestFit="1" customWidth="1"/>
  </cols>
  <sheetData>
    <row r="1" spans="2:9" ht="18.75" x14ac:dyDescent="0.3">
      <c r="B1" s="33" t="s">
        <v>62</v>
      </c>
    </row>
    <row r="3" spans="2:9" x14ac:dyDescent="0.25">
      <c r="C3" s="38" t="s">
        <v>53</v>
      </c>
      <c r="D3" s="38"/>
      <c r="E3" s="38"/>
      <c r="F3" s="27"/>
      <c r="G3" s="38" t="s">
        <v>54</v>
      </c>
      <c r="H3" s="38"/>
      <c r="I3" s="38"/>
    </row>
    <row r="4" spans="2:9" ht="30" x14ac:dyDescent="0.25">
      <c r="B4" s="5" t="s">
        <v>55</v>
      </c>
      <c r="C4" s="2" t="s">
        <v>56</v>
      </c>
      <c r="D4" s="2" t="s">
        <v>57</v>
      </c>
      <c r="E4" s="2" t="s">
        <v>58</v>
      </c>
      <c r="F4" s="27"/>
      <c r="G4" s="3" t="s">
        <v>59</v>
      </c>
      <c r="H4" s="3" t="s">
        <v>60</v>
      </c>
      <c r="I4" s="2" t="s">
        <v>61</v>
      </c>
    </row>
    <row r="5" spans="2:9" x14ac:dyDescent="0.25">
      <c r="B5">
        <v>2019</v>
      </c>
      <c r="C5" s="28">
        <f>-'Ex 9 Acc CCA 2019'!N28</f>
        <v>-433353.95918367355</v>
      </c>
      <c r="D5" s="28">
        <v>0</v>
      </c>
      <c r="E5" s="28">
        <f>SUM(C5:D5)</f>
        <v>-433353.95918367355</v>
      </c>
      <c r="F5" s="29"/>
      <c r="G5" s="28">
        <f>E5</f>
        <v>-433353.95918367355</v>
      </c>
      <c r="H5" s="28">
        <v>-4354.3048791666661</v>
      </c>
      <c r="I5" s="28">
        <f>SUM(G5:H5)</f>
        <v>-437708.2640628402</v>
      </c>
    </row>
    <row r="6" spans="2:9" x14ac:dyDescent="0.25">
      <c r="B6">
        <v>2020</v>
      </c>
      <c r="C6" s="28">
        <v>0</v>
      </c>
      <c r="D6" s="28">
        <v>0</v>
      </c>
      <c r="E6" s="28">
        <f>SUM(C6:D6)</f>
        <v>0</v>
      </c>
      <c r="F6" s="29"/>
      <c r="G6" s="28">
        <f>E6+G5</f>
        <v>-433353.95918367355</v>
      </c>
      <c r="H6" s="30">
        <v>-10312.922379166666</v>
      </c>
      <c r="I6" s="28">
        <f>SUM(G6:H6)</f>
        <v>-443666.88156284019</v>
      </c>
    </row>
    <row r="7" spans="2:9" x14ac:dyDescent="0.25">
      <c r="B7">
        <v>2021</v>
      </c>
      <c r="C7" s="28">
        <v>0</v>
      </c>
      <c r="D7" s="28">
        <f>'Ex 9 Acc CCA Cressey'!G23</f>
        <v>-77356.338355784887</v>
      </c>
      <c r="E7" s="28">
        <f t="shared" ref="E7:E11" si="0">SUM(C7:D7)</f>
        <v>-77356.338355784887</v>
      </c>
      <c r="F7" s="29"/>
      <c r="G7" s="28">
        <f>E7+G6</f>
        <v>-510710.29753945844</v>
      </c>
      <c r="H7" s="30">
        <v>-12985.133617416668</v>
      </c>
      <c r="I7" s="28">
        <f>SUM(G7:H7)</f>
        <v>-523695.4311568751</v>
      </c>
    </row>
    <row r="8" spans="2:9" x14ac:dyDescent="0.25">
      <c r="B8">
        <v>2022</v>
      </c>
      <c r="C8" s="28">
        <v>0</v>
      </c>
      <c r="D8" s="28">
        <f>'Ex 9 Acc CCA Cressey'!L23</f>
        <v>11215.225655915305</v>
      </c>
      <c r="E8" s="28">
        <f t="shared" si="0"/>
        <v>11215.225655915305</v>
      </c>
      <c r="F8" s="29"/>
      <c r="G8" s="28">
        <f>E8+G7</f>
        <v>-499495.0718835431</v>
      </c>
      <c r="H8" s="30">
        <v>-22627.96688622918</v>
      </c>
      <c r="I8" s="28">
        <f>SUM(G8:H8)</f>
        <v>-522123.03876977228</v>
      </c>
    </row>
    <row r="9" spans="2:9" x14ac:dyDescent="0.25">
      <c r="B9">
        <v>2023</v>
      </c>
      <c r="C9" s="28">
        <v>0</v>
      </c>
      <c r="D9" s="28">
        <f>'Ex 9 Acc CCA Cressey'!Q23</f>
        <v>7543.3829363431905</v>
      </c>
      <c r="E9" s="28">
        <f t="shared" si="0"/>
        <v>7543.3829363431905</v>
      </c>
      <c r="F9" s="29"/>
      <c r="G9" s="28">
        <f>E9+G8</f>
        <v>-491951.6889471999</v>
      </c>
      <c r="H9" s="30">
        <v>-47647.695580354208</v>
      </c>
      <c r="I9" s="28">
        <f>SUM(G9:H9)</f>
        <v>-539599.38452755415</v>
      </c>
    </row>
    <row r="10" spans="2:9" x14ac:dyDescent="0.25">
      <c r="B10">
        <v>2024</v>
      </c>
      <c r="C10" s="28">
        <f>'Ex 9 Acc CCA 2024'!N27</f>
        <v>203226.15646258506</v>
      </c>
      <c r="D10" s="28">
        <f>'Ex 9 Acc CCA Cressey'!V23</f>
        <v>5691.9269678812434</v>
      </c>
      <c r="E10" s="28">
        <f t="shared" si="0"/>
        <v>208918.0834304663</v>
      </c>
      <c r="F10" s="29"/>
      <c r="G10" s="28">
        <f>E10+G9</f>
        <v>-283033.6055167336</v>
      </c>
      <c r="H10" s="30">
        <v>-68264.487349166724</v>
      </c>
      <c r="I10" s="28">
        <f>SUM(G10:H10)</f>
        <v>-351298.09286590031</v>
      </c>
    </row>
    <row r="11" spans="2:9" x14ac:dyDescent="0.25">
      <c r="B11" s="31">
        <v>2025</v>
      </c>
      <c r="C11" s="28">
        <v>0</v>
      </c>
      <c r="D11" s="28">
        <v>0</v>
      </c>
      <c r="E11" s="28">
        <f t="shared" si="0"/>
        <v>0</v>
      </c>
      <c r="F11" s="29"/>
      <c r="G11" s="28">
        <f>E11+G10</f>
        <v>-283033.6055167336</v>
      </c>
      <c r="H11" s="30">
        <v>-71698.630789166738</v>
      </c>
      <c r="I11" s="28">
        <f>SUM(G11:H11)</f>
        <v>-354732.23630590033</v>
      </c>
    </row>
    <row r="12" spans="2:9" x14ac:dyDescent="0.25">
      <c r="C12" s="32">
        <f>SUM(C5:C11)</f>
        <v>-230127.80272108849</v>
      </c>
      <c r="D12" s="32">
        <f>SUM(D5:D11)</f>
        <v>-52905.802795645155</v>
      </c>
    </row>
  </sheetData>
  <mergeCells count="2">
    <mergeCell ref="C3:E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BB68-0B73-4A6F-9D58-7A582768B376}">
  <sheetPr>
    <pageSetUpPr fitToPage="1"/>
  </sheetPr>
  <dimension ref="A1:S31"/>
  <sheetViews>
    <sheetView workbookViewId="0"/>
  </sheetViews>
  <sheetFormatPr defaultRowHeight="15" x14ac:dyDescent="0.25"/>
  <cols>
    <col min="2" max="2" width="15.28515625" bestFit="1" customWidth="1"/>
    <col min="3" max="3" width="12.5703125" customWidth="1"/>
    <col min="4" max="4" width="15.7109375" customWidth="1"/>
    <col min="5" max="5" width="18.28515625" customWidth="1"/>
    <col min="7" max="7" width="3" customWidth="1"/>
    <col min="8" max="8" width="14.140625" customWidth="1"/>
    <col min="9" max="9" width="15.85546875" customWidth="1"/>
    <col min="10" max="10" width="3.7109375" customWidth="1"/>
    <col min="11" max="11" width="15.140625" bestFit="1" customWidth="1"/>
    <col min="12" max="12" width="13.28515625" bestFit="1" customWidth="1"/>
    <col min="14" max="14" width="13.28515625" bestFit="1" customWidth="1"/>
    <col min="17" max="17" width="13.28515625" bestFit="1" customWidth="1"/>
    <col min="19" max="19" width="15.28515625" bestFit="1" customWidth="1"/>
  </cols>
  <sheetData>
    <row r="1" spans="1:19" ht="26.25" x14ac:dyDescent="0.4">
      <c r="A1" s="1" t="s">
        <v>0</v>
      </c>
    </row>
    <row r="3" spans="1:19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Q3" s="2" t="s">
        <v>64</v>
      </c>
    </row>
    <row r="4" spans="1:19" ht="60" x14ac:dyDescent="0.25">
      <c r="B4" s="3" t="s">
        <v>42</v>
      </c>
      <c r="C4" s="3" t="s">
        <v>6</v>
      </c>
      <c r="D4" s="3" t="s">
        <v>7</v>
      </c>
      <c r="E4" s="3" t="s">
        <v>8</v>
      </c>
      <c r="F4" s="3" t="s">
        <v>9</v>
      </c>
      <c r="H4" s="3" t="s">
        <v>10</v>
      </c>
      <c r="I4" s="3" t="s">
        <v>11</v>
      </c>
      <c r="K4" s="4" t="s">
        <v>12</v>
      </c>
      <c r="L4" s="4" t="s">
        <v>13</v>
      </c>
      <c r="Q4" s="3" t="s">
        <v>65</v>
      </c>
    </row>
    <row r="5" spans="1:19" s="24" customFormat="1" x14ac:dyDescent="0.25">
      <c r="B5" s="25" t="s">
        <v>43</v>
      </c>
      <c r="C5" s="25"/>
      <c r="D5" s="25" t="s">
        <v>44</v>
      </c>
      <c r="E5" s="26" t="s">
        <v>48</v>
      </c>
      <c r="F5" s="25" t="s">
        <v>49</v>
      </c>
      <c r="H5" s="25" t="s">
        <v>50</v>
      </c>
      <c r="I5" s="25" t="s">
        <v>51</v>
      </c>
      <c r="K5" s="25" t="s">
        <v>43</v>
      </c>
      <c r="L5" s="25" t="s">
        <v>52</v>
      </c>
    </row>
    <row r="6" spans="1:19" x14ac:dyDescent="0.25">
      <c r="A6" s="5">
        <v>1</v>
      </c>
      <c r="B6" s="6">
        <v>38802377</v>
      </c>
      <c r="C6" s="6"/>
      <c r="D6" s="6"/>
      <c r="E6" s="6"/>
      <c r="F6" s="6">
        <v>4</v>
      </c>
      <c r="G6" s="6"/>
      <c r="H6" s="6">
        <f>B6+E6</f>
        <v>38802377</v>
      </c>
      <c r="I6" s="6">
        <f>ROUND(H6*F6/100,0)</f>
        <v>1552095</v>
      </c>
      <c r="J6" s="6"/>
      <c r="K6" s="6">
        <f t="shared" ref="K6:K20" si="0">B6-ROUND((Q6*50%),0)</f>
        <v>38802377</v>
      </c>
      <c r="L6" s="6">
        <f>ROUND(K6*F6/100,0)</f>
        <v>1552095</v>
      </c>
      <c r="Q6" s="6"/>
    </row>
    <row r="7" spans="1:19" x14ac:dyDescent="0.25">
      <c r="A7" s="5">
        <v>8</v>
      </c>
      <c r="B7" s="6">
        <v>830080</v>
      </c>
      <c r="C7" s="6"/>
      <c r="D7" s="6">
        <v>81475</v>
      </c>
      <c r="E7" s="6">
        <f>ROUND(D7*0.5,0)</f>
        <v>40738</v>
      </c>
      <c r="F7" s="6">
        <v>20</v>
      </c>
      <c r="G7" s="6"/>
      <c r="H7" s="6">
        <f>B7+E7</f>
        <v>870818</v>
      </c>
      <c r="I7" s="6">
        <f t="shared" ref="I7:I22" si="1">ROUND(H7*F7/100,0)</f>
        <v>174164</v>
      </c>
      <c r="J7" s="6"/>
      <c r="K7" s="6">
        <f t="shared" si="0"/>
        <v>789342</v>
      </c>
      <c r="L7" s="6">
        <f t="shared" ref="L7:L22" si="2">ROUND(K7*F7/100,0)</f>
        <v>157868</v>
      </c>
      <c r="Q7" s="6">
        <v>81475</v>
      </c>
    </row>
    <row r="8" spans="1:19" x14ac:dyDescent="0.25">
      <c r="A8" s="5">
        <v>10</v>
      </c>
      <c r="B8" s="6">
        <v>1308651</v>
      </c>
      <c r="C8" s="6"/>
      <c r="D8" s="6">
        <v>144362</v>
      </c>
      <c r="E8" s="6">
        <f>ROUND(D8*0.5,0)</f>
        <v>72181</v>
      </c>
      <c r="F8" s="6">
        <v>30</v>
      </c>
      <c r="G8" s="6"/>
      <c r="H8" s="6">
        <f>B8+E8</f>
        <v>1380832</v>
      </c>
      <c r="I8" s="6">
        <f>ROUND(H8*F8/100,0)</f>
        <v>414250</v>
      </c>
      <c r="J8" s="6"/>
      <c r="K8" s="6">
        <f t="shared" si="0"/>
        <v>1236470</v>
      </c>
      <c r="L8" s="6">
        <f t="shared" si="2"/>
        <v>370941</v>
      </c>
      <c r="Q8" s="6">
        <v>144362</v>
      </c>
    </row>
    <row r="9" spans="1:19" x14ac:dyDescent="0.25">
      <c r="A9" s="5">
        <v>17</v>
      </c>
      <c r="B9" s="6">
        <v>37282</v>
      </c>
      <c r="C9" s="6"/>
      <c r="D9" s="6"/>
      <c r="E9" s="6"/>
      <c r="F9" s="6">
        <v>8</v>
      </c>
      <c r="G9" s="6"/>
      <c r="H9" s="6">
        <f t="shared" ref="H9:H12" si="3">B9+E9</f>
        <v>37282</v>
      </c>
      <c r="I9" s="6">
        <f t="shared" si="1"/>
        <v>2983</v>
      </c>
      <c r="J9" s="6"/>
      <c r="K9" s="6">
        <f t="shared" si="0"/>
        <v>37282</v>
      </c>
      <c r="L9" s="6">
        <f t="shared" si="2"/>
        <v>2983</v>
      </c>
      <c r="Q9" s="6"/>
      <c r="S9" s="8"/>
    </row>
    <row r="10" spans="1:19" x14ac:dyDescent="0.25">
      <c r="A10" s="5">
        <v>17</v>
      </c>
      <c r="B10" s="6">
        <v>25155</v>
      </c>
      <c r="C10" s="6"/>
      <c r="D10" s="6"/>
      <c r="E10" s="6"/>
      <c r="F10" s="6">
        <v>8</v>
      </c>
      <c r="G10" s="6"/>
      <c r="H10" s="6">
        <f>B10+E10</f>
        <v>25155</v>
      </c>
      <c r="I10" s="6">
        <f t="shared" si="1"/>
        <v>2012</v>
      </c>
      <c r="J10" s="6"/>
      <c r="K10" s="6">
        <f t="shared" si="0"/>
        <v>25155</v>
      </c>
      <c r="L10" s="6">
        <f t="shared" si="2"/>
        <v>2012</v>
      </c>
      <c r="Q10" s="6"/>
    </row>
    <row r="11" spans="1:19" x14ac:dyDescent="0.25">
      <c r="A11" s="5">
        <v>42</v>
      </c>
      <c r="B11" s="6">
        <v>189262</v>
      </c>
      <c r="C11" s="6"/>
      <c r="D11" s="6"/>
      <c r="E11" s="6"/>
      <c r="F11" s="6">
        <v>12</v>
      </c>
      <c r="G11" s="6"/>
      <c r="H11" s="6">
        <f t="shared" si="3"/>
        <v>189262</v>
      </c>
      <c r="I11" s="6">
        <f>ROUND(H11*F11/100,0)</f>
        <v>22711</v>
      </c>
      <c r="J11" s="6"/>
      <c r="K11" s="6">
        <f t="shared" si="0"/>
        <v>189262</v>
      </c>
      <c r="L11" s="6">
        <f t="shared" si="2"/>
        <v>22711</v>
      </c>
      <c r="Q11" s="6"/>
    </row>
    <row r="12" spans="1:19" x14ac:dyDescent="0.25">
      <c r="A12" s="5">
        <v>45</v>
      </c>
      <c r="B12" s="6">
        <v>1</v>
      </c>
      <c r="C12" s="6"/>
      <c r="D12" s="6"/>
      <c r="E12" s="6"/>
      <c r="F12" s="6">
        <v>45</v>
      </c>
      <c r="G12" s="6"/>
      <c r="H12" s="6">
        <f t="shared" si="3"/>
        <v>1</v>
      </c>
      <c r="I12" s="6">
        <f t="shared" si="1"/>
        <v>0</v>
      </c>
      <c r="J12" s="6"/>
      <c r="K12" s="6">
        <f t="shared" si="0"/>
        <v>1</v>
      </c>
      <c r="L12" s="6">
        <f t="shared" si="2"/>
        <v>0</v>
      </c>
      <c r="Q12" s="6"/>
    </row>
    <row r="13" spans="1:19" x14ac:dyDescent="0.25">
      <c r="A13" s="5">
        <v>47</v>
      </c>
      <c r="B13" s="6">
        <v>59030232</v>
      </c>
      <c r="C13" s="6">
        <v>85613</v>
      </c>
      <c r="D13" s="6">
        <v>7544250</v>
      </c>
      <c r="E13" s="6">
        <f>ROUND(D13*0.5,0)</f>
        <v>3772125</v>
      </c>
      <c r="F13" s="6">
        <v>8</v>
      </c>
      <c r="G13" s="6"/>
      <c r="H13" s="6">
        <f>B13+E13</f>
        <v>62802357</v>
      </c>
      <c r="I13" s="6">
        <f>ROUND(H13*F13/100,0)</f>
        <v>5024189</v>
      </c>
      <c r="J13" s="6"/>
      <c r="K13" s="36">
        <f t="shared" si="0"/>
        <v>55215300</v>
      </c>
      <c r="L13" s="6">
        <f t="shared" si="2"/>
        <v>4417224</v>
      </c>
      <c r="Q13" s="6">
        <v>7629863</v>
      </c>
    </row>
    <row r="14" spans="1:19" x14ac:dyDescent="0.25">
      <c r="A14" s="5">
        <v>50</v>
      </c>
      <c r="B14" s="6">
        <v>338310</v>
      </c>
      <c r="C14" s="6"/>
      <c r="D14" s="6">
        <v>294235</v>
      </c>
      <c r="E14" s="6">
        <f>ROUND(D14*0.5,0)</f>
        <v>147118</v>
      </c>
      <c r="F14" s="6">
        <v>55</v>
      </c>
      <c r="G14" s="6"/>
      <c r="H14" s="6">
        <f t="shared" ref="H14:H22" si="4">B14+E14</f>
        <v>485428</v>
      </c>
      <c r="I14" s="6">
        <f t="shared" si="1"/>
        <v>266985</v>
      </c>
      <c r="J14" s="6"/>
      <c r="K14" s="6">
        <f t="shared" si="0"/>
        <v>191192</v>
      </c>
      <c r="L14" s="6">
        <f t="shared" si="2"/>
        <v>105156</v>
      </c>
      <c r="Q14" s="6">
        <v>294235</v>
      </c>
    </row>
    <row r="15" spans="1:19" x14ac:dyDescent="0.25">
      <c r="A15" s="5">
        <v>95</v>
      </c>
      <c r="B15" s="6">
        <v>685491</v>
      </c>
      <c r="C15" s="6"/>
      <c r="D15" s="6"/>
      <c r="E15" s="6"/>
      <c r="F15" s="6">
        <v>0</v>
      </c>
      <c r="G15" s="6"/>
      <c r="H15" s="6">
        <f t="shared" si="4"/>
        <v>685491</v>
      </c>
      <c r="I15" s="6">
        <f t="shared" si="1"/>
        <v>0</v>
      </c>
      <c r="J15" s="6"/>
      <c r="K15" s="6">
        <f t="shared" si="0"/>
        <v>685491</v>
      </c>
      <c r="L15" s="6">
        <f t="shared" si="2"/>
        <v>0</v>
      </c>
      <c r="Q15" s="6"/>
    </row>
    <row r="16" spans="1:19" x14ac:dyDescent="0.25">
      <c r="A16" s="5" t="s">
        <v>14</v>
      </c>
      <c r="B16" s="6">
        <v>1287466</v>
      </c>
      <c r="C16" s="6"/>
      <c r="D16" s="6"/>
      <c r="E16" s="6"/>
      <c r="F16" s="6">
        <v>6</v>
      </c>
      <c r="G16" s="6"/>
      <c r="H16" s="6">
        <f t="shared" si="4"/>
        <v>1287466</v>
      </c>
      <c r="I16" s="6">
        <f t="shared" si="1"/>
        <v>77248</v>
      </c>
      <c r="J16" s="6"/>
      <c r="K16" s="6">
        <f t="shared" si="0"/>
        <v>1287466</v>
      </c>
      <c r="L16" s="6">
        <f t="shared" si="2"/>
        <v>77248</v>
      </c>
      <c r="Q16" s="6"/>
    </row>
    <row r="17" spans="1:17" x14ac:dyDescent="0.25">
      <c r="A17" s="5">
        <v>94</v>
      </c>
      <c r="B17" s="6">
        <v>1405904</v>
      </c>
      <c r="C17" s="6"/>
      <c r="D17" s="6"/>
      <c r="E17" s="6"/>
      <c r="F17" s="6">
        <v>0</v>
      </c>
      <c r="G17" s="6"/>
      <c r="H17" s="6">
        <f t="shared" si="4"/>
        <v>1405904</v>
      </c>
      <c r="I17" s="6">
        <f t="shared" si="1"/>
        <v>0</v>
      </c>
      <c r="J17" s="6"/>
      <c r="K17" s="6">
        <f t="shared" si="0"/>
        <v>1405904</v>
      </c>
      <c r="L17" s="6">
        <f t="shared" si="2"/>
        <v>0</v>
      </c>
      <c r="Q17" s="6"/>
    </row>
    <row r="18" spans="1:17" x14ac:dyDescent="0.25">
      <c r="A18" s="5">
        <v>14.1</v>
      </c>
      <c r="B18" s="6">
        <v>6597</v>
      </c>
      <c r="C18" s="6"/>
      <c r="D18" s="6"/>
      <c r="E18" s="6"/>
      <c r="F18" s="6">
        <v>5</v>
      </c>
      <c r="G18" s="6"/>
      <c r="H18" s="6">
        <f t="shared" si="4"/>
        <v>6597</v>
      </c>
      <c r="I18" s="6">
        <f t="shared" si="1"/>
        <v>330</v>
      </c>
      <c r="J18" s="6"/>
      <c r="K18" s="6">
        <f t="shared" si="0"/>
        <v>6597</v>
      </c>
      <c r="L18" s="6">
        <f t="shared" si="2"/>
        <v>330</v>
      </c>
      <c r="Q18" s="6"/>
    </row>
    <row r="19" spans="1:17" x14ac:dyDescent="0.25">
      <c r="A19" s="5" t="s">
        <v>14</v>
      </c>
      <c r="B19" s="6">
        <v>172569</v>
      </c>
      <c r="C19" s="6"/>
      <c r="D19" s="6"/>
      <c r="E19" s="6"/>
      <c r="F19" s="6">
        <v>6</v>
      </c>
      <c r="G19" s="6"/>
      <c r="H19" s="6">
        <f t="shared" si="4"/>
        <v>172569</v>
      </c>
      <c r="I19" s="6">
        <f t="shared" si="1"/>
        <v>10354</v>
      </c>
      <c r="J19" s="6"/>
      <c r="K19" s="6">
        <f t="shared" si="0"/>
        <v>172569</v>
      </c>
      <c r="L19" s="6">
        <f t="shared" si="2"/>
        <v>10354</v>
      </c>
      <c r="Q19" s="6"/>
    </row>
    <row r="20" spans="1:17" x14ac:dyDescent="0.25">
      <c r="A20" s="5" t="s">
        <v>14</v>
      </c>
      <c r="B20" s="6">
        <v>275397</v>
      </c>
      <c r="C20" s="6"/>
      <c r="D20" s="6">
        <v>275397</v>
      </c>
      <c r="E20" s="6">
        <f>ROUND(D20*0.5,0)</f>
        <v>137699</v>
      </c>
      <c r="F20" s="6">
        <v>6</v>
      </c>
      <c r="G20" s="6"/>
      <c r="H20" s="6">
        <f t="shared" si="4"/>
        <v>413096</v>
      </c>
      <c r="I20" s="6">
        <f t="shared" si="1"/>
        <v>24786</v>
      </c>
      <c r="J20" s="6"/>
      <c r="K20" s="6">
        <f t="shared" si="0"/>
        <v>137698</v>
      </c>
      <c r="L20" s="6">
        <f t="shared" si="2"/>
        <v>8262</v>
      </c>
      <c r="Q20" s="6">
        <v>275397</v>
      </c>
    </row>
    <row r="21" spans="1:17" x14ac:dyDescent="0.25">
      <c r="A21" s="5">
        <v>12</v>
      </c>
      <c r="B21" s="6">
        <v>6524</v>
      </c>
      <c r="C21" s="6"/>
      <c r="D21" s="6"/>
      <c r="E21" s="6"/>
      <c r="F21" s="6">
        <v>100</v>
      </c>
      <c r="G21" s="6"/>
      <c r="H21" s="6">
        <f t="shared" si="4"/>
        <v>6524</v>
      </c>
      <c r="I21" s="6">
        <f t="shared" si="1"/>
        <v>6524</v>
      </c>
      <c r="J21" s="6"/>
      <c r="K21" s="6">
        <f>B21</f>
        <v>6524</v>
      </c>
      <c r="L21" s="6">
        <f t="shared" si="2"/>
        <v>6524</v>
      </c>
      <c r="Q21" s="6">
        <v>6524</v>
      </c>
    </row>
    <row r="22" spans="1:17" x14ac:dyDescent="0.25">
      <c r="A22" s="5">
        <v>43.2</v>
      </c>
      <c r="B22" s="6">
        <v>476028</v>
      </c>
      <c r="C22" s="6"/>
      <c r="D22" s="6">
        <v>476028</v>
      </c>
      <c r="E22" s="6">
        <v>476028</v>
      </c>
      <c r="F22" s="6">
        <v>50</v>
      </c>
      <c r="G22" s="6"/>
      <c r="H22" s="6">
        <f t="shared" si="4"/>
        <v>952056</v>
      </c>
      <c r="I22" s="6">
        <f t="shared" si="1"/>
        <v>476028</v>
      </c>
      <c r="J22" s="6"/>
      <c r="K22" s="36">
        <f>B22-(Q22*50%)</f>
        <v>238014</v>
      </c>
      <c r="L22" s="6">
        <f t="shared" si="2"/>
        <v>119007</v>
      </c>
      <c r="Q22" s="6">
        <v>476028</v>
      </c>
    </row>
    <row r="23" spans="1:17" x14ac:dyDescent="0.25">
      <c r="B23" s="7">
        <f>SUM(B6:B22)</f>
        <v>104877326</v>
      </c>
      <c r="C23" s="6"/>
      <c r="D23" s="7">
        <f>SUM(D6:D22)</f>
        <v>8815747</v>
      </c>
      <c r="E23" s="7">
        <f>SUM(E6:E22)</f>
        <v>4645889</v>
      </c>
      <c r="F23" s="6"/>
      <c r="G23" s="6"/>
      <c r="H23" s="6"/>
      <c r="I23" s="7">
        <f>SUM(I6:I22)</f>
        <v>8054659</v>
      </c>
      <c r="J23" s="6"/>
      <c r="K23" s="7">
        <f>SUM(K6:K22)</f>
        <v>100426644</v>
      </c>
      <c r="L23" s="7">
        <f>SUM(L6:L22)</f>
        <v>6852715</v>
      </c>
      <c r="N23" s="8">
        <f>I23-L23</f>
        <v>1201944</v>
      </c>
      <c r="Q23" s="7">
        <f>SUM(Q6:Q22)</f>
        <v>8907884</v>
      </c>
    </row>
    <row r="24" spans="1:17" x14ac:dyDescent="0.25">
      <c r="B24" s="37" t="s">
        <v>71</v>
      </c>
      <c r="C24" s="37"/>
      <c r="D24" s="37" t="s">
        <v>71</v>
      </c>
      <c r="E24" s="37" t="s">
        <v>71</v>
      </c>
      <c r="F24" s="6"/>
      <c r="G24" s="6"/>
      <c r="H24" s="6"/>
      <c r="I24" s="37" t="s">
        <v>71</v>
      </c>
      <c r="J24" s="6"/>
      <c r="K24" s="6"/>
      <c r="L24" s="2" t="s">
        <v>16</v>
      </c>
      <c r="N24" t="s">
        <v>17</v>
      </c>
      <c r="Q24" s="37" t="s">
        <v>71</v>
      </c>
    </row>
    <row r="25" spans="1:17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7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M26" s="9">
        <v>0.26500000000000001</v>
      </c>
      <c r="N26" s="8">
        <f>N23*M26</f>
        <v>318515.16000000003</v>
      </c>
    </row>
    <row r="28" spans="1:17" ht="15.75" thickBot="1" x14ac:dyDescent="0.3">
      <c r="M28" s="5" t="s">
        <v>18</v>
      </c>
      <c r="N28" s="10">
        <f>N26/(1-M26)</f>
        <v>433353.95918367355</v>
      </c>
      <c r="O28" t="s">
        <v>47</v>
      </c>
    </row>
    <row r="29" spans="1:17" ht="15.75" thickTop="1" x14ac:dyDescent="0.25"/>
    <row r="31" spans="1:17" x14ac:dyDescent="0.25">
      <c r="H31" s="35" t="s">
        <v>67</v>
      </c>
      <c r="I31" s="35"/>
      <c r="J31" s="35"/>
      <c r="K31" s="35"/>
      <c r="L31" s="35"/>
      <c r="M31" s="35"/>
    </row>
  </sheetData>
  <pageMargins left="0.7" right="0.7" top="0.75" bottom="0.75" header="0.3" footer="0.3"/>
  <pageSetup scale="7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D331-DBDC-454F-9BF9-5603575A7F16}">
  <sheetPr>
    <pageSetUpPr fitToPage="1"/>
  </sheetPr>
  <dimension ref="A1:O28"/>
  <sheetViews>
    <sheetView zoomScaleNormal="100" workbookViewId="0"/>
  </sheetViews>
  <sheetFormatPr defaultRowHeight="15" x14ac:dyDescent="0.25"/>
  <cols>
    <col min="2" max="2" width="15.28515625" bestFit="1" customWidth="1"/>
    <col min="3" max="3" width="12.5703125" customWidth="1"/>
    <col min="4" max="4" width="15.7109375" customWidth="1"/>
    <col min="5" max="5" width="18.28515625" customWidth="1"/>
    <col min="7" max="7" width="3" customWidth="1"/>
    <col min="8" max="8" width="14.140625" customWidth="1"/>
    <col min="9" max="9" width="15.85546875" customWidth="1"/>
    <col min="10" max="10" width="3.7109375" customWidth="1"/>
    <col min="11" max="11" width="15.140625" bestFit="1" customWidth="1"/>
    <col min="12" max="12" width="13.28515625" bestFit="1" customWidth="1"/>
    <col min="14" max="14" width="13.28515625" bestFit="1" customWidth="1"/>
  </cols>
  <sheetData>
    <row r="1" spans="1:12" ht="26.25" x14ac:dyDescent="0.4">
      <c r="A1" s="1" t="s">
        <v>19</v>
      </c>
    </row>
    <row r="3" spans="1:12" ht="45" x14ac:dyDescent="0.25">
      <c r="B3" s="3" t="s">
        <v>42</v>
      </c>
      <c r="C3" s="3" t="s">
        <v>6</v>
      </c>
      <c r="D3" s="3" t="s">
        <v>7</v>
      </c>
      <c r="E3" s="3" t="s">
        <v>8</v>
      </c>
      <c r="F3" s="3" t="s">
        <v>9</v>
      </c>
      <c r="H3" s="3" t="s">
        <v>10</v>
      </c>
      <c r="I3" s="3" t="s">
        <v>11</v>
      </c>
      <c r="K3" s="4" t="s">
        <v>70</v>
      </c>
      <c r="L3" s="4" t="s">
        <v>69</v>
      </c>
    </row>
    <row r="4" spans="1:12" s="24" customFormat="1" x14ac:dyDescent="0.25">
      <c r="B4" s="25" t="s">
        <v>43</v>
      </c>
      <c r="C4" s="25"/>
      <c r="D4" s="25" t="s">
        <v>44</v>
      </c>
      <c r="E4" s="26" t="s">
        <v>48</v>
      </c>
      <c r="F4" s="25" t="s">
        <v>49</v>
      </c>
      <c r="H4" s="25" t="s">
        <v>50</v>
      </c>
      <c r="I4" s="25" t="s">
        <v>51</v>
      </c>
      <c r="K4" s="25" t="s">
        <v>43</v>
      </c>
      <c r="L4" s="25" t="s">
        <v>52</v>
      </c>
    </row>
    <row r="5" spans="1:12" x14ac:dyDescent="0.25">
      <c r="A5" s="5">
        <v>1</v>
      </c>
      <c r="B5" s="11">
        <v>31638399</v>
      </c>
      <c r="C5" s="11"/>
      <c r="D5" s="11"/>
      <c r="E5" s="11"/>
      <c r="F5" s="11">
        <v>4</v>
      </c>
      <c r="G5" s="6"/>
      <c r="H5" s="6">
        <f>B5+E5</f>
        <v>31638399</v>
      </c>
      <c r="I5" s="6">
        <f>ROUND(H5*F5/100,0)</f>
        <v>1265536</v>
      </c>
      <c r="J5" s="6"/>
      <c r="K5" s="6">
        <f>B5</f>
        <v>31638399</v>
      </c>
      <c r="L5" s="6">
        <f>ROUND(K5*F5/100,0)</f>
        <v>1265536</v>
      </c>
    </row>
    <row r="6" spans="1:12" x14ac:dyDescent="0.25">
      <c r="A6" s="5">
        <v>8</v>
      </c>
      <c r="B6" s="11">
        <v>629398</v>
      </c>
      <c r="C6" s="11"/>
      <c r="D6" s="11">
        <v>157619</v>
      </c>
      <c r="E6" s="11">
        <f>ROUND(D6*0.5,0)</f>
        <v>78810</v>
      </c>
      <c r="F6" s="11">
        <v>20</v>
      </c>
      <c r="G6" s="6"/>
      <c r="H6" s="6">
        <f>B6+E6</f>
        <v>708208</v>
      </c>
      <c r="I6" s="6">
        <f>ROUND(H6*F6/100,0)</f>
        <v>141642</v>
      </c>
      <c r="J6" s="6"/>
      <c r="K6" s="6">
        <f t="shared" ref="K6:K21" si="0">B6</f>
        <v>629398</v>
      </c>
      <c r="L6" s="6">
        <f t="shared" ref="L6:L21" si="1">ROUND(K6*F6/100,0)</f>
        <v>125880</v>
      </c>
    </row>
    <row r="7" spans="1:12" x14ac:dyDescent="0.25">
      <c r="A7" s="5">
        <v>10</v>
      </c>
      <c r="B7" s="11">
        <v>1068118</v>
      </c>
      <c r="C7" s="11"/>
      <c r="D7" s="11">
        <v>329370</v>
      </c>
      <c r="E7" s="11">
        <f>ROUND(D7*0.5,0)</f>
        <v>164685</v>
      </c>
      <c r="F7" s="11">
        <v>30</v>
      </c>
      <c r="G7" s="6"/>
      <c r="H7" s="6">
        <f t="shared" ref="H7:H11" si="2">B7+E7</f>
        <v>1232803</v>
      </c>
      <c r="I7" s="6">
        <f>ROUND(H7*F7/100,0)</f>
        <v>369841</v>
      </c>
      <c r="J7" s="6"/>
      <c r="K7" s="6">
        <f t="shared" si="0"/>
        <v>1068118</v>
      </c>
      <c r="L7" s="6">
        <f t="shared" si="1"/>
        <v>320435</v>
      </c>
    </row>
    <row r="8" spans="1:12" x14ac:dyDescent="0.25">
      <c r="A8" s="5">
        <v>17</v>
      </c>
      <c r="B8" s="11">
        <v>41152</v>
      </c>
      <c r="C8" s="11"/>
      <c r="D8" s="11"/>
      <c r="E8" s="11"/>
      <c r="F8" s="11">
        <v>8</v>
      </c>
      <c r="G8" s="6"/>
      <c r="H8" s="6">
        <f t="shared" si="2"/>
        <v>41152</v>
      </c>
      <c r="I8" s="6">
        <f>ROUND(H8*F8/100,0)</f>
        <v>3292</v>
      </c>
      <c r="J8" s="6"/>
      <c r="K8" s="6">
        <f t="shared" si="0"/>
        <v>41152</v>
      </c>
      <c r="L8" s="6">
        <f t="shared" si="1"/>
        <v>3292</v>
      </c>
    </row>
    <row r="9" spans="1:12" x14ac:dyDescent="0.25">
      <c r="A9" s="5">
        <v>17</v>
      </c>
      <c r="B9" s="11"/>
      <c r="C9" s="11"/>
      <c r="D9" s="11"/>
      <c r="E9" s="11"/>
      <c r="F9" s="11">
        <v>8</v>
      </c>
      <c r="G9" s="6"/>
      <c r="H9" s="6">
        <f t="shared" si="2"/>
        <v>0</v>
      </c>
      <c r="I9" s="6">
        <f t="shared" ref="I9:I21" si="3">ROUND(H9*F9/100,0)</f>
        <v>0</v>
      </c>
      <c r="J9" s="6"/>
      <c r="K9" s="6">
        <f t="shared" si="0"/>
        <v>0</v>
      </c>
      <c r="L9" s="6">
        <f t="shared" si="1"/>
        <v>0</v>
      </c>
    </row>
    <row r="10" spans="1:12" x14ac:dyDescent="0.25">
      <c r="A10" s="5">
        <v>42</v>
      </c>
      <c r="B10" s="11">
        <v>99880</v>
      </c>
      <c r="C10" s="11"/>
      <c r="D10" s="11"/>
      <c r="E10" s="11"/>
      <c r="F10" s="11">
        <v>12</v>
      </c>
      <c r="G10" s="6"/>
      <c r="H10" s="6">
        <f t="shared" si="2"/>
        <v>99880</v>
      </c>
      <c r="I10" s="6">
        <f t="shared" si="3"/>
        <v>11986</v>
      </c>
      <c r="J10" s="6"/>
      <c r="K10" s="6">
        <f t="shared" si="0"/>
        <v>99880</v>
      </c>
      <c r="L10" s="6">
        <f t="shared" si="1"/>
        <v>11986</v>
      </c>
    </row>
    <row r="11" spans="1:12" x14ac:dyDescent="0.25">
      <c r="A11" s="5">
        <v>45</v>
      </c>
      <c r="B11" s="11">
        <v>1</v>
      </c>
      <c r="C11" s="11"/>
      <c r="D11" s="11"/>
      <c r="E11" s="11"/>
      <c r="F11" s="11">
        <v>45</v>
      </c>
      <c r="G11" s="6"/>
      <c r="H11" s="6">
        <f t="shared" si="2"/>
        <v>1</v>
      </c>
      <c r="I11" s="6">
        <f t="shared" si="3"/>
        <v>0</v>
      </c>
      <c r="J11" s="6"/>
      <c r="K11" s="6">
        <f t="shared" si="0"/>
        <v>1</v>
      </c>
      <c r="L11" s="6">
        <f t="shared" si="1"/>
        <v>0</v>
      </c>
    </row>
    <row r="12" spans="1:12" x14ac:dyDescent="0.25">
      <c r="A12" s="5">
        <v>47</v>
      </c>
      <c r="B12" s="11">
        <v>75796486</v>
      </c>
      <c r="C12" s="11"/>
      <c r="D12" s="11">
        <v>12462428</v>
      </c>
      <c r="E12" s="11">
        <f>ROUND(D12*0.5,0)</f>
        <v>6231214</v>
      </c>
      <c r="F12" s="11">
        <v>8</v>
      </c>
      <c r="G12" s="6"/>
      <c r="H12" s="6">
        <f>B12+E12</f>
        <v>82027700</v>
      </c>
      <c r="I12" s="6">
        <f>ROUND(H12*F12/100,0)</f>
        <v>6562216</v>
      </c>
      <c r="J12" s="6"/>
      <c r="K12" s="6">
        <f>B12</f>
        <v>75796486</v>
      </c>
      <c r="L12" s="6">
        <f>ROUND(K12*F12/100,0)</f>
        <v>6063719</v>
      </c>
    </row>
    <row r="13" spans="1:12" x14ac:dyDescent="0.25">
      <c r="A13" s="5">
        <v>50</v>
      </c>
      <c r="B13" s="11">
        <v>13265</v>
      </c>
      <c r="C13" s="11"/>
      <c r="D13" s="11"/>
      <c r="E13" s="11">
        <f>ROUND(D13*0.5,0)</f>
        <v>0</v>
      </c>
      <c r="F13" s="11">
        <v>55</v>
      </c>
      <c r="G13" s="6"/>
      <c r="H13" s="6">
        <f t="shared" ref="H13:H21" si="4">B13+E13</f>
        <v>13265</v>
      </c>
      <c r="I13" s="6">
        <f t="shared" si="3"/>
        <v>7296</v>
      </c>
      <c r="J13" s="6"/>
      <c r="K13" s="6">
        <f t="shared" si="0"/>
        <v>13265</v>
      </c>
      <c r="L13" s="6">
        <f t="shared" si="1"/>
        <v>7296</v>
      </c>
    </row>
    <row r="14" spans="1:12" x14ac:dyDescent="0.25">
      <c r="A14" s="5">
        <v>95</v>
      </c>
      <c r="B14" s="11">
        <v>2114648</v>
      </c>
      <c r="C14" s="11"/>
      <c r="D14" s="11"/>
      <c r="E14" s="11"/>
      <c r="F14" s="11">
        <v>0</v>
      </c>
      <c r="G14" s="6"/>
      <c r="H14" s="6">
        <f t="shared" si="4"/>
        <v>2114648</v>
      </c>
      <c r="I14" s="6">
        <f t="shared" si="3"/>
        <v>0</v>
      </c>
      <c r="J14" s="6"/>
      <c r="K14" s="6">
        <f t="shared" si="0"/>
        <v>2114648</v>
      </c>
      <c r="L14" s="6">
        <f t="shared" si="1"/>
        <v>0</v>
      </c>
    </row>
    <row r="15" spans="1:12" x14ac:dyDescent="0.25">
      <c r="A15" s="5" t="s">
        <v>14</v>
      </c>
      <c r="B15" s="11">
        <v>1707123</v>
      </c>
      <c r="C15" s="11"/>
      <c r="D15" s="11"/>
      <c r="E15" s="11"/>
      <c r="F15" s="11">
        <v>6</v>
      </c>
      <c r="G15" s="6"/>
      <c r="H15" s="6">
        <f t="shared" si="4"/>
        <v>1707123</v>
      </c>
      <c r="I15" s="6">
        <f t="shared" si="3"/>
        <v>102427</v>
      </c>
      <c r="J15" s="6"/>
      <c r="K15" s="6">
        <f>B15</f>
        <v>1707123</v>
      </c>
      <c r="L15" s="6">
        <f t="shared" si="1"/>
        <v>102427</v>
      </c>
    </row>
    <row r="16" spans="1:12" x14ac:dyDescent="0.25">
      <c r="A16" s="5">
        <v>94</v>
      </c>
      <c r="B16" s="11">
        <v>4586815</v>
      </c>
      <c r="C16" s="11"/>
      <c r="D16" s="11"/>
      <c r="E16" s="11"/>
      <c r="F16" s="11">
        <v>0</v>
      </c>
      <c r="G16" s="6"/>
      <c r="H16" s="6">
        <f t="shared" si="4"/>
        <v>4586815</v>
      </c>
      <c r="I16" s="6">
        <f t="shared" si="3"/>
        <v>0</v>
      </c>
      <c r="J16" s="6"/>
      <c r="K16" s="6">
        <f t="shared" si="0"/>
        <v>4586815</v>
      </c>
      <c r="L16" s="6">
        <f t="shared" si="1"/>
        <v>0</v>
      </c>
    </row>
    <row r="17" spans="1:15" x14ac:dyDescent="0.25">
      <c r="A17" s="5">
        <v>14.1</v>
      </c>
      <c r="B17" s="11">
        <v>32034</v>
      </c>
      <c r="C17" s="11"/>
      <c r="D17" s="11"/>
      <c r="E17" s="11"/>
      <c r="F17" s="11">
        <v>5</v>
      </c>
      <c r="G17" s="6"/>
      <c r="H17" s="6">
        <f t="shared" si="4"/>
        <v>32034</v>
      </c>
      <c r="I17" s="6">
        <f t="shared" si="3"/>
        <v>1602</v>
      </c>
      <c r="J17" s="6"/>
      <c r="K17" s="6">
        <f t="shared" si="0"/>
        <v>32034</v>
      </c>
      <c r="L17" s="6">
        <f t="shared" si="1"/>
        <v>1602</v>
      </c>
    </row>
    <row r="18" spans="1:15" x14ac:dyDescent="0.25">
      <c r="A18" s="5" t="s">
        <v>14</v>
      </c>
      <c r="B18" s="11"/>
      <c r="C18" s="11"/>
      <c r="D18" s="11"/>
      <c r="E18" s="11"/>
      <c r="F18" s="11">
        <v>6</v>
      </c>
      <c r="G18" s="6"/>
      <c r="H18" s="6">
        <f t="shared" si="4"/>
        <v>0</v>
      </c>
      <c r="I18" s="6">
        <f t="shared" si="3"/>
        <v>0</v>
      </c>
      <c r="J18" s="6"/>
      <c r="K18" s="6">
        <f t="shared" si="0"/>
        <v>0</v>
      </c>
      <c r="L18" s="6">
        <f t="shared" si="1"/>
        <v>0</v>
      </c>
    </row>
    <row r="19" spans="1:15" x14ac:dyDescent="0.25">
      <c r="A19" s="5" t="s">
        <v>14</v>
      </c>
      <c r="B19" s="11"/>
      <c r="C19" s="11"/>
      <c r="D19" s="11"/>
      <c r="E19" s="11">
        <f>ROUND(D19*0.5,0)</f>
        <v>0</v>
      </c>
      <c r="F19" s="11">
        <v>6</v>
      </c>
      <c r="G19" s="6"/>
      <c r="H19" s="6">
        <f t="shared" si="4"/>
        <v>0</v>
      </c>
      <c r="I19" s="6">
        <f t="shared" si="3"/>
        <v>0</v>
      </c>
      <c r="J19" s="6"/>
      <c r="K19" s="6">
        <f t="shared" si="0"/>
        <v>0</v>
      </c>
      <c r="L19" s="6">
        <f t="shared" si="1"/>
        <v>0</v>
      </c>
    </row>
    <row r="20" spans="1:15" x14ac:dyDescent="0.25">
      <c r="A20" s="5">
        <v>12</v>
      </c>
      <c r="B20" s="11">
        <v>639565</v>
      </c>
      <c r="C20" s="11"/>
      <c r="D20" s="11">
        <v>639565</v>
      </c>
      <c r="E20" s="11">
        <f>ROUND(D20*0.5,0)</f>
        <v>319783</v>
      </c>
      <c r="F20" s="11">
        <v>100</v>
      </c>
      <c r="G20" s="6"/>
      <c r="H20" s="6">
        <f t="shared" si="4"/>
        <v>959348</v>
      </c>
      <c r="I20" s="6">
        <f>D20</f>
        <v>639565</v>
      </c>
      <c r="J20" s="6"/>
      <c r="K20" s="6">
        <f t="shared" si="0"/>
        <v>639565</v>
      </c>
      <c r="L20" s="6">
        <f t="shared" si="1"/>
        <v>639565</v>
      </c>
    </row>
    <row r="21" spans="1:15" x14ac:dyDescent="0.25">
      <c r="A21" s="5">
        <v>43.2</v>
      </c>
      <c r="B21" s="11"/>
      <c r="C21" s="11"/>
      <c r="D21" s="11"/>
      <c r="E21" s="11"/>
      <c r="F21" s="6">
        <v>50</v>
      </c>
      <c r="G21" s="6"/>
      <c r="H21" s="6">
        <f t="shared" si="4"/>
        <v>0</v>
      </c>
      <c r="I21" s="6">
        <f t="shared" si="3"/>
        <v>0</v>
      </c>
      <c r="J21" s="6"/>
      <c r="K21" s="6">
        <f t="shared" si="0"/>
        <v>0</v>
      </c>
      <c r="L21" s="6">
        <f t="shared" si="1"/>
        <v>0</v>
      </c>
    </row>
    <row r="22" spans="1:15" x14ac:dyDescent="0.25">
      <c r="B22" s="7">
        <f>SUM(B5:B21)</f>
        <v>118366884</v>
      </c>
      <c r="C22" s="6"/>
      <c r="D22" s="7">
        <f>SUM(D5:D21)</f>
        <v>13588982</v>
      </c>
      <c r="E22" s="7">
        <f>SUM(E5:E21)</f>
        <v>6794492</v>
      </c>
      <c r="F22" s="6"/>
      <c r="G22" s="6"/>
      <c r="H22" s="6"/>
      <c r="I22" s="7">
        <f>SUM(I5:I21)</f>
        <v>9105403</v>
      </c>
      <c r="J22" s="6"/>
      <c r="K22" s="7">
        <f>SUM(K5:K21)</f>
        <v>118366884</v>
      </c>
      <c r="L22" s="7">
        <f>SUM(L5:L21)</f>
        <v>8541738</v>
      </c>
      <c r="N22" s="8">
        <f>I22-L22</f>
        <v>563665</v>
      </c>
    </row>
    <row r="23" spans="1:15" x14ac:dyDescent="0.25">
      <c r="B23" s="2" t="s">
        <v>45</v>
      </c>
      <c r="C23" s="6"/>
      <c r="D23" s="2" t="s">
        <v>45</v>
      </c>
      <c r="E23" s="6"/>
      <c r="F23" s="6"/>
      <c r="G23" s="6"/>
      <c r="H23" s="6"/>
      <c r="I23" s="6"/>
      <c r="J23" s="6"/>
      <c r="K23" s="6"/>
      <c r="L23" s="2" t="s">
        <v>45</v>
      </c>
      <c r="N23" t="s">
        <v>17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M25" s="9">
        <v>0.26500000000000001</v>
      </c>
      <c r="N25" s="8">
        <f>N22*M25</f>
        <v>149371.22500000001</v>
      </c>
    </row>
    <row r="27" spans="1:15" ht="15.75" thickBot="1" x14ac:dyDescent="0.3">
      <c r="M27" s="5" t="s">
        <v>18</v>
      </c>
      <c r="N27" s="10">
        <f>N25/(1-M25)</f>
        <v>203226.15646258506</v>
      </c>
      <c r="O27" t="s">
        <v>46</v>
      </c>
    </row>
    <row r="28" spans="1:15" ht="15.75" thickTop="1" x14ac:dyDescent="0.25"/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24CF-A434-460E-B852-336A7EA18ADD}">
  <sheetPr>
    <pageSetUpPr fitToPage="1"/>
  </sheetPr>
  <dimension ref="A2:AB28"/>
  <sheetViews>
    <sheetView workbookViewId="0"/>
  </sheetViews>
  <sheetFormatPr defaultRowHeight="15" x14ac:dyDescent="0.25"/>
  <cols>
    <col min="1" max="1" width="48.85546875" customWidth="1"/>
    <col min="2" max="2" width="6.140625" bestFit="1" customWidth="1"/>
    <col min="3" max="3" width="7.28515625" customWidth="1"/>
    <col min="4" max="4" width="0.7109375" customWidth="1"/>
    <col min="5" max="5" width="12.140625" customWidth="1"/>
    <col min="6" max="6" width="13.28515625" bestFit="1" customWidth="1"/>
    <col min="7" max="7" width="12.28515625" bestFit="1" customWidth="1"/>
    <col min="8" max="8" width="13.28515625" bestFit="1" customWidth="1"/>
    <col min="9" max="9" width="0.7109375" customWidth="1"/>
    <col min="10" max="10" width="13.28515625" bestFit="1" customWidth="1"/>
    <col min="11" max="11" width="9.5703125" bestFit="1" customWidth="1"/>
    <col min="12" max="12" width="12.28515625" bestFit="1" customWidth="1"/>
    <col min="13" max="13" width="13.28515625" bestFit="1" customWidth="1"/>
    <col min="14" max="14" width="0.7109375" customWidth="1"/>
    <col min="15" max="15" width="13.28515625" bestFit="1" customWidth="1"/>
    <col min="16" max="16" width="9.42578125" customWidth="1"/>
    <col min="17" max="17" width="12.28515625" bestFit="1" customWidth="1"/>
    <col min="18" max="18" width="13.28515625" bestFit="1" customWidth="1"/>
    <col min="19" max="19" width="0.7109375" customWidth="1"/>
    <col min="20" max="20" width="13.28515625" bestFit="1" customWidth="1"/>
    <col min="21" max="21" width="9.85546875" customWidth="1"/>
    <col min="22" max="22" width="12.28515625" bestFit="1" customWidth="1"/>
    <col min="23" max="23" width="13.28515625" bestFit="1" customWidth="1"/>
    <col min="24" max="24" width="0.7109375" customWidth="1"/>
    <col min="25" max="25" width="13.28515625" hidden="1" customWidth="1"/>
    <col min="26" max="26" width="0" hidden="1" customWidth="1"/>
    <col min="27" max="27" width="12.28515625" hidden="1" customWidth="1"/>
    <col min="28" max="28" width="13.28515625" hidden="1" customWidth="1"/>
  </cols>
  <sheetData>
    <row r="2" spans="1:28" x14ac:dyDescent="0.25">
      <c r="A2" s="12" t="s">
        <v>20</v>
      </c>
    </row>
    <row r="3" spans="1:28" x14ac:dyDescent="0.25">
      <c r="A3" s="13" t="s">
        <v>21</v>
      </c>
      <c r="C3" s="12"/>
      <c r="D3" s="14"/>
      <c r="E3" s="39">
        <v>2021</v>
      </c>
      <c r="F3" s="39"/>
      <c r="G3" s="39"/>
      <c r="H3" s="39"/>
      <c r="I3" s="14"/>
      <c r="J3" s="40">
        <v>2022</v>
      </c>
      <c r="K3" s="41"/>
      <c r="L3" s="41"/>
      <c r="M3" s="42"/>
      <c r="N3" s="14"/>
      <c r="O3" s="40">
        <v>2023</v>
      </c>
      <c r="P3" s="41"/>
      <c r="Q3" s="41"/>
      <c r="R3" s="42"/>
      <c r="S3" s="14"/>
      <c r="T3" s="40">
        <v>2024</v>
      </c>
      <c r="U3" s="41"/>
      <c r="V3" s="41"/>
      <c r="W3" s="42"/>
      <c r="X3" s="14"/>
      <c r="Y3" s="40">
        <v>2025</v>
      </c>
      <c r="Z3" s="41"/>
      <c r="AA3" s="41"/>
      <c r="AB3" s="42"/>
    </row>
    <row r="4" spans="1:28" ht="30" x14ac:dyDescent="0.25">
      <c r="A4" s="15" t="s">
        <v>22</v>
      </c>
      <c r="B4" s="15" t="s">
        <v>23</v>
      </c>
      <c r="C4" s="16" t="s">
        <v>9</v>
      </c>
      <c r="D4" s="14"/>
      <c r="E4" s="16" t="s">
        <v>24</v>
      </c>
      <c r="F4" s="16" t="s">
        <v>25</v>
      </c>
      <c r="G4" s="16" t="s">
        <v>26</v>
      </c>
      <c r="H4" s="16" t="s">
        <v>27</v>
      </c>
      <c r="I4" s="14"/>
      <c r="J4" s="16" t="s">
        <v>24</v>
      </c>
      <c r="K4" s="16" t="s">
        <v>25</v>
      </c>
      <c r="L4" s="16" t="s">
        <v>26</v>
      </c>
      <c r="M4" s="16" t="s">
        <v>27</v>
      </c>
      <c r="N4" s="14"/>
      <c r="O4" s="16" t="s">
        <v>24</v>
      </c>
      <c r="P4" s="16" t="s">
        <v>25</v>
      </c>
      <c r="Q4" s="16" t="s">
        <v>26</v>
      </c>
      <c r="R4" s="16" t="s">
        <v>27</v>
      </c>
      <c r="S4" s="14"/>
      <c r="T4" s="16" t="s">
        <v>24</v>
      </c>
      <c r="U4" s="16" t="s">
        <v>25</v>
      </c>
      <c r="V4" s="16" t="s">
        <v>26</v>
      </c>
      <c r="W4" s="16" t="s">
        <v>27</v>
      </c>
      <c r="X4" s="14"/>
      <c r="Y4" s="16" t="s">
        <v>24</v>
      </c>
      <c r="Z4" s="16" t="s">
        <v>25</v>
      </c>
      <c r="AA4" s="16" t="s">
        <v>26</v>
      </c>
      <c r="AB4" s="16" t="s">
        <v>27</v>
      </c>
    </row>
    <row r="5" spans="1:28" x14ac:dyDescent="0.25">
      <c r="A5" t="s">
        <v>28</v>
      </c>
      <c r="B5">
        <v>1</v>
      </c>
      <c r="C5" s="17">
        <v>0.06</v>
      </c>
      <c r="D5" s="14"/>
      <c r="E5" s="18">
        <v>0</v>
      </c>
      <c r="F5" s="18">
        <v>93674</v>
      </c>
      <c r="G5" s="18">
        <f>F5*1.5*C5</f>
        <v>8430.66</v>
      </c>
      <c r="H5" s="18">
        <f>E5+F5-G5</f>
        <v>85243.34</v>
      </c>
      <c r="I5" s="14"/>
      <c r="J5" s="19">
        <f>H5</f>
        <v>85243.34</v>
      </c>
      <c r="K5" s="18">
        <v>0</v>
      </c>
      <c r="L5" s="8">
        <f>J5*$C5</f>
        <v>5114.6003999999994</v>
      </c>
      <c r="M5" s="18">
        <f t="shared" ref="M5:M7" si="0">J5+K5-L5</f>
        <v>80128.739600000001</v>
      </c>
      <c r="N5" s="14"/>
      <c r="O5" s="19">
        <f>M5</f>
        <v>80128.739600000001</v>
      </c>
      <c r="P5" s="18">
        <v>0</v>
      </c>
      <c r="Q5" s="8">
        <f t="shared" ref="Q5:Q7" si="1">O5*$C5</f>
        <v>4807.7243760000001</v>
      </c>
      <c r="R5" s="18">
        <f t="shared" ref="R5:R7" si="2">O5+P5-Q5</f>
        <v>75321.015224000002</v>
      </c>
      <c r="S5" s="14"/>
      <c r="T5" s="19">
        <f>R5</f>
        <v>75321.015224000002</v>
      </c>
      <c r="U5" s="18">
        <v>0</v>
      </c>
      <c r="V5" s="8">
        <f t="shared" ref="V5:V7" si="3">T5*$C5</f>
        <v>4519.26091344</v>
      </c>
      <c r="W5" s="18">
        <f t="shared" ref="W5:W7" si="4">T5+U5-V5</f>
        <v>70801.754310560005</v>
      </c>
      <c r="X5" s="14"/>
      <c r="Y5" s="19">
        <f>W5</f>
        <v>70801.754310560005</v>
      </c>
      <c r="Z5" s="18">
        <v>0</v>
      </c>
      <c r="AA5" s="8">
        <f t="shared" ref="AA5:AA7" si="5">Y5*$C5</f>
        <v>4248.1052586336</v>
      </c>
      <c r="AB5" s="18">
        <f t="shared" ref="AB5:AB7" si="6">Y5+Z5-AA5</f>
        <v>66553.649051926404</v>
      </c>
    </row>
    <row r="6" spans="1:28" x14ac:dyDescent="0.25">
      <c r="A6" t="s">
        <v>29</v>
      </c>
      <c r="B6">
        <v>47</v>
      </c>
      <c r="C6" s="17">
        <v>0.08</v>
      </c>
      <c r="D6" s="14"/>
      <c r="E6" s="18">
        <v>0</v>
      </c>
      <c r="F6" s="18">
        <v>4549016.8318402851</v>
      </c>
      <c r="G6" s="18">
        <f>F6*1.5*C6</f>
        <v>545882.01982083428</v>
      </c>
      <c r="H6" s="18">
        <f t="shared" ref="H6:H7" si="7">E6+F6-G6</f>
        <v>4003134.8120194506</v>
      </c>
      <c r="I6" s="14"/>
      <c r="J6" s="19">
        <f>H6</f>
        <v>4003134.8120194506</v>
      </c>
      <c r="K6" s="18">
        <v>0</v>
      </c>
      <c r="L6" s="8">
        <f>J6*$C6</f>
        <v>320250.78496155603</v>
      </c>
      <c r="M6" s="18">
        <f t="shared" si="0"/>
        <v>3682884.0270578945</v>
      </c>
      <c r="N6" s="14"/>
      <c r="O6" s="19">
        <f>M6</f>
        <v>3682884.0270578945</v>
      </c>
      <c r="P6" s="18">
        <v>0</v>
      </c>
      <c r="Q6" s="8">
        <f t="shared" si="1"/>
        <v>294630.72216463159</v>
      </c>
      <c r="R6" s="18">
        <f t="shared" si="2"/>
        <v>3388253.3048932627</v>
      </c>
      <c r="S6" s="14"/>
      <c r="T6" s="19">
        <f>R6</f>
        <v>3388253.3048932627</v>
      </c>
      <c r="U6" s="18">
        <v>0</v>
      </c>
      <c r="V6" s="8">
        <f t="shared" si="3"/>
        <v>271060.26439146104</v>
      </c>
      <c r="W6" s="18">
        <f t="shared" si="4"/>
        <v>3117193.0405018018</v>
      </c>
      <c r="X6" s="14"/>
      <c r="Y6" s="19">
        <f>W6</f>
        <v>3117193.0405018018</v>
      </c>
      <c r="Z6" s="18">
        <v>0</v>
      </c>
      <c r="AA6" s="8">
        <f t="shared" si="5"/>
        <v>249375.44324014414</v>
      </c>
      <c r="AB6" s="18">
        <f t="shared" si="6"/>
        <v>2867817.5972616575</v>
      </c>
    </row>
    <row r="7" spans="1:28" x14ac:dyDescent="0.25">
      <c r="A7" t="s">
        <v>30</v>
      </c>
      <c r="B7">
        <v>50</v>
      </c>
      <c r="C7" s="17">
        <v>0.55000000000000004</v>
      </c>
      <c r="D7" s="14"/>
      <c r="E7" s="18">
        <v>0</v>
      </c>
      <c r="F7" s="18">
        <v>108303.56053509213</v>
      </c>
      <c r="G7" s="18">
        <f>F7*1.5*C7</f>
        <v>89350.437441451009</v>
      </c>
      <c r="H7" s="18">
        <f t="shared" si="7"/>
        <v>18953.123093641116</v>
      </c>
      <c r="I7" s="14"/>
      <c r="J7" s="19">
        <f>H7</f>
        <v>18953.123093641116</v>
      </c>
      <c r="K7" s="18">
        <v>0</v>
      </c>
      <c r="L7" s="8">
        <f>J7*$C7</f>
        <v>10424.217701502614</v>
      </c>
      <c r="M7" s="18">
        <f t="shared" si="0"/>
        <v>8528.9053921385021</v>
      </c>
      <c r="N7" s="14"/>
      <c r="O7" s="19">
        <f>M7</f>
        <v>8528.9053921385021</v>
      </c>
      <c r="P7" s="18">
        <v>0</v>
      </c>
      <c r="Q7" s="8">
        <f t="shared" si="1"/>
        <v>4690.8979656761767</v>
      </c>
      <c r="R7" s="18">
        <f t="shared" si="2"/>
        <v>3838.0074264623254</v>
      </c>
      <c r="S7" s="14"/>
      <c r="T7" s="19">
        <f>R7</f>
        <v>3838.0074264623254</v>
      </c>
      <c r="U7" s="18">
        <v>0</v>
      </c>
      <c r="V7" s="8">
        <f t="shared" si="3"/>
        <v>2110.9040845542791</v>
      </c>
      <c r="W7" s="18">
        <f t="shared" si="4"/>
        <v>1727.1033419080463</v>
      </c>
      <c r="X7" s="14"/>
      <c r="Y7" s="19">
        <f>W7</f>
        <v>1727.1033419080463</v>
      </c>
      <c r="Z7" s="18">
        <v>0</v>
      </c>
      <c r="AA7" s="8">
        <f t="shared" si="5"/>
        <v>949.90683804942557</v>
      </c>
      <c r="AB7" s="18">
        <f t="shared" si="6"/>
        <v>777.19650385862076</v>
      </c>
    </row>
    <row r="8" spans="1:28" x14ac:dyDescent="0.25">
      <c r="D8" s="14"/>
      <c r="E8" s="18"/>
      <c r="F8" s="20">
        <f>SUM(F5:F7)</f>
        <v>4750994.392375377</v>
      </c>
      <c r="G8" s="20">
        <f>SUM(G5:G7)</f>
        <v>643663.11726228532</v>
      </c>
      <c r="H8" s="20">
        <f>SUM(H5:H7)</f>
        <v>4107331.2751130913</v>
      </c>
      <c r="I8" s="14"/>
      <c r="J8" s="20">
        <f t="shared" ref="J8:M8" si="8">SUM(J5:J7)</f>
        <v>4107331.2751130913</v>
      </c>
      <c r="K8" s="20">
        <f t="shared" si="8"/>
        <v>0</v>
      </c>
      <c r="L8" s="20">
        <f t="shared" si="8"/>
        <v>335789.60306305863</v>
      </c>
      <c r="M8" s="20">
        <f t="shared" si="8"/>
        <v>3771541.6720500328</v>
      </c>
      <c r="N8" s="14"/>
      <c r="O8" s="20">
        <f t="shared" ref="O8:R8" si="9">SUM(O5:O7)</f>
        <v>3771541.6720500328</v>
      </c>
      <c r="P8" s="20">
        <f t="shared" si="9"/>
        <v>0</v>
      </c>
      <c r="Q8" s="20">
        <f t="shared" si="9"/>
        <v>304129.34450630774</v>
      </c>
      <c r="R8" s="20">
        <f t="shared" si="9"/>
        <v>3467412.3275437248</v>
      </c>
      <c r="S8" s="14"/>
      <c r="T8" s="20">
        <f t="shared" ref="T8:W8" si="10">SUM(T5:T7)</f>
        <v>3467412.3275437248</v>
      </c>
      <c r="U8" s="20">
        <f t="shared" si="10"/>
        <v>0</v>
      </c>
      <c r="V8" s="20">
        <f t="shared" si="10"/>
        <v>277690.42938945536</v>
      </c>
      <c r="W8" s="20">
        <f t="shared" si="10"/>
        <v>3189721.8981542699</v>
      </c>
      <c r="X8" s="14"/>
      <c r="Y8" s="20">
        <f t="shared" ref="Y8:AB8" si="11">SUM(Y5:Y7)</f>
        <v>3189721.8981542699</v>
      </c>
      <c r="Z8" s="20">
        <f t="shared" si="11"/>
        <v>0</v>
      </c>
      <c r="AA8" s="20">
        <f t="shared" si="11"/>
        <v>254573.45533682714</v>
      </c>
      <c r="AB8" s="20">
        <f t="shared" si="11"/>
        <v>2935148.4428174426</v>
      </c>
    </row>
    <row r="9" spans="1:28" x14ac:dyDescent="0.25">
      <c r="D9" s="14"/>
      <c r="E9" s="18"/>
      <c r="F9" s="18"/>
      <c r="G9" s="18"/>
      <c r="H9" s="18"/>
      <c r="I9" s="14"/>
      <c r="N9" s="14"/>
      <c r="S9" s="14"/>
      <c r="X9" s="14"/>
    </row>
    <row r="10" spans="1:28" x14ac:dyDescent="0.25">
      <c r="A10" s="12" t="s">
        <v>31</v>
      </c>
      <c r="D10" s="14"/>
      <c r="E10" s="18"/>
      <c r="F10" s="18"/>
      <c r="G10" s="18"/>
      <c r="H10" s="18"/>
      <c r="I10" s="14"/>
      <c r="N10" s="14"/>
      <c r="S10" s="14"/>
      <c r="X10" s="14"/>
    </row>
    <row r="11" spans="1:28" ht="30" x14ac:dyDescent="0.25">
      <c r="A11" s="15" t="s">
        <v>22</v>
      </c>
      <c r="B11" s="15" t="s">
        <v>23</v>
      </c>
      <c r="C11" s="16" t="s">
        <v>9</v>
      </c>
      <c r="D11" s="14"/>
      <c r="E11" s="16" t="s">
        <v>24</v>
      </c>
      <c r="F11" s="16" t="s">
        <v>25</v>
      </c>
      <c r="G11" s="16" t="s">
        <v>26</v>
      </c>
      <c r="H11" s="16" t="s">
        <v>27</v>
      </c>
      <c r="I11" s="14"/>
      <c r="N11" s="14"/>
      <c r="S11" s="14"/>
      <c r="X11" s="14"/>
    </row>
    <row r="12" spans="1:28" x14ac:dyDescent="0.25">
      <c r="A12" t="str">
        <f t="shared" ref="A12:C14" si="12">A5</f>
        <v>Building</v>
      </c>
      <c r="B12">
        <f t="shared" si="12"/>
        <v>1</v>
      </c>
      <c r="C12" s="17">
        <f t="shared" si="12"/>
        <v>0.06</v>
      </c>
      <c r="D12" s="14"/>
      <c r="E12" s="18">
        <v>0</v>
      </c>
      <c r="F12" s="18">
        <f>F5</f>
        <v>93674</v>
      </c>
      <c r="G12" s="18">
        <f>F12*C12</f>
        <v>5620.44</v>
      </c>
      <c r="H12" s="18">
        <f>E12+F12-G12</f>
        <v>88053.56</v>
      </c>
      <c r="I12" s="14"/>
      <c r="J12" s="19">
        <f t="shared" ref="J12:J14" si="13">H12</f>
        <v>88053.56</v>
      </c>
      <c r="K12" s="18">
        <v>0</v>
      </c>
      <c r="L12" s="8">
        <f t="shared" ref="L12:L14" si="14">J12*$C12</f>
        <v>5283.2136</v>
      </c>
      <c r="M12" s="18">
        <f t="shared" ref="M12:M14" si="15">J12+K12-L12</f>
        <v>82770.346399999995</v>
      </c>
      <c r="N12" s="14"/>
      <c r="O12" s="19">
        <f>M12</f>
        <v>82770.346399999995</v>
      </c>
      <c r="P12" s="18">
        <v>0</v>
      </c>
      <c r="Q12" s="8">
        <f>O12*$C12</f>
        <v>4966.2207839999992</v>
      </c>
      <c r="R12" s="18">
        <f t="shared" ref="R12:R14" si="16">O12+P12-Q12</f>
        <v>77804.12561599999</v>
      </c>
      <c r="S12" s="14"/>
      <c r="T12" s="19">
        <f>R12</f>
        <v>77804.12561599999</v>
      </c>
      <c r="U12" s="18">
        <v>0</v>
      </c>
      <c r="V12" s="8">
        <f>T12*$C12</f>
        <v>4668.2475369599988</v>
      </c>
      <c r="W12" s="18">
        <f t="shared" ref="W12:W14" si="17">T12+U12-V12</f>
        <v>73135.878079039991</v>
      </c>
      <c r="X12" s="14"/>
      <c r="Y12" s="19">
        <f>W12</f>
        <v>73135.878079039991</v>
      </c>
      <c r="Z12" s="18">
        <v>0</v>
      </c>
      <c r="AA12" s="8">
        <f t="shared" ref="AA12:AA14" si="18">Y12*$C12</f>
        <v>4388.1526847423993</v>
      </c>
      <c r="AB12" s="18">
        <f t="shared" ref="AB12:AB14" si="19">Y12+Z12-AA12</f>
        <v>68747.725394297595</v>
      </c>
    </row>
    <row r="13" spans="1:28" x14ac:dyDescent="0.25">
      <c r="A13" t="str">
        <f t="shared" si="12"/>
        <v>Distribution Equipment and Structures</v>
      </c>
      <c r="B13">
        <f t="shared" si="12"/>
        <v>47</v>
      </c>
      <c r="C13" s="17">
        <f t="shared" si="12"/>
        <v>0.08</v>
      </c>
      <c r="D13" s="14"/>
      <c r="E13" s="18">
        <v>0</v>
      </c>
      <c r="F13" s="18">
        <f>F6</f>
        <v>4549016.8318402851</v>
      </c>
      <c r="G13" s="18">
        <f>F13*C13</f>
        <v>363921.34654722281</v>
      </c>
      <c r="H13" s="18">
        <f t="shared" ref="H13:H14" si="20">E13+F13-G13</f>
        <v>4185095.4852930624</v>
      </c>
      <c r="I13" s="14"/>
      <c r="J13" s="19">
        <f t="shared" si="13"/>
        <v>4185095.4852930624</v>
      </c>
      <c r="K13" s="18">
        <v>0</v>
      </c>
      <c r="L13" s="8">
        <f t="shared" si="14"/>
        <v>334807.63882344501</v>
      </c>
      <c r="M13" s="18">
        <f t="shared" si="15"/>
        <v>3850287.8464696174</v>
      </c>
      <c r="N13" s="14"/>
      <c r="O13" s="19">
        <f>M13</f>
        <v>3850287.8464696174</v>
      </c>
      <c r="P13" s="18">
        <v>0</v>
      </c>
      <c r="Q13" s="8">
        <f t="shared" ref="Q13:Q14" si="21">O13*$C13</f>
        <v>308023.02771756938</v>
      </c>
      <c r="R13" s="18">
        <f t="shared" si="16"/>
        <v>3542264.8187520481</v>
      </c>
      <c r="S13" s="14"/>
      <c r="T13" s="19">
        <f>R13</f>
        <v>3542264.8187520481</v>
      </c>
      <c r="U13" s="18">
        <v>0</v>
      </c>
      <c r="V13" s="8">
        <f t="shared" ref="V13:V14" si="22">T13*$C13</f>
        <v>283381.18550016388</v>
      </c>
      <c r="W13" s="18">
        <f t="shared" si="17"/>
        <v>3258883.633251884</v>
      </c>
      <c r="X13" s="14"/>
      <c r="Y13" s="19">
        <f>W13</f>
        <v>3258883.633251884</v>
      </c>
      <c r="Z13" s="18">
        <v>0</v>
      </c>
      <c r="AA13" s="8">
        <f t="shared" si="18"/>
        <v>260710.69066015072</v>
      </c>
      <c r="AB13" s="18">
        <f t="shared" si="19"/>
        <v>2998172.9425917333</v>
      </c>
    </row>
    <row r="14" spans="1:28" x14ac:dyDescent="0.25">
      <c r="A14" t="str">
        <f t="shared" si="12"/>
        <v>SCADA</v>
      </c>
      <c r="B14">
        <f t="shared" si="12"/>
        <v>50</v>
      </c>
      <c r="C14" s="17">
        <f t="shared" si="12"/>
        <v>0.55000000000000004</v>
      </c>
      <c r="D14" s="14"/>
      <c r="E14" s="18">
        <v>0</v>
      </c>
      <c r="F14" s="18">
        <f>F7</f>
        <v>108303.56053509213</v>
      </c>
      <c r="G14" s="18">
        <f>F14*C14</f>
        <v>59566.958294300675</v>
      </c>
      <c r="H14" s="18">
        <f t="shared" si="20"/>
        <v>48736.60224079145</v>
      </c>
      <c r="I14" s="14"/>
      <c r="J14" s="19">
        <f t="shared" si="13"/>
        <v>48736.60224079145</v>
      </c>
      <c r="K14" s="18">
        <v>0</v>
      </c>
      <c r="L14" s="8">
        <f t="shared" si="14"/>
        <v>26805.131232435298</v>
      </c>
      <c r="M14" s="18">
        <f t="shared" si="15"/>
        <v>21931.471008356151</v>
      </c>
      <c r="N14" s="14"/>
      <c r="O14" s="19">
        <f>M14</f>
        <v>21931.471008356151</v>
      </c>
      <c r="P14" s="18">
        <v>0</v>
      </c>
      <c r="Q14" s="8">
        <f t="shared" si="21"/>
        <v>12062.309054595884</v>
      </c>
      <c r="R14" s="18">
        <f t="shared" si="16"/>
        <v>9869.1619537602674</v>
      </c>
      <c r="S14" s="14"/>
      <c r="T14" s="19">
        <f>R14</f>
        <v>9869.1619537602674</v>
      </c>
      <c r="U14" s="18">
        <v>0</v>
      </c>
      <c r="V14" s="8">
        <f t="shared" si="22"/>
        <v>5428.039074568147</v>
      </c>
      <c r="W14" s="18">
        <f t="shared" si="17"/>
        <v>4441.1228791921203</v>
      </c>
      <c r="X14" s="14"/>
      <c r="Y14" s="19">
        <f>W14</f>
        <v>4441.1228791921203</v>
      </c>
      <c r="Z14" s="18">
        <v>0</v>
      </c>
      <c r="AA14" s="8">
        <f t="shared" si="18"/>
        <v>2442.6175835556664</v>
      </c>
      <c r="AB14" s="18">
        <f t="shared" si="19"/>
        <v>1998.5052956364539</v>
      </c>
    </row>
    <row r="15" spans="1:28" x14ac:dyDescent="0.25">
      <c r="D15" s="14"/>
      <c r="E15" s="18"/>
      <c r="F15" s="20">
        <f>SUM(F12:F14)</f>
        <v>4750994.392375377</v>
      </c>
      <c r="G15" s="20">
        <f>SUM(G12:G14)</f>
        <v>429108.74484152347</v>
      </c>
      <c r="H15" s="20">
        <f>SUM(H12:H14)</f>
        <v>4321885.6475338535</v>
      </c>
      <c r="I15" s="14"/>
      <c r="J15" s="20">
        <f t="shared" ref="J15:M15" si="23">SUM(J12:J14)</f>
        <v>4321885.6475338535</v>
      </c>
      <c r="K15" s="20">
        <f t="shared" si="23"/>
        <v>0</v>
      </c>
      <c r="L15" s="20">
        <f t="shared" si="23"/>
        <v>366895.98365588032</v>
      </c>
      <c r="M15" s="20">
        <f t="shared" si="23"/>
        <v>3954989.6638779738</v>
      </c>
      <c r="N15" s="14"/>
      <c r="O15" s="20">
        <f t="shared" ref="O15:R15" si="24">SUM(O12:O14)</f>
        <v>3954989.6638779738</v>
      </c>
      <c r="P15" s="20">
        <f t="shared" si="24"/>
        <v>0</v>
      </c>
      <c r="Q15" s="20">
        <f t="shared" si="24"/>
        <v>325051.55755616527</v>
      </c>
      <c r="R15" s="20">
        <f t="shared" si="24"/>
        <v>3629938.1063218084</v>
      </c>
      <c r="S15" s="14"/>
      <c r="T15" s="20">
        <f t="shared" ref="T15:W15" si="25">SUM(T12:T14)</f>
        <v>3629938.1063218084</v>
      </c>
      <c r="U15" s="20">
        <f t="shared" si="25"/>
        <v>0</v>
      </c>
      <c r="V15" s="20">
        <f t="shared" si="25"/>
        <v>293477.47211169201</v>
      </c>
      <c r="W15" s="20">
        <f t="shared" si="25"/>
        <v>3336460.6342101162</v>
      </c>
      <c r="X15" s="14"/>
      <c r="Y15" s="20">
        <f t="shared" ref="Y15:AB15" si="26">SUM(Y12:Y14)</f>
        <v>3336460.6342101162</v>
      </c>
      <c r="Z15" s="20">
        <f t="shared" si="26"/>
        <v>0</v>
      </c>
      <c r="AA15" s="20">
        <f t="shared" si="26"/>
        <v>267541.46092844883</v>
      </c>
      <c r="AB15" s="20">
        <f t="shared" si="26"/>
        <v>3068919.1732816673</v>
      </c>
    </row>
    <row r="16" spans="1:28" x14ac:dyDescent="0.25">
      <c r="D16" s="14"/>
      <c r="E16" s="18"/>
      <c r="F16" s="18"/>
      <c r="G16" s="18"/>
      <c r="H16" s="18"/>
      <c r="I16" s="14"/>
      <c r="N16" s="14"/>
      <c r="S16" s="14"/>
      <c r="X16" s="14"/>
    </row>
    <row r="17" spans="1:27" x14ac:dyDescent="0.25">
      <c r="A17" t="s">
        <v>32</v>
      </c>
      <c r="D17" s="14"/>
      <c r="E17" s="18"/>
      <c r="F17" s="18"/>
      <c r="G17" s="18">
        <f>G8</f>
        <v>643663.11726228532</v>
      </c>
      <c r="H17" s="18"/>
      <c r="I17" s="14"/>
      <c r="L17" s="18">
        <f>L8</f>
        <v>335789.60306305863</v>
      </c>
      <c r="N17" s="14"/>
      <c r="Q17" s="18">
        <f>Q8</f>
        <v>304129.34450630774</v>
      </c>
      <c r="S17" s="14"/>
      <c r="V17" s="18">
        <f>V8</f>
        <v>277690.42938945536</v>
      </c>
      <c r="X17" s="14"/>
      <c r="AA17" s="18">
        <f>AA8</f>
        <v>254573.45533682714</v>
      </c>
    </row>
    <row r="18" spans="1:27" x14ac:dyDescent="0.25">
      <c r="A18" t="s">
        <v>33</v>
      </c>
      <c r="D18" s="14"/>
      <c r="E18" s="18"/>
      <c r="F18" s="18"/>
      <c r="G18" s="18">
        <f>G15</f>
        <v>429108.74484152347</v>
      </c>
      <c r="H18" s="18"/>
      <c r="I18" s="14"/>
      <c r="L18" s="18">
        <f>L15</f>
        <v>366895.98365588032</v>
      </c>
      <c r="N18" s="14"/>
      <c r="Q18" s="18">
        <f>Q15</f>
        <v>325051.55755616527</v>
      </c>
      <c r="S18" s="14"/>
      <c r="V18" s="18">
        <f>V15</f>
        <v>293477.47211169201</v>
      </c>
      <c r="X18" s="14"/>
      <c r="AA18" s="18">
        <f>AA15</f>
        <v>267541.46092844883</v>
      </c>
    </row>
    <row r="19" spans="1:27" x14ac:dyDescent="0.25">
      <c r="A19" t="s">
        <v>34</v>
      </c>
      <c r="D19" s="14"/>
      <c r="E19" s="18"/>
      <c r="F19" s="18"/>
      <c r="G19" s="20">
        <f>G18-G17</f>
        <v>-214554.37242076185</v>
      </c>
      <c r="H19" s="18"/>
      <c r="I19" s="14"/>
      <c r="L19" s="20">
        <f>L18-L17</f>
        <v>31106.38059282169</v>
      </c>
      <c r="N19" s="14"/>
      <c r="Q19" s="20">
        <f>Q18-Q17</f>
        <v>20922.213049857528</v>
      </c>
      <c r="S19" s="14"/>
      <c r="V19" s="20">
        <f>V18-V17</f>
        <v>15787.042722236656</v>
      </c>
      <c r="X19" s="14"/>
      <c r="AA19" s="20">
        <f>AA18-AA17</f>
        <v>12968.005591621681</v>
      </c>
    </row>
    <row r="20" spans="1:27" x14ac:dyDescent="0.25">
      <c r="B20" s="15" t="s">
        <v>35</v>
      </c>
      <c r="D20" s="14"/>
      <c r="I20" s="14"/>
      <c r="N20" s="14"/>
      <c r="S20" s="14"/>
      <c r="X20" s="14"/>
    </row>
    <row r="21" spans="1:27" x14ac:dyDescent="0.25">
      <c r="A21" t="s">
        <v>36</v>
      </c>
      <c r="B21" s="21">
        <v>0.26500000000000001</v>
      </c>
      <c r="D21" s="14"/>
      <c r="G21" s="22">
        <f>G19*$B21</f>
        <v>-56856.908691501892</v>
      </c>
      <c r="I21" s="14"/>
      <c r="L21" s="22">
        <f>L19*$B21</f>
        <v>8243.1908570977484</v>
      </c>
      <c r="N21" s="14"/>
      <c r="Q21" s="22">
        <f>Q19*$B21</f>
        <v>5544.3864582122451</v>
      </c>
      <c r="S21" s="14"/>
      <c r="V21" s="22">
        <f>V19*$B21</f>
        <v>4183.5663213927137</v>
      </c>
      <c r="X21" s="14"/>
      <c r="AA21" s="22" t="e">
        <f>#REF!*$B21</f>
        <v>#REF!</v>
      </c>
    </row>
    <row r="22" spans="1:27" x14ac:dyDescent="0.25">
      <c r="D22" s="14"/>
      <c r="I22" s="14"/>
      <c r="N22" s="14"/>
      <c r="S22" s="14"/>
      <c r="X22" s="14"/>
    </row>
    <row r="23" spans="1:27" x14ac:dyDescent="0.25">
      <c r="A23" t="s">
        <v>37</v>
      </c>
      <c r="B23" s="23" t="s">
        <v>18</v>
      </c>
      <c r="C23" s="23"/>
      <c r="D23" s="14"/>
      <c r="E23" s="23"/>
      <c r="G23" s="22">
        <f>G21/(1-$B21)</f>
        <v>-77356.338355784887</v>
      </c>
      <c r="I23" s="14"/>
      <c r="L23" s="22">
        <f>L21/(1-$B21)</f>
        <v>11215.225655915305</v>
      </c>
      <c r="N23" s="14"/>
      <c r="Q23" s="22">
        <f>Q21/(1-$B21)</f>
        <v>7543.3829363431905</v>
      </c>
      <c r="S23" s="14"/>
      <c r="V23" s="22">
        <f>V21/(1-$B21)</f>
        <v>5691.9269678812434</v>
      </c>
      <c r="X23" s="14"/>
      <c r="AA23" s="22" t="e">
        <f>AA21/(1-$B21)</f>
        <v>#REF!</v>
      </c>
    </row>
    <row r="24" spans="1:27" x14ac:dyDescent="0.25">
      <c r="A24" t="s">
        <v>38</v>
      </c>
      <c r="D24" s="14"/>
      <c r="G24" s="19">
        <f>G23</f>
        <v>-77356.338355784887</v>
      </c>
      <c r="I24" s="14"/>
      <c r="L24" s="22">
        <f>G24+L23</f>
        <v>-66141.112699869584</v>
      </c>
      <c r="N24" s="14"/>
      <c r="Q24" s="22">
        <f>L24+Q23</f>
        <v>-58597.729763526397</v>
      </c>
      <c r="S24" s="14"/>
      <c r="V24" s="22">
        <f>Q24+V23</f>
        <v>-52905.802795645155</v>
      </c>
      <c r="X24" s="14"/>
      <c r="AA24" s="22" t="e">
        <f>V24+AA23</f>
        <v>#REF!</v>
      </c>
    </row>
    <row r="26" spans="1:27" x14ac:dyDescent="0.25">
      <c r="A26" t="s">
        <v>39</v>
      </c>
    </row>
    <row r="27" spans="1:27" x14ac:dyDescent="0.25">
      <c r="A27" t="s">
        <v>40</v>
      </c>
    </row>
    <row r="28" spans="1:27" x14ac:dyDescent="0.25">
      <c r="A28" t="s">
        <v>41</v>
      </c>
    </row>
  </sheetData>
  <mergeCells count="5">
    <mergeCell ref="E3:H3"/>
    <mergeCell ref="J3:M3"/>
    <mergeCell ref="O3:R3"/>
    <mergeCell ref="T3:W3"/>
    <mergeCell ref="Y3:AB3"/>
  </mergeCells>
  <pageMargins left="0.7" right="0.7" top="0.75" bottom="0.75" header="0.3" footer="0.3"/>
  <pageSetup paperSize="5" scale="6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373C-3482-4577-9ED7-5F76EFBE1106}">
  <sheetPr>
    <pageSetUpPr fitToPage="1"/>
  </sheetPr>
  <dimension ref="A2:U32"/>
  <sheetViews>
    <sheetView workbookViewId="0"/>
  </sheetViews>
  <sheetFormatPr defaultRowHeight="15" x14ac:dyDescent="0.25"/>
  <cols>
    <col min="2" max="2" width="15.28515625" bestFit="1" customWidth="1"/>
    <col min="3" max="3" width="12.5703125" customWidth="1"/>
    <col min="4" max="4" width="15.7109375" customWidth="1"/>
    <col min="5" max="5" width="18.28515625" customWidth="1"/>
    <col min="7" max="7" width="3" customWidth="1"/>
    <col min="8" max="8" width="14.140625" customWidth="1"/>
    <col min="9" max="9" width="15.85546875" customWidth="1"/>
    <col min="10" max="10" width="3.7109375" customWidth="1"/>
    <col min="11" max="11" width="15.140625" bestFit="1" customWidth="1"/>
    <col min="12" max="12" width="13.28515625" bestFit="1" customWidth="1"/>
    <col min="14" max="14" width="13.28515625" bestFit="1" customWidth="1"/>
    <col min="17" max="17" width="14.28515625" bestFit="1" customWidth="1"/>
    <col min="18" max="18" width="13.28515625" bestFit="1" customWidth="1"/>
    <col min="21" max="21" width="15.28515625" bestFit="1" customWidth="1"/>
  </cols>
  <sheetData>
    <row r="2" spans="1:21" x14ac:dyDescent="0.25">
      <c r="A2" s="34" t="s">
        <v>63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21" ht="26.25" x14ac:dyDescent="0.4">
      <c r="A4" s="1" t="s">
        <v>0</v>
      </c>
    </row>
    <row r="6" spans="1:21" x14ac:dyDescent="0.25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21" ht="45" x14ac:dyDescent="0.25">
      <c r="B7" s="3" t="s">
        <v>42</v>
      </c>
      <c r="C7" s="3" t="s">
        <v>6</v>
      </c>
      <c r="D7" s="3" t="s">
        <v>7</v>
      </c>
      <c r="E7" s="3" t="s">
        <v>8</v>
      </c>
      <c r="F7" s="3" t="s">
        <v>9</v>
      </c>
      <c r="H7" s="3" t="s">
        <v>10</v>
      </c>
      <c r="I7" s="3" t="s">
        <v>11</v>
      </c>
      <c r="K7" s="4" t="s">
        <v>12</v>
      </c>
      <c r="L7" s="4" t="s">
        <v>13</v>
      </c>
    </row>
    <row r="8" spans="1:21" s="24" customFormat="1" x14ac:dyDescent="0.25">
      <c r="B8" s="25" t="s">
        <v>43</v>
      </c>
      <c r="C8" s="25"/>
      <c r="D8" s="25" t="s">
        <v>44</v>
      </c>
      <c r="E8" s="26" t="s">
        <v>48</v>
      </c>
      <c r="F8" s="25" t="s">
        <v>49</v>
      </c>
      <c r="H8" s="25" t="s">
        <v>50</v>
      </c>
      <c r="I8" s="25" t="s">
        <v>51</v>
      </c>
      <c r="K8" s="25" t="s">
        <v>43</v>
      </c>
      <c r="L8" s="25" t="s">
        <v>52</v>
      </c>
    </row>
    <row r="9" spans="1:21" x14ac:dyDescent="0.25">
      <c r="A9" s="5">
        <v>1</v>
      </c>
      <c r="B9" s="6">
        <v>38802377</v>
      </c>
      <c r="C9" s="6"/>
      <c r="D9" s="6"/>
      <c r="E9" s="6"/>
      <c r="F9" s="6">
        <v>4</v>
      </c>
      <c r="G9" s="6"/>
      <c r="H9" s="6">
        <f>B9+E9</f>
        <v>38802377</v>
      </c>
      <c r="I9" s="6">
        <f>ROUND(H9*F9/100,0)</f>
        <v>1552095</v>
      </c>
      <c r="J9" s="6"/>
      <c r="K9" s="6">
        <f>B9-E9</f>
        <v>38802377</v>
      </c>
      <c r="L9" s="6">
        <f>ROUND(K9*F9/100,0)</f>
        <v>1552095</v>
      </c>
    </row>
    <row r="10" spans="1:21" x14ac:dyDescent="0.25">
      <c r="A10" s="5">
        <v>8</v>
      </c>
      <c r="B10" s="6">
        <v>830080</v>
      </c>
      <c r="C10" s="6"/>
      <c r="D10" s="6">
        <v>81475</v>
      </c>
      <c r="E10" s="6">
        <f>ROUND(D10*0.5,0)</f>
        <v>40738</v>
      </c>
      <c r="F10" s="6">
        <v>20</v>
      </c>
      <c r="G10" s="6"/>
      <c r="H10" s="6">
        <f>B10+E10</f>
        <v>870818</v>
      </c>
      <c r="I10" s="6">
        <f t="shared" ref="I10:I25" si="0">ROUND(H10*F10/100,0)</f>
        <v>174164</v>
      </c>
      <c r="J10" s="6"/>
      <c r="K10" s="6">
        <f t="shared" ref="K10:K24" si="1">B10-E10</f>
        <v>789342</v>
      </c>
      <c r="L10" s="6">
        <f t="shared" ref="L10:L25" si="2">ROUND(K10*F10/100,0)</f>
        <v>157868</v>
      </c>
    </row>
    <row r="11" spans="1:21" x14ac:dyDescent="0.25">
      <c r="A11" s="5">
        <v>10</v>
      </c>
      <c r="B11" s="6">
        <v>1308651</v>
      </c>
      <c r="C11" s="6"/>
      <c r="D11" s="6">
        <v>144362</v>
      </c>
      <c r="E11" s="6">
        <f>ROUND(D11*0.5,0)</f>
        <v>72181</v>
      </c>
      <c r="F11" s="6">
        <v>30</v>
      </c>
      <c r="G11" s="6"/>
      <c r="H11" s="6">
        <f>B11+E11</f>
        <v>1380832</v>
      </c>
      <c r="I11" s="6">
        <f>ROUND(H11*F11/100,0)</f>
        <v>414250</v>
      </c>
      <c r="J11" s="6"/>
      <c r="K11" s="6">
        <f t="shared" si="1"/>
        <v>1236470</v>
      </c>
      <c r="L11" s="6">
        <f t="shared" si="2"/>
        <v>370941</v>
      </c>
    </row>
    <row r="12" spans="1:21" x14ac:dyDescent="0.25">
      <c r="A12" s="5">
        <v>17</v>
      </c>
      <c r="B12" s="6">
        <v>37282</v>
      </c>
      <c r="C12" s="6"/>
      <c r="D12" s="6"/>
      <c r="E12" s="6"/>
      <c r="F12" s="6">
        <v>8</v>
      </c>
      <c r="G12" s="6"/>
      <c r="H12" s="6">
        <f t="shared" ref="H12:H15" si="3">B12+E12</f>
        <v>37282</v>
      </c>
      <c r="I12" s="6">
        <f t="shared" si="0"/>
        <v>2983</v>
      </c>
      <c r="J12" s="6"/>
      <c r="K12" s="6">
        <f t="shared" si="1"/>
        <v>37282</v>
      </c>
      <c r="L12" s="6">
        <f t="shared" si="2"/>
        <v>2983</v>
      </c>
      <c r="Q12" s="6"/>
      <c r="R12" s="6"/>
      <c r="U12" s="8"/>
    </row>
    <row r="13" spans="1:21" x14ac:dyDescent="0.25">
      <c r="A13" s="5">
        <v>17</v>
      </c>
      <c r="B13" s="6">
        <v>25155</v>
      </c>
      <c r="C13" s="6"/>
      <c r="D13" s="6"/>
      <c r="E13" s="6"/>
      <c r="F13" s="6">
        <v>8</v>
      </c>
      <c r="G13" s="6"/>
      <c r="H13" s="6">
        <f>B13+E13</f>
        <v>25155</v>
      </c>
      <c r="I13" s="6">
        <f t="shared" si="0"/>
        <v>2012</v>
      </c>
      <c r="J13" s="6"/>
      <c r="K13" s="6">
        <f t="shared" si="1"/>
        <v>25155</v>
      </c>
      <c r="L13" s="6">
        <f t="shared" si="2"/>
        <v>2012</v>
      </c>
    </row>
    <row r="14" spans="1:21" x14ac:dyDescent="0.25">
      <c r="A14" s="5">
        <v>42</v>
      </c>
      <c r="B14" s="6">
        <v>189262</v>
      </c>
      <c r="C14" s="6"/>
      <c r="D14" s="6"/>
      <c r="E14" s="6"/>
      <c r="F14" s="6">
        <v>12</v>
      </c>
      <c r="G14" s="6"/>
      <c r="H14" s="6">
        <f t="shared" si="3"/>
        <v>189262</v>
      </c>
      <c r="I14" s="6">
        <f>ROUND(H14*F14/100,0)</f>
        <v>22711</v>
      </c>
      <c r="J14" s="6"/>
      <c r="K14" s="6">
        <f t="shared" si="1"/>
        <v>189262</v>
      </c>
      <c r="L14" s="6">
        <f t="shared" si="2"/>
        <v>22711</v>
      </c>
    </row>
    <row r="15" spans="1:21" x14ac:dyDescent="0.25">
      <c r="A15" s="5">
        <v>45</v>
      </c>
      <c r="B15" s="6">
        <v>1</v>
      </c>
      <c r="C15" s="6"/>
      <c r="D15" s="6"/>
      <c r="E15" s="6"/>
      <c r="F15" s="6">
        <v>45</v>
      </c>
      <c r="G15" s="6"/>
      <c r="H15" s="6">
        <f t="shared" si="3"/>
        <v>1</v>
      </c>
      <c r="I15" s="6">
        <f t="shared" si="0"/>
        <v>0</v>
      </c>
      <c r="J15" s="6"/>
      <c r="K15" s="6">
        <f t="shared" si="1"/>
        <v>1</v>
      </c>
      <c r="L15" s="6">
        <f t="shared" si="2"/>
        <v>0</v>
      </c>
    </row>
    <row r="16" spans="1:21" x14ac:dyDescent="0.25">
      <c r="A16" s="5">
        <v>47</v>
      </c>
      <c r="B16" s="6">
        <v>59030232</v>
      </c>
      <c r="C16" s="6">
        <v>85613</v>
      </c>
      <c r="D16" s="6">
        <v>7544250</v>
      </c>
      <c r="E16" s="6">
        <f>ROUND(D16*0.5,0)</f>
        <v>3772125</v>
      </c>
      <c r="F16" s="6">
        <v>8</v>
      </c>
      <c r="G16" s="6"/>
      <c r="H16" s="6">
        <f>B16+E16</f>
        <v>62802357</v>
      </c>
      <c r="I16" s="6">
        <f>ROUND(H16*F16/100,0)</f>
        <v>5024189</v>
      </c>
      <c r="J16" s="6"/>
      <c r="K16" s="36">
        <f t="shared" si="1"/>
        <v>55258107</v>
      </c>
      <c r="L16" s="6">
        <f t="shared" si="2"/>
        <v>4420649</v>
      </c>
    </row>
    <row r="17" spans="1:15" x14ac:dyDescent="0.25">
      <c r="A17" s="5">
        <v>50</v>
      </c>
      <c r="B17" s="6">
        <v>338310</v>
      </c>
      <c r="C17" s="6"/>
      <c r="D17" s="6">
        <v>294235</v>
      </c>
      <c r="E17" s="6">
        <f>ROUND(D17*0.5,0)</f>
        <v>147118</v>
      </c>
      <c r="F17" s="6">
        <v>55</v>
      </c>
      <c r="G17" s="6"/>
      <c r="H17" s="6">
        <f t="shared" ref="H17:H25" si="4">B17+E17</f>
        <v>485428</v>
      </c>
      <c r="I17" s="6">
        <f t="shared" si="0"/>
        <v>266985</v>
      </c>
      <c r="J17" s="6"/>
      <c r="K17" s="6">
        <f t="shared" si="1"/>
        <v>191192</v>
      </c>
      <c r="L17" s="6">
        <f t="shared" si="2"/>
        <v>105156</v>
      </c>
    </row>
    <row r="18" spans="1:15" x14ac:dyDescent="0.25">
      <c r="A18" s="5">
        <v>95</v>
      </c>
      <c r="B18" s="6">
        <v>685491</v>
      </c>
      <c r="C18" s="6"/>
      <c r="D18" s="6"/>
      <c r="E18" s="6"/>
      <c r="F18" s="6">
        <v>0</v>
      </c>
      <c r="G18" s="6"/>
      <c r="H18" s="6">
        <f t="shared" si="4"/>
        <v>685491</v>
      </c>
      <c r="I18" s="6">
        <f t="shared" si="0"/>
        <v>0</v>
      </c>
      <c r="J18" s="6"/>
      <c r="K18" s="6">
        <f t="shared" si="1"/>
        <v>685491</v>
      </c>
      <c r="L18" s="6">
        <f t="shared" si="2"/>
        <v>0</v>
      </c>
    </row>
    <row r="19" spans="1:15" x14ac:dyDescent="0.25">
      <c r="A19" s="5" t="s">
        <v>14</v>
      </c>
      <c r="B19" s="6">
        <v>1287466</v>
      </c>
      <c r="C19" s="6"/>
      <c r="D19" s="6"/>
      <c r="E19" s="6"/>
      <c r="F19" s="6">
        <v>6</v>
      </c>
      <c r="G19" s="6"/>
      <c r="H19" s="6">
        <f t="shared" si="4"/>
        <v>1287466</v>
      </c>
      <c r="I19" s="6">
        <f t="shared" si="0"/>
        <v>77248</v>
      </c>
      <c r="J19" s="6"/>
      <c r="K19" s="6">
        <f t="shared" si="1"/>
        <v>1287466</v>
      </c>
      <c r="L19" s="6">
        <f t="shared" si="2"/>
        <v>77248</v>
      </c>
    </row>
    <row r="20" spans="1:15" x14ac:dyDescent="0.25">
      <c r="A20" s="5">
        <v>94</v>
      </c>
      <c r="B20" s="6">
        <v>1405904</v>
      </c>
      <c r="C20" s="6"/>
      <c r="D20" s="6"/>
      <c r="E20" s="6"/>
      <c r="F20" s="6">
        <v>0</v>
      </c>
      <c r="G20" s="6"/>
      <c r="H20" s="6">
        <f t="shared" si="4"/>
        <v>1405904</v>
      </c>
      <c r="I20" s="6">
        <f t="shared" si="0"/>
        <v>0</v>
      </c>
      <c r="J20" s="6"/>
      <c r="K20" s="6">
        <f t="shared" si="1"/>
        <v>1405904</v>
      </c>
      <c r="L20" s="6">
        <f t="shared" si="2"/>
        <v>0</v>
      </c>
    </row>
    <row r="21" spans="1:15" x14ac:dyDescent="0.25">
      <c r="A21" s="5">
        <v>14.1</v>
      </c>
      <c r="B21" s="6">
        <v>6597</v>
      </c>
      <c r="C21" s="6"/>
      <c r="D21" s="6"/>
      <c r="E21" s="6"/>
      <c r="F21" s="6">
        <v>5</v>
      </c>
      <c r="G21" s="6"/>
      <c r="H21" s="6">
        <f t="shared" si="4"/>
        <v>6597</v>
      </c>
      <c r="I21" s="6">
        <f t="shared" si="0"/>
        <v>330</v>
      </c>
      <c r="J21" s="6"/>
      <c r="K21" s="6">
        <f t="shared" si="1"/>
        <v>6597</v>
      </c>
      <c r="L21" s="6">
        <f t="shared" si="2"/>
        <v>330</v>
      </c>
    </row>
    <row r="22" spans="1:15" x14ac:dyDescent="0.25">
      <c r="A22" s="5" t="s">
        <v>14</v>
      </c>
      <c r="B22" s="6">
        <v>172569</v>
      </c>
      <c r="C22" s="6"/>
      <c r="D22" s="6"/>
      <c r="E22" s="6"/>
      <c r="F22" s="6">
        <v>6</v>
      </c>
      <c r="G22" s="6"/>
      <c r="H22" s="6">
        <f t="shared" si="4"/>
        <v>172569</v>
      </c>
      <c r="I22" s="6">
        <f t="shared" si="0"/>
        <v>10354</v>
      </c>
      <c r="J22" s="6"/>
      <c r="K22" s="6">
        <f t="shared" si="1"/>
        <v>172569</v>
      </c>
      <c r="L22" s="6">
        <f t="shared" si="2"/>
        <v>10354</v>
      </c>
    </row>
    <row r="23" spans="1:15" x14ac:dyDescent="0.25">
      <c r="A23" s="5" t="s">
        <v>14</v>
      </c>
      <c r="B23" s="6">
        <v>275397</v>
      </c>
      <c r="C23" s="6"/>
      <c r="D23" s="6">
        <v>275397</v>
      </c>
      <c r="E23" s="6">
        <f>ROUND(D23*0.5,0)</f>
        <v>137699</v>
      </c>
      <c r="F23" s="6">
        <v>6</v>
      </c>
      <c r="G23" s="6"/>
      <c r="H23" s="6">
        <f t="shared" si="4"/>
        <v>413096</v>
      </c>
      <c r="I23" s="6">
        <f t="shared" si="0"/>
        <v>24786</v>
      </c>
      <c r="J23" s="6"/>
      <c r="K23" s="6">
        <f t="shared" si="1"/>
        <v>137698</v>
      </c>
      <c r="L23" s="6">
        <f t="shared" si="2"/>
        <v>8262</v>
      </c>
    </row>
    <row r="24" spans="1:15" x14ac:dyDescent="0.25">
      <c r="A24" s="5">
        <v>12</v>
      </c>
      <c r="B24" s="6">
        <v>6524</v>
      </c>
      <c r="C24" s="6"/>
      <c r="D24" s="6"/>
      <c r="E24" s="6"/>
      <c r="F24" s="6">
        <v>100</v>
      </c>
      <c r="G24" s="6"/>
      <c r="H24" s="6">
        <f t="shared" si="4"/>
        <v>6524</v>
      </c>
      <c r="I24" s="6">
        <f t="shared" si="0"/>
        <v>6524</v>
      </c>
      <c r="J24" s="6"/>
      <c r="K24" s="6">
        <f t="shared" si="1"/>
        <v>6524</v>
      </c>
      <c r="L24" s="6">
        <f t="shared" si="2"/>
        <v>6524</v>
      </c>
    </row>
    <row r="25" spans="1:15" x14ac:dyDescent="0.25">
      <c r="A25" s="5">
        <v>43.2</v>
      </c>
      <c r="B25" s="6">
        <v>476028</v>
      </c>
      <c r="C25" s="6"/>
      <c r="D25" s="6">
        <v>476028</v>
      </c>
      <c r="E25" s="6">
        <v>476028</v>
      </c>
      <c r="F25" s="6">
        <v>50</v>
      </c>
      <c r="G25" s="6"/>
      <c r="H25" s="6">
        <f t="shared" si="4"/>
        <v>952056</v>
      </c>
      <c r="I25" s="6">
        <f t="shared" si="0"/>
        <v>476028</v>
      </c>
      <c r="J25" s="6"/>
      <c r="K25" s="36">
        <f>B25</f>
        <v>476028</v>
      </c>
      <c r="L25" s="6">
        <f t="shared" si="2"/>
        <v>238014</v>
      </c>
    </row>
    <row r="26" spans="1:15" x14ac:dyDescent="0.25">
      <c r="B26" s="7">
        <f>SUM(B9:B25)</f>
        <v>104877326</v>
      </c>
      <c r="C26" s="6"/>
      <c r="D26" s="7">
        <f>SUM(D9:D25)</f>
        <v>8815747</v>
      </c>
      <c r="E26" s="7">
        <f>SUM(E9:E25)</f>
        <v>4645889</v>
      </c>
      <c r="F26" s="6"/>
      <c r="G26" s="6"/>
      <c r="H26" s="6"/>
      <c r="I26" s="7">
        <f>SUM(I9:I25)</f>
        <v>8054659</v>
      </c>
      <c r="J26" s="6"/>
      <c r="K26" s="7">
        <f>SUM(K9:K25)</f>
        <v>100707465</v>
      </c>
      <c r="L26" s="7">
        <f>SUM(L9:L25)</f>
        <v>6975147</v>
      </c>
      <c r="N26" s="8">
        <f>I26-L26</f>
        <v>1079512</v>
      </c>
    </row>
    <row r="27" spans="1:15" x14ac:dyDescent="0.25">
      <c r="B27" s="6"/>
      <c r="C27" s="6"/>
      <c r="D27" s="6"/>
      <c r="E27" s="6"/>
      <c r="F27" s="6"/>
      <c r="G27" s="6"/>
      <c r="H27" s="6"/>
      <c r="I27" s="6" t="s">
        <v>15</v>
      </c>
      <c r="J27" s="6"/>
      <c r="K27" s="6"/>
      <c r="L27" t="s">
        <v>16</v>
      </c>
      <c r="N27" t="s">
        <v>17</v>
      </c>
    </row>
    <row r="28" spans="1:1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5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M29" s="9">
        <v>0.26500000000000001</v>
      </c>
      <c r="N29" s="8">
        <f>N26*M29</f>
        <v>286070.68</v>
      </c>
    </row>
    <row r="30" spans="1:15" x14ac:dyDescent="0.25">
      <c r="H30" s="35" t="s">
        <v>66</v>
      </c>
      <c r="I30" s="35"/>
      <c r="J30" s="35"/>
      <c r="K30" s="35"/>
    </row>
    <row r="31" spans="1:15" ht="15.75" thickBot="1" x14ac:dyDescent="0.3">
      <c r="H31" s="35" t="s">
        <v>68</v>
      </c>
      <c r="I31" s="35"/>
      <c r="J31" s="35"/>
      <c r="K31" s="35"/>
      <c r="M31" s="5" t="s">
        <v>18</v>
      </c>
      <c r="N31" s="10">
        <f>N29/(1-M29)</f>
        <v>389211.80952380953</v>
      </c>
      <c r="O31" t="s">
        <v>47</v>
      </c>
    </row>
    <row r="32" spans="1:15" ht="15.75" thickTop="1" x14ac:dyDescent="0.25"/>
  </sheetData>
  <pageMargins left="0.7" right="0.7" top="0.75" bottom="0.75" header="0.3" footer="0.3"/>
  <pageSetup scale="7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DA9CC-95D2-4F76-8A42-BA9FF3AB590C}">
  <sheetPr>
    <pageSetUpPr fitToPage="1"/>
  </sheetPr>
  <dimension ref="A2:O32"/>
  <sheetViews>
    <sheetView workbookViewId="0"/>
  </sheetViews>
  <sheetFormatPr defaultRowHeight="15" x14ac:dyDescent="0.25"/>
  <cols>
    <col min="2" max="2" width="15.28515625" bestFit="1" customWidth="1"/>
    <col min="3" max="3" width="12.5703125" customWidth="1"/>
    <col min="4" max="4" width="15.7109375" customWidth="1"/>
    <col min="5" max="5" width="18.28515625" customWidth="1"/>
    <col min="7" max="7" width="3" customWidth="1"/>
    <col min="8" max="8" width="14.140625" customWidth="1"/>
    <col min="9" max="9" width="15.85546875" customWidth="1"/>
    <col min="10" max="10" width="3.7109375" customWidth="1"/>
    <col min="11" max="11" width="15.140625" bestFit="1" customWidth="1"/>
    <col min="12" max="12" width="13.28515625" bestFit="1" customWidth="1"/>
    <col min="14" max="14" width="13.28515625" bestFit="1" customWidth="1"/>
  </cols>
  <sheetData>
    <row r="2" spans="1:12" x14ac:dyDescent="0.25">
      <c r="A2" s="34" t="s">
        <v>72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12" ht="26.25" x14ac:dyDescent="0.4">
      <c r="A4" s="1" t="s">
        <v>0</v>
      </c>
    </row>
    <row r="6" spans="1:12" x14ac:dyDescent="0.25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12" ht="45" x14ac:dyDescent="0.25">
      <c r="B7" s="3" t="s">
        <v>42</v>
      </c>
      <c r="C7" s="3" t="s">
        <v>6</v>
      </c>
      <c r="D7" s="3" t="s">
        <v>7</v>
      </c>
      <c r="E7" s="3" t="s">
        <v>8</v>
      </c>
      <c r="F7" s="3" t="s">
        <v>9</v>
      </c>
      <c r="H7" s="3" t="s">
        <v>10</v>
      </c>
      <c r="I7" s="3" t="s">
        <v>11</v>
      </c>
      <c r="K7" s="4" t="s">
        <v>12</v>
      </c>
      <c r="L7" s="4" t="s">
        <v>13</v>
      </c>
    </row>
    <row r="8" spans="1:12" s="24" customFormat="1" x14ac:dyDescent="0.25">
      <c r="B8" s="25" t="s">
        <v>43</v>
      </c>
      <c r="C8" s="25"/>
      <c r="D8" s="25" t="s">
        <v>44</v>
      </c>
      <c r="E8" s="26" t="s">
        <v>48</v>
      </c>
      <c r="F8" s="25" t="s">
        <v>49</v>
      </c>
      <c r="H8" s="25" t="s">
        <v>50</v>
      </c>
      <c r="I8" s="25" t="s">
        <v>51</v>
      </c>
      <c r="K8" s="25" t="s">
        <v>43</v>
      </c>
      <c r="L8" s="25" t="s">
        <v>52</v>
      </c>
    </row>
    <row r="9" spans="1:12" x14ac:dyDescent="0.25">
      <c r="A9" s="5">
        <v>1</v>
      </c>
      <c r="B9" s="6">
        <v>38802377</v>
      </c>
      <c r="C9" s="6"/>
      <c r="D9" s="6"/>
      <c r="E9" s="6"/>
      <c r="F9" s="6">
        <v>4</v>
      </c>
      <c r="G9" s="6"/>
      <c r="H9" s="6">
        <f>B9+E9</f>
        <v>38802377</v>
      </c>
      <c r="I9" s="6">
        <f>ROUND(H9*F9/100,0)</f>
        <v>1552095</v>
      </c>
      <c r="J9" s="6"/>
      <c r="K9" s="6">
        <f>B9</f>
        <v>38802377</v>
      </c>
      <c r="L9" s="6">
        <f>ROUND(K9*F9/100,0)</f>
        <v>1552095</v>
      </c>
    </row>
    <row r="10" spans="1:12" x14ac:dyDescent="0.25">
      <c r="A10" s="5">
        <v>8</v>
      </c>
      <c r="B10" s="6">
        <v>830080</v>
      </c>
      <c r="C10" s="6"/>
      <c r="D10" s="6">
        <v>81475</v>
      </c>
      <c r="E10" s="6">
        <f>ROUND(D10*0.5,0)</f>
        <v>40738</v>
      </c>
      <c r="F10" s="6">
        <v>20</v>
      </c>
      <c r="G10" s="6"/>
      <c r="H10" s="6">
        <f>B10+E10</f>
        <v>870818</v>
      </c>
      <c r="I10" s="6">
        <f t="shared" ref="I10:I25" si="0">ROUND(H10*F10/100,0)</f>
        <v>174164</v>
      </c>
      <c r="J10" s="6"/>
      <c r="K10" s="36">
        <f t="shared" ref="K10:K25" si="1">B10</f>
        <v>830080</v>
      </c>
      <c r="L10" s="6">
        <f t="shared" ref="L10:L25" si="2">ROUND(K10*F10/100,0)</f>
        <v>166016</v>
      </c>
    </row>
    <row r="11" spans="1:12" x14ac:dyDescent="0.25">
      <c r="A11" s="5">
        <v>10</v>
      </c>
      <c r="B11" s="6">
        <v>1308651</v>
      </c>
      <c r="C11" s="6"/>
      <c r="D11" s="6">
        <v>144362</v>
      </c>
      <c r="E11" s="6">
        <f>ROUND(D11*0.5,0)</f>
        <v>72181</v>
      </c>
      <c r="F11" s="6">
        <v>30</v>
      </c>
      <c r="G11" s="6"/>
      <c r="H11" s="6">
        <f>B11+E11</f>
        <v>1380832</v>
      </c>
      <c r="I11" s="6">
        <f>ROUND(H11*F11/100,0)</f>
        <v>414250</v>
      </c>
      <c r="J11" s="6"/>
      <c r="K11" s="36">
        <f t="shared" si="1"/>
        <v>1308651</v>
      </c>
      <c r="L11" s="6">
        <f t="shared" si="2"/>
        <v>392595</v>
      </c>
    </row>
    <row r="12" spans="1:12" x14ac:dyDescent="0.25">
      <c r="A12" s="5">
        <v>17</v>
      </c>
      <c r="B12" s="6">
        <v>37282</v>
      </c>
      <c r="C12" s="6"/>
      <c r="D12" s="6"/>
      <c r="E12" s="6"/>
      <c r="F12" s="6">
        <v>8</v>
      </c>
      <c r="G12" s="6"/>
      <c r="H12" s="6">
        <f t="shared" ref="H12:H15" si="3">B12+E12</f>
        <v>37282</v>
      </c>
      <c r="I12" s="6">
        <f t="shared" si="0"/>
        <v>2983</v>
      </c>
      <c r="J12" s="6"/>
      <c r="K12" s="6">
        <f t="shared" si="1"/>
        <v>37282</v>
      </c>
      <c r="L12" s="6">
        <f t="shared" si="2"/>
        <v>2983</v>
      </c>
    </row>
    <row r="13" spans="1:12" x14ac:dyDescent="0.25">
      <c r="A13" s="5">
        <v>17</v>
      </c>
      <c r="B13" s="6">
        <v>25155</v>
      </c>
      <c r="C13" s="6"/>
      <c r="D13" s="6"/>
      <c r="E13" s="6"/>
      <c r="F13" s="6">
        <v>8</v>
      </c>
      <c r="G13" s="6"/>
      <c r="H13" s="6">
        <f>B13+E13</f>
        <v>25155</v>
      </c>
      <c r="I13" s="6">
        <f t="shared" si="0"/>
        <v>2012</v>
      </c>
      <c r="J13" s="6"/>
      <c r="K13" s="6">
        <f t="shared" si="1"/>
        <v>25155</v>
      </c>
      <c r="L13" s="6">
        <f t="shared" si="2"/>
        <v>2012</v>
      </c>
    </row>
    <row r="14" spans="1:12" x14ac:dyDescent="0.25">
      <c r="A14" s="5">
        <v>42</v>
      </c>
      <c r="B14" s="6">
        <v>189262</v>
      </c>
      <c r="C14" s="6"/>
      <c r="D14" s="6"/>
      <c r="E14" s="6"/>
      <c r="F14" s="6">
        <v>12</v>
      </c>
      <c r="G14" s="6"/>
      <c r="H14" s="6">
        <f t="shared" si="3"/>
        <v>189262</v>
      </c>
      <c r="I14" s="6">
        <f>ROUND(H14*F14/100,0)</f>
        <v>22711</v>
      </c>
      <c r="J14" s="6"/>
      <c r="K14" s="6">
        <f t="shared" si="1"/>
        <v>189262</v>
      </c>
      <c r="L14" s="6">
        <f t="shared" si="2"/>
        <v>22711</v>
      </c>
    </row>
    <row r="15" spans="1:12" x14ac:dyDescent="0.25">
      <c r="A15" s="5">
        <v>45</v>
      </c>
      <c r="B15" s="6">
        <v>1</v>
      </c>
      <c r="C15" s="6"/>
      <c r="D15" s="6"/>
      <c r="E15" s="6"/>
      <c r="F15" s="6">
        <v>45</v>
      </c>
      <c r="G15" s="6"/>
      <c r="H15" s="6">
        <f t="shared" si="3"/>
        <v>1</v>
      </c>
      <c r="I15" s="6">
        <f t="shared" si="0"/>
        <v>0</v>
      </c>
      <c r="J15" s="6"/>
      <c r="K15" s="6">
        <f t="shared" si="1"/>
        <v>1</v>
      </c>
      <c r="L15" s="6">
        <f t="shared" si="2"/>
        <v>0</v>
      </c>
    </row>
    <row r="16" spans="1:12" x14ac:dyDescent="0.25">
      <c r="A16" s="5">
        <v>47</v>
      </c>
      <c r="B16" s="6">
        <v>59030232</v>
      </c>
      <c r="C16" s="6">
        <v>85613</v>
      </c>
      <c r="D16" s="6">
        <v>7544250</v>
      </c>
      <c r="E16" s="6">
        <f>ROUND(D16*0.5,0)</f>
        <v>3772125</v>
      </c>
      <c r="F16" s="6">
        <v>8</v>
      </c>
      <c r="G16" s="6"/>
      <c r="H16" s="6">
        <f>B16+E16</f>
        <v>62802357</v>
      </c>
      <c r="I16" s="6">
        <f>ROUND(H16*F16/100,0)</f>
        <v>5024189</v>
      </c>
      <c r="J16" s="6"/>
      <c r="K16" s="36">
        <f t="shared" si="1"/>
        <v>59030232</v>
      </c>
      <c r="L16" s="6">
        <f t="shared" si="2"/>
        <v>4722419</v>
      </c>
    </row>
    <row r="17" spans="1:15" x14ac:dyDescent="0.25">
      <c r="A17" s="5">
        <v>50</v>
      </c>
      <c r="B17" s="6">
        <v>338310</v>
      </c>
      <c r="C17" s="6"/>
      <c r="D17" s="6">
        <v>294235</v>
      </c>
      <c r="E17" s="6">
        <f>ROUND(D17*0.5,0)</f>
        <v>147118</v>
      </c>
      <c r="F17" s="6">
        <v>55</v>
      </c>
      <c r="G17" s="6"/>
      <c r="H17" s="6">
        <f t="shared" ref="H17:H25" si="4">B17+E17</f>
        <v>485428</v>
      </c>
      <c r="I17" s="6">
        <f t="shared" si="0"/>
        <v>266985</v>
      </c>
      <c r="J17" s="6"/>
      <c r="K17" s="36">
        <f t="shared" si="1"/>
        <v>338310</v>
      </c>
      <c r="L17" s="6">
        <f t="shared" si="2"/>
        <v>186071</v>
      </c>
    </row>
    <row r="18" spans="1:15" x14ac:dyDescent="0.25">
      <c r="A18" s="5">
        <v>95</v>
      </c>
      <c r="B18" s="6">
        <v>685491</v>
      </c>
      <c r="C18" s="6"/>
      <c r="D18" s="6"/>
      <c r="E18" s="6"/>
      <c r="F18" s="6">
        <v>0</v>
      </c>
      <c r="G18" s="6"/>
      <c r="H18" s="6">
        <f t="shared" si="4"/>
        <v>685491</v>
      </c>
      <c r="I18" s="6">
        <f t="shared" si="0"/>
        <v>0</v>
      </c>
      <c r="J18" s="6"/>
      <c r="K18" s="6">
        <f t="shared" si="1"/>
        <v>685491</v>
      </c>
      <c r="L18" s="6">
        <f t="shared" si="2"/>
        <v>0</v>
      </c>
    </row>
    <row r="19" spans="1:15" x14ac:dyDescent="0.25">
      <c r="A19" s="5" t="s">
        <v>14</v>
      </c>
      <c r="B19" s="6">
        <v>1287466</v>
      </c>
      <c r="C19" s="6"/>
      <c r="D19" s="6"/>
      <c r="E19" s="6"/>
      <c r="F19" s="6">
        <v>6</v>
      </c>
      <c r="G19" s="6"/>
      <c r="H19" s="6">
        <f t="shared" si="4"/>
        <v>1287466</v>
      </c>
      <c r="I19" s="6">
        <f t="shared" si="0"/>
        <v>77248</v>
      </c>
      <c r="J19" s="6"/>
      <c r="K19" s="6">
        <f t="shared" si="1"/>
        <v>1287466</v>
      </c>
      <c r="L19" s="6">
        <f t="shared" si="2"/>
        <v>77248</v>
      </c>
    </row>
    <row r="20" spans="1:15" x14ac:dyDescent="0.25">
      <c r="A20" s="5">
        <v>94</v>
      </c>
      <c r="B20" s="6">
        <v>1405904</v>
      </c>
      <c r="C20" s="6"/>
      <c r="D20" s="6"/>
      <c r="E20" s="6"/>
      <c r="F20" s="6">
        <v>0</v>
      </c>
      <c r="G20" s="6"/>
      <c r="H20" s="6">
        <f t="shared" si="4"/>
        <v>1405904</v>
      </c>
      <c r="I20" s="6">
        <f t="shared" si="0"/>
        <v>0</v>
      </c>
      <c r="J20" s="6"/>
      <c r="K20" s="6">
        <f t="shared" si="1"/>
        <v>1405904</v>
      </c>
      <c r="L20" s="6">
        <f t="shared" si="2"/>
        <v>0</v>
      </c>
    </row>
    <row r="21" spans="1:15" x14ac:dyDescent="0.25">
      <c r="A21" s="5">
        <v>14.1</v>
      </c>
      <c r="B21" s="6">
        <v>6597</v>
      </c>
      <c r="C21" s="6"/>
      <c r="D21" s="6"/>
      <c r="E21" s="6"/>
      <c r="F21" s="6">
        <v>5</v>
      </c>
      <c r="G21" s="6"/>
      <c r="H21" s="6">
        <f t="shared" si="4"/>
        <v>6597</v>
      </c>
      <c r="I21" s="6">
        <f t="shared" si="0"/>
        <v>330</v>
      </c>
      <c r="J21" s="6"/>
      <c r="K21" s="6">
        <f t="shared" si="1"/>
        <v>6597</v>
      </c>
      <c r="L21" s="6">
        <f t="shared" si="2"/>
        <v>330</v>
      </c>
    </row>
    <row r="22" spans="1:15" x14ac:dyDescent="0.25">
      <c r="A22" s="5" t="s">
        <v>14</v>
      </c>
      <c r="B22" s="6">
        <v>172569</v>
      </c>
      <c r="C22" s="6"/>
      <c r="D22" s="6"/>
      <c r="E22" s="6"/>
      <c r="F22" s="6">
        <v>6</v>
      </c>
      <c r="G22" s="6"/>
      <c r="H22" s="6">
        <f t="shared" si="4"/>
        <v>172569</v>
      </c>
      <c r="I22" s="6">
        <f t="shared" si="0"/>
        <v>10354</v>
      </c>
      <c r="J22" s="6"/>
      <c r="K22" s="6">
        <f t="shared" si="1"/>
        <v>172569</v>
      </c>
      <c r="L22" s="6">
        <f t="shared" si="2"/>
        <v>10354</v>
      </c>
    </row>
    <row r="23" spans="1:15" x14ac:dyDescent="0.25">
      <c r="A23" s="5" t="s">
        <v>14</v>
      </c>
      <c r="B23" s="6">
        <v>275397</v>
      </c>
      <c r="C23" s="6"/>
      <c r="D23" s="6">
        <v>275397</v>
      </c>
      <c r="E23" s="6">
        <f>ROUND(D23*0.5,0)</f>
        <v>137699</v>
      </c>
      <c r="F23" s="6">
        <v>6</v>
      </c>
      <c r="G23" s="6"/>
      <c r="H23" s="6">
        <f t="shared" si="4"/>
        <v>413096</v>
      </c>
      <c r="I23" s="6">
        <f t="shared" si="0"/>
        <v>24786</v>
      </c>
      <c r="J23" s="6"/>
      <c r="K23" s="36">
        <f t="shared" si="1"/>
        <v>275397</v>
      </c>
      <c r="L23" s="6">
        <f t="shared" si="2"/>
        <v>16524</v>
      </c>
    </row>
    <row r="24" spans="1:15" x14ac:dyDescent="0.25">
      <c r="A24" s="5">
        <v>12</v>
      </c>
      <c r="B24" s="6">
        <v>6524</v>
      </c>
      <c r="C24" s="6"/>
      <c r="D24" s="6"/>
      <c r="E24" s="6"/>
      <c r="F24" s="6">
        <v>100</v>
      </c>
      <c r="G24" s="6"/>
      <c r="H24" s="6">
        <f t="shared" si="4"/>
        <v>6524</v>
      </c>
      <c r="I24" s="6">
        <f t="shared" si="0"/>
        <v>6524</v>
      </c>
      <c r="J24" s="6"/>
      <c r="K24" s="6">
        <f t="shared" si="1"/>
        <v>6524</v>
      </c>
      <c r="L24" s="6">
        <f t="shared" si="2"/>
        <v>6524</v>
      </c>
    </row>
    <row r="25" spans="1:15" x14ac:dyDescent="0.25">
      <c r="A25" s="5">
        <v>43.2</v>
      </c>
      <c r="B25" s="6">
        <v>476028</v>
      </c>
      <c r="C25" s="6"/>
      <c r="D25" s="6">
        <v>476028</v>
      </c>
      <c r="E25" s="6">
        <v>476028</v>
      </c>
      <c r="F25" s="6">
        <v>50</v>
      </c>
      <c r="G25" s="6"/>
      <c r="H25" s="6">
        <f t="shared" si="4"/>
        <v>952056</v>
      </c>
      <c r="I25" s="6">
        <f t="shared" si="0"/>
        <v>476028</v>
      </c>
      <c r="J25" s="6"/>
      <c r="K25" s="36">
        <f t="shared" si="1"/>
        <v>476028</v>
      </c>
      <c r="L25" s="6">
        <f t="shared" si="2"/>
        <v>238014</v>
      </c>
    </row>
    <row r="26" spans="1:15" x14ac:dyDescent="0.25">
      <c r="B26" s="7">
        <f>SUM(B9:B25)</f>
        <v>104877326</v>
      </c>
      <c r="C26" s="6"/>
      <c r="D26" s="7">
        <f>SUM(D9:D25)</f>
        <v>8815747</v>
      </c>
      <c r="E26" s="7">
        <f>SUM(E9:E25)</f>
        <v>4645889</v>
      </c>
      <c r="F26" s="6"/>
      <c r="G26" s="6"/>
      <c r="H26" s="6"/>
      <c r="I26" s="7">
        <f>SUM(I9:I25)</f>
        <v>8054659</v>
      </c>
      <c r="J26" s="6"/>
      <c r="K26" s="7">
        <f>SUM(K9:K25)</f>
        <v>104877326</v>
      </c>
      <c r="L26" s="7">
        <f>SUM(L9:L25)</f>
        <v>7395896</v>
      </c>
      <c r="N26" s="8">
        <f>I26-L26</f>
        <v>658763</v>
      </c>
    </row>
    <row r="27" spans="1:15" x14ac:dyDescent="0.25">
      <c r="B27" s="6"/>
      <c r="C27" s="6"/>
      <c r="D27" s="6"/>
      <c r="E27" s="6"/>
      <c r="F27" s="6"/>
      <c r="G27" s="6"/>
      <c r="H27" s="6"/>
      <c r="I27" s="6" t="s">
        <v>15</v>
      </c>
      <c r="J27" s="6"/>
      <c r="K27" s="6"/>
      <c r="L27" t="s">
        <v>16</v>
      </c>
      <c r="N27" t="s">
        <v>17</v>
      </c>
    </row>
    <row r="28" spans="1:1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5" x14ac:dyDescent="0.25">
      <c r="B29" s="6"/>
      <c r="C29" s="6"/>
      <c r="D29" s="6"/>
      <c r="E29" s="6"/>
      <c r="F29" s="6"/>
      <c r="G29" s="6"/>
      <c r="M29" s="9">
        <v>0.26500000000000001</v>
      </c>
      <c r="N29" s="8">
        <f>N26*M29</f>
        <v>174572.19500000001</v>
      </c>
    </row>
    <row r="30" spans="1:15" x14ac:dyDescent="0.25">
      <c r="H30" s="35" t="s">
        <v>66</v>
      </c>
      <c r="I30" s="35"/>
      <c r="J30" s="35"/>
      <c r="K30" s="35"/>
    </row>
    <row r="31" spans="1:15" ht="15.75" thickBot="1" x14ac:dyDescent="0.3">
      <c r="H31" s="35" t="s">
        <v>68</v>
      </c>
      <c r="I31" s="35"/>
      <c r="J31" s="35"/>
      <c r="K31" s="35"/>
      <c r="M31" s="5" t="s">
        <v>18</v>
      </c>
      <c r="N31" s="10">
        <f>N29/(1-M29)</f>
        <v>237513.1904761905</v>
      </c>
      <c r="O31" t="s">
        <v>47</v>
      </c>
    </row>
    <row r="32" spans="1:15" ht="15.75" thickTop="1" x14ac:dyDescent="0.25"/>
  </sheetData>
  <pageMargins left="0.7" right="0.7" top="0.75" bottom="0.75" header="0.3" footer="0.3"/>
  <pageSetup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C264BBED9C34284609B6FACE239A4" ma:contentTypeVersion="4" ma:contentTypeDescription="Create a new document." ma:contentTypeScope="" ma:versionID="73f6d36ec82be77d04a6a8bc7797cbe2">
  <xsd:schema xmlns:xsd="http://www.w3.org/2001/XMLSchema" xmlns:xs="http://www.w3.org/2001/XMLSchema" xmlns:p="http://schemas.microsoft.com/office/2006/metadata/properties" xmlns:ns2="77e6a0f2-55ff-42a5-9a68-2fc1c0f9e282" targetNamespace="http://schemas.microsoft.com/office/2006/metadata/properties" ma:root="true" ma:fieldsID="351e4622012de6b56ff1c494637534f1" ns2:_="">
    <xsd:import namespace="77e6a0f2-55ff-42a5-9a68-2fc1c0f9e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6a0f2-55ff-42a5-9a68-2fc1c0f9e2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EED680-AED5-4EE0-BC67-6666BBFCB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6a0f2-55ff-42a5-9a68-2fc1c0f9e2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94B3FC-60FD-4F63-8C0F-5DFD7196BE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7C1251-8446-4D9E-906E-77C1470531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Ex 9 Acc CCA 2019</vt:lpstr>
      <vt:lpstr>Ex 9 Acc CCA 2024</vt:lpstr>
      <vt:lpstr>Ex 9 Acc CCA Cressey</vt:lpstr>
      <vt:lpstr>Initial Submission CCA 2019</vt:lpstr>
      <vt:lpstr>IRR Submission CCA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Chisholm, David</dc:creator>
  <cp:lastModifiedBy>Chisholm, David</cp:lastModifiedBy>
  <dcterms:created xsi:type="dcterms:W3CDTF">2024-12-10T19:37:32Z</dcterms:created>
  <dcterms:modified xsi:type="dcterms:W3CDTF">2025-03-05T11:50:54Z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0x01010006CC264BBED9C34284609B6FACE239A4</vt:lpwstr>
  </property>
</Properties>
</file>