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.syncclient\1730730958531\tedbeingessner@hydroottawa.com\1A1reCoxMZmcTxl4mMWMH7g-L-1XIO6Mx\"/>
    </mc:Choice>
  </mc:AlternateContent>
  <xr:revisionPtr revIDLastSave="0" documentId="13_ncr:1_{D4A0F421-6316-476E-9A5A-1F4209334BDF}" xr6:coauthVersionLast="47" xr6:coauthVersionMax="47" xr10:uidLastSave="{00000000-0000-0000-0000-000000000000}"/>
  <bookViews>
    <workbookView xWindow="-14805" yWindow="-16320" windowWidth="29040" windowHeight="15990" xr2:uid="{105D80BE-C68A-4F32-93A0-BC1905B49F75}"/>
  </bookViews>
  <sheets>
    <sheet name="App.2-ZA_2027-Com. Exp. Forecas" sheetId="1" r:id="rId1"/>
    <sheet name="App.2-ZB_2027Cost of Power" sheetId="2" r:id="rId2"/>
  </sheets>
  <externalReferences>
    <externalReference r:id="rId3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J29" i="2"/>
  <c r="J30" i="2"/>
  <c r="J31" i="2"/>
  <c r="J32" i="2"/>
  <c r="J33" i="2"/>
  <c r="J14" i="2"/>
  <c r="J15" i="2"/>
  <c r="J16" i="2"/>
  <c r="J17" i="2"/>
  <c r="J18" i="2"/>
  <c r="J19" i="2"/>
  <c r="J20" i="2"/>
  <c r="J21" i="2"/>
  <c r="H14" i="2"/>
  <c r="H15" i="2"/>
  <c r="H16" i="2"/>
  <c r="H17" i="2"/>
  <c r="H18" i="2"/>
  <c r="H19" i="2"/>
  <c r="H20" i="2"/>
  <c r="H21" i="2"/>
  <c r="K161" i="2"/>
  <c r="J40" i="2"/>
  <c r="J41" i="2"/>
  <c r="F21" i="2"/>
  <c r="L40" i="1"/>
  <c r="J39" i="2"/>
  <c r="J28" i="2"/>
  <c r="F14" i="2"/>
  <c r="F15" i="2"/>
  <c r="F16" i="2"/>
  <c r="F17" i="2"/>
  <c r="F18" i="2"/>
  <c r="F19" i="2"/>
  <c r="F20" i="2"/>
  <c r="D16" i="2"/>
  <c r="D17" i="2"/>
  <c r="D18" i="2"/>
  <c r="D19" i="2"/>
  <c r="D20" i="2"/>
  <c r="D21" i="2"/>
  <c r="D15" i="2"/>
  <c r="A37" i="2"/>
  <c r="F22" i="2"/>
  <c r="A14" i="2"/>
  <c r="A29" i="2" s="1"/>
  <c r="A15" i="2"/>
  <c r="A50" i="2" s="1"/>
  <c r="A65" i="2" s="1"/>
  <c r="A80" i="2" s="1"/>
  <c r="A95" i="2" s="1"/>
  <c r="A110" i="2" s="1"/>
  <c r="A125" i="2" s="1"/>
  <c r="A140" i="2" s="1"/>
  <c r="A16" i="2"/>
  <c r="A17" i="2"/>
  <c r="A18" i="2"/>
  <c r="A53" i="2" s="1"/>
  <c r="A68" i="2" s="1"/>
  <c r="A83" i="2" s="1"/>
  <c r="A98" i="2" s="1"/>
  <c r="A113" i="2" s="1"/>
  <c r="A128" i="2" s="1"/>
  <c r="A143" i="2" s="1"/>
  <c r="A19" i="2"/>
  <c r="A54" i="2" s="1"/>
  <c r="A69" i="2" s="1"/>
  <c r="A84" i="2" s="1"/>
  <c r="A99" i="2" s="1"/>
  <c r="A114" i="2" s="1"/>
  <c r="A129" i="2" s="1"/>
  <c r="A144" i="2" s="1"/>
  <c r="A20" i="2"/>
  <c r="A21" i="2"/>
  <c r="A13" i="2"/>
  <c r="A48" i="2" s="1"/>
  <c r="A63" i="2" s="1"/>
  <c r="A78" i="2" s="1"/>
  <c r="A93" i="2" s="1"/>
  <c r="A108" i="2" s="1"/>
  <c r="A123" i="2" s="1"/>
  <c r="A138" i="2" s="1"/>
  <c r="D14" i="2"/>
  <c r="H13" i="2"/>
  <c r="J13" i="2" s="1"/>
  <c r="F13" i="2"/>
  <c r="D13" i="2"/>
  <c r="D170" i="2"/>
  <c r="J160" i="2"/>
  <c r="F160" i="2"/>
  <c r="J159" i="2"/>
  <c r="F159" i="2"/>
  <c r="J158" i="2"/>
  <c r="F158" i="2"/>
  <c r="J157" i="2"/>
  <c r="F157" i="2"/>
  <c r="J156" i="2"/>
  <c r="F156" i="2"/>
  <c r="J155" i="2"/>
  <c r="F155" i="2"/>
  <c r="J154" i="2"/>
  <c r="F154" i="2"/>
  <c r="F161" i="2" s="1"/>
  <c r="J153" i="2"/>
  <c r="F153" i="2"/>
  <c r="J148" i="2"/>
  <c r="F148" i="2"/>
  <c r="J147" i="2"/>
  <c r="F147" i="2"/>
  <c r="J146" i="2"/>
  <c r="F146" i="2"/>
  <c r="J145" i="2"/>
  <c r="F145" i="2"/>
  <c r="J144" i="2"/>
  <c r="F144" i="2"/>
  <c r="J143" i="2"/>
  <c r="F143" i="2"/>
  <c r="J142" i="2"/>
  <c r="F142" i="2"/>
  <c r="J141" i="2"/>
  <c r="F141" i="2"/>
  <c r="J140" i="2"/>
  <c r="F140" i="2"/>
  <c r="J139" i="2"/>
  <c r="F139" i="2"/>
  <c r="J138" i="2"/>
  <c r="F138" i="2"/>
  <c r="J133" i="2"/>
  <c r="F133" i="2"/>
  <c r="J132" i="2"/>
  <c r="F132" i="2"/>
  <c r="J131" i="2"/>
  <c r="F131" i="2"/>
  <c r="J130" i="2"/>
  <c r="F130" i="2"/>
  <c r="J129" i="2"/>
  <c r="F129" i="2"/>
  <c r="J128" i="2"/>
  <c r="F128" i="2"/>
  <c r="J127" i="2"/>
  <c r="F127" i="2"/>
  <c r="J126" i="2"/>
  <c r="F126" i="2"/>
  <c r="J125" i="2"/>
  <c r="F125" i="2"/>
  <c r="J124" i="2"/>
  <c r="F124" i="2"/>
  <c r="J123" i="2"/>
  <c r="F123" i="2"/>
  <c r="J118" i="2"/>
  <c r="F118" i="2"/>
  <c r="J117" i="2"/>
  <c r="F117" i="2"/>
  <c r="J116" i="2"/>
  <c r="F116" i="2"/>
  <c r="J115" i="2"/>
  <c r="F115" i="2"/>
  <c r="J114" i="2"/>
  <c r="F114" i="2"/>
  <c r="J113" i="2"/>
  <c r="F113" i="2"/>
  <c r="J112" i="2"/>
  <c r="F112" i="2"/>
  <c r="J111" i="2"/>
  <c r="F111" i="2"/>
  <c r="J110" i="2"/>
  <c r="F110" i="2"/>
  <c r="J109" i="2"/>
  <c r="F109" i="2"/>
  <c r="J108" i="2"/>
  <c r="F108" i="2"/>
  <c r="F119" i="2" s="1"/>
  <c r="J103" i="2"/>
  <c r="F103" i="2"/>
  <c r="J102" i="2"/>
  <c r="F102" i="2"/>
  <c r="J101" i="2"/>
  <c r="F101" i="2"/>
  <c r="J100" i="2"/>
  <c r="F100" i="2"/>
  <c r="J99" i="2"/>
  <c r="F99" i="2"/>
  <c r="J98" i="2"/>
  <c r="F98" i="2"/>
  <c r="J97" i="2"/>
  <c r="F97" i="2"/>
  <c r="J96" i="2"/>
  <c r="F96" i="2"/>
  <c r="J95" i="2"/>
  <c r="F95" i="2"/>
  <c r="J94" i="2"/>
  <c r="F94" i="2"/>
  <c r="J93" i="2"/>
  <c r="F93" i="2"/>
  <c r="J88" i="2"/>
  <c r="F88" i="2"/>
  <c r="J87" i="2"/>
  <c r="F87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F80" i="2"/>
  <c r="J79" i="2"/>
  <c r="F79" i="2"/>
  <c r="J78" i="2"/>
  <c r="J89" i="2" s="1"/>
  <c r="F78" i="2"/>
  <c r="F89" i="2" s="1"/>
  <c r="U73" i="2"/>
  <c r="Q73" i="2"/>
  <c r="J73" i="2"/>
  <c r="F73" i="2"/>
  <c r="U72" i="2"/>
  <c r="Q72" i="2"/>
  <c r="J72" i="2"/>
  <c r="F72" i="2"/>
  <c r="U71" i="2"/>
  <c r="Q71" i="2"/>
  <c r="J71" i="2"/>
  <c r="F71" i="2"/>
  <c r="U70" i="2"/>
  <c r="Q70" i="2"/>
  <c r="J70" i="2"/>
  <c r="F70" i="2"/>
  <c r="U69" i="2"/>
  <c r="Q69" i="2"/>
  <c r="J69" i="2"/>
  <c r="F69" i="2"/>
  <c r="U68" i="2"/>
  <c r="Q68" i="2"/>
  <c r="J68" i="2"/>
  <c r="F68" i="2"/>
  <c r="U67" i="2"/>
  <c r="Q67" i="2"/>
  <c r="J67" i="2"/>
  <c r="F67" i="2"/>
  <c r="U66" i="2"/>
  <c r="Q66" i="2"/>
  <c r="J66" i="2"/>
  <c r="F66" i="2"/>
  <c r="U65" i="2"/>
  <c r="Q65" i="2"/>
  <c r="J65" i="2"/>
  <c r="F65" i="2"/>
  <c r="U64" i="2"/>
  <c r="Q64" i="2"/>
  <c r="J64" i="2"/>
  <c r="F64" i="2"/>
  <c r="U63" i="2"/>
  <c r="Q63" i="2"/>
  <c r="J63" i="2"/>
  <c r="F63" i="2"/>
  <c r="U58" i="2"/>
  <c r="Q58" i="2"/>
  <c r="J58" i="2"/>
  <c r="F58" i="2"/>
  <c r="U57" i="2"/>
  <c r="Q57" i="2"/>
  <c r="J57" i="2"/>
  <c r="F57" i="2"/>
  <c r="A57" i="2"/>
  <c r="A72" i="2" s="1"/>
  <c r="A87" i="2" s="1"/>
  <c r="A102" i="2" s="1"/>
  <c r="A117" i="2" s="1"/>
  <c r="A132" i="2" s="1"/>
  <c r="A147" i="2" s="1"/>
  <c r="U56" i="2"/>
  <c r="Q56" i="2"/>
  <c r="J56" i="2"/>
  <c r="F56" i="2"/>
  <c r="A56" i="2"/>
  <c r="A71" i="2" s="1"/>
  <c r="A86" i="2" s="1"/>
  <c r="A101" i="2" s="1"/>
  <c r="A116" i="2" s="1"/>
  <c r="A131" i="2" s="1"/>
  <c r="A146" i="2" s="1"/>
  <c r="U55" i="2"/>
  <c r="Q55" i="2"/>
  <c r="J55" i="2"/>
  <c r="F55" i="2"/>
  <c r="U54" i="2"/>
  <c r="Q54" i="2"/>
  <c r="J54" i="2"/>
  <c r="F54" i="2"/>
  <c r="U53" i="2"/>
  <c r="Q53" i="2"/>
  <c r="J53" i="2"/>
  <c r="F53" i="2"/>
  <c r="U52" i="2"/>
  <c r="Q52" i="2"/>
  <c r="J52" i="2"/>
  <c r="F52" i="2"/>
  <c r="U51" i="2"/>
  <c r="Q51" i="2"/>
  <c r="J51" i="2"/>
  <c r="F51" i="2"/>
  <c r="U50" i="2"/>
  <c r="Q50" i="2"/>
  <c r="J50" i="2"/>
  <c r="F50" i="2"/>
  <c r="U49" i="2"/>
  <c r="Q49" i="2"/>
  <c r="J49" i="2"/>
  <c r="F49" i="2"/>
  <c r="U48" i="2"/>
  <c r="Q48" i="2"/>
  <c r="J48" i="2"/>
  <c r="F48" i="2"/>
  <c r="F59" i="2" s="1"/>
  <c r="F43" i="2"/>
  <c r="F42" i="2"/>
  <c r="F41" i="2"/>
  <c r="F40" i="2"/>
  <c r="F39" i="2"/>
  <c r="F38" i="2"/>
  <c r="A38" i="2"/>
  <c r="F37" i="2"/>
  <c r="F36" i="2"/>
  <c r="F35" i="2"/>
  <c r="F34" i="2"/>
  <c r="F33" i="2"/>
  <c r="A33" i="2"/>
  <c r="F32" i="2"/>
  <c r="F31" i="2"/>
  <c r="F30" i="2"/>
  <c r="F44" i="2" s="1"/>
  <c r="A30" i="2"/>
  <c r="F29" i="2"/>
  <c r="F28" i="2"/>
  <c r="A58" i="2"/>
  <c r="A73" i="2" s="1"/>
  <c r="A88" i="2" s="1"/>
  <c r="A103" i="2" s="1"/>
  <c r="A118" i="2" s="1"/>
  <c r="A133" i="2" s="1"/>
  <c r="A148" i="2" s="1"/>
  <c r="A36" i="2"/>
  <c r="A55" i="2"/>
  <c r="A70" i="2" s="1"/>
  <c r="A85" i="2" s="1"/>
  <c r="A100" i="2" s="1"/>
  <c r="A115" i="2" s="1"/>
  <c r="A130" i="2" s="1"/>
  <c r="A145" i="2" s="1"/>
  <c r="A32" i="2"/>
  <c r="A51" i="2"/>
  <c r="A66" i="2" s="1"/>
  <c r="A81" i="2" s="1"/>
  <c r="A96" i="2" s="1"/>
  <c r="A111" i="2" s="1"/>
  <c r="A126" i="2" s="1"/>
  <c r="A141" i="2" s="1"/>
  <c r="H10" i="2"/>
  <c r="K65" i="1"/>
  <c r="L65" i="1" s="1"/>
  <c r="H65" i="1"/>
  <c r="K64" i="1"/>
  <c r="H64" i="1"/>
  <c r="L64" i="1" s="1"/>
  <c r="B64" i="1"/>
  <c r="K63" i="1"/>
  <c r="L63" i="1" s="1"/>
  <c r="H63" i="1"/>
  <c r="B63" i="1"/>
  <c r="K62" i="1"/>
  <c r="L62" i="1" s="1"/>
  <c r="H62" i="1"/>
  <c r="B62" i="1"/>
  <c r="L61" i="1"/>
  <c r="K61" i="1"/>
  <c r="H61" i="1"/>
  <c r="B61" i="1"/>
  <c r="K60" i="1"/>
  <c r="L60" i="1" s="1"/>
  <c r="H60" i="1"/>
  <c r="B60" i="1"/>
  <c r="K59" i="1"/>
  <c r="L59" i="1" s="1"/>
  <c r="H59" i="1"/>
  <c r="B59" i="1"/>
  <c r="L58" i="1"/>
  <c r="K58" i="1"/>
  <c r="H58" i="1"/>
  <c r="B58" i="1"/>
  <c r="K57" i="1"/>
  <c r="L57" i="1" s="1"/>
  <c r="H57" i="1"/>
  <c r="B57" i="1"/>
  <c r="K56" i="1"/>
  <c r="L56" i="1" s="1"/>
  <c r="H56" i="1"/>
  <c r="B56" i="1"/>
  <c r="L55" i="1"/>
  <c r="K55" i="1"/>
  <c r="H55" i="1"/>
  <c r="H66" i="1" s="1"/>
  <c r="B55" i="1"/>
  <c r="F50" i="1"/>
  <c r="L49" i="1"/>
  <c r="L48" i="1"/>
  <c r="G47" i="1"/>
  <c r="L47" i="1" s="1"/>
  <c r="L46" i="1"/>
  <c r="G46" i="1"/>
  <c r="G45" i="1"/>
  <c r="G50" i="1" s="1"/>
  <c r="G52" i="1"/>
  <c r="B40" i="1"/>
  <c r="K39" i="1"/>
  <c r="J39" i="1"/>
  <c r="L39" i="1" s="1"/>
  <c r="J38" i="1"/>
  <c r="K37" i="1"/>
  <c r="J37" i="1"/>
  <c r="L37" i="1" s="1"/>
  <c r="J36" i="1"/>
  <c r="K35" i="1"/>
  <c r="L35" i="1" s="1"/>
  <c r="J35" i="1"/>
  <c r="J34" i="1"/>
  <c r="K33" i="1"/>
  <c r="J33" i="1"/>
  <c r="L33" i="1" s="1"/>
  <c r="J32" i="1"/>
  <c r="K31" i="1"/>
  <c r="L31" i="1" s="1"/>
  <c r="J31" i="1"/>
  <c r="L30" i="1"/>
  <c r="K30" i="1"/>
  <c r="J30" i="1"/>
  <c r="K29" i="1"/>
  <c r="J29" i="1"/>
  <c r="L29" i="1" s="1"/>
  <c r="H20" i="1"/>
  <c r="K36" i="1" s="1"/>
  <c r="L36" i="1" s="1"/>
  <c r="F24" i="2" l="1"/>
  <c r="J24" i="2"/>
  <c r="U74" i="2"/>
  <c r="Q74" i="2"/>
  <c r="U59" i="2"/>
  <c r="Q59" i="2"/>
  <c r="V59" i="2" s="1"/>
  <c r="J161" i="2"/>
  <c r="F149" i="2"/>
  <c r="J149" i="2"/>
  <c r="F134" i="2"/>
  <c r="J134" i="2"/>
  <c r="K134" i="2" s="1"/>
  <c r="J119" i="2"/>
  <c r="K119" i="2" s="1"/>
  <c r="F104" i="2"/>
  <c r="K104" i="2" s="1"/>
  <c r="J104" i="2"/>
  <c r="F74" i="2"/>
  <c r="K74" i="2" s="1"/>
  <c r="J74" i="2"/>
  <c r="J59" i="2"/>
  <c r="K59" i="2" s="1"/>
  <c r="J44" i="2"/>
  <c r="K44" i="2" s="1"/>
  <c r="E172" i="2" s="1"/>
  <c r="A34" i="2"/>
  <c r="K89" i="2"/>
  <c r="E177" i="2"/>
  <c r="A31" i="2"/>
  <c r="A35" i="2"/>
  <c r="A49" i="2"/>
  <c r="A64" i="2" s="1"/>
  <c r="A79" i="2" s="1"/>
  <c r="A94" i="2" s="1"/>
  <c r="A109" i="2" s="1"/>
  <c r="A124" i="2" s="1"/>
  <c r="A139" i="2" s="1"/>
  <c r="A52" i="2"/>
  <c r="A67" i="2" s="1"/>
  <c r="A82" i="2" s="1"/>
  <c r="A97" i="2" s="1"/>
  <c r="A112" i="2" s="1"/>
  <c r="A127" i="2" s="1"/>
  <c r="A142" i="2" s="1"/>
  <c r="A28" i="2"/>
  <c r="L67" i="1"/>
  <c r="L45" i="1"/>
  <c r="L50" i="1" s="1"/>
  <c r="K34" i="1"/>
  <c r="L34" i="1" s="1"/>
  <c r="K38" i="1"/>
  <c r="L38" i="1" s="1"/>
  <c r="K32" i="1"/>
  <c r="L32" i="1" s="1"/>
  <c r="V74" i="2" l="1"/>
  <c r="E175" i="2" s="1"/>
  <c r="E174" i="2"/>
  <c r="K149" i="2"/>
  <c r="E176" i="2" s="1"/>
  <c r="E173" i="2"/>
  <c r="K24" i="2"/>
  <c r="L24" i="2" s="1"/>
  <c r="J163" i="2"/>
  <c r="J165" i="2" s="1"/>
  <c r="F163" i="2"/>
  <c r="E171" i="2" l="1"/>
  <c r="F164" i="2"/>
  <c r="K164" i="2" s="1"/>
  <c r="E178" i="2" s="1"/>
  <c r="K163" i="2"/>
  <c r="K165" i="2" l="1"/>
  <c r="F165" i="2"/>
  <c r="E179" i="2"/>
  <c r="E180" i="2" l="1"/>
</calcChain>
</file>

<file path=xl/sharedStrings.xml><?xml version="1.0" encoding="utf-8"?>
<sst xmlns="http://schemas.openxmlformats.org/spreadsheetml/2006/main" count="340" uniqueCount="107">
  <si>
    <t>File Number:</t>
  </si>
  <si>
    <t>EB-2024-0115</t>
  </si>
  <si>
    <t>Exhibit:</t>
  </si>
  <si>
    <t xml:space="preserve">Commodity Expense </t>
  </si>
  <si>
    <t>Tab:</t>
  </si>
  <si>
    <t>Schedule:</t>
  </si>
  <si>
    <t>Attachment:</t>
  </si>
  <si>
    <t>B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</si>
  <si>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</si>
  <si>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</si>
  <si>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</si>
  <si>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</si>
  <si>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</si>
  <si>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</si>
  <si>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</si>
  <si>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</si>
  <si>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</si>
  <si>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</si>
  <si>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</si>
  <si>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</si>
  <si>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</si>
  <si>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</si>
  <si>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</si>
  <si>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</si>
  <si>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</si>
  <si>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</si>
  <si>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</si>
  <si>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</si>
  <si>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</si>
  <si>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</si>
  <si>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</si>
  <si>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</si>
  <si>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</si>
  <si>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</si>
  <si>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</si>
  <si>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</si>
  <si>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</si>
  <si>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</si>
  <si>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</si>
  <si>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</si>
  <si>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</si>
  <si>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&lt;50KW</t>
  </si>
  <si>
    <t>GENERAL SERVICE 1000-1500KW</t>
  </si>
  <si>
    <t>GENERAL SERVICE 1500-5000 KW</t>
  </si>
  <si>
    <t>LARGE USER</t>
  </si>
  <si>
    <t>STREETLIGHTING</t>
  </si>
  <si>
    <t>SENTINEL LIGHTS</t>
  </si>
  <si>
    <t>UNMETERED SCATTERED LOADS</t>
  </si>
  <si>
    <t>DRYCORE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</si>
  <si>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</si>
  <si>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</si>
  <si>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</si>
  <si>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</si>
  <si>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</si>
  <si>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</si>
  <si>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</si>
  <si>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TOTAL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</si>
  <si>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</si>
  <si>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</si>
  <si>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</si>
  <si>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</si>
  <si>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</si>
  <si>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</si>
  <si>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</si>
  <si>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</si>
  <si>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</si>
  <si>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</si>
  <si>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</si>
  <si>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</si>
  <si>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</si>
  <si>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</si>
  <si>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</si>
  <si>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</si>
  <si>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</si>
  <si>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</si>
  <si>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>Transmission - Network - IESO</t>
  </si>
  <si>
    <t xml:space="preserve"> Volume</t>
  </si>
  <si>
    <t>Transmission - Network - Hydro One</t>
  </si>
  <si>
    <t>kW</t>
  </si>
  <si>
    <t>Transmission - Connection - IESO</t>
  </si>
  <si>
    <t>Transmission - Connection - Hydro One</t>
  </si>
  <si>
    <t>Wholesale Market Service</t>
  </si>
  <si>
    <t xml:space="preserve">Class A CBR </t>
  </si>
  <si>
    <t xml:space="preserve">Class B CBR </t>
  </si>
  <si>
    <t>RRRP</t>
  </si>
  <si>
    <t>Low Voltage - No TLF adjustment</t>
  </si>
  <si>
    <t>Smart Meter Entity Charge</t>
  </si>
  <si>
    <t>Residential</t>
  </si>
  <si>
    <t># of Customers</t>
  </si>
  <si>
    <t>GS &lt; 50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</si>
  <si>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</si>
  <si>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</si>
  <si>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</si>
  <si>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</si>
  <si>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</si>
  <si>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</si>
  <si>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</si>
  <si>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</si>
  <si>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</si>
  <si>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</si>
  <si>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</si>
  <si>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</si>
  <si>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>2027 Test Year</t>
  </si>
  <si>
    <t>GENERAL SERVICE 1000-1500KW - Class A</t>
  </si>
  <si>
    <t>GENERAL SERVICE 1500-5000 KW - Class A</t>
  </si>
  <si>
    <t>LARGE USER - Class A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</si>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</sst>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0.0000"/>
    <numFmt numFmtId="171" formatCode="_-* #,##0_-;\-* #,##0_-;_-* \-??_-;_-@"/>
    <numFmt numFmtId="172" formatCode="_(&quot;$&quot;* #,##0_);_(&quot;$&quot;* \(#,##0\);_(&quot;$&quot;* &quot;-&quot;??_);_(@_)"/>
    <numFmt numFmtId="173" formatCode="_(* #,##0.00_);_(* \(#,##0.00\);_(* &quot;-&quot;??.00_);_(@_)"/>
    <numFmt numFmtId="174" formatCode="_-* #,##0.00_-;\-* #,##0.00_-;_-* &quot;-&quot;??_-;_-@"/>
    <numFmt numFmtId="175" formatCode="0.0%"/>
    <numFmt numFmtId="176" formatCode="_(* #,##0.000000_);_(* \(#,##0.000000\);_(* &quot;-&quot;??_);_(@_)"/>
  </numFmts>
  <fonts count="3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8"/>
      <color rgb="FFC0C0C0"/>
      <name val="Arial"/>
    </font>
    <font>
      <strike/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1"/>
      <color theme="1"/>
      <name val="Calibri"/>
    </font>
    <font>
      <b/>
      <sz val="16"/>
      <color theme="1"/>
      <name val="Calibri"/>
    </font>
    <font>
      <i/>
      <sz val="11"/>
      <color theme="1"/>
      <name val="Calibri"/>
    </font>
    <font>
      <sz val="10"/>
      <color theme="1"/>
      <name val="Calibri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7F7F7F"/>
      <name val="Calibri"/>
      <family val="2"/>
      <scheme val="minor"/>
    </font>
    <font>
      <sz val="10"/>
      <color rgb="FF7F7F7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E2EFD9"/>
        <bgColor rgb="FFE2EFD9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B8CCE4"/>
        <bgColor rgb="FFB8CCE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right" vertical="top"/>
    </xf>
    <xf numFmtId="0" fontId="7" fillId="0" borderId="0" xfId="0" applyFont="1" applyAlignment="1">
      <alignment vertical="top"/>
    </xf>
    <xf numFmtId="0" fontId="6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8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10" fontId="9" fillId="0" borderId="2" xfId="0" applyNumberFormat="1" applyFont="1" applyBorder="1" applyAlignment="1">
      <alignment horizontal="right"/>
    </xf>
    <xf numFmtId="10" fontId="9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top"/>
    </xf>
    <xf numFmtId="0" fontId="2" fillId="0" borderId="18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0" xfId="0" applyFont="1" applyFill="1"/>
    <xf numFmtId="0" fontId="5" fillId="0" borderId="0" xfId="0" applyFont="1"/>
    <xf numFmtId="43" fontId="2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16" xfId="0" applyFont="1" applyBorder="1" applyAlignment="1">
      <alignment horizontal="center"/>
    </xf>
    <xf numFmtId="0" fontId="13" fillId="0" borderId="0" xfId="0" applyFont="1"/>
    <xf numFmtId="0" fontId="13" fillId="0" borderId="11" xfId="0" applyFont="1" applyBorder="1" applyAlignment="1">
      <alignment horizontal="center" vertical="center"/>
    </xf>
    <xf numFmtId="0" fontId="15" fillId="0" borderId="16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3" fillId="0" borderId="16" xfId="0" applyFont="1" applyBorder="1"/>
    <xf numFmtId="0" fontId="2" fillId="0" borderId="15" xfId="0" applyFont="1" applyBorder="1"/>
    <xf numFmtId="37" fontId="2" fillId="0" borderId="16" xfId="0" applyNumberFormat="1" applyFont="1" applyBorder="1"/>
    <xf numFmtId="0" fontId="2" fillId="0" borderId="12" xfId="0" applyFont="1" applyBorder="1"/>
    <xf numFmtId="168" fontId="11" fillId="0" borderId="11" xfId="0" applyNumberFormat="1" applyFont="1" applyBorder="1"/>
    <xf numFmtId="0" fontId="2" fillId="2" borderId="16" xfId="0" applyFont="1" applyFill="1" applyBorder="1"/>
    <xf numFmtId="0" fontId="11" fillId="3" borderId="15" xfId="0" applyFont="1" applyFill="1" applyBorder="1"/>
    <xf numFmtId="0" fontId="2" fillId="3" borderId="15" xfId="0" applyFont="1" applyFill="1" applyBorder="1"/>
    <xf numFmtId="0" fontId="2" fillId="0" borderId="20" xfId="0" applyFont="1" applyBorder="1"/>
    <xf numFmtId="0" fontId="2" fillId="2" borderId="12" xfId="0" applyFont="1" applyFill="1" applyBorder="1"/>
    <xf numFmtId="0" fontId="2" fillId="0" borderId="13" xfId="0" applyFont="1" applyBorder="1"/>
    <xf numFmtId="168" fontId="2" fillId="0" borderId="16" xfId="0" applyNumberFormat="1" applyFont="1" applyBorder="1"/>
    <xf numFmtId="172" fontId="11" fillId="0" borderId="16" xfId="0" applyNumberFormat="1" applyFont="1" applyBorder="1"/>
    <xf numFmtId="0" fontId="2" fillId="0" borderId="21" xfId="0" applyFont="1" applyBorder="1"/>
    <xf numFmtId="0" fontId="2" fillId="0" borderId="11" xfId="0" applyFont="1" applyBorder="1"/>
    <xf numFmtId="37" fontId="2" fillId="3" borderId="0" xfId="0" applyNumberFormat="1" applyFont="1" applyFill="1"/>
    <xf numFmtId="168" fontId="11" fillId="0" borderId="16" xfId="0" applyNumberFormat="1" applyFont="1" applyBorder="1"/>
    <xf numFmtId="172" fontId="2" fillId="0" borderId="0" xfId="0" applyNumberFormat="1" applyFont="1"/>
    <xf numFmtId="0" fontId="15" fillId="8" borderId="16" xfId="0" applyFont="1" applyFill="1" applyBorder="1"/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8" fontId="2" fillId="0" borderId="16" xfId="0" applyNumberFormat="1" applyFont="1" applyBorder="1" applyAlignment="1">
      <alignment horizontal="right"/>
    </xf>
    <xf numFmtId="0" fontId="13" fillId="0" borderId="15" xfId="0" applyFont="1" applyBorder="1"/>
    <xf numFmtId="0" fontId="2" fillId="0" borderId="9" xfId="0" applyFont="1" applyBorder="1"/>
    <xf numFmtId="169" fontId="2" fillId="0" borderId="16" xfId="0" applyNumberFormat="1" applyFont="1" applyBorder="1"/>
    <xf numFmtId="173" fontId="2" fillId="0" borderId="11" xfId="0" applyNumberFormat="1" applyFont="1" applyBorder="1"/>
    <xf numFmtId="173" fontId="2" fillId="0" borderId="0" xfId="0" applyNumberFormat="1" applyFont="1"/>
    <xf numFmtId="0" fontId="2" fillId="0" borderId="23" xfId="0" applyFont="1" applyBorder="1"/>
    <xf numFmtId="0" fontId="2" fillId="0" borderId="24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8" fontId="11" fillId="0" borderId="19" xfId="0" applyNumberFormat="1" applyFont="1" applyBorder="1"/>
    <xf numFmtId="168" fontId="11" fillId="0" borderId="12" xfId="0" applyNumberFormat="1" applyFont="1" applyBorder="1"/>
    <xf numFmtId="0" fontId="2" fillId="0" borderId="22" xfId="0" applyFont="1" applyBorder="1"/>
    <xf numFmtId="0" fontId="2" fillId="0" borderId="21" xfId="0" applyFont="1" applyBorder="1" applyAlignment="1">
      <alignment horizontal="center"/>
    </xf>
    <xf numFmtId="175" fontId="2" fillId="2" borderId="9" xfId="0" applyNumberFormat="1" applyFont="1" applyFill="1" applyBorder="1" applyAlignment="1">
      <alignment horizontal="center"/>
    </xf>
    <xf numFmtId="10" fontId="13" fillId="0" borderId="16" xfId="0" applyNumberFormat="1" applyFont="1" applyBorder="1"/>
    <xf numFmtId="168" fontId="13" fillId="0" borderId="26" xfId="0" applyNumberFormat="1" applyFont="1" applyBorder="1"/>
    <xf numFmtId="10" fontId="13" fillId="0" borderId="0" xfId="0" applyNumberFormat="1" applyFont="1"/>
    <xf numFmtId="168" fontId="13" fillId="0" borderId="0" xfId="0" applyNumberFormat="1" applyFont="1"/>
    <xf numFmtId="172" fontId="2" fillId="0" borderId="16" xfId="0" applyNumberFormat="1" applyFont="1" applyBorder="1"/>
    <xf numFmtId="172" fontId="13" fillId="0" borderId="16" xfId="0" applyNumberFormat="1" applyFont="1" applyBorder="1"/>
    <xf numFmtId="172" fontId="16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10" fontId="18" fillId="0" borderId="0" xfId="0" applyNumberFormat="1" applyFont="1" applyAlignment="1">
      <alignment horizontal="right"/>
    </xf>
    <xf numFmtId="44" fontId="19" fillId="0" borderId="3" xfId="0" applyNumberFormat="1" applyFont="1" applyBorder="1" applyAlignment="1">
      <alignment horizontal="center"/>
    </xf>
    <xf numFmtId="44" fontId="19" fillId="0" borderId="4" xfId="0" applyNumberFormat="1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20" fillId="0" borderId="0" xfId="0" applyFont="1"/>
    <xf numFmtId="0" fontId="21" fillId="0" borderId="9" xfId="0" applyFont="1" applyBorder="1"/>
    <xf numFmtId="0" fontId="21" fillId="3" borderId="12" xfId="0" applyFont="1" applyFill="1" applyBorder="1" applyAlignment="1">
      <alignment horizontal="center" wrapText="1"/>
    </xf>
    <xf numFmtId="164" fontId="21" fillId="4" borderId="13" xfId="0" applyNumberFormat="1" applyFont="1" applyFill="1" applyBorder="1" applyAlignment="1">
      <alignment horizontal="right"/>
    </xf>
    <xf numFmtId="164" fontId="21" fillId="4" borderId="14" xfId="0" applyNumberFormat="1" applyFont="1" applyFill="1" applyBorder="1" applyAlignment="1">
      <alignment horizontal="right"/>
    </xf>
    <xf numFmtId="164" fontId="21" fillId="0" borderId="0" xfId="0" applyNumberFormat="1" applyFont="1"/>
    <xf numFmtId="0" fontId="21" fillId="3" borderId="15" xfId="0" applyFont="1" applyFill="1" applyBorder="1" applyAlignment="1">
      <alignment horizontal="center" wrapText="1"/>
    </xf>
    <xf numFmtId="0" fontId="19" fillId="0" borderId="9" xfId="0" applyFont="1" applyBorder="1" applyAlignment="1">
      <alignment horizontal="left"/>
    </xf>
    <xf numFmtId="164" fontId="19" fillId="0" borderId="16" xfId="0" applyNumberFormat="1" applyFont="1" applyBorder="1"/>
    <xf numFmtId="164" fontId="19" fillId="0" borderId="17" xfId="0" applyNumberFormat="1" applyFont="1" applyBorder="1"/>
    <xf numFmtId="164" fontId="19" fillId="0" borderId="0" xfId="0" applyNumberFormat="1" applyFont="1"/>
    <xf numFmtId="0" fontId="23" fillId="0" borderId="0" xfId="0" applyFont="1"/>
    <xf numFmtId="1" fontId="19" fillId="5" borderId="11" xfId="0" applyNumberFormat="1" applyFont="1" applyFill="1" applyBorder="1" applyAlignment="1">
      <alignment horizontal="center"/>
    </xf>
    <xf numFmtId="0" fontId="19" fillId="0" borderId="16" xfId="0" applyFont="1" applyBorder="1"/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" fillId="0" borderId="16" xfId="0" applyFont="1" applyBorder="1"/>
    <xf numFmtId="0" fontId="21" fillId="0" borderId="16" xfId="0" applyFont="1" applyBorder="1" applyAlignment="1">
      <alignment horizontal="center" wrapText="1"/>
    </xf>
    <xf numFmtId="0" fontId="21" fillId="2" borderId="16" xfId="0" applyFont="1" applyFill="1" applyBorder="1" applyAlignment="1">
      <alignment vertical="center"/>
    </xf>
    <xf numFmtId="165" fontId="21" fillId="2" borderId="16" xfId="0" applyNumberFormat="1" applyFont="1" applyFill="1" applyBorder="1" applyAlignment="1">
      <alignment vertical="center"/>
    </xf>
    <xf numFmtId="166" fontId="21" fillId="0" borderId="16" xfId="0" applyNumberFormat="1" applyFont="1" applyBorder="1" applyAlignment="1">
      <alignment horizontal="right"/>
    </xf>
    <xf numFmtId="37" fontId="19" fillId="0" borderId="16" xfId="0" applyNumberFormat="1" applyFont="1" applyBorder="1" applyAlignment="1">
      <alignment horizontal="right"/>
    </xf>
    <xf numFmtId="37" fontId="19" fillId="0" borderId="11" xfId="0" applyNumberFormat="1" applyFont="1" applyBorder="1" applyAlignment="1">
      <alignment horizontal="right"/>
    </xf>
    <xf numFmtId="167" fontId="19" fillId="0" borderId="16" xfId="0" applyNumberFormat="1" applyFont="1" applyBorder="1" applyAlignment="1">
      <alignment horizontal="right"/>
    </xf>
    <xf numFmtId="1" fontId="19" fillId="5" borderId="19" xfId="0" applyNumberFormat="1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18" xfId="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21" fillId="4" borderId="16" xfId="0" applyFont="1" applyFill="1" applyBorder="1"/>
    <xf numFmtId="0" fontId="25" fillId="3" borderId="0" xfId="0" applyFont="1" applyFill="1" applyAlignment="1">
      <alignment vertical="center"/>
    </xf>
    <xf numFmtId="165" fontId="21" fillId="2" borderId="11" xfId="0" applyNumberFormat="1" applyFont="1" applyFill="1" applyBorder="1" applyAlignment="1">
      <alignment vertical="center"/>
    </xf>
    <xf numFmtId="168" fontId="21" fillId="3" borderId="0" xfId="0" applyNumberFormat="1" applyFont="1" applyFill="1" applyAlignment="1">
      <alignment horizontal="center"/>
    </xf>
    <xf numFmtId="170" fontId="21" fillId="2" borderId="16" xfId="0" applyNumberFormat="1" applyFont="1" applyFill="1" applyBorder="1" applyAlignment="1">
      <alignment vertical="center"/>
    </xf>
    <xf numFmtId="43" fontId="21" fillId="3" borderId="0" xfId="0" applyNumberFormat="1" applyFont="1" applyFill="1" applyAlignment="1">
      <alignment horizontal="center"/>
    </xf>
    <xf numFmtId="0" fontId="19" fillId="0" borderId="0" xfId="0" applyFont="1"/>
    <xf numFmtId="0" fontId="21" fillId="0" borderId="16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6" xfId="0" applyFont="1" applyBorder="1" applyAlignment="1">
      <alignment vertical="center"/>
    </xf>
    <xf numFmtId="166" fontId="21" fillId="7" borderId="11" xfId="0" applyNumberFormat="1" applyFont="1" applyFill="1" applyBorder="1" applyAlignment="1">
      <alignment horizontal="right"/>
    </xf>
    <xf numFmtId="37" fontId="19" fillId="0" borderId="13" xfId="0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37" fontId="19" fillId="0" borderId="0" xfId="0" applyNumberFormat="1" applyFont="1" applyAlignment="1">
      <alignment horizontal="right"/>
    </xf>
    <xf numFmtId="171" fontId="21" fillId="0" borderId="0" xfId="0" applyNumberFormat="1" applyFont="1"/>
    <xf numFmtId="0" fontId="21" fillId="0" borderId="0" xfId="0" applyFont="1"/>
    <xf numFmtId="0" fontId="26" fillId="0" borderId="0" xfId="0" applyFont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164" fontId="21" fillId="0" borderId="16" xfId="0" applyNumberFormat="1" applyFont="1" applyBorder="1"/>
    <xf numFmtId="0" fontId="21" fillId="0" borderId="2" xfId="0" applyFont="1" applyBorder="1"/>
    <xf numFmtId="0" fontId="21" fillId="0" borderId="18" xfId="0" applyFont="1" applyBorder="1"/>
    <xf numFmtId="0" fontId="21" fillId="0" borderId="16" xfId="0" applyFont="1" applyBorder="1"/>
    <xf numFmtId="0" fontId="21" fillId="0" borderId="9" xfId="0" applyFont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165" fontId="21" fillId="3" borderId="0" xfId="0" applyNumberFormat="1" applyFont="1" applyFill="1"/>
    <xf numFmtId="167" fontId="21" fillId="0" borderId="16" xfId="0" applyNumberFormat="1" applyFont="1" applyBorder="1" applyAlignment="1">
      <alignment horizontal="right"/>
    </xf>
    <xf numFmtId="49" fontId="21" fillId="0" borderId="16" xfId="0" applyNumberFormat="1" applyFont="1" applyBorder="1" applyAlignment="1">
      <alignment horizontal="center"/>
    </xf>
    <xf numFmtId="168" fontId="19" fillId="0" borderId="16" xfId="0" applyNumberFormat="1" applyFont="1" applyBorder="1"/>
    <xf numFmtId="169" fontId="21" fillId="0" borderId="0" xfId="0" applyNumberFormat="1" applyFont="1"/>
    <xf numFmtId="0" fontId="21" fillId="3" borderId="0" xfId="0" applyFont="1" applyFill="1"/>
    <xf numFmtId="168" fontId="25" fillId="3" borderId="0" xfId="0" applyNumberFormat="1" applyFont="1" applyFill="1" applyAlignment="1">
      <alignment horizontal="center"/>
    </xf>
    <xf numFmtId="171" fontId="21" fillId="6" borderId="11" xfId="0" applyNumberFormat="1" applyFont="1" applyFill="1" applyBorder="1" applyAlignment="1">
      <alignment horizontal="center"/>
    </xf>
    <xf numFmtId="171" fontId="21" fillId="3" borderId="0" xfId="0" applyNumberFormat="1" applyFont="1" applyFill="1" applyAlignment="1">
      <alignment horizontal="center"/>
    </xf>
    <xf numFmtId="0" fontId="21" fillId="6" borderId="11" xfId="0" applyFont="1" applyFill="1" applyBorder="1" applyAlignment="1">
      <alignment horizontal="center"/>
    </xf>
    <xf numFmtId="37" fontId="21" fillId="3" borderId="0" xfId="0" applyNumberFormat="1" applyFont="1" applyFill="1" applyAlignment="1">
      <alignment horizontal="right"/>
    </xf>
    <xf numFmtId="37" fontId="21" fillId="7" borderId="10" xfId="0" applyNumberFormat="1" applyFont="1" applyFill="1" applyBorder="1" applyAlignment="1">
      <alignment horizontal="right"/>
    </xf>
    <xf numFmtId="37" fontId="21" fillId="0" borderId="16" xfId="0" applyNumberFormat="1" applyFont="1" applyBorder="1" applyAlignment="1">
      <alignment horizontal="right"/>
    </xf>
    <xf numFmtId="37" fontId="19" fillId="7" borderId="16" xfId="0" applyNumberFormat="1" applyFont="1" applyFill="1" applyBorder="1" applyAlignment="1">
      <alignment horizontal="right"/>
    </xf>
    <xf numFmtId="37" fontId="21" fillId="7" borderId="11" xfId="0" applyNumberFormat="1" applyFont="1" applyFill="1" applyBorder="1" applyAlignment="1">
      <alignment horizontal="right"/>
    </xf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7" fontId="21" fillId="0" borderId="0" xfId="0" applyNumberFormat="1" applyFont="1"/>
    <xf numFmtId="43" fontId="21" fillId="0" borderId="0" xfId="0" applyNumberFormat="1" applyFont="1"/>
    <xf numFmtId="168" fontId="21" fillId="2" borderId="16" xfId="0" applyNumberFormat="1" applyFont="1" applyFill="1" applyBorder="1"/>
    <xf numFmtId="169" fontId="21" fillId="2" borderId="16" xfId="0" applyNumberFormat="1" applyFont="1" applyFill="1" applyBorder="1"/>
    <xf numFmtId="168" fontId="21" fillId="0" borderId="16" xfId="0" applyNumberFormat="1" applyFont="1" applyBorder="1"/>
    <xf numFmtId="169" fontId="19" fillId="0" borderId="16" xfId="0" applyNumberFormat="1" applyFont="1" applyBorder="1"/>
    <xf numFmtId="176" fontId="21" fillId="2" borderId="16" xfId="0" applyNumberFormat="1" applyFont="1" applyFill="1" applyBorder="1"/>
    <xf numFmtId="174" fontId="21" fillId="2" borderId="16" xfId="0" applyNumberFormat="1" applyFont="1" applyFill="1" applyBorder="1"/>
    <xf numFmtId="168" fontId="21" fillId="0" borderId="25" xfId="0" applyNumberFormat="1" applyFont="1" applyBorder="1"/>
    <xf numFmtId="0" fontId="17" fillId="0" borderId="16" xfId="0" applyFont="1" applyBorder="1"/>
    <xf numFmtId="168" fontId="17" fillId="0" borderId="26" xfId="0" applyNumberFormat="1" applyFont="1" applyBorder="1"/>
    <xf numFmtId="168" fontId="27" fillId="0" borderId="16" xfId="0" applyNumberFormat="1" applyFont="1" applyBorder="1" applyAlignment="1">
      <alignment horizontal="right"/>
    </xf>
    <xf numFmtId="168" fontId="27" fillId="0" borderId="9" xfId="0" applyNumberFormat="1" applyFont="1" applyBorder="1" applyAlignment="1">
      <alignment horizontal="right"/>
    </xf>
    <xf numFmtId="172" fontId="29" fillId="0" borderId="16" xfId="0" applyNumberFormat="1" applyFont="1" applyBorder="1"/>
    <xf numFmtId="1" fontId="19" fillId="5" borderId="9" xfId="0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11" xfId="0" applyFont="1" applyBorder="1"/>
    <xf numFmtId="0" fontId="7" fillId="0" borderId="0" xfId="0" applyFont="1" applyAlignment="1">
      <alignment horizontal="center" vertical="top"/>
    </xf>
    <xf numFmtId="0" fontId="0" fillId="0" borderId="0" xfId="0"/>
    <xf numFmtId="0" fontId="21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2" fillId="0" borderId="11" xfId="0" applyFont="1" applyBorder="1"/>
    <xf numFmtId="0" fontId="13" fillId="0" borderId="12" xfId="0" applyFont="1" applyBorder="1" applyAlignment="1">
      <alignment horizontal="center" vertical="center" wrapText="1"/>
    </xf>
    <xf numFmtId="0" fontId="12" fillId="0" borderId="13" xfId="0" applyFont="1" applyBorder="1"/>
    <xf numFmtId="0" fontId="2" fillId="0" borderId="12" xfId="0" applyFont="1" applyBorder="1" applyAlignment="1">
      <alignment horizontal="center"/>
    </xf>
    <xf numFmtId="0" fontId="12" fillId="0" borderId="15" xfId="0" applyFont="1" applyBorder="1"/>
    <xf numFmtId="0" fontId="12" fillId="0" borderId="22" xfId="0" applyFont="1" applyBorder="1"/>
    <xf numFmtId="0" fontId="2" fillId="0" borderId="23" xfId="0" applyFont="1" applyBorder="1" applyAlignment="1">
      <alignment horizontal="center"/>
    </xf>
    <xf numFmtId="0" fontId="12" fillId="0" borderId="20" xfId="0" applyFont="1" applyBorder="1"/>
    <xf numFmtId="0" fontId="2" fillId="0" borderId="19" xfId="0" applyFont="1" applyBorder="1" applyAlignment="1">
      <alignment horizontal="center"/>
    </xf>
    <xf numFmtId="0" fontId="12" fillId="0" borderId="18" xfId="0" applyFont="1" applyBorder="1"/>
    <xf numFmtId="0" fontId="2" fillId="0" borderId="12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12" fillId="0" borderId="24" xfId="0" applyFont="1" applyBorder="1"/>
    <xf numFmtId="0" fontId="21" fillId="0" borderId="12" xfId="0" applyFont="1" applyBorder="1" applyAlignment="1">
      <alignment horizontal="center" wrapText="1"/>
    </xf>
    <xf numFmtId="0" fontId="22" fillId="0" borderId="13" xfId="0" applyFont="1" applyBorder="1"/>
    <xf numFmtId="0" fontId="21" fillId="0" borderId="1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2" fillId="0" borderId="18" xfId="0" applyFont="1" applyBorder="1"/>
    <xf numFmtId="0" fontId="2" fillId="0" borderId="13" xfId="0" applyFont="1" applyBorder="1" applyAlignment="1">
      <alignment horizontal="center"/>
    </xf>
    <xf numFmtId="173" fontId="2" fillId="0" borderId="12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/>
    <xf numFmtId="0" fontId="27" fillId="9" borderId="9" xfId="0" applyFont="1" applyFill="1" applyBorder="1" applyAlignment="1">
      <alignment horizontal="center"/>
    </xf>
    <xf numFmtId="0" fontId="28" fillId="0" borderId="11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4">
          <cell r="E14" t="str">
            <v>Hydro Ottawa Limited</v>
          </cell>
        </row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D1">
            <v>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9">
          <cell r="I39"/>
        </row>
      </sheetData>
      <sheetData sheetId="65"/>
      <sheetData sheetId="66">
        <row r="31">
          <cell r="F31">
            <v>416157103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9B60-1F0A-4CEE-A567-41BF4B7CB955}">
  <dimension ref="A1:AA1000"/>
  <sheetViews>
    <sheetView showGridLines="0" tabSelected="1" workbookViewId="0"/>
  </sheetViews>
  <sheetFormatPr defaultColWidth="12.5546875" defaultRowHeight="15" customHeight="1" outlineLevelRow="1" x14ac:dyDescent="0.3"/>
  <cols>
    <col min="1" max="1" width="9.109375" customWidth="1"/>
    <col min="2" max="2" width="43.109375" customWidth="1"/>
    <col min="3" max="3" width="7.109375" customWidth="1"/>
    <col min="4" max="4" width="10.109375" customWidth="1"/>
    <col min="5" max="5" width="7.5546875" customWidth="1"/>
    <col min="6" max="6" width="20.109375" customWidth="1"/>
    <col min="7" max="7" width="14.5546875" customWidth="1"/>
    <col min="8" max="10" width="17.44140625" customWidth="1"/>
    <col min="11" max="11" width="21.109375" customWidth="1"/>
    <col min="12" max="12" width="16.5546875" customWidth="1"/>
    <col min="13" max="13" width="12.44140625" customWidth="1"/>
    <col min="14" max="14" width="12" customWidth="1"/>
    <col min="15" max="27" width="9.109375" customWidth="1"/>
  </cols>
  <sheetData>
    <row r="1" spans="1:27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4" t="s">
        <v>0</v>
      </c>
      <c r="L2" s="5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399999999999999" x14ac:dyDescent="0.3">
      <c r="A3" s="3"/>
      <c r="B3" s="1"/>
      <c r="C3" s="6"/>
      <c r="D3" s="6"/>
      <c r="E3" s="6"/>
      <c r="F3" s="6"/>
      <c r="G3" s="6"/>
      <c r="H3" s="6"/>
      <c r="I3" s="6"/>
      <c r="J3" s="6"/>
      <c r="K3" s="4" t="s">
        <v>2</v>
      </c>
      <c r="L3" s="7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x14ac:dyDescent="0.3">
      <c r="A4" s="1"/>
      <c r="B4" s="178" t="s">
        <v>3</v>
      </c>
      <c r="C4" s="179"/>
      <c r="D4" s="179"/>
      <c r="E4" s="179"/>
      <c r="F4" s="179"/>
      <c r="G4" s="179"/>
      <c r="H4" s="179"/>
      <c r="I4" s="179"/>
      <c r="J4" s="1"/>
      <c r="K4" s="4" t="s">
        <v>4</v>
      </c>
      <c r="L4" s="7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3">
      <c r="A5" s="1"/>
      <c r="B5" s="179"/>
      <c r="C5" s="179"/>
      <c r="D5" s="179"/>
      <c r="E5" s="179"/>
      <c r="F5" s="179"/>
      <c r="G5" s="179"/>
      <c r="H5" s="179"/>
      <c r="I5" s="179"/>
      <c r="J5" s="6"/>
      <c r="K5" s="4" t="s">
        <v>5</v>
      </c>
      <c r="L5" s="7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179"/>
      <c r="C6" s="179"/>
      <c r="D6" s="179"/>
      <c r="E6" s="179"/>
      <c r="F6" s="179"/>
      <c r="G6" s="179"/>
      <c r="H6" s="179"/>
      <c r="I6" s="179"/>
      <c r="J6" s="6"/>
      <c r="K6" s="4" t="s">
        <v>6</v>
      </c>
      <c r="L6" s="5" t="s">
        <v>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8"/>
      <c r="C7" s="1"/>
      <c r="D7" s="1"/>
      <c r="E7" s="1"/>
      <c r="F7" s="1"/>
      <c r="G7" s="1"/>
      <c r="H7" s="1"/>
      <c r="I7" s="1"/>
      <c r="J7" s="1"/>
      <c r="K7" s="4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8"/>
      <c r="C8" s="1"/>
      <c r="D8" s="1"/>
      <c r="E8" s="1"/>
      <c r="F8" s="1"/>
      <c r="G8" s="1"/>
      <c r="H8" s="1"/>
      <c r="I8" s="1"/>
      <c r="J8" s="1"/>
      <c r="K8" s="4" t="s">
        <v>8</v>
      </c>
      <c r="L8" s="5" t="s">
        <v>106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thickBot="1" x14ac:dyDescent="0.35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M10" s="1"/>
      <c r="N10" s="1"/>
      <c r="O10" s="1"/>
      <c r="P10" s="1"/>
      <c r="Q10" s="14"/>
      <c r="R10" s="14"/>
      <c r="S10" s="14"/>
      <c r="T10" s="14"/>
      <c r="U10" s="14"/>
      <c r="V10" s="14"/>
      <c r="W10" s="1"/>
      <c r="X10" s="1"/>
      <c r="Y10" s="15"/>
      <c r="Z10" s="15"/>
      <c r="AA10" s="15"/>
    </row>
    <row r="11" spans="1:27" ht="14.4" x14ac:dyDescent="0.3">
      <c r="A11" s="80"/>
      <c r="B11" s="81"/>
      <c r="C11" s="82"/>
      <c r="D11" s="82"/>
      <c r="E11" s="82"/>
      <c r="F11" s="82"/>
      <c r="G11" s="131"/>
      <c r="H11" s="82"/>
      <c r="I11" s="82"/>
      <c r="J11" s="82"/>
      <c r="K11" s="82"/>
      <c r="L11" s="132"/>
      <c r="M11" s="86"/>
      <c r="N11" s="16"/>
      <c r="O11" s="14"/>
      <c r="P11" s="14"/>
      <c r="Q11" s="14"/>
      <c r="R11" s="14"/>
      <c r="S11" s="14"/>
      <c r="T11" s="14"/>
      <c r="U11" s="14"/>
      <c r="V11" s="14"/>
      <c r="W11" s="1"/>
      <c r="X11" s="1"/>
      <c r="Y11" s="15"/>
      <c r="Z11" s="15"/>
      <c r="AA11" s="15"/>
    </row>
    <row r="12" spans="1:27" ht="14.4" x14ac:dyDescent="0.3">
      <c r="A12" s="132" t="s">
        <v>9</v>
      </c>
      <c r="B12" s="86" t="s">
        <v>10</v>
      </c>
      <c r="C12" s="81"/>
      <c r="D12" s="82"/>
      <c r="E12" s="82"/>
      <c r="F12" s="82"/>
      <c r="G12" s="131"/>
      <c r="H12" s="82"/>
      <c r="I12" s="82"/>
      <c r="J12" s="82"/>
      <c r="K12" s="82"/>
      <c r="L12" s="132"/>
      <c r="M12" s="86"/>
      <c r="N12" s="16"/>
      <c r="O12" s="14"/>
      <c r="P12" s="14"/>
      <c r="Q12" s="14"/>
      <c r="R12" s="14"/>
      <c r="S12" s="14"/>
      <c r="T12" s="14"/>
      <c r="U12" s="14"/>
      <c r="V12" s="14"/>
      <c r="W12" s="1"/>
      <c r="X12" s="1"/>
      <c r="Y12" s="15"/>
      <c r="Z12" s="15"/>
      <c r="AA12" s="15"/>
    </row>
    <row r="13" spans="1:27" thickBot="1" x14ac:dyDescent="0.35">
      <c r="A13" s="80"/>
      <c r="B13" s="81"/>
      <c r="C13" s="82"/>
      <c r="D13" s="82"/>
      <c r="E13" s="82"/>
      <c r="F13" s="82"/>
      <c r="G13" s="131"/>
      <c r="H13" s="82"/>
      <c r="I13" s="82"/>
      <c r="J13" s="82"/>
      <c r="K13" s="82"/>
      <c r="L13" s="132"/>
      <c r="M13" s="86"/>
      <c r="N13" s="16"/>
      <c r="O13" s="14"/>
      <c r="P13" s="14"/>
      <c r="Q13" s="14"/>
      <c r="R13" s="14"/>
      <c r="S13" s="14"/>
      <c r="T13" s="14"/>
      <c r="U13" s="14"/>
      <c r="V13" s="14"/>
      <c r="W13" s="1"/>
      <c r="X13" s="1"/>
      <c r="Y13" s="15"/>
      <c r="Z13" s="15"/>
      <c r="AA13" s="15"/>
    </row>
    <row r="14" spans="1:27" thickBot="1" x14ac:dyDescent="0.35">
      <c r="A14" s="131"/>
      <c r="B14" s="131" t="s">
        <v>11</v>
      </c>
      <c r="C14" s="131"/>
      <c r="D14" s="131"/>
      <c r="E14" s="131"/>
      <c r="F14" s="131"/>
      <c r="G14" s="83"/>
      <c r="H14" s="84"/>
      <c r="I14" s="131"/>
      <c r="J14" s="85"/>
      <c r="K14" s="85"/>
      <c r="L14" s="131"/>
      <c r="M14" s="131"/>
      <c r="N14" s="17"/>
      <c r="O14" s="17"/>
      <c r="P14" s="1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132"/>
      <c r="B15" s="86" t="s">
        <v>12</v>
      </c>
      <c r="C15" s="131" t="s">
        <v>13</v>
      </c>
      <c r="D15" s="131"/>
      <c r="E15" s="131"/>
      <c r="F15" s="131"/>
      <c r="G15" s="133" t="s">
        <v>14</v>
      </c>
      <c r="H15" s="134" t="s">
        <v>15</v>
      </c>
      <c r="I15" s="131"/>
      <c r="J15" s="128"/>
      <c r="K15" s="128"/>
      <c r="L15" s="131"/>
      <c r="M15" s="131"/>
      <c r="N15" s="17"/>
      <c r="O15" s="17"/>
      <c r="P15" s="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thickBot="1" x14ac:dyDescent="0.35">
      <c r="A16" s="131"/>
      <c r="B16" s="86"/>
      <c r="C16" s="131"/>
      <c r="D16" s="131"/>
      <c r="E16" s="131"/>
      <c r="F16" s="131"/>
      <c r="G16" s="135"/>
      <c r="H16" s="136"/>
      <c r="I16" s="131"/>
      <c r="J16" s="128"/>
      <c r="K16" s="128"/>
      <c r="L16" s="131"/>
      <c r="M16" s="131"/>
      <c r="N16" s="17"/>
      <c r="O16" s="17"/>
      <c r="P16" s="1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 x14ac:dyDescent="0.3">
      <c r="A17" s="131"/>
      <c r="B17" s="87" t="s">
        <v>16</v>
      </c>
      <c r="C17" s="180" t="s">
        <v>17</v>
      </c>
      <c r="D17" s="176"/>
      <c r="E17" s="177"/>
      <c r="F17" s="88"/>
      <c r="G17" s="89">
        <v>37.17</v>
      </c>
      <c r="H17" s="90">
        <v>37.17</v>
      </c>
      <c r="I17" s="131"/>
      <c r="J17" s="91"/>
      <c r="K17" s="91"/>
      <c r="L17" s="131"/>
      <c r="M17" s="131"/>
      <c r="N17" s="15"/>
      <c r="O17" s="15"/>
      <c r="P17" s="1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2.25" customHeight="1" x14ac:dyDescent="0.3">
      <c r="A18" s="131"/>
      <c r="B18" s="87" t="s">
        <v>18</v>
      </c>
      <c r="C18" s="180" t="s">
        <v>19</v>
      </c>
      <c r="D18" s="176"/>
      <c r="E18" s="177"/>
      <c r="F18" s="92"/>
      <c r="G18" s="89">
        <v>69.47</v>
      </c>
      <c r="H18" s="90">
        <v>69.47</v>
      </c>
      <c r="I18" s="131"/>
      <c r="J18" s="91"/>
      <c r="K18" s="91"/>
      <c r="L18" s="131"/>
      <c r="M18" s="131"/>
      <c r="N18" s="15"/>
      <c r="O18" s="15"/>
      <c r="P18" s="1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131"/>
      <c r="B19" s="87" t="s">
        <v>20</v>
      </c>
      <c r="C19" s="180"/>
      <c r="D19" s="176"/>
      <c r="E19" s="177"/>
      <c r="F19" s="92"/>
      <c r="G19" s="137"/>
      <c r="H19" s="90">
        <v>1</v>
      </c>
      <c r="I19" s="131"/>
      <c r="J19" s="91"/>
      <c r="K19" s="91"/>
      <c r="L19" s="131"/>
      <c r="M19" s="131"/>
      <c r="N19" s="15"/>
      <c r="O19" s="15"/>
      <c r="P19" s="1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customHeight="1" x14ac:dyDescent="0.3">
      <c r="A20" s="131"/>
      <c r="B20" s="93" t="s">
        <v>21</v>
      </c>
      <c r="C20" s="180" t="s">
        <v>22</v>
      </c>
      <c r="D20" s="176"/>
      <c r="E20" s="177"/>
      <c r="F20" s="92"/>
      <c r="G20" s="94"/>
      <c r="H20" s="95">
        <f>SUM(H17:H19)</f>
        <v>107.64</v>
      </c>
      <c r="I20" s="131"/>
      <c r="J20" s="96"/>
      <c r="K20" s="96"/>
      <c r="L20" s="131"/>
      <c r="M20" s="131"/>
      <c r="N20" s="15"/>
      <c r="O20" s="15"/>
      <c r="P20" s="1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1"/>
      <c r="N21" s="15"/>
      <c r="O21" s="15"/>
      <c r="P21" s="1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5"/>
      <c r="O22" s="15"/>
      <c r="P22" s="1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outlineLevel="1" x14ac:dyDescent="0.3">
      <c r="A23" s="132" t="s">
        <v>23</v>
      </c>
      <c r="B23" s="86" t="s">
        <v>24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outlineLevel="1" x14ac:dyDescent="0.3">
      <c r="A24" s="131"/>
      <c r="B24" s="97" t="s">
        <v>25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5"/>
      <c r="O24" s="15"/>
      <c r="P24" s="1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outlineLevel="1" x14ac:dyDescent="0.3">
      <c r="A25" s="131"/>
      <c r="B25" s="97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5"/>
      <c r="O25" s="15"/>
      <c r="P25" s="1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outlineLevel="1" x14ac:dyDescent="0.3">
      <c r="A26" s="131"/>
      <c r="B26" s="122" t="s">
        <v>26</v>
      </c>
      <c r="C26" s="131"/>
      <c r="D26" s="131"/>
      <c r="E26" s="139"/>
      <c r="F26" s="98"/>
      <c r="G26" s="175" t="s">
        <v>102</v>
      </c>
      <c r="H26" s="176"/>
      <c r="I26" s="176"/>
      <c r="J26" s="176"/>
      <c r="K26" s="176"/>
      <c r="L26" s="177"/>
      <c r="M26" s="131"/>
      <c r="N26" s="15"/>
      <c r="O26" s="15"/>
      <c r="P26" s="1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outlineLevel="1" x14ac:dyDescent="0.3">
      <c r="A27" s="131"/>
      <c r="B27" s="99" t="s">
        <v>27</v>
      </c>
      <c r="C27" s="100"/>
      <c r="D27" s="100" t="s">
        <v>28</v>
      </c>
      <c r="E27" s="101" t="s">
        <v>29</v>
      </c>
      <c r="F27" s="100"/>
      <c r="G27" s="100"/>
      <c r="H27" s="100"/>
      <c r="I27" s="100"/>
      <c r="J27" s="100"/>
      <c r="K27" s="100"/>
      <c r="L27" s="100"/>
      <c r="M27" s="131"/>
      <c r="N27" s="15"/>
      <c r="O27" s="15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2.75" customHeight="1" outlineLevel="1" x14ac:dyDescent="0.3">
      <c r="A28" s="131"/>
      <c r="B28" s="140" t="s">
        <v>30</v>
      </c>
      <c r="C28" s="123" t="s">
        <v>31</v>
      </c>
      <c r="D28" s="123" t="s">
        <v>32</v>
      </c>
      <c r="E28" s="141" t="s">
        <v>32</v>
      </c>
      <c r="F28" s="103" t="s">
        <v>33</v>
      </c>
      <c r="G28" s="103"/>
      <c r="H28" s="103" t="s">
        <v>34</v>
      </c>
      <c r="I28" s="103" t="s">
        <v>35</v>
      </c>
      <c r="J28" s="103" t="s">
        <v>36</v>
      </c>
      <c r="K28" s="103" t="s">
        <v>37</v>
      </c>
      <c r="L28" s="123" t="s">
        <v>38</v>
      </c>
      <c r="M28" s="131"/>
      <c r="N28" s="15"/>
      <c r="O28" s="15"/>
      <c r="P28" s="1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outlineLevel="1" x14ac:dyDescent="0.3">
      <c r="A29" s="131"/>
      <c r="B29" s="104" t="s">
        <v>39</v>
      </c>
      <c r="C29" s="142" t="s">
        <v>40</v>
      </c>
      <c r="D29" s="142">
        <v>4006</v>
      </c>
      <c r="E29" s="143">
        <v>4705</v>
      </c>
      <c r="F29" s="105"/>
      <c r="G29" s="144"/>
      <c r="H29" s="105">
        <v>24674108.359999999</v>
      </c>
      <c r="I29" s="105">
        <v>2691213763.3400002</v>
      </c>
      <c r="J29" s="106">
        <f t="shared" ref="J29:J39" si="0">+$G$17/1000</f>
        <v>3.7170000000000002E-2</v>
      </c>
      <c r="K29" s="106">
        <f t="shared" ref="K29:K39" si="1">+$H$20/1000</f>
        <v>0.10764</v>
      </c>
      <c r="L29" s="145">
        <f t="shared" ref="L29:L39" si="2">(+F29+H29)*J29+(I29*K29)</f>
        <v>290599386.0936588</v>
      </c>
      <c r="M29" s="131"/>
      <c r="N29" s="15"/>
      <c r="O29" s="15"/>
      <c r="P29" s="1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outlineLevel="1" x14ac:dyDescent="0.3">
      <c r="A30" s="131"/>
      <c r="B30" s="104" t="s">
        <v>41</v>
      </c>
      <c r="C30" s="142" t="s">
        <v>40</v>
      </c>
      <c r="D30" s="142">
        <v>4010</v>
      </c>
      <c r="E30" s="143">
        <v>4705</v>
      </c>
      <c r="F30" s="105"/>
      <c r="G30" s="144"/>
      <c r="H30" s="105">
        <v>108532481.97</v>
      </c>
      <c r="I30" s="105">
        <v>637640004.72000003</v>
      </c>
      <c r="J30" s="106">
        <f t="shared" si="0"/>
        <v>3.7170000000000002E-2</v>
      </c>
      <c r="K30" s="106">
        <f t="shared" si="1"/>
        <v>0.10764</v>
      </c>
      <c r="L30" s="145">
        <f t="shared" si="2"/>
        <v>72669722.462885708</v>
      </c>
      <c r="M30" s="131"/>
      <c r="N30" s="15"/>
      <c r="O30" s="15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outlineLevel="1" x14ac:dyDescent="0.3">
      <c r="A31" s="131"/>
      <c r="B31" s="104" t="s">
        <v>42</v>
      </c>
      <c r="C31" s="142" t="s">
        <v>40</v>
      </c>
      <c r="D31" s="142">
        <v>4035</v>
      </c>
      <c r="E31" s="143">
        <v>4705</v>
      </c>
      <c r="F31" s="105">
        <v>416157103</v>
      </c>
      <c r="G31" s="144"/>
      <c r="H31" s="105">
        <v>2151982666.6999998</v>
      </c>
      <c r="I31" s="105">
        <v>339685303.57999998</v>
      </c>
      <c r="J31" s="106">
        <f t="shared" si="0"/>
        <v>3.7170000000000002E-2</v>
      </c>
      <c r="K31" s="106">
        <f t="shared" si="1"/>
        <v>0.10764</v>
      </c>
      <c r="L31" s="145">
        <f t="shared" si="2"/>
        <v>132021481.3171002</v>
      </c>
      <c r="M31" s="131"/>
      <c r="N31" s="15"/>
      <c r="O31" s="15"/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outlineLevel="1" x14ac:dyDescent="0.3">
      <c r="A32" s="131"/>
      <c r="B32" s="104" t="s">
        <v>43</v>
      </c>
      <c r="C32" s="142" t="s">
        <v>40</v>
      </c>
      <c r="D32" s="142">
        <v>4010</v>
      </c>
      <c r="E32" s="143">
        <v>4705</v>
      </c>
      <c r="F32" s="105">
        <v>570791399</v>
      </c>
      <c r="G32" s="144"/>
      <c r="H32" s="105">
        <v>151169205.12</v>
      </c>
      <c r="I32" s="105">
        <v>0</v>
      </c>
      <c r="J32" s="106">
        <f t="shared" si="0"/>
        <v>3.7170000000000002E-2</v>
      </c>
      <c r="K32" s="106">
        <f t="shared" si="1"/>
        <v>0.10764</v>
      </c>
      <c r="L32" s="145">
        <f t="shared" si="2"/>
        <v>26835275.6551404</v>
      </c>
      <c r="M32" s="131"/>
      <c r="N32" s="15"/>
      <c r="O32" s="15"/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outlineLevel="1" x14ac:dyDescent="0.3">
      <c r="A33" s="131"/>
      <c r="B33" s="104" t="s">
        <v>44</v>
      </c>
      <c r="C33" s="142" t="s">
        <v>40</v>
      </c>
      <c r="D33" s="142">
        <v>4025</v>
      </c>
      <c r="E33" s="143">
        <v>4705</v>
      </c>
      <c r="F33" s="105">
        <v>534587015</v>
      </c>
      <c r="G33" s="144"/>
      <c r="H33" s="105">
        <v>51137607.259999998</v>
      </c>
      <c r="I33" s="105">
        <v>0</v>
      </c>
      <c r="J33" s="106">
        <f t="shared" si="0"/>
        <v>3.7170000000000002E-2</v>
      </c>
      <c r="K33" s="106">
        <f t="shared" si="1"/>
        <v>0.10764</v>
      </c>
      <c r="L33" s="145">
        <f t="shared" si="2"/>
        <v>21771384.2094042</v>
      </c>
      <c r="M33" s="131"/>
      <c r="N33" s="15"/>
      <c r="O33" s="15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outlineLevel="1" x14ac:dyDescent="0.3">
      <c r="A34" s="131"/>
      <c r="B34" s="104" t="s">
        <v>45</v>
      </c>
      <c r="C34" s="142" t="s">
        <v>40</v>
      </c>
      <c r="D34" s="142">
        <v>4025</v>
      </c>
      <c r="E34" s="143">
        <v>4705</v>
      </c>
      <c r="F34" s="105"/>
      <c r="G34" s="144"/>
      <c r="H34" s="105">
        <v>22792446.760000002</v>
      </c>
      <c r="I34" s="105">
        <v>0</v>
      </c>
      <c r="J34" s="106">
        <f t="shared" si="0"/>
        <v>3.7170000000000002E-2</v>
      </c>
      <c r="K34" s="106">
        <f t="shared" si="1"/>
        <v>0.10764</v>
      </c>
      <c r="L34" s="145">
        <f t="shared" si="2"/>
        <v>847195.2460692001</v>
      </c>
      <c r="M34" s="131"/>
      <c r="N34" s="15"/>
      <c r="O34" s="15"/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outlineLevel="1" x14ac:dyDescent="0.3">
      <c r="A35" s="131"/>
      <c r="B35" s="104" t="s">
        <v>46</v>
      </c>
      <c r="C35" s="142" t="s">
        <v>40</v>
      </c>
      <c r="D35" s="142">
        <v>4025</v>
      </c>
      <c r="E35" s="143">
        <v>4705</v>
      </c>
      <c r="F35" s="105"/>
      <c r="G35" s="144"/>
      <c r="H35" s="105">
        <v>0</v>
      </c>
      <c r="I35" s="105">
        <v>41220.550000000003</v>
      </c>
      <c r="J35" s="106">
        <f t="shared" si="0"/>
        <v>3.7170000000000002E-2</v>
      </c>
      <c r="K35" s="106">
        <f t="shared" si="1"/>
        <v>0.10764</v>
      </c>
      <c r="L35" s="145">
        <f t="shared" si="2"/>
        <v>4436.9800020000002</v>
      </c>
      <c r="M35" s="131"/>
      <c r="N35" s="15"/>
      <c r="O35" s="15"/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outlineLevel="1" x14ac:dyDescent="0.3">
      <c r="A36" s="131"/>
      <c r="B36" s="104" t="s">
        <v>47</v>
      </c>
      <c r="C36" s="142" t="s">
        <v>40</v>
      </c>
      <c r="D36" s="142">
        <v>4025</v>
      </c>
      <c r="E36" s="143">
        <v>4705</v>
      </c>
      <c r="F36" s="105"/>
      <c r="G36" s="144"/>
      <c r="H36" s="105">
        <v>0</v>
      </c>
      <c r="I36" s="105">
        <v>14952361.91</v>
      </c>
      <c r="J36" s="106">
        <f t="shared" si="0"/>
        <v>3.7170000000000002E-2</v>
      </c>
      <c r="K36" s="106">
        <f t="shared" si="1"/>
        <v>0.10764</v>
      </c>
      <c r="L36" s="145">
        <f t="shared" si="2"/>
        <v>1609472.2359924</v>
      </c>
      <c r="M36" s="131"/>
      <c r="N36" s="15"/>
      <c r="O36" s="15"/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outlineLevel="1" x14ac:dyDescent="0.3">
      <c r="A37" s="131"/>
      <c r="B37" s="104" t="s">
        <v>48</v>
      </c>
      <c r="C37" s="142" t="s">
        <v>40</v>
      </c>
      <c r="D37" s="142">
        <v>4025</v>
      </c>
      <c r="E37" s="143">
        <v>4705</v>
      </c>
      <c r="F37" s="105"/>
      <c r="G37" s="144"/>
      <c r="H37" s="105">
        <v>6931149.8799999999</v>
      </c>
      <c r="I37" s="105">
        <v>0</v>
      </c>
      <c r="J37" s="106">
        <f t="shared" si="0"/>
        <v>3.7170000000000002E-2</v>
      </c>
      <c r="K37" s="106">
        <f t="shared" si="1"/>
        <v>0.10764</v>
      </c>
      <c r="L37" s="145">
        <f t="shared" si="2"/>
        <v>257630.8410396</v>
      </c>
      <c r="M37" s="131"/>
      <c r="N37" s="15"/>
      <c r="O37" s="15"/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outlineLevel="1" x14ac:dyDescent="0.3">
      <c r="A38" s="131"/>
      <c r="B38" s="104"/>
      <c r="C38" s="142" t="s">
        <v>40</v>
      </c>
      <c r="D38" s="142">
        <v>4025</v>
      </c>
      <c r="E38" s="143">
        <v>4705</v>
      </c>
      <c r="F38" s="105"/>
      <c r="G38" s="144"/>
      <c r="H38" s="105">
        <v>0</v>
      </c>
      <c r="I38" s="105">
        <v>0</v>
      </c>
      <c r="J38" s="106">
        <f t="shared" si="0"/>
        <v>3.7170000000000002E-2</v>
      </c>
      <c r="K38" s="106">
        <f t="shared" si="1"/>
        <v>0.10764</v>
      </c>
      <c r="L38" s="145">
        <f t="shared" si="2"/>
        <v>0</v>
      </c>
      <c r="M38" s="131"/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outlineLevel="1" x14ac:dyDescent="0.3">
      <c r="A39" s="131"/>
      <c r="B39" s="140"/>
      <c r="C39" s="142" t="s">
        <v>40</v>
      </c>
      <c r="D39" s="142">
        <v>4025</v>
      </c>
      <c r="E39" s="143">
        <v>4705</v>
      </c>
      <c r="F39" s="105"/>
      <c r="G39" s="144"/>
      <c r="H39" s="105">
        <v>0</v>
      </c>
      <c r="I39" s="105">
        <v>0</v>
      </c>
      <c r="J39" s="106">
        <f t="shared" si="0"/>
        <v>3.7170000000000002E-2</v>
      </c>
      <c r="K39" s="106">
        <f t="shared" si="1"/>
        <v>0.10764</v>
      </c>
      <c r="L39" s="145">
        <f t="shared" si="2"/>
        <v>0</v>
      </c>
      <c r="M39" s="131"/>
      <c r="N39" s="15"/>
      <c r="O39" s="15"/>
      <c r="P39" s="1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outlineLevel="1" x14ac:dyDescent="0.3">
      <c r="A40" s="131"/>
      <c r="B40" s="140" t="str">
        <f t="shared" ref="B40" si="3">IF(B25="","",B25)</f>
        <v/>
      </c>
      <c r="C40" s="146"/>
      <c r="D40" s="100"/>
      <c r="E40" s="101"/>
      <c r="F40" s="107"/>
      <c r="G40" s="147"/>
      <c r="H40" s="107"/>
      <c r="I40" s="108"/>
      <c r="J40" s="108"/>
      <c r="K40" s="107"/>
      <c r="L40" s="109">
        <f>ROUND(SUM(L29:L39),2)</f>
        <v>546615985.03999996</v>
      </c>
      <c r="M40" s="131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outlineLevel="1" x14ac:dyDescent="0.3">
      <c r="A41" s="131"/>
      <c r="B41" s="97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5"/>
      <c r="O41" s="15"/>
      <c r="P41" s="15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outlineLevel="1" x14ac:dyDescent="0.3">
      <c r="A42" s="131"/>
      <c r="B42" s="86"/>
      <c r="C42" s="131"/>
      <c r="D42" s="131"/>
      <c r="E42" s="131"/>
      <c r="F42" s="148"/>
      <c r="G42" s="148"/>
      <c r="H42" s="131"/>
      <c r="I42" s="131"/>
      <c r="J42" s="131"/>
      <c r="K42" s="131"/>
      <c r="L42" s="131"/>
      <c r="M42" s="131"/>
      <c r="N42" s="15"/>
      <c r="O42" s="15"/>
      <c r="P42" s="1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outlineLevel="1" x14ac:dyDescent="0.3">
      <c r="A43" s="131"/>
      <c r="B43" s="122" t="s">
        <v>49</v>
      </c>
      <c r="C43" s="131"/>
      <c r="D43" s="131"/>
      <c r="E43" s="139"/>
      <c r="F43" s="110"/>
      <c r="G43" s="175">
        <v>2027</v>
      </c>
      <c r="H43" s="176"/>
      <c r="I43" s="176"/>
      <c r="J43" s="176"/>
      <c r="K43" s="176"/>
      <c r="L43" s="177"/>
      <c r="M43" s="131"/>
      <c r="N43" s="15"/>
      <c r="O43" s="15"/>
      <c r="P43" s="15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outlineLevel="1" x14ac:dyDescent="0.3">
      <c r="A44" s="131"/>
      <c r="B44" s="99" t="s">
        <v>27</v>
      </c>
      <c r="C44" s="123"/>
      <c r="D44" s="100" t="s">
        <v>28</v>
      </c>
      <c r="E44" s="101" t="s">
        <v>29</v>
      </c>
      <c r="F44" s="111"/>
      <c r="G44" s="112" t="s">
        <v>50</v>
      </c>
      <c r="H44" s="149"/>
      <c r="I44" s="149"/>
      <c r="J44" s="113"/>
      <c r="K44" s="114" t="s">
        <v>51</v>
      </c>
      <c r="L44" s="115" t="s">
        <v>38</v>
      </c>
      <c r="M44" s="131"/>
      <c r="N44" s="15"/>
      <c r="O44" s="15"/>
      <c r="P44" s="1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outlineLevel="1" x14ac:dyDescent="0.3">
      <c r="A45" s="131"/>
      <c r="B45" s="116" t="s">
        <v>42</v>
      </c>
      <c r="C45" s="142"/>
      <c r="D45" s="142">
        <v>4035</v>
      </c>
      <c r="E45" s="143">
        <v>4707</v>
      </c>
      <c r="F45" s="117"/>
      <c r="G45" s="118">
        <f t="shared" ref="G45:G47" si="4">F31</f>
        <v>416157103</v>
      </c>
      <c r="H45" s="149"/>
      <c r="I45" s="149"/>
      <c r="J45" s="119"/>
      <c r="K45" s="120">
        <v>5.5500000000000001E-2</v>
      </c>
      <c r="L45" s="145">
        <f t="shared" ref="L45:L49" si="5">+K45*G45</f>
        <v>23096719.216499999</v>
      </c>
      <c r="M45" s="131"/>
      <c r="N45" s="15"/>
      <c r="O45" s="15"/>
      <c r="P45" s="1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outlineLevel="1" x14ac:dyDescent="0.3">
      <c r="A46" s="131"/>
      <c r="B46" s="116" t="s">
        <v>43</v>
      </c>
      <c r="C46" s="142"/>
      <c r="D46" s="142">
        <v>4010</v>
      </c>
      <c r="E46" s="143">
        <v>4707</v>
      </c>
      <c r="F46" s="117"/>
      <c r="G46" s="118">
        <f t="shared" si="4"/>
        <v>570791399</v>
      </c>
      <c r="H46" s="149"/>
      <c r="I46" s="149"/>
      <c r="J46" s="119"/>
      <c r="K46" s="104">
        <v>5.5500000000000001E-2</v>
      </c>
      <c r="L46" s="145">
        <f t="shared" si="5"/>
        <v>31678922.644500002</v>
      </c>
      <c r="M46" s="131"/>
      <c r="N46" s="15"/>
      <c r="O46" s="15"/>
      <c r="P46" s="15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outlineLevel="1" x14ac:dyDescent="0.3">
      <c r="A47" s="131"/>
      <c r="B47" s="116" t="s">
        <v>44</v>
      </c>
      <c r="C47" s="142"/>
      <c r="D47" s="142">
        <v>4010</v>
      </c>
      <c r="E47" s="143">
        <v>4707</v>
      </c>
      <c r="F47" s="117"/>
      <c r="G47" s="118">
        <f t="shared" si="4"/>
        <v>534587015</v>
      </c>
      <c r="H47" s="149"/>
      <c r="I47" s="149"/>
      <c r="J47" s="119"/>
      <c r="K47" s="104">
        <v>5.5500000000000001E-2</v>
      </c>
      <c r="L47" s="145">
        <f t="shared" si="5"/>
        <v>29669579.3325</v>
      </c>
      <c r="M47" s="131"/>
      <c r="N47" s="15"/>
      <c r="O47" s="15"/>
      <c r="P47" s="1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outlineLevel="1" x14ac:dyDescent="0.3">
      <c r="A48" s="131"/>
      <c r="B48" s="104"/>
      <c r="C48" s="142"/>
      <c r="D48" s="142">
        <v>4010</v>
      </c>
      <c r="E48" s="143">
        <v>4707</v>
      </c>
      <c r="F48" s="117"/>
      <c r="G48" s="118"/>
      <c r="H48" s="149"/>
      <c r="I48" s="149"/>
      <c r="J48" s="119"/>
      <c r="K48" s="104"/>
      <c r="L48" s="145">
        <f t="shared" si="5"/>
        <v>0</v>
      </c>
      <c r="M48" s="131"/>
      <c r="N48" s="15"/>
      <c r="O48" s="15"/>
      <c r="P48" s="1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outlineLevel="1" x14ac:dyDescent="0.3">
      <c r="A49" s="131"/>
      <c r="B49" s="104"/>
      <c r="C49" s="142"/>
      <c r="D49" s="142">
        <v>4010</v>
      </c>
      <c r="E49" s="143">
        <v>4707</v>
      </c>
      <c r="F49" s="117"/>
      <c r="G49" s="118"/>
      <c r="H49" s="149"/>
      <c r="I49" s="149"/>
      <c r="J49" s="121"/>
      <c r="K49" s="104"/>
      <c r="L49" s="145">
        <f t="shared" si="5"/>
        <v>0</v>
      </c>
      <c r="M49" s="131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outlineLevel="1" x14ac:dyDescent="0.3">
      <c r="A50" s="131"/>
      <c r="B50" s="131"/>
      <c r="C50" s="131"/>
      <c r="D50" s="131"/>
      <c r="E50" s="131"/>
      <c r="F50" s="150">
        <f>+F45+F46</f>
        <v>0</v>
      </c>
      <c r="G50" s="151">
        <f>SUM(G45:G49)</f>
        <v>1521535517</v>
      </c>
      <c r="H50" s="149"/>
      <c r="I50" s="149"/>
      <c r="J50" s="152"/>
      <c r="K50" s="153"/>
      <c r="L50" s="109">
        <f>SUM(L45:L49)</f>
        <v>84445221.193499997</v>
      </c>
      <c r="M50" s="131"/>
      <c r="N50" s="15"/>
      <c r="O50" s="15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outlineLevel="1" x14ac:dyDescent="0.3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outlineLevel="1" x14ac:dyDescent="0.3">
      <c r="A52" s="131"/>
      <c r="B52" s="122" t="s">
        <v>52</v>
      </c>
      <c r="C52" s="131"/>
      <c r="D52" s="131"/>
      <c r="E52" s="139"/>
      <c r="F52" s="98"/>
      <c r="G52" s="175">
        <f>G43</f>
        <v>2027</v>
      </c>
      <c r="H52" s="176"/>
      <c r="I52" s="176"/>
      <c r="J52" s="176"/>
      <c r="K52" s="176"/>
      <c r="L52" s="177"/>
      <c r="M52" s="13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outlineLevel="1" x14ac:dyDescent="0.3">
      <c r="A53" s="122"/>
      <c r="B53" s="99" t="s">
        <v>27</v>
      </c>
      <c r="C53" s="100"/>
      <c r="D53" s="100" t="s">
        <v>28</v>
      </c>
      <c r="E53" s="101" t="s">
        <v>29</v>
      </c>
      <c r="F53" s="100"/>
      <c r="G53" s="100"/>
      <c r="H53" s="100"/>
      <c r="I53" s="100"/>
      <c r="J53" s="100"/>
      <c r="K53" s="100"/>
      <c r="L53" s="123" t="s">
        <v>38</v>
      </c>
      <c r="M53" s="122"/>
      <c r="N53" s="23"/>
      <c r="O53" s="23"/>
      <c r="P53" s="2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.75" customHeight="1" outlineLevel="1" x14ac:dyDescent="0.3">
      <c r="A54" s="131"/>
      <c r="B54" s="140" t="s">
        <v>30</v>
      </c>
      <c r="C54" s="123" t="s">
        <v>31</v>
      </c>
      <c r="D54" s="123" t="s">
        <v>32</v>
      </c>
      <c r="E54" s="123" t="s">
        <v>32</v>
      </c>
      <c r="F54" s="123"/>
      <c r="G54" s="123"/>
      <c r="H54" s="103" t="s">
        <v>53</v>
      </c>
      <c r="I54" s="124"/>
      <c r="J54" s="124"/>
      <c r="K54" s="123" t="s">
        <v>54</v>
      </c>
      <c r="L54" s="131"/>
      <c r="M54" s="13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outlineLevel="1" x14ac:dyDescent="0.3">
      <c r="A55" s="131"/>
      <c r="B55" s="125" t="str">
        <f t="shared" ref="B55:B64" si="6">IF(B29=0,"",B29)</f>
        <v>RESIDENTIAL</v>
      </c>
      <c r="C55" s="142" t="s">
        <v>40</v>
      </c>
      <c r="D55" s="142">
        <v>4006</v>
      </c>
      <c r="E55" s="142">
        <v>4707</v>
      </c>
      <c r="F55" s="154"/>
      <c r="G55" s="154"/>
      <c r="H55" s="155">
        <f t="shared" ref="H55:H65" si="7">+H29</f>
        <v>24674108.359999999</v>
      </c>
      <c r="I55" s="154"/>
      <c r="J55" s="154"/>
      <c r="K55" s="126">
        <f t="shared" ref="K55:K65" si="8">+$G$18/1000</f>
        <v>6.9470000000000004E-2</v>
      </c>
      <c r="L55" s="145">
        <f t="shared" ref="L55:L65" si="9">+K55*H55</f>
        <v>1714110.3077692001</v>
      </c>
      <c r="M55" s="13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outlineLevel="1" x14ac:dyDescent="0.3">
      <c r="A56" s="131"/>
      <c r="B56" s="125" t="str">
        <f t="shared" si="6"/>
        <v>GENERAL SERVICE &lt;50KW</v>
      </c>
      <c r="C56" s="142" t="s">
        <v>40</v>
      </c>
      <c r="D56" s="142">
        <v>4010</v>
      </c>
      <c r="E56" s="142">
        <v>4707</v>
      </c>
      <c r="F56" s="154"/>
      <c r="G56" s="154"/>
      <c r="H56" s="155">
        <f t="shared" si="7"/>
        <v>108532481.97</v>
      </c>
      <c r="I56" s="154"/>
      <c r="J56" s="154"/>
      <c r="K56" s="126">
        <f t="shared" si="8"/>
        <v>6.9470000000000004E-2</v>
      </c>
      <c r="L56" s="145">
        <f t="shared" si="9"/>
        <v>7539751.5224559</v>
      </c>
      <c r="M56" s="13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outlineLevel="1" x14ac:dyDescent="0.3">
      <c r="A57" s="131"/>
      <c r="B57" s="125" t="str">
        <f t="shared" si="6"/>
        <v>GENERAL SERVICE 1000-1500KW</v>
      </c>
      <c r="C57" s="142" t="s">
        <v>40</v>
      </c>
      <c r="D57" s="142">
        <v>4035</v>
      </c>
      <c r="E57" s="142">
        <v>4707</v>
      </c>
      <c r="F57" s="154"/>
      <c r="G57" s="154"/>
      <c r="H57" s="155">
        <f t="shared" si="7"/>
        <v>2151982666.6999998</v>
      </c>
      <c r="I57" s="154"/>
      <c r="J57" s="154"/>
      <c r="K57" s="126">
        <f t="shared" si="8"/>
        <v>6.9470000000000004E-2</v>
      </c>
      <c r="L57" s="145">
        <f t="shared" si="9"/>
        <v>149498235.85564899</v>
      </c>
      <c r="M57" s="13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outlineLevel="1" x14ac:dyDescent="0.3">
      <c r="A58" s="131"/>
      <c r="B58" s="125" t="str">
        <f t="shared" si="6"/>
        <v>GENERAL SERVICE 1500-5000 KW</v>
      </c>
      <c r="C58" s="142" t="s">
        <v>40</v>
      </c>
      <c r="D58" s="142">
        <v>4010</v>
      </c>
      <c r="E58" s="142">
        <v>4707</v>
      </c>
      <c r="F58" s="154"/>
      <c r="G58" s="154"/>
      <c r="H58" s="155">
        <f t="shared" si="7"/>
        <v>151169205.12</v>
      </c>
      <c r="I58" s="154"/>
      <c r="J58" s="154"/>
      <c r="K58" s="126">
        <f t="shared" si="8"/>
        <v>6.9470000000000004E-2</v>
      </c>
      <c r="L58" s="145">
        <f t="shared" si="9"/>
        <v>10501724.679686401</v>
      </c>
      <c r="M58" s="13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outlineLevel="1" x14ac:dyDescent="0.3">
      <c r="A59" s="131"/>
      <c r="B59" s="125" t="str">
        <f t="shared" si="6"/>
        <v>LARGE USER</v>
      </c>
      <c r="C59" s="142" t="s">
        <v>40</v>
      </c>
      <c r="D59" s="142">
        <v>4025</v>
      </c>
      <c r="E59" s="142">
        <v>4707</v>
      </c>
      <c r="F59" s="154"/>
      <c r="G59" s="154"/>
      <c r="H59" s="155">
        <f t="shared" si="7"/>
        <v>51137607.259999998</v>
      </c>
      <c r="I59" s="154"/>
      <c r="J59" s="154"/>
      <c r="K59" s="126">
        <f t="shared" si="8"/>
        <v>6.9470000000000004E-2</v>
      </c>
      <c r="L59" s="145">
        <f t="shared" si="9"/>
        <v>3552529.5763522</v>
      </c>
      <c r="M59" s="13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outlineLevel="1" x14ac:dyDescent="0.3">
      <c r="A60" s="131"/>
      <c r="B60" s="125" t="str">
        <f t="shared" si="6"/>
        <v>STREETLIGHTING</v>
      </c>
      <c r="C60" s="142" t="s">
        <v>40</v>
      </c>
      <c r="D60" s="142">
        <v>4025</v>
      </c>
      <c r="E60" s="142">
        <v>4707</v>
      </c>
      <c r="F60" s="154"/>
      <c r="G60" s="154"/>
      <c r="H60" s="155">
        <f t="shared" si="7"/>
        <v>22792446.760000002</v>
      </c>
      <c r="I60" s="154"/>
      <c r="J60" s="154"/>
      <c r="K60" s="126">
        <f t="shared" si="8"/>
        <v>6.9470000000000004E-2</v>
      </c>
      <c r="L60" s="145">
        <f t="shared" si="9"/>
        <v>1583391.2764172002</v>
      </c>
      <c r="M60" s="13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outlineLevel="1" x14ac:dyDescent="0.3">
      <c r="A61" s="131"/>
      <c r="B61" s="125" t="str">
        <f t="shared" si="6"/>
        <v>SENTINEL LIGHTS</v>
      </c>
      <c r="C61" s="142" t="s">
        <v>40</v>
      </c>
      <c r="D61" s="142">
        <v>4025</v>
      </c>
      <c r="E61" s="142">
        <v>4707</v>
      </c>
      <c r="F61" s="154"/>
      <c r="G61" s="154"/>
      <c r="H61" s="155">
        <f t="shared" si="7"/>
        <v>0</v>
      </c>
      <c r="I61" s="154"/>
      <c r="J61" s="154"/>
      <c r="K61" s="126">
        <f t="shared" si="8"/>
        <v>6.9470000000000004E-2</v>
      </c>
      <c r="L61" s="145">
        <f t="shared" si="9"/>
        <v>0</v>
      </c>
      <c r="M61" s="13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outlineLevel="1" x14ac:dyDescent="0.3">
      <c r="A62" s="131"/>
      <c r="B62" s="125" t="str">
        <f t="shared" si="6"/>
        <v>UNMETERED SCATTERED LOADS</v>
      </c>
      <c r="C62" s="142" t="s">
        <v>40</v>
      </c>
      <c r="D62" s="142">
        <v>4025</v>
      </c>
      <c r="E62" s="142">
        <v>4707</v>
      </c>
      <c r="F62" s="154"/>
      <c r="G62" s="154"/>
      <c r="H62" s="155">
        <f t="shared" si="7"/>
        <v>0</v>
      </c>
      <c r="I62" s="154"/>
      <c r="J62" s="154"/>
      <c r="K62" s="126">
        <f t="shared" si="8"/>
        <v>6.9470000000000004E-2</v>
      </c>
      <c r="L62" s="145">
        <f t="shared" si="9"/>
        <v>0</v>
      </c>
      <c r="M62" s="13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outlineLevel="1" x14ac:dyDescent="0.3">
      <c r="A63" s="131"/>
      <c r="B63" s="125" t="str">
        <f t="shared" si="6"/>
        <v>DRYCORE</v>
      </c>
      <c r="C63" s="142" t="s">
        <v>40</v>
      </c>
      <c r="D63" s="142">
        <v>4025</v>
      </c>
      <c r="E63" s="142">
        <v>4707</v>
      </c>
      <c r="F63" s="154"/>
      <c r="G63" s="154"/>
      <c r="H63" s="155">
        <f t="shared" si="7"/>
        <v>6931149.8799999999</v>
      </c>
      <c r="I63" s="154"/>
      <c r="J63" s="154"/>
      <c r="K63" s="126">
        <f t="shared" si="8"/>
        <v>6.9470000000000004E-2</v>
      </c>
      <c r="L63" s="145">
        <f t="shared" si="9"/>
        <v>481506.98216360004</v>
      </c>
      <c r="M63" s="13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outlineLevel="1" x14ac:dyDescent="0.3">
      <c r="A64" s="131"/>
      <c r="B64" s="125" t="str">
        <f t="shared" si="6"/>
        <v/>
      </c>
      <c r="C64" s="142" t="s">
        <v>40</v>
      </c>
      <c r="D64" s="142">
        <v>4025</v>
      </c>
      <c r="E64" s="142">
        <v>4707</v>
      </c>
      <c r="F64" s="154"/>
      <c r="G64" s="154"/>
      <c r="H64" s="155">
        <f t="shared" si="7"/>
        <v>0</v>
      </c>
      <c r="I64" s="154"/>
      <c r="J64" s="154"/>
      <c r="K64" s="126">
        <f t="shared" si="8"/>
        <v>6.9470000000000004E-2</v>
      </c>
      <c r="L64" s="145">
        <f t="shared" si="9"/>
        <v>0</v>
      </c>
      <c r="M64" s="13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outlineLevel="1" x14ac:dyDescent="0.3">
      <c r="A65" s="131"/>
      <c r="B65" s="125"/>
      <c r="C65" s="142" t="s">
        <v>40</v>
      </c>
      <c r="D65" s="142">
        <v>4025</v>
      </c>
      <c r="E65" s="142">
        <v>4707</v>
      </c>
      <c r="F65" s="154"/>
      <c r="G65" s="154"/>
      <c r="H65" s="155">
        <f t="shared" si="7"/>
        <v>0</v>
      </c>
      <c r="I65" s="154"/>
      <c r="J65" s="154"/>
      <c r="K65" s="126">
        <f t="shared" si="8"/>
        <v>6.9470000000000004E-2</v>
      </c>
      <c r="L65" s="145">
        <f t="shared" si="9"/>
        <v>0</v>
      </c>
      <c r="M65" s="13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outlineLevel="1" x14ac:dyDescent="0.3">
      <c r="A66" s="131"/>
      <c r="B66" s="125" t="s">
        <v>55</v>
      </c>
      <c r="C66" s="123"/>
      <c r="D66" s="123"/>
      <c r="E66" s="141"/>
      <c r="F66" s="156"/>
      <c r="G66" s="156"/>
      <c r="H66" s="157">
        <f>SUM(H55:H65)</f>
        <v>2517219666.0500002</v>
      </c>
      <c r="I66" s="156"/>
      <c r="J66" s="156"/>
      <c r="K66" s="158"/>
      <c r="L66" s="109"/>
      <c r="M66" s="13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outlineLevel="1" x14ac:dyDescent="0.3">
      <c r="A67" s="131"/>
      <c r="B67" s="99" t="s">
        <v>56</v>
      </c>
      <c r="C67" s="146"/>
      <c r="D67" s="100"/>
      <c r="E67" s="101"/>
      <c r="F67" s="127"/>
      <c r="G67" s="127"/>
      <c r="H67" s="127"/>
      <c r="I67" s="127"/>
      <c r="J67" s="127"/>
      <c r="K67" s="107"/>
      <c r="L67" s="109">
        <f>SUM(L55:L65)</f>
        <v>174871250.20049351</v>
      </c>
      <c r="M67" s="13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outlineLevel="1" x14ac:dyDescent="0.3">
      <c r="A68" s="131"/>
      <c r="B68" s="122"/>
      <c r="C68" s="159"/>
      <c r="D68" s="128"/>
      <c r="E68" s="128"/>
      <c r="F68" s="129"/>
      <c r="G68" s="129"/>
      <c r="H68" s="129"/>
      <c r="I68" s="129"/>
      <c r="J68" s="129"/>
      <c r="K68" s="129"/>
      <c r="L68" s="160"/>
      <c r="M68" s="13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outlineLevel="1" x14ac:dyDescent="0.3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61"/>
      <c r="M69" s="13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31" t="s">
        <v>57</v>
      </c>
      <c r="B70" s="131"/>
      <c r="C70" s="131"/>
      <c r="D70" s="131"/>
      <c r="E70" s="131"/>
      <c r="F70" s="130"/>
      <c r="G70" s="130"/>
      <c r="H70" s="130"/>
      <c r="I70" s="130"/>
      <c r="J70" s="130"/>
      <c r="K70" s="130"/>
      <c r="L70" s="131"/>
      <c r="M70" s="13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31" t="s">
        <v>58</v>
      </c>
      <c r="B71" s="131"/>
      <c r="C71" s="131"/>
      <c r="D71" s="131"/>
      <c r="E71" s="131"/>
      <c r="F71" s="131"/>
      <c r="G71" s="162"/>
      <c r="H71" s="162"/>
      <c r="I71" s="162"/>
      <c r="J71" s="162"/>
      <c r="K71" s="162"/>
      <c r="L71" s="131"/>
      <c r="M71" s="13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31" t="s">
        <v>59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" footer="0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4A64-B9E0-4E5A-9F2B-1AC282E3E3F7}">
  <dimension ref="A1:Z1000"/>
  <sheetViews>
    <sheetView showGridLines="0" workbookViewId="0">
      <selection activeCell="M20" sqref="M20"/>
    </sheetView>
  </sheetViews>
  <sheetFormatPr defaultColWidth="12.5546875" defaultRowHeight="15" customHeight="1" x14ac:dyDescent="0.3"/>
  <cols>
    <col min="1" max="1" width="37" customWidth="1"/>
    <col min="2" max="2" width="14.33203125" bestFit="1" customWidth="1"/>
    <col min="3" max="3" width="1.5546875" customWidth="1"/>
    <col min="4" max="4" width="23.109375" customWidth="1"/>
    <col min="5" max="5" width="15.109375" customWidth="1"/>
    <col min="6" max="6" width="12.88671875" customWidth="1"/>
    <col min="7" max="7" width="2.109375" customWidth="1"/>
    <col min="8" max="8" width="19.109375" customWidth="1"/>
    <col min="9" max="9" width="11.109375" customWidth="1"/>
    <col min="10" max="10" width="13.109375" customWidth="1"/>
    <col min="11" max="11" width="16.109375" customWidth="1"/>
    <col min="12" max="12" width="12" customWidth="1"/>
    <col min="13" max="13" width="29.5546875" customWidth="1"/>
    <col min="14" max="16" width="9.109375" customWidth="1"/>
    <col min="17" max="17" width="10.5546875" bestFit="1" customWidth="1"/>
    <col min="18" max="20" width="9.109375" customWidth="1"/>
    <col min="21" max="22" width="10.5546875" bestFit="1" customWidth="1"/>
    <col min="23" max="26" width="9.109375" customWidth="1"/>
  </cols>
  <sheetData>
    <row r="1" spans="1:26" ht="21" x14ac:dyDescent="0.4">
      <c r="A1" s="181" t="s">
        <v>60</v>
      </c>
      <c r="B1" s="179"/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5"/>
      <c r="B2" s="25"/>
      <c r="C2" s="25"/>
      <c r="D2" s="25"/>
      <c r="E2" s="25"/>
      <c r="F2" s="25"/>
      <c r="G2" s="25"/>
      <c r="H2" s="25"/>
      <c r="I2" s="25"/>
      <c r="J2" s="4" t="s">
        <v>0</v>
      </c>
      <c r="K2" s="5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25"/>
      <c r="B3" s="25"/>
      <c r="C3" s="25"/>
      <c r="D3" s="25"/>
      <c r="E3" s="25"/>
      <c r="F3" s="25"/>
      <c r="G3" s="25"/>
      <c r="H3" s="25"/>
      <c r="I3" s="25"/>
      <c r="J3" s="4" t="s">
        <v>2</v>
      </c>
      <c r="K3" s="5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25"/>
      <c r="B4" s="25"/>
      <c r="C4" s="25"/>
      <c r="D4" s="25"/>
      <c r="E4" s="25"/>
      <c r="F4" s="25"/>
      <c r="G4" s="25"/>
      <c r="H4" s="25"/>
      <c r="I4" s="25"/>
      <c r="J4" s="4" t="s">
        <v>4</v>
      </c>
      <c r="K4" s="5">
        <v>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25"/>
      <c r="B5" s="25"/>
      <c r="C5" s="25"/>
      <c r="D5" s="25"/>
      <c r="E5" s="25"/>
      <c r="F5" s="25"/>
      <c r="G5" s="25"/>
      <c r="H5" s="25"/>
      <c r="I5" s="25"/>
      <c r="J5" s="4" t="s">
        <v>5</v>
      </c>
      <c r="K5" s="5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25"/>
      <c r="B6" s="25"/>
      <c r="C6" s="25"/>
      <c r="D6" s="25"/>
      <c r="E6" s="25"/>
      <c r="F6" s="25"/>
      <c r="G6" s="25"/>
      <c r="H6" s="25"/>
      <c r="I6" s="25"/>
      <c r="J6" s="4" t="s">
        <v>6</v>
      </c>
      <c r="K6" s="5" t="s">
        <v>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 t="s">
        <v>61</v>
      </c>
      <c r="B7" s="1"/>
      <c r="C7" s="1"/>
      <c r="D7" s="1"/>
      <c r="E7" s="1"/>
      <c r="F7" s="1"/>
      <c r="G7" s="1"/>
      <c r="H7" s="1"/>
      <c r="I7" s="1"/>
      <c r="J7" s="4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 t="s">
        <v>62</v>
      </c>
      <c r="B8" s="1"/>
      <c r="C8" s="1"/>
      <c r="D8" s="1"/>
      <c r="E8" s="1"/>
      <c r="F8" s="1"/>
      <c r="G8" s="1"/>
      <c r="H8" s="1"/>
      <c r="I8" s="1"/>
      <c r="J8" s="4" t="s">
        <v>8</v>
      </c>
      <c r="K8" s="5" t="s">
        <v>106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 t="s">
        <v>63</v>
      </c>
      <c r="B9" s="1"/>
      <c r="C9" s="1"/>
      <c r="D9" s="1"/>
      <c r="E9" s="182"/>
      <c r="F9" s="179"/>
      <c r="G9" s="8"/>
      <c r="H9" s="8"/>
      <c r="I9" s="182"/>
      <c r="J9" s="17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27"/>
      <c r="C10" s="28"/>
      <c r="D10" s="29" t="s">
        <v>102</v>
      </c>
      <c r="E10" s="183" t="s">
        <v>15</v>
      </c>
      <c r="F10" s="184"/>
      <c r="G10" s="30"/>
      <c r="H10" s="29" t="str">
        <f>D10</f>
        <v>2027 Test Year</v>
      </c>
      <c r="I10" s="183" t="s">
        <v>14</v>
      </c>
      <c r="J10" s="184"/>
      <c r="K10" s="31" t="s">
        <v>64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32" t="s">
        <v>65</v>
      </c>
      <c r="B11" s="185" t="s">
        <v>66</v>
      </c>
      <c r="C11" s="33"/>
      <c r="D11" s="34" t="s">
        <v>67</v>
      </c>
      <c r="E11" s="34" t="s">
        <v>68</v>
      </c>
      <c r="F11" s="20" t="s">
        <v>69</v>
      </c>
      <c r="G11" s="8"/>
      <c r="H11" s="34" t="s">
        <v>67</v>
      </c>
      <c r="I11" s="34" t="s">
        <v>68</v>
      </c>
      <c r="J11" s="20" t="s">
        <v>69</v>
      </c>
      <c r="K11" s="35" t="s">
        <v>70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36" t="s">
        <v>71</v>
      </c>
      <c r="B12" s="186"/>
      <c r="C12" s="37"/>
      <c r="D12" s="38"/>
      <c r="E12" s="39"/>
      <c r="F12" s="40"/>
      <c r="G12" s="1"/>
      <c r="H12" s="38"/>
      <c r="I12" s="39"/>
      <c r="J12" s="40"/>
      <c r="K12" s="18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9" t="str">
        <f>'App.2-ZA_2027-Com. Exp. Forecas'!B29</f>
        <v>RESIDENTIAL</v>
      </c>
      <c r="B13" s="41" t="s">
        <v>40</v>
      </c>
      <c r="C13" s="37"/>
      <c r="D13" s="38">
        <f>'App.2-ZA_2027-Com. Exp. Forecas'!I29</f>
        <v>2691213763.3400002</v>
      </c>
      <c r="E13" s="42"/>
      <c r="F13" s="40">
        <f>D13*'App.2-ZA_2027-Com. Exp. Forecas'!K29</f>
        <v>289682249.48591763</v>
      </c>
      <c r="G13" s="1"/>
      <c r="H13" s="38">
        <f>'App.2-ZA_2027-Com. Exp. Forecas'!F29+'App.2-ZA_2027-Com. Exp. Forecas'!H29</f>
        <v>24674108.359999999</v>
      </c>
      <c r="I13" s="43"/>
      <c r="J13" s="40">
        <f>H13*'App.2-ZA_2027-Com. Exp. Forecas'!J29</f>
        <v>917136.60774120002</v>
      </c>
      <c r="K13" s="18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9" t="str">
        <f>'App.2-ZA_2027-Com. Exp. Forecas'!B30</f>
        <v>GENERAL SERVICE &lt;50KW</v>
      </c>
      <c r="B14" s="41" t="s">
        <v>40</v>
      </c>
      <c r="C14" s="37"/>
      <c r="D14" s="38">
        <f>'App.2-ZA_2027-Com. Exp. Forecas'!I30</f>
        <v>637640004.72000003</v>
      </c>
      <c r="E14" s="42"/>
      <c r="F14" s="40">
        <f>D14*'App.2-ZA_2027-Com. Exp. Forecas'!K30</f>
        <v>68635570.108060807</v>
      </c>
      <c r="G14" s="1"/>
      <c r="H14" s="38">
        <f>'App.2-ZA_2027-Com. Exp. Forecas'!F30+'App.2-ZA_2027-Com. Exp. Forecas'!H30</f>
        <v>108532481.97</v>
      </c>
      <c r="I14" s="43"/>
      <c r="J14" s="40">
        <f>H14*'App.2-ZA_2027-Com. Exp. Forecas'!J30</f>
        <v>4034152.3548249002</v>
      </c>
      <c r="K14" s="18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9" t="str">
        <f>'App.2-ZA_2027-Com. Exp. Forecas'!B31</f>
        <v>GENERAL SERVICE 1000-1500KW</v>
      </c>
      <c r="B15" s="41" t="s">
        <v>40</v>
      </c>
      <c r="C15" s="37"/>
      <c r="D15" s="38">
        <f>'App.2-ZA_2027-Com. Exp. Forecas'!I31</f>
        <v>339685303.57999998</v>
      </c>
      <c r="E15" s="42"/>
      <c r="F15" s="40">
        <f>D15*'App.2-ZA_2027-Com. Exp. Forecas'!K31</f>
        <v>36563726.077351198</v>
      </c>
      <c r="G15" s="1"/>
      <c r="H15" s="38">
        <f>'App.2-ZA_2027-Com. Exp. Forecas'!F31+'App.2-ZA_2027-Com. Exp. Forecas'!H31</f>
        <v>2568139769.6999998</v>
      </c>
      <c r="I15" s="43"/>
      <c r="J15" s="40">
        <f>H15*'App.2-ZA_2027-Com. Exp. Forecas'!J31</f>
        <v>95457755.239748999</v>
      </c>
      <c r="K15" s="18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9" t="str">
        <f>'App.2-ZA_2027-Com. Exp. Forecas'!B32</f>
        <v>GENERAL SERVICE 1500-5000 KW</v>
      </c>
      <c r="B16" s="41" t="s">
        <v>40</v>
      </c>
      <c r="C16" s="37"/>
      <c r="D16" s="38">
        <f>'App.2-ZA_2027-Com. Exp. Forecas'!I32</f>
        <v>0</v>
      </c>
      <c r="E16" s="42"/>
      <c r="F16" s="40">
        <f>D16*'App.2-ZA_2027-Com. Exp. Forecas'!K32</f>
        <v>0</v>
      </c>
      <c r="G16" s="1"/>
      <c r="H16" s="38">
        <f>'App.2-ZA_2027-Com. Exp. Forecas'!F32+'App.2-ZA_2027-Com. Exp. Forecas'!H32</f>
        <v>721960604.12</v>
      </c>
      <c r="I16" s="43"/>
      <c r="J16" s="40">
        <f>H16*'App.2-ZA_2027-Com. Exp. Forecas'!J32</f>
        <v>26835275.6551404</v>
      </c>
      <c r="K16" s="18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9" t="str">
        <f>'App.2-ZA_2027-Com. Exp. Forecas'!B33</f>
        <v>LARGE USER</v>
      </c>
      <c r="B17" s="41" t="s">
        <v>40</v>
      </c>
      <c r="C17" s="37"/>
      <c r="D17" s="38">
        <f>'App.2-ZA_2027-Com. Exp. Forecas'!I33</f>
        <v>0</v>
      </c>
      <c r="E17" s="42"/>
      <c r="F17" s="40">
        <f>D17*'App.2-ZA_2027-Com. Exp. Forecas'!K33</f>
        <v>0</v>
      </c>
      <c r="G17" s="1"/>
      <c r="H17" s="38">
        <f>'App.2-ZA_2027-Com. Exp. Forecas'!F33+'App.2-ZA_2027-Com. Exp. Forecas'!H33</f>
        <v>585724622.25999999</v>
      </c>
      <c r="I17" s="43"/>
      <c r="J17" s="40">
        <f>H17*'App.2-ZA_2027-Com. Exp. Forecas'!J33</f>
        <v>21771384.2094042</v>
      </c>
      <c r="K17" s="18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9" t="str">
        <f>'App.2-ZA_2027-Com. Exp. Forecas'!B34</f>
        <v>STREETLIGHTING</v>
      </c>
      <c r="B18" s="41" t="s">
        <v>40</v>
      </c>
      <c r="C18" s="37"/>
      <c r="D18" s="38">
        <f>'App.2-ZA_2027-Com. Exp. Forecas'!I34</f>
        <v>0</v>
      </c>
      <c r="E18" s="42"/>
      <c r="F18" s="40">
        <f>D18*'App.2-ZA_2027-Com. Exp. Forecas'!K34</f>
        <v>0</v>
      </c>
      <c r="G18" s="1"/>
      <c r="H18" s="38">
        <f>'App.2-ZA_2027-Com. Exp. Forecas'!F34+'App.2-ZA_2027-Com. Exp. Forecas'!H34</f>
        <v>22792446.760000002</v>
      </c>
      <c r="I18" s="43"/>
      <c r="J18" s="40">
        <f>H18*'App.2-ZA_2027-Com. Exp. Forecas'!J34</f>
        <v>847195.2460692001</v>
      </c>
      <c r="K18" s="18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9" t="str">
        <f>'App.2-ZA_2027-Com. Exp. Forecas'!B35</f>
        <v>SENTINEL LIGHTS</v>
      </c>
      <c r="B19" s="41" t="s">
        <v>40</v>
      </c>
      <c r="C19" s="37"/>
      <c r="D19" s="38">
        <f>'App.2-ZA_2027-Com. Exp. Forecas'!I35</f>
        <v>41220.550000000003</v>
      </c>
      <c r="E19" s="42"/>
      <c r="F19" s="40">
        <f>D19*'App.2-ZA_2027-Com. Exp. Forecas'!K35</f>
        <v>4436.9800020000002</v>
      </c>
      <c r="G19" s="1"/>
      <c r="H19" s="38">
        <f>'App.2-ZA_2027-Com. Exp. Forecas'!F35+'App.2-ZA_2027-Com. Exp. Forecas'!H35</f>
        <v>0</v>
      </c>
      <c r="I19" s="43"/>
      <c r="J19" s="40">
        <f>H19*'App.2-ZA_2027-Com. Exp. Forecas'!J35</f>
        <v>0</v>
      </c>
      <c r="K19" s="18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9" t="str">
        <f>'App.2-ZA_2027-Com. Exp. Forecas'!B36</f>
        <v>UNMETERED SCATTERED LOADS</v>
      </c>
      <c r="B20" s="41" t="s">
        <v>40</v>
      </c>
      <c r="C20" s="37"/>
      <c r="D20" s="38">
        <f>'App.2-ZA_2027-Com. Exp. Forecas'!I36</f>
        <v>14952361.91</v>
      </c>
      <c r="E20" s="42"/>
      <c r="F20" s="40">
        <f>D20*'App.2-ZA_2027-Com. Exp. Forecas'!K36</f>
        <v>1609472.2359924</v>
      </c>
      <c r="G20" s="1"/>
      <c r="H20" s="38">
        <f>'App.2-ZA_2027-Com. Exp. Forecas'!F36+'App.2-ZA_2027-Com. Exp. Forecas'!H36</f>
        <v>0</v>
      </c>
      <c r="I20" s="43"/>
      <c r="J20" s="40">
        <f>H20*'App.2-ZA_2027-Com. Exp. Forecas'!J36</f>
        <v>0</v>
      </c>
      <c r="K20" s="18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9" t="str">
        <f>'App.2-ZA_2027-Com. Exp. Forecas'!B37</f>
        <v>DRYCORE</v>
      </c>
      <c r="B21" s="41" t="s">
        <v>40</v>
      </c>
      <c r="C21" s="37"/>
      <c r="D21" s="38">
        <f>'App.2-ZA_2027-Com. Exp. Forecas'!I37</f>
        <v>0</v>
      </c>
      <c r="E21" s="42"/>
      <c r="F21" s="40">
        <f>D21*'App.2-ZA_2027-Com. Exp. Forecas'!K37</f>
        <v>0</v>
      </c>
      <c r="G21" s="1"/>
      <c r="H21" s="38">
        <f>'App.2-ZA_2027-Com. Exp. Forecas'!F37+'App.2-ZA_2027-Com. Exp. Forecas'!H37</f>
        <v>6931149.8799999999</v>
      </c>
      <c r="I21" s="43"/>
      <c r="J21" s="40">
        <f>H21*'App.2-ZA_2027-Com. Exp. Forecas'!J37</f>
        <v>257630.8410396</v>
      </c>
      <c r="K21" s="18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9"/>
      <c r="B22" s="41"/>
      <c r="C22" s="44"/>
      <c r="D22" s="38"/>
      <c r="E22" s="42"/>
      <c r="F22" s="40">
        <f>D22*'App.2-ZA_2027-Com. Exp. Forecas'!K38</f>
        <v>0</v>
      </c>
      <c r="G22" s="1"/>
      <c r="H22" s="38"/>
      <c r="I22" s="43"/>
      <c r="J22" s="40"/>
      <c r="K22" s="18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9"/>
      <c r="B23" s="45"/>
      <c r="C23" s="37"/>
      <c r="D23" s="38"/>
      <c r="E23" s="42"/>
      <c r="F23" s="40"/>
      <c r="G23" s="1"/>
      <c r="H23" s="38"/>
      <c r="I23" s="43"/>
      <c r="J23" s="40"/>
      <c r="K23" s="18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6" t="s">
        <v>72</v>
      </c>
      <c r="B24" s="19"/>
      <c r="C24" s="37"/>
      <c r="D24" s="38"/>
      <c r="E24" s="46"/>
      <c r="F24" s="40">
        <f>SUM(F13:F23)</f>
        <v>396495454.88732398</v>
      </c>
      <c r="G24" s="19"/>
      <c r="H24" s="38"/>
      <c r="I24" s="18"/>
      <c r="J24" s="47">
        <f>SUM(J13:J23)</f>
        <v>150120530.15396848</v>
      </c>
      <c r="K24" s="174">
        <f>ROUND(F24+J24,2)</f>
        <v>546615985.03999996</v>
      </c>
      <c r="L24" s="1" t="str">
        <f>IF(K24='App.2-ZA_2027-Com. Exp. Forecas'!L40,"OK", "ERROR")</f>
        <v>OK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3">
      <c r="A25" s="1"/>
      <c r="B25" s="1"/>
      <c r="C25" s="1"/>
      <c r="D25" s="49"/>
      <c r="E25" s="1"/>
      <c r="F25" s="1"/>
      <c r="G25" s="1"/>
      <c r="H25" s="1"/>
      <c r="I25" s="182"/>
      <c r="J25" s="18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2" t="s">
        <v>73</v>
      </c>
      <c r="B26" s="185" t="s">
        <v>66</v>
      </c>
      <c r="C26" s="33"/>
      <c r="D26" s="187" t="s">
        <v>67</v>
      </c>
      <c r="E26" s="190" t="s">
        <v>68</v>
      </c>
      <c r="F26" s="192" t="s">
        <v>69</v>
      </c>
      <c r="G26" s="8"/>
      <c r="H26" s="194" t="s">
        <v>67</v>
      </c>
      <c r="I26" s="190" t="s">
        <v>68</v>
      </c>
      <c r="J26" s="192" t="s">
        <v>69</v>
      </c>
      <c r="K26" s="187" t="s">
        <v>64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6" t="s">
        <v>74</v>
      </c>
      <c r="B27" s="186"/>
      <c r="C27" s="33"/>
      <c r="D27" s="188"/>
      <c r="E27" s="191"/>
      <c r="F27" s="193"/>
      <c r="G27" s="8"/>
      <c r="H27" s="188"/>
      <c r="I27" s="191"/>
      <c r="J27" s="193"/>
      <c r="K27" s="18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9" t="str">
        <f t="shared" ref="A28:A38" si="0">IF(A13="","",A13 &amp; " - Class B")</f>
        <v>RESIDENTIAL - Class B</v>
      </c>
      <c r="B28" s="41" t="s">
        <v>40</v>
      </c>
      <c r="C28" s="37"/>
      <c r="D28" s="22"/>
      <c r="E28" s="22"/>
      <c r="F28" s="50">
        <f t="shared" ref="F28:F43" si="1">D28*E28</f>
        <v>0</v>
      </c>
      <c r="G28" s="1"/>
      <c r="H28" s="51"/>
      <c r="I28" s="22"/>
      <c r="J28" s="40">
        <f>'App.2-ZA_2027-Com. Exp. Forecas'!L55</f>
        <v>1714110.3077692001</v>
      </c>
      <c r="K28" s="18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9" t="str">
        <f t="shared" si="0"/>
        <v>GENERAL SERVICE &lt;50KW - Class B</v>
      </c>
      <c r="B29" s="41" t="s">
        <v>40</v>
      </c>
      <c r="C29" s="37"/>
      <c r="D29" s="22"/>
      <c r="E29" s="22"/>
      <c r="F29" s="50">
        <f t="shared" si="1"/>
        <v>0</v>
      </c>
      <c r="G29" s="1"/>
      <c r="H29" s="51"/>
      <c r="I29" s="22"/>
      <c r="J29" s="40">
        <f>'App.2-ZA_2027-Com. Exp. Forecas'!L56</f>
        <v>7539751.5224559</v>
      </c>
      <c r="K29" s="18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9" t="str">
        <f t="shared" si="0"/>
        <v>GENERAL SERVICE 1000-1500KW - Class B</v>
      </c>
      <c r="B30" s="41" t="s">
        <v>40</v>
      </c>
      <c r="C30" s="37"/>
      <c r="D30" s="22"/>
      <c r="E30" s="22"/>
      <c r="F30" s="50">
        <f t="shared" si="1"/>
        <v>0</v>
      </c>
      <c r="G30" s="1"/>
      <c r="H30" s="51"/>
      <c r="I30" s="22"/>
      <c r="J30" s="40">
        <f>'App.2-ZA_2027-Com. Exp. Forecas'!L57</f>
        <v>149498235.85564899</v>
      </c>
      <c r="K30" s="18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9" t="str">
        <f t="shared" si="0"/>
        <v>GENERAL SERVICE 1500-5000 KW - Class B</v>
      </c>
      <c r="B31" s="41" t="s">
        <v>40</v>
      </c>
      <c r="C31" s="37"/>
      <c r="D31" s="22"/>
      <c r="E31" s="22"/>
      <c r="F31" s="50">
        <f t="shared" si="1"/>
        <v>0</v>
      </c>
      <c r="G31" s="1"/>
      <c r="H31" s="51"/>
      <c r="I31" s="22"/>
      <c r="J31" s="40">
        <f>'App.2-ZA_2027-Com. Exp. Forecas'!L58</f>
        <v>10501724.679686401</v>
      </c>
      <c r="K31" s="18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9" t="str">
        <f t="shared" si="0"/>
        <v>LARGE USER - Class B</v>
      </c>
      <c r="B32" s="41" t="s">
        <v>40</v>
      </c>
      <c r="C32" s="37"/>
      <c r="D32" s="22"/>
      <c r="E32" s="22"/>
      <c r="F32" s="50">
        <f t="shared" si="1"/>
        <v>0</v>
      </c>
      <c r="G32" s="1"/>
      <c r="H32" s="51"/>
      <c r="I32" s="22"/>
      <c r="J32" s="40">
        <f>'App.2-ZA_2027-Com. Exp. Forecas'!L59</f>
        <v>3552529.5763522</v>
      </c>
      <c r="K32" s="18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9" t="str">
        <f t="shared" si="0"/>
        <v>STREETLIGHTING - Class B</v>
      </c>
      <c r="B33" s="41" t="s">
        <v>40</v>
      </c>
      <c r="C33" s="37"/>
      <c r="D33" s="22"/>
      <c r="E33" s="22"/>
      <c r="F33" s="50">
        <f t="shared" si="1"/>
        <v>0</v>
      </c>
      <c r="G33" s="1"/>
      <c r="H33" s="51"/>
      <c r="I33" s="22"/>
      <c r="J33" s="40">
        <f>'App.2-ZA_2027-Com. Exp. Forecas'!L60</f>
        <v>1583391.2764172002</v>
      </c>
      <c r="K33" s="18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9" t="str">
        <f t="shared" si="0"/>
        <v>SENTINEL LIGHTS - Class B</v>
      </c>
      <c r="B34" s="41" t="s">
        <v>40</v>
      </c>
      <c r="C34" s="37"/>
      <c r="D34" s="22"/>
      <c r="E34" s="22"/>
      <c r="F34" s="50">
        <f t="shared" si="1"/>
        <v>0</v>
      </c>
      <c r="G34" s="1"/>
      <c r="H34" s="51"/>
      <c r="I34" s="22"/>
      <c r="J34" s="40"/>
      <c r="K34" s="18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9" t="str">
        <f t="shared" si="0"/>
        <v>UNMETERED SCATTERED LOADS - Class B</v>
      </c>
      <c r="B35" s="41" t="s">
        <v>40</v>
      </c>
      <c r="C35" s="37"/>
      <c r="D35" s="22"/>
      <c r="E35" s="22"/>
      <c r="F35" s="50">
        <f t="shared" si="1"/>
        <v>0</v>
      </c>
      <c r="G35" s="1"/>
      <c r="H35" s="51"/>
      <c r="I35" s="22"/>
      <c r="J35" s="40"/>
      <c r="K35" s="18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9" t="str">
        <f t="shared" si="0"/>
        <v>DRYCORE - Class B</v>
      </c>
      <c r="B36" s="41" t="s">
        <v>40</v>
      </c>
      <c r="C36" s="37"/>
      <c r="D36" s="22"/>
      <c r="E36" s="22"/>
      <c r="F36" s="50">
        <f t="shared" si="1"/>
        <v>0</v>
      </c>
      <c r="G36" s="1"/>
      <c r="H36" s="51"/>
      <c r="I36" s="22"/>
      <c r="J36" s="40">
        <f>'App.2-ZA_2027-Com. Exp. Forecas'!L63</f>
        <v>481506.98216360004</v>
      </c>
      <c r="K36" s="18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9" t="str">
        <f t="shared" si="0"/>
        <v/>
      </c>
      <c r="B37" s="41"/>
      <c r="C37" s="37"/>
      <c r="D37" s="22"/>
      <c r="E37" s="22"/>
      <c r="F37" s="50">
        <f t="shared" si="1"/>
        <v>0</v>
      </c>
      <c r="G37" s="1"/>
      <c r="H37" s="51"/>
      <c r="I37" s="22"/>
      <c r="J37" s="40"/>
      <c r="K37" s="18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9" t="str">
        <f t="shared" si="0"/>
        <v/>
      </c>
      <c r="B38" s="41"/>
      <c r="C38" s="37"/>
      <c r="D38" s="22"/>
      <c r="E38" s="22"/>
      <c r="F38" s="50">
        <f t="shared" si="1"/>
        <v>0</v>
      </c>
      <c r="G38" s="1"/>
      <c r="H38" s="51"/>
      <c r="I38" s="22"/>
      <c r="J38" s="40"/>
      <c r="K38" s="18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9" t="s">
        <v>103</v>
      </c>
      <c r="B39" s="41" t="s">
        <v>40</v>
      </c>
      <c r="C39" s="37"/>
      <c r="D39" s="22"/>
      <c r="E39" s="22"/>
      <c r="F39" s="50">
        <f t="shared" si="1"/>
        <v>0</v>
      </c>
      <c r="G39" s="1"/>
      <c r="H39" s="51"/>
      <c r="I39" s="22"/>
      <c r="J39" s="40">
        <f>'App.2-ZA_2027-Com. Exp. Forecas'!L45</f>
        <v>23096719.216499999</v>
      </c>
      <c r="K39" s="18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9" t="s">
        <v>104</v>
      </c>
      <c r="B40" s="41" t="s">
        <v>40</v>
      </c>
      <c r="C40" s="37"/>
      <c r="D40" s="22"/>
      <c r="E40" s="22"/>
      <c r="F40" s="50">
        <f t="shared" si="1"/>
        <v>0</v>
      </c>
      <c r="G40" s="1"/>
      <c r="H40" s="51"/>
      <c r="I40" s="22"/>
      <c r="J40" s="40">
        <f>'App.2-ZA_2027-Com. Exp. Forecas'!L46</f>
        <v>31678922.644500002</v>
      </c>
      <c r="K40" s="18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9" t="s">
        <v>105</v>
      </c>
      <c r="B41" s="41" t="s">
        <v>40</v>
      </c>
      <c r="C41" s="37"/>
      <c r="D41" s="22"/>
      <c r="E41" s="22"/>
      <c r="F41" s="50">
        <f t="shared" si="1"/>
        <v>0</v>
      </c>
      <c r="G41" s="1"/>
      <c r="H41" s="51"/>
      <c r="I41" s="22"/>
      <c r="J41" s="40">
        <f>'App.2-ZA_2027-Com. Exp. Forecas'!L47</f>
        <v>29669579.3325</v>
      </c>
      <c r="K41" s="188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9"/>
      <c r="B42" s="41"/>
      <c r="C42" s="37"/>
      <c r="D42" s="22"/>
      <c r="E42" s="22"/>
      <c r="F42" s="50">
        <f t="shared" si="1"/>
        <v>0</v>
      </c>
      <c r="G42" s="1"/>
      <c r="H42" s="51"/>
      <c r="I42" s="22"/>
      <c r="J42" s="40"/>
      <c r="K42" s="18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9"/>
      <c r="B43" s="41"/>
      <c r="C43" s="37"/>
      <c r="D43" s="22"/>
      <c r="E43" s="22"/>
      <c r="F43" s="50">
        <f t="shared" si="1"/>
        <v>0</v>
      </c>
      <c r="G43" s="1"/>
      <c r="H43" s="51"/>
      <c r="I43" s="22"/>
      <c r="J43" s="40"/>
      <c r="K43" s="18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6" t="s">
        <v>72</v>
      </c>
      <c r="B44" s="21"/>
      <c r="C44" s="37"/>
      <c r="D44" s="18"/>
      <c r="E44" s="46"/>
      <c r="F44" s="19">
        <f>SUM(F28:F43)</f>
        <v>0</v>
      </c>
      <c r="G44" s="19"/>
      <c r="H44" s="46"/>
      <c r="I44" s="46"/>
      <c r="J44" s="52">
        <f>SUM(J28:J43)</f>
        <v>259316471.39399353</v>
      </c>
      <c r="K44" s="174">
        <f>F44+J44</f>
        <v>259316471.39399353</v>
      </c>
      <c r="L44" s="5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49"/>
      <c r="C45" s="1"/>
      <c r="D45" s="49"/>
      <c r="E45" s="1"/>
      <c r="F45" s="1"/>
      <c r="G45" s="1"/>
      <c r="H45" s="1"/>
      <c r="I45" s="1"/>
      <c r="J45" s="1"/>
      <c r="K45" s="1"/>
      <c r="L45" s="1"/>
      <c r="M45" s="1"/>
      <c r="N45" s="1"/>
      <c r="O45" s="183" t="s">
        <v>15</v>
      </c>
      <c r="P45" s="184"/>
      <c r="Q45" s="1"/>
      <c r="R45" s="1"/>
      <c r="S45" s="183" t="s">
        <v>14</v>
      </c>
      <c r="T45" s="184"/>
      <c r="U45" s="1"/>
      <c r="V45" s="1"/>
      <c r="W45" s="1"/>
      <c r="X45" s="1"/>
      <c r="Y45" s="1"/>
      <c r="Z45" s="1"/>
    </row>
    <row r="46" spans="1:26" ht="15.75" customHeight="1" x14ac:dyDescent="0.3">
      <c r="A46" s="32" t="s">
        <v>75</v>
      </c>
      <c r="B46" s="195"/>
      <c r="C46" s="33"/>
      <c r="D46" s="197" t="s">
        <v>76</v>
      </c>
      <c r="E46" s="199" t="s">
        <v>68</v>
      </c>
      <c r="F46" s="200" t="s">
        <v>69</v>
      </c>
      <c r="G46" s="8"/>
      <c r="H46" s="197" t="s">
        <v>67</v>
      </c>
      <c r="I46" s="199" t="s">
        <v>68</v>
      </c>
      <c r="J46" s="200" t="s">
        <v>69</v>
      </c>
      <c r="K46" s="187" t="s">
        <v>64</v>
      </c>
      <c r="L46" s="1"/>
      <c r="M46" s="54" t="s">
        <v>77</v>
      </c>
      <c r="N46" s="39"/>
      <c r="O46" s="55" t="s">
        <v>67</v>
      </c>
      <c r="P46" s="55" t="s">
        <v>68</v>
      </c>
      <c r="Q46" s="192" t="s">
        <v>69</v>
      </c>
      <c r="R46" s="1"/>
      <c r="S46" s="194" t="s">
        <v>67</v>
      </c>
      <c r="T46" s="187" t="s">
        <v>68</v>
      </c>
      <c r="U46" s="192" t="s">
        <v>69</v>
      </c>
      <c r="V46" s="187" t="s">
        <v>64</v>
      </c>
      <c r="W46" s="1"/>
      <c r="X46" s="1"/>
      <c r="Y46" s="1"/>
      <c r="Z46" s="1"/>
    </row>
    <row r="47" spans="1:26" ht="15.75" customHeight="1" x14ac:dyDescent="0.3">
      <c r="A47" s="36" t="s">
        <v>74</v>
      </c>
      <c r="B47" s="196"/>
      <c r="C47" s="56"/>
      <c r="D47" s="198"/>
      <c r="E47" s="198"/>
      <c r="F47" s="201"/>
      <c r="G47" s="8"/>
      <c r="H47" s="198"/>
      <c r="I47" s="198"/>
      <c r="J47" s="201"/>
      <c r="K47" s="202"/>
      <c r="L47" s="1"/>
      <c r="M47" s="36" t="s">
        <v>71</v>
      </c>
      <c r="N47" s="46"/>
      <c r="O47" s="57"/>
      <c r="P47" s="57"/>
      <c r="Q47" s="193"/>
      <c r="R47" s="1"/>
      <c r="S47" s="186"/>
      <c r="T47" s="186"/>
      <c r="U47" s="193"/>
      <c r="V47" s="186"/>
      <c r="W47" s="1"/>
      <c r="X47" s="1"/>
      <c r="Y47" s="1"/>
      <c r="Z47" s="1"/>
    </row>
    <row r="48" spans="1:26" ht="15.75" customHeight="1" x14ac:dyDescent="0.3">
      <c r="A48" s="19" t="str">
        <f t="shared" ref="A48:A58" si="2">IF(A13="","",A13)</f>
        <v>RESIDENTIAL</v>
      </c>
      <c r="B48" s="41" t="s">
        <v>78</v>
      </c>
      <c r="C48" s="37"/>
      <c r="D48" s="163">
        <v>5666571.04</v>
      </c>
      <c r="E48" s="164">
        <v>6.7157</v>
      </c>
      <c r="F48" s="165">
        <f t="shared" ref="F48:F58" si="3">D48*E48</f>
        <v>38054991.133327998</v>
      </c>
      <c r="G48" s="1"/>
      <c r="H48" s="163">
        <v>51953.36</v>
      </c>
      <c r="I48" s="164">
        <v>6.7157</v>
      </c>
      <c r="J48" s="165">
        <f t="shared" ref="J48:J58" si="4">H48*I48</f>
        <v>348903.17975200003</v>
      </c>
      <c r="K48" s="187"/>
      <c r="L48" s="1"/>
      <c r="M48" s="19" t="s">
        <v>39</v>
      </c>
      <c r="N48" s="41" t="s">
        <v>78</v>
      </c>
      <c r="O48" s="163">
        <v>228001.01</v>
      </c>
      <c r="P48" s="164">
        <v>5.6172000000000004</v>
      </c>
      <c r="Q48" s="58">
        <f t="shared" ref="Q48:Q58" si="5">O48*P48</f>
        <v>1280727.2733720001</v>
      </c>
      <c r="R48" s="1"/>
      <c r="S48" s="41">
        <v>2090.4</v>
      </c>
      <c r="T48" s="164">
        <v>5.6172000000000004</v>
      </c>
      <c r="U48" s="58">
        <f t="shared" ref="U48:U58" si="6">S48*T48</f>
        <v>11742.194880000001</v>
      </c>
      <c r="V48" s="205"/>
      <c r="W48" s="1"/>
      <c r="X48" s="1"/>
      <c r="Y48" s="1"/>
      <c r="Z48" s="1"/>
    </row>
    <row r="49" spans="1:26" ht="15.75" customHeight="1" x14ac:dyDescent="0.3">
      <c r="A49" s="19" t="str">
        <f t="shared" si="2"/>
        <v>GENERAL SERVICE &lt;50KW</v>
      </c>
      <c r="B49" s="41" t="s">
        <v>78</v>
      </c>
      <c r="C49" s="44"/>
      <c r="D49" s="163">
        <v>1199845.46</v>
      </c>
      <c r="E49" s="164">
        <v>6.7157</v>
      </c>
      <c r="F49" s="165">
        <f t="shared" si="3"/>
        <v>8057802.1557219997</v>
      </c>
      <c r="G49" s="1"/>
      <c r="H49" s="163">
        <v>204225.28</v>
      </c>
      <c r="I49" s="164">
        <v>6.7157</v>
      </c>
      <c r="J49" s="165">
        <f t="shared" si="4"/>
        <v>1371515.7128959999</v>
      </c>
      <c r="K49" s="204"/>
      <c r="L49" s="1"/>
      <c r="M49" s="19" t="s">
        <v>41</v>
      </c>
      <c r="N49" s="41" t="s">
        <v>78</v>
      </c>
      <c r="O49" s="163">
        <v>48277.16</v>
      </c>
      <c r="P49" s="164">
        <v>5.6172000000000004</v>
      </c>
      <c r="Q49" s="58">
        <f t="shared" si="5"/>
        <v>271182.46315200004</v>
      </c>
      <c r="R49" s="1"/>
      <c r="S49" s="41">
        <v>8217.24</v>
      </c>
      <c r="T49" s="164">
        <v>5.6172000000000004</v>
      </c>
      <c r="U49" s="58">
        <f t="shared" si="6"/>
        <v>46157.880528000002</v>
      </c>
      <c r="V49" s="188"/>
      <c r="W49" s="1"/>
      <c r="X49" s="1"/>
      <c r="Y49" s="1"/>
      <c r="Z49" s="1"/>
    </row>
    <row r="50" spans="1:26" ht="15.75" customHeight="1" x14ac:dyDescent="0.3">
      <c r="A50" s="19" t="str">
        <f t="shared" si="2"/>
        <v>GENERAL SERVICE 1000-1500KW</v>
      </c>
      <c r="B50" s="41" t="s">
        <v>78</v>
      </c>
      <c r="C50" s="44"/>
      <c r="D50" s="163">
        <v>575226.18000000005</v>
      </c>
      <c r="E50" s="164">
        <v>6.7157</v>
      </c>
      <c r="F50" s="165">
        <f t="shared" si="3"/>
        <v>3863046.4570260001</v>
      </c>
      <c r="G50" s="1"/>
      <c r="H50" s="163">
        <v>4348911.21</v>
      </c>
      <c r="I50" s="164">
        <v>6.7157</v>
      </c>
      <c r="J50" s="165">
        <f t="shared" si="4"/>
        <v>29205983.012997001</v>
      </c>
      <c r="K50" s="204"/>
      <c r="L50" s="1"/>
      <c r="M50" s="19" t="s">
        <v>42</v>
      </c>
      <c r="N50" s="41" t="s">
        <v>78</v>
      </c>
      <c r="O50" s="163">
        <v>23144.95</v>
      </c>
      <c r="P50" s="164">
        <v>5.6172000000000004</v>
      </c>
      <c r="Q50" s="58">
        <f t="shared" si="5"/>
        <v>130009.81314000001</v>
      </c>
      <c r="R50" s="1"/>
      <c r="S50" s="41">
        <v>174983.95</v>
      </c>
      <c r="T50" s="164">
        <v>5.6172000000000004</v>
      </c>
      <c r="U50" s="58">
        <f t="shared" si="6"/>
        <v>982919.84394000017</v>
      </c>
      <c r="V50" s="188"/>
      <c r="W50" s="1"/>
      <c r="X50" s="1"/>
      <c r="Y50" s="1"/>
      <c r="Z50" s="1"/>
    </row>
    <row r="51" spans="1:26" ht="15.75" customHeight="1" x14ac:dyDescent="0.3">
      <c r="A51" s="19" t="str">
        <f t="shared" si="2"/>
        <v>GENERAL SERVICE 1500-5000 KW</v>
      </c>
      <c r="B51" s="41" t="s">
        <v>78</v>
      </c>
      <c r="C51" s="44"/>
      <c r="D51" s="163">
        <v>0</v>
      </c>
      <c r="E51" s="164">
        <v>6.7157</v>
      </c>
      <c r="F51" s="165">
        <f t="shared" si="3"/>
        <v>0</v>
      </c>
      <c r="G51" s="1"/>
      <c r="H51" s="163">
        <v>1110523.47</v>
      </c>
      <c r="I51" s="164">
        <v>6.7157</v>
      </c>
      <c r="J51" s="165">
        <f t="shared" si="4"/>
        <v>7457942.4674789999</v>
      </c>
      <c r="K51" s="204"/>
      <c r="L51" s="1"/>
      <c r="M51" s="19" t="s">
        <v>43</v>
      </c>
      <c r="N51" s="41" t="s">
        <v>78</v>
      </c>
      <c r="O51" s="163">
        <v>0</v>
      </c>
      <c r="P51" s="164">
        <v>5.6172000000000004</v>
      </c>
      <c r="Q51" s="58">
        <f t="shared" si="5"/>
        <v>0</v>
      </c>
      <c r="R51" s="1"/>
      <c r="S51" s="41">
        <v>44683.19</v>
      </c>
      <c r="T51" s="164">
        <v>5.6172000000000004</v>
      </c>
      <c r="U51" s="58">
        <f t="shared" si="6"/>
        <v>250994.41486800002</v>
      </c>
      <c r="V51" s="188"/>
      <c r="W51" s="1"/>
      <c r="X51" s="1"/>
      <c r="Y51" s="1"/>
      <c r="Z51" s="1"/>
    </row>
    <row r="52" spans="1:26" ht="15.75" customHeight="1" x14ac:dyDescent="0.3">
      <c r="A52" s="19" t="str">
        <f t="shared" si="2"/>
        <v>LARGE USER</v>
      </c>
      <c r="B52" s="41" t="s">
        <v>78</v>
      </c>
      <c r="C52" s="44"/>
      <c r="D52" s="163">
        <v>0</v>
      </c>
      <c r="E52" s="164">
        <v>6.7157</v>
      </c>
      <c r="F52" s="165">
        <f t="shared" si="3"/>
        <v>0</v>
      </c>
      <c r="G52" s="1"/>
      <c r="H52" s="163">
        <v>850494.76</v>
      </c>
      <c r="I52" s="164">
        <v>6.7157</v>
      </c>
      <c r="J52" s="165">
        <f t="shared" si="4"/>
        <v>5711667.659732</v>
      </c>
      <c r="K52" s="204"/>
      <c r="L52" s="1"/>
      <c r="M52" s="19" t="s">
        <v>44</v>
      </c>
      <c r="N52" s="41" t="s">
        <v>78</v>
      </c>
      <c r="O52" s="163">
        <v>0</v>
      </c>
      <c r="P52" s="164">
        <v>5.6172000000000004</v>
      </c>
      <c r="Q52" s="58">
        <f t="shared" si="5"/>
        <v>0</v>
      </c>
      <c r="R52" s="1"/>
      <c r="S52" s="41">
        <v>34220.639999999999</v>
      </c>
      <c r="T52" s="164">
        <v>5.6172000000000004</v>
      </c>
      <c r="U52" s="58">
        <f t="shared" si="6"/>
        <v>192224.17900800001</v>
      </c>
      <c r="V52" s="188"/>
      <c r="W52" s="1"/>
      <c r="X52" s="1"/>
      <c r="Y52" s="1"/>
      <c r="Z52" s="1"/>
    </row>
    <row r="53" spans="1:26" ht="15.75" customHeight="1" x14ac:dyDescent="0.3">
      <c r="A53" s="19" t="str">
        <f t="shared" si="2"/>
        <v>STREETLIGHTING</v>
      </c>
      <c r="B53" s="41" t="s">
        <v>78</v>
      </c>
      <c r="C53" s="44"/>
      <c r="D53" s="163">
        <v>0</v>
      </c>
      <c r="E53" s="164">
        <v>6.7157</v>
      </c>
      <c r="F53" s="165">
        <f t="shared" si="3"/>
        <v>0</v>
      </c>
      <c r="G53" s="1"/>
      <c r="H53" s="163">
        <v>22870.16</v>
      </c>
      <c r="I53" s="164">
        <v>6.7157</v>
      </c>
      <c r="J53" s="165">
        <f t="shared" si="4"/>
        <v>153589.133512</v>
      </c>
      <c r="K53" s="204"/>
      <c r="L53" s="1"/>
      <c r="M53" s="19" t="s">
        <v>45</v>
      </c>
      <c r="N53" s="41" t="s">
        <v>78</v>
      </c>
      <c r="O53" s="163">
        <v>0</v>
      </c>
      <c r="P53" s="164">
        <v>5.6172000000000004</v>
      </c>
      <c r="Q53" s="58">
        <f t="shared" si="5"/>
        <v>0</v>
      </c>
      <c r="R53" s="1"/>
      <c r="S53" s="41">
        <v>920.21</v>
      </c>
      <c r="T53" s="164">
        <v>5.6172000000000004</v>
      </c>
      <c r="U53" s="58">
        <f t="shared" si="6"/>
        <v>5169.0036120000004</v>
      </c>
      <c r="V53" s="188"/>
      <c r="W53" s="1"/>
      <c r="X53" s="1"/>
      <c r="Y53" s="1"/>
      <c r="Z53" s="1"/>
    </row>
    <row r="54" spans="1:26" ht="15.75" customHeight="1" x14ac:dyDescent="0.3">
      <c r="A54" s="19" t="str">
        <f t="shared" si="2"/>
        <v>SENTINEL LIGHTS</v>
      </c>
      <c r="B54" s="41" t="s">
        <v>78</v>
      </c>
      <c r="C54" s="37"/>
      <c r="D54" s="163">
        <v>42.14</v>
      </c>
      <c r="E54" s="164">
        <v>6.7157</v>
      </c>
      <c r="F54" s="165">
        <f t="shared" si="3"/>
        <v>282.99959799999999</v>
      </c>
      <c r="G54" s="1"/>
      <c r="H54" s="163">
        <v>0</v>
      </c>
      <c r="I54" s="164">
        <v>6.7157</v>
      </c>
      <c r="J54" s="165">
        <f t="shared" si="4"/>
        <v>0</v>
      </c>
      <c r="K54" s="204"/>
      <c r="L54" s="1"/>
      <c r="M54" s="19" t="s">
        <v>46</v>
      </c>
      <c r="N54" s="41" t="s">
        <v>78</v>
      </c>
      <c r="O54" s="163">
        <v>1.7</v>
      </c>
      <c r="P54" s="164">
        <v>5.6172000000000004</v>
      </c>
      <c r="Q54" s="58">
        <f t="shared" si="5"/>
        <v>9.5492400000000011</v>
      </c>
      <c r="R54" s="1"/>
      <c r="S54" s="41">
        <v>0</v>
      </c>
      <c r="T54" s="164">
        <v>5.6172000000000004</v>
      </c>
      <c r="U54" s="58">
        <f t="shared" si="6"/>
        <v>0</v>
      </c>
      <c r="V54" s="188"/>
      <c r="W54" s="1"/>
      <c r="X54" s="1"/>
      <c r="Y54" s="1"/>
      <c r="Z54" s="1"/>
    </row>
    <row r="55" spans="1:26" ht="15.75" customHeight="1" x14ac:dyDescent="0.3">
      <c r="A55" s="19" t="str">
        <f t="shared" si="2"/>
        <v>UNMETERED SCATTERED LOADS</v>
      </c>
      <c r="B55" s="41" t="s">
        <v>78</v>
      </c>
      <c r="C55" s="37"/>
      <c r="D55" s="163">
        <v>16801.419999999998</v>
      </c>
      <c r="E55" s="164">
        <v>6.7157</v>
      </c>
      <c r="F55" s="165">
        <f t="shared" si="3"/>
        <v>112833.29629399999</v>
      </c>
      <c r="G55" s="1"/>
      <c r="H55" s="163">
        <v>0</v>
      </c>
      <c r="I55" s="164">
        <v>6.7157</v>
      </c>
      <c r="J55" s="165">
        <f t="shared" si="4"/>
        <v>0</v>
      </c>
      <c r="K55" s="204"/>
      <c r="L55" s="1"/>
      <c r="M55" s="19" t="s">
        <v>47</v>
      </c>
      <c r="N55" s="41" t="s">
        <v>78</v>
      </c>
      <c r="O55" s="163">
        <v>676.02</v>
      </c>
      <c r="P55" s="164">
        <v>5.6172000000000004</v>
      </c>
      <c r="Q55" s="58">
        <f t="shared" si="5"/>
        <v>3797.3395440000004</v>
      </c>
      <c r="R55" s="1"/>
      <c r="S55" s="41">
        <v>0</v>
      </c>
      <c r="T55" s="164">
        <v>5.6172000000000004</v>
      </c>
      <c r="U55" s="58">
        <f t="shared" si="6"/>
        <v>0</v>
      </c>
      <c r="V55" s="188"/>
      <c r="W55" s="1"/>
      <c r="X55" s="1"/>
      <c r="Y55" s="1"/>
      <c r="Z55" s="1"/>
    </row>
    <row r="56" spans="1:26" ht="15.75" customHeight="1" x14ac:dyDescent="0.3">
      <c r="A56" s="19" t="str">
        <f t="shared" si="2"/>
        <v>DRYCORE</v>
      </c>
      <c r="B56" s="41" t="s">
        <v>78</v>
      </c>
      <c r="C56" s="37"/>
      <c r="D56" s="163">
        <v>0</v>
      </c>
      <c r="E56" s="164">
        <v>6.7157</v>
      </c>
      <c r="F56" s="165">
        <f t="shared" si="3"/>
        <v>0</v>
      </c>
      <c r="G56" s="1"/>
      <c r="H56" s="163">
        <v>547.87</v>
      </c>
      <c r="I56" s="164">
        <v>6.7157</v>
      </c>
      <c r="J56" s="165">
        <f t="shared" si="4"/>
        <v>3679.330559</v>
      </c>
      <c r="K56" s="204"/>
      <c r="L56" s="1"/>
      <c r="M56" s="19" t="s">
        <v>48</v>
      </c>
      <c r="N56" s="41" t="s">
        <v>78</v>
      </c>
      <c r="O56" s="163">
        <v>0</v>
      </c>
      <c r="P56" s="164">
        <v>5.6172000000000004</v>
      </c>
      <c r="Q56" s="58">
        <f t="shared" si="5"/>
        <v>0</v>
      </c>
      <c r="R56" s="1"/>
      <c r="S56" s="41">
        <v>22.04</v>
      </c>
      <c r="T56" s="164">
        <v>5.6172000000000004</v>
      </c>
      <c r="U56" s="58">
        <f t="shared" si="6"/>
        <v>123.803088</v>
      </c>
      <c r="V56" s="188"/>
      <c r="W56" s="1"/>
      <c r="X56" s="1"/>
      <c r="Y56" s="1"/>
      <c r="Z56" s="1"/>
    </row>
    <row r="57" spans="1:26" ht="15.75" customHeight="1" x14ac:dyDescent="0.3">
      <c r="A57" s="19" t="str">
        <f t="shared" si="2"/>
        <v/>
      </c>
      <c r="B57" s="41"/>
      <c r="C57" s="37"/>
      <c r="D57" s="163"/>
      <c r="E57" s="164">
        <v>6.7157</v>
      </c>
      <c r="F57" s="165">
        <f t="shared" si="3"/>
        <v>0</v>
      </c>
      <c r="G57" s="1"/>
      <c r="H57" s="163"/>
      <c r="I57" s="164"/>
      <c r="J57" s="165">
        <f t="shared" si="4"/>
        <v>0</v>
      </c>
      <c r="K57" s="204"/>
      <c r="L57" s="1"/>
      <c r="M57" s="19"/>
      <c r="N57" s="41"/>
      <c r="O57" s="163"/>
      <c r="P57" s="164"/>
      <c r="Q57" s="58">
        <f t="shared" si="5"/>
        <v>0</v>
      </c>
      <c r="R57" s="1"/>
      <c r="S57" s="41"/>
      <c r="T57" s="164">
        <v>5.6172000000000004</v>
      </c>
      <c r="U57" s="58">
        <f t="shared" si="6"/>
        <v>0</v>
      </c>
      <c r="V57" s="188"/>
      <c r="W57" s="1"/>
      <c r="X57" s="1"/>
      <c r="Y57" s="1"/>
      <c r="Z57" s="1"/>
    </row>
    <row r="58" spans="1:26" ht="15.75" customHeight="1" x14ac:dyDescent="0.3">
      <c r="A58" s="19" t="str">
        <f t="shared" si="2"/>
        <v/>
      </c>
      <c r="B58" s="41"/>
      <c r="C58" s="37"/>
      <c r="D58" s="163"/>
      <c r="E58" s="164">
        <v>6.7157</v>
      </c>
      <c r="F58" s="165">
        <f t="shared" si="3"/>
        <v>0</v>
      </c>
      <c r="G58" s="1"/>
      <c r="H58" s="163"/>
      <c r="I58" s="164"/>
      <c r="J58" s="165">
        <f t="shared" si="4"/>
        <v>0</v>
      </c>
      <c r="K58" s="202"/>
      <c r="L58" s="1"/>
      <c r="M58" s="19"/>
      <c r="N58" s="41"/>
      <c r="O58" s="163"/>
      <c r="P58" s="164"/>
      <c r="Q58" s="58">
        <f t="shared" si="5"/>
        <v>0</v>
      </c>
      <c r="R58" s="1"/>
      <c r="S58" s="41"/>
      <c r="T58" s="164">
        <v>5.6172000000000004</v>
      </c>
      <c r="U58" s="58">
        <f t="shared" si="6"/>
        <v>0</v>
      </c>
      <c r="V58" s="186"/>
      <c r="W58" s="1"/>
      <c r="X58" s="1"/>
      <c r="Y58" s="1"/>
      <c r="Z58" s="1"/>
    </row>
    <row r="59" spans="1:26" ht="15.75" customHeight="1" x14ac:dyDescent="0.3">
      <c r="A59" s="36" t="s">
        <v>72</v>
      </c>
      <c r="B59" s="21"/>
      <c r="C59" s="59"/>
      <c r="D59" s="147"/>
      <c r="E59" s="166"/>
      <c r="F59" s="147">
        <f>SUM(F48:F58)</f>
        <v>50088956.041967988</v>
      </c>
      <c r="G59" s="36"/>
      <c r="H59" s="147"/>
      <c r="I59" s="166"/>
      <c r="J59" s="147">
        <f>SUM(J48:J58)</f>
        <v>44253280.496927001</v>
      </c>
      <c r="K59" s="147">
        <f>F59+J59</f>
        <v>94342236.538894981</v>
      </c>
      <c r="L59" s="1"/>
      <c r="M59" s="36" t="s">
        <v>72</v>
      </c>
      <c r="N59" s="60"/>
      <c r="O59" s="58">
        <v>298292.27</v>
      </c>
      <c r="P59" s="61"/>
      <c r="Q59" s="173">
        <f>SUM(Q48:Q58)</f>
        <v>1685726.4384480002</v>
      </c>
      <c r="R59" s="1"/>
      <c r="S59" s="62"/>
      <c r="T59" s="61"/>
      <c r="U59" s="58">
        <f>SUM(U48:U58)</f>
        <v>1489331.3199240004</v>
      </c>
      <c r="V59" s="172">
        <f>Q59+U59</f>
        <v>3175057.7583720004</v>
      </c>
      <c r="W59" s="1"/>
      <c r="X59" s="1"/>
      <c r="Y59" s="1"/>
      <c r="Z59" s="1"/>
    </row>
    <row r="60" spans="1:26" ht="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63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2" t="s">
        <v>79</v>
      </c>
      <c r="B61" s="190"/>
      <c r="C61" s="33"/>
      <c r="D61" s="197"/>
      <c r="E61" s="199"/>
      <c r="F61" s="200"/>
      <c r="G61" s="26"/>
      <c r="H61" s="197"/>
      <c r="I61" s="199"/>
      <c r="J61" s="200" t="s">
        <v>69</v>
      </c>
      <c r="K61" s="187" t="s">
        <v>64</v>
      </c>
      <c r="L61" s="1"/>
      <c r="M61" s="54" t="s">
        <v>80</v>
      </c>
      <c r="N61" s="64"/>
      <c r="O61" s="55" t="s">
        <v>67</v>
      </c>
      <c r="P61" s="55" t="s">
        <v>68</v>
      </c>
      <c r="Q61" s="192" t="s">
        <v>69</v>
      </c>
      <c r="R61" s="1"/>
      <c r="S61" s="203" t="s">
        <v>67</v>
      </c>
      <c r="T61" s="187" t="s">
        <v>68</v>
      </c>
      <c r="U61" s="192" t="s">
        <v>69</v>
      </c>
      <c r="V61" s="187" t="s">
        <v>64</v>
      </c>
      <c r="W61" s="1"/>
      <c r="X61" s="1"/>
      <c r="Y61" s="1"/>
      <c r="Z61" s="1"/>
    </row>
    <row r="62" spans="1:26" ht="15.75" customHeight="1" x14ac:dyDescent="0.3">
      <c r="A62" s="36" t="s">
        <v>74</v>
      </c>
      <c r="B62" s="196"/>
      <c r="C62" s="56"/>
      <c r="D62" s="198"/>
      <c r="E62" s="198"/>
      <c r="F62" s="201"/>
      <c r="G62" s="26"/>
      <c r="H62" s="198"/>
      <c r="I62" s="198"/>
      <c r="J62" s="201"/>
      <c r="K62" s="202"/>
      <c r="L62" s="1"/>
      <c r="M62" s="36" t="s">
        <v>71</v>
      </c>
      <c r="N62" s="65"/>
      <c r="O62" s="57"/>
      <c r="P62" s="57"/>
      <c r="Q62" s="193"/>
      <c r="R62" s="1"/>
      <c r="S62" s="186"/>
      <c r="T62" s="186"/>
      <c r="U62" s="193"/>
      <c r="V62" s="186"/>
      <c r="W62" s="1"/>
      <c r="X62" s="1"/>
      <c r="Y62" s="1"/>
      <c r="Z62" s="1"/>
    </row>
    <row r="63" spans="1:26" ht="15.75" customHeight="1" x14ac:dyDescent="0.3">
      <c r="A63" s="19" t="str">
        <f t="shared" ref="A63:A73" si="7">IF(A48="","",A48)</f>
        <v>RESIDENTIAL</v>
      </c>
      <c r="B63" s="41" t="s">
        <v>78</v>
      </c>
      <c r="C63" s="37"/>
      <c r="D63" s="163">
        <v>9884891.4100000001</v>
      </c>
      <c r="E63" s="164">
        <v>2.1440000000000001</v>
      </c>
      <c r="F63" s="165">
        <f t="shared" ref="F63:F73" si="8">D63*E63</f>
        <v>21193207.18304</v>
      </c>
      <c r="G63" s="1"/>
      <c r="H63" s="163">
        <v>90628.58</v>
      </c>
      <c r="I63" s="164">
        <v>2.1440000000000001</v>
      </c>
      <c r="J63" s="165">
        <f t="shared" ref="J63:J73" si="9">H63*I63</f>
        <v>194307.67552000002</v>
      </c>
      <c r="K63" s="187"/>
      <c r="L63" s="1"/>
      <c r="M63" s="19" t="s">
        <v>39</v>
      </c>
      <c r="N63" s="41" t="s">
        <v>78</v>
      </c>
      <c r="O63" s="163">
        <v>251333.03</v>
      </c>
      <c r="P63" s="164">
        <v>3.3635999999999999</v>
      </c>
      <c r="Q63" s="58">
        <f t="shared" ref="Q63:Q73" si="10">O63*P63</f>
        <v>845383.77970800002</v>
      </c>
      <c r="R63" s="1"/>
      <c r="S63" s="163">
        <v>2304.3200000000002</v>
      </c>
      <c r="T63" s="164">
        <v>3.3635999999999999</v>
      </c>
      <c r="U63" s="58">
        <f t="shared" ref="U63:U73" si="11">S63*T63</f>
        <v>7750.8107520000003</v>
      </c>
      <c r="V63" s="205"/>
      <c r="W63" s="1"/>
      <c r="X63" s="1"/>
      <c r="Y63" s="1"/>
      <c r="Z63" s="1"/>
    </row>
    <row r="64" spans="1:26" ht="15.75" customHeight="1" x14ac:dyDescent="0.3">
      <c r="A64" s="19" t="str">
        <f t="shared" si="7"/>
        <v>GENERAL SERVICE &lt;50KW</v>
      </c>
      <c r="B64" s="41" t="s">
        <v>78</v>
      </c>
      <c r="C64" s="37"/>
      <c r="D64" s="163">
        <v>2093036.87</v>
      </c>
      <c r="E64" s="164">
        <v>2.1440000000000001</v>
      </c>
      <c r="F64" s="165">
        <f t="shared" si="8"/>
        <v>4487471.0492800009</v>
      </c>
      <c r="G64" s="1"/>
      <c r="H64" s="163">
        <v>356255.07</v>
      </c>
      <c r="I64" s="164">
        <v>2.1440000000000001</v>
      </c>
      <c r="J64" s="165">
        <f t="shared" si="9"/>
        <v>763810.87008000002</v>
      </c>
      <c r="K64" s="204"/>
      <c r="L64" s="1"/>
      <c r="M64" s="19" t="s">
        <v>41</v>
      </c>
      <c r="N64" s="41" t="s">
        <v>78</v>
      </c>
      <c r="O64" s="163">
        <v>53217.51</v>
      </c>
      <c r="P64" s="164">
        <v>3.3635999999999999</v>
      </c>
      <c r="Q64" s="58">
        <f t="shared" si="10"/>
        <v>179002.41663600001</v>
      </c>
      <c r="R64" s="1"/>
      <c r="S64" s="163">
        <v>9058.1299999999992</v>
      </c>
      <c r="T64" s="164">
        <v>3.3635999999999999</v>
      </c>
      <c r="U64" s="58">
        <f t="shared" si="11"/>
        <v>30467.926067999997</v>
      </c>
      <c r="V64" s="188"/>
      <c r="W64" s="1"/>
      <c r="X64" s="1"/>
      <c r="Y64" s="1"/>
      <c r="Z64" s="1"/>
    </row>
    <row r="65" spans="1:26" ht="15.75" customHeight="1" x14ac:dyDescent="0.3">
      <c r="A65" s="19" t="str">
        <f t="shared" si="7"/>
        <v>GENERAL SERVICE 1000-1500KW</v>
      </c>
      <c r="B65" s="41" t="s">
        <v>78</v>
      </c>
      <c r="C65" s="37"/>
      <c r="D65" s="163">
        <v>1003440.09</v>
      </c>
      <c r="E65" s="164">
        <v>2.1440000000000001</v>
      </c>
      <c r="F65" s="165">
        <f t="shared" si="8"/>
        <v>2151375.55296</v>
      </c>
      <c r="G65" s="1"/>
      <c r="H65" s="163">
        <v>7586358.21</v>
      </c>
      <c r="I65" s="164">
        <v>2.1440000000000001</v>
      </c>
      <c r="J65" s="165">
        <f t="shared" si="9"/>
        <v>16265152.00224</v>
      </c>
      <c r="K65" s="204"/>
      <c r="L65" s="1"/>
      <c r="M65" s="19" t="s">
        <v>42</v>
      </c>
      <c r="N65" s="41" t="s">
        <v>78</v>
      </c>
      <c r="O65" s="163">
        <v>25513.45</v>
      </c>
      <c r="P65" s="164">
        <v>3.3635999999999999</v>
      </c>
      <c r="Q65" s="58">
        <f t="shared" si="10"/>
        <v>85817.040420000005</v>
      </c>
      <c r="R65" s="1"/>
      <c r="S65" s="163">
        <v>192890.58</v>
      </c>
      <c r="T65" s="164">
        <v>3.3635999999999999</v>
      </c>
      <c r="U65" s="58">
        <f t="shared" si="11"/>
        <v>648806.75488799997</v>
      </c>
      <c r="V65" s="188"/>
      <c r="W65" s="1"/>
      <c r="X65" s="1"/>
      <c r="Y65" s="1"/>
      <c r="Z65" s="1"/>
    </row>
    <row r="66" spans="1:26" ht="15.75" customHeight="1" x14ac:dyDescent="0.3">
      <c r="A66" s="19" t="str">
        <f t="shared" si="7"/>
        <v>GENERAL SERVICE 1500-5000 KW</v>
      </c>
      <c r="B66" s="41" t="s">
        <v>78</v>
      </c>
      <c r="C66" s="37"/>
      <c r="D66" s="163">
        <v>0</v>
      </c>
      <c r="E66" s="164">
        <v>2.1440000000000001</v>
      </c>
      <c r="F66" s="165">
        <f t="shared" si="8"/>
        <v>0</v>
      </c>
      <c r="G66" s="1"/>
      <c r="H66" s="163">
        <v>1937221.62</v>
      </c>
      <c r="I66" s="164">
        <v>2.1440000000000001</v>
      </c>
      <c r="J66" s="165">
        <f t="shared" si="9"/>
        <v>4153403.1532800007</v>
      </c>
      <c r="K66" s="204"/>
      <c r="L66" s="1"/>
      <c r="M66" s="19" t="s">
        <v>43</v>
      </c>
      <c r="N66" s="41" t="s">
        <v>78</v>
      </c>
      <c r="O66" s="163">
        <v>0</v>
      </c>
      <c r="P66" s="164">
        <v>3.3635999999999999</v>
      </c>
      <c r="Q66" s="58">
        <f t="shared" si="10"/>
        <v>0</v>
      </c>
      <c r="R66" s="1"/>
      <c r="S66" s="163">
        <v>49255.75</v>
      </c>
      <c r="T66" s="164">
        <v>3.3635999999999999</v>
      </c>
      <c r="U66" s="58">
        <f t="shared" si="11"/>
        <v>165676.64069999999</v>
      </c>
      <c r="V66" s="188"/>
      <c r="W66" s="1"/>
      <c r="X66" s="1"/>
      <c r="Y66" s="1"/>
      <c r="Z66" s="1"/>
    </row>
    <row r="67" spans="1:26" ht="15.75" customHeight="1" x14ac:dyDescent="0.3">
      <c r="A67" s="19" t="str">
        <f t="shared" si="7"/>
        <v>LARGE USER</v>
      </c>
      <c r="B67" s="41" t="s">
        <v>78</v>
      </c>
      <c r="C67" s="37"/>
      <c r="D67" s="163">
        <v>0</v>
      </c>
      <c r="E67" s="164">
        <v>2.1440000000000001</v>
      </c>
      <c r="F67" s="165">
        <f t="shared" si="8"/>
        <v>0</v>
      </c>
      <c r="G67" s="1"/>
      <c r="H67" s="163">
        <v>1483621.81</v>
      </c>
      <c r="I67" s="164">
        <v>2.1440000000000001</v>
      </c>
      <c r="J67" s="165">
        <f t="shared" si="9"/>
        <v>3180885.1606400004</v>
      </c>
      <c r="K67" s="204"/>
      <c r="L67" s="1"/>
      <c r="M67" s="19" t="s">
        <v>44</v>
      </c>
      <c r="N67" s="41" t="s">
        <v>78</v>
      </c>
      <c r="O67" s="163">
        <v>0</v>
      </c>
      <c r="P67" s="164">
        <v>3.3635999999999999</v>
      </c>
      <c r="Q67" s="58">
        <f t="shared" si="10"/>
        <v>0</v>
      </c>
      <c r="R67" s="1"/>
      <c r="S67" s="163">
        <v>37722.54</v>
      </c>
      <c r="T67" s="164">
        <v>3.3635999999999999</v>
      </c>
      <c r="U67" s="58">
        <f t="shared" si="11"/>
        <v>126883.535544</v>
      </c>
      <c r="V67" s="188"/>
      <c r="W67" s="1"/>
      <c r="X67" s="1"/>
      <c r="Y67" s="1"/>
      <c r="Z67" s="1"/>
    </row>
    <row r="68" spans="1:26" ht="15.75" customHeight="1" x14ac:dyDescent="0.3">
      <c r="A68" s="19" t="str">
        <f t="shared" si="7"/>
        <v>STREETLIGHTING</v>
      </c>
      <c r="B68" s="41" t="s">
        <v>78</v>
      </c>
      <c r="C68" s="46"/>
      <c r="D68" s="163">
        <v>0</v>
      </c>
      <c r="E68" s="164">
        <v>2.1440000000000001</v>
      </c>
      <c r="F68" s="165">
        <f t="shared" si="8"/>
        <v>0</v>
      </c>
      <c r="G68" s="1"/>
      <c r="H68" s="163">
        <v>39895.22</v>
      </c>
      <c r="I68" s="164">
        <v>2.1440000000000001</v>
      </c>
      <c r="J68" s="165">
        <f t="shared" si="9"/>
        <v>85535.351680000007</v>
      </c>
      <c r="K68" s="204"/>
      <c r="L68" s="1"/>
      <c r="M68" s="19" t="s">
        <v>45</v>
      </c>
      <c r="N68" s="41" t="s">
        <v>78</v>
      </c>
      <c r="O68" s="163">
        <v>0</v>
      </c>
      <c r="P68" s="164">
        <v>3.3635999999999999</v>
      </c>
      <c r="Q68" s="58">
        <f t="shared" si="10"/>
        <v>0</v>
      </c>
      <c r="R68" s="1"/>
      <c r="S68" s="163">
        <v>1014.37</v>
      </c>
      <c r="T68" s="164">
        <v>3.3635999999999999</v>
      </c>
      <c r="U68" s="58">
        <f t="shared" si="11"/>
        <v>3411.9349320000001</v>
      </c>
      <c r="V68" s="188"/>
      <c r="W68" s="1"/>
      <c r="X68" s="1"/>
      <c r="Y68" s="1"/>
      <c r="Z68" s="1"/>
    </row>
    <row r="69" spans="1:26" ht="15.75" customHeight="1" x14ac:dyDescent="0.3">
      <c r="A69" s="19" t="str">
        <f t="shared" si="7"/>
        <v>SENTINEL LIGHTS</v>
      </c>
      <c r="B69" s="41" t="s">
        <v>78</v>
      </c>
      <c r="C69" s="60"/>
      <c r="D69" s="163">
        <v>73.52</v>
      </c>
      <c r="E69" s="164">
        <v>2.1440000000000001</v>
      </c>
      <c r="F69" s="165">
        <f t="shared" si="8"/>
        <v>157.62688</v>
      </c>
      <c r="G69" s="1"/>
      <c r="H69" s="163">
        <v>0</v>
      </c>
      <c r="I69" s="164">
        <v>2.1440000000000001</v>
      </c>
      <c r="J69" s="165">
        <f t="shared" si="9"/>
        <v>0</v>
      </c>
      <c r="K69" s="204"/>
      <c r="L69" s="1"/>
      <c r="M69" s="19" t="s">
        <v>46</v>
      </c>
      <c r="N69" s="41" t="s">
        <v>78</v>
      </c>
      <c r="O69" s="163">
        <v>1.87</v>
      </c>
      <c r="P69" s="164">
        <v>3.3635999999999999</v>
      </c>
      <c r="Q69" s="58">
        <f t="shared" si="10"/>
        <v>6.2899320000000003</v>
      </c>
      <c r="R69" s="1"/>
      <c r="S69" s="163">
        <v>0</v>
      </c>
      <c r="T69" s="164">
        <v>3.3635999999999999</v>
      </c>
      <c r="U69" s="58">
        <f t="shared" si="11"/>
        <v>0</v>
      </c>
      <c r="V69" s="188"/>
      <c r="W69" s="1"/>
      <c r="X69" s="1"/>
      <c r="Y69" s="1"/>
      <c r="Z69" s="1"/>
    </row>
    <row r="70" spans="1:26" ht="15.75" customHeight="1" x14ac:dyDescent="0.3">
      <c r="A70" s="19" t="str">
        <f t="shared" si="7"/>
        <v>UNMETERED SCATTERED LOADS</v>
      </c>
      <c r="B70" s="41" t="s">
        <v>78</v>
      </c>
      <c r="C70" s="60"/>
      <c r="D70" s="163">
        <v>29308.77</v>
      </c>
      <c r="E70" s="164">
        <v>2.1440000000000001</v>
      </c>
      <c r="F70" s="165">
        <f t="shared" si="8"/>
        <v>62838.002880000007</v>
      </c>
      <c r="G70" s="1"/>
      <c r="H70" s="163">
        <v>0</v>
      </c>
      <c r="I70" s="164">
        <v>2.1440000000000001</v>
      </c>
      <c r="J70" s="165">
        <f t="shared" si="9"/>
        <v>0</v>
      </c>
      <c r="K70" s="204"/>
      <c r="L70" s="1"/>
      <c r="M70" s="19" t="s">
        <v>47</v>
      </c>
      <c r="N70" s="41" t="s">
        <v>78</v>
      </c>
      <c r="O70" s="163">
        <v>745.2</v>
      </c>
      <c r="P70" s="164">
        <v>3.3635999999999999</v>
      </c>
      <c r="Q70" s="58">
        <f t="shared" si="10"/>
        <v>2506.5547200000001</v>
      </c>
      <c r="R70" s="1"/>
      <c r="S70" s="163">
        <v>0</v>
      </c>
      <c r="T70" s="164">
        <v>3.3635999999999999</v>
      </c>
      <c r="U70" s="58">
        <f t="shared" si="11"/>
        <v>0</v>
      </c>
      <c r="V70" s="188"/>
      <c r="W70" s="1"/>
      <c r="X70" s="1"/>
      <c r="Y70" s="1"/>
      <c r="Z70" s="1"/>
    </row>
    <row r="71" spans="1:26" ht="15.75" customHeight="1" x14ac:dyDescent="0.3">
      <c r="A71" s="19" t="str">
        <f t="shared" si="7"/>
        <v>DRYCORE</v>
      </c>
      <c r="B71" s="41" t="s">
        <v>78</v>
      </c>
      <c r="C71" s="60"/>
      <c r="D71" s="163">
        <v>0</v>
      </c>
      <c r="E71" s="164">
        <v>2.1440000000000001</v>
      </c>
      <c r="F71" s="165">
        <f t="shared" si="8"/>
        <v>0</v>
      </c>
      <c r="G71" s="1"/>
      <c r="H71" s="163">
        <v>955.72</v>
      </c>
      <c r="I71" s="164">
        <v>2.1440000000000001</v>
      </c>
      <c r="J71" s="165">
        <f t="shared" si="9"/>
        <v>2049.0636800000002</v>
      </c>
      <c r="K71" s="204"/>
      <c r="L71" s="1"/>
      <c r="M71" s="19" t="s">
        <v>48</v>
      </c>
      <c r="N71" s="41" t="s">
        <v>78</v>
      </c>
      <c r="O71" s="163">
        <v>0</v>
      </c>
      <c r="P71" s="164">
        <v>3.3635999999999999</v>
      </c>
      <c r="Q71" s="58">
        <f t="shared" si="10"/>
        <v>0</v>
      </c>
      <c r="R71" s="1"/>
      <c r="S71" s="163">
        <v>24.3</v>
      </c>
      <c r="T71" s="164">
        <v>3.3635999999999999</v>
      </c>
      <c r="U71" s="58">
        <f t="shared" si="11"/>
        <v>81.735479999999995</v>
      </c>
      <c r="V71" s="188"/>
      <c r="W71" s="1"/>
      <c r="X71" s="1"/>
      <c r="Y71" s="1"/>
      <c r="Z71" s="1"/>
    </row>
    <row r="72" spans="1:26" ht="15.75" customHeight="1" x14ac:dyDescent="0.3">
      <c r="A72" s="19" t="str">
        <f t="shared" si="7"/>
        <v/>
      </c>
      <c r="B72" s="41"/>
      <c r="C72" s="60"/>
      <c r="D72" s="163"/>
      <c r="E72" s="164"/>
      <c r="F72" s="165">
        <f t="shared" si="8"/>
        <v>0</v>
      </c>
      <c r="G72" s="1"/>
      <c r="H72" s="163"/>
      <c r="I72" s="164"/>
      <c r="J72" s="165">
        <f t="shared" si="9"/>
        <v>0</v>
      </c>
      <c r="K72" s="204"/>
      <c r="L72" s="1"/>
      <c r="M72" s="19"/>
      <c r="N72" s="41"/>
      <c r="O72" s="163"/>
      <c r="P72" s="164"/>
      <c r="Q72" s="58">
        <f t="shared" si="10"/>
        <v>0</v>
      </c>
      <c r="R72" s="1"/>
      <c r="S72" s="163"/>
      <c r="T72" s="164"/>
      <c r="U72" s="58">
        <f t="shared" si="11"/>
        <v>0</v>
      </c>
      <c r="V72" s="188"/>
      <c r="W72" s="1"/>
      <c r="X72" s="1"/>
      <c r="Y72" s="1"/>
      <c r="Z72" s="1"/>
    </row>
    <row r="73" spans="1:26" ht="15.75" customHeight="1" x14ac:dyDescent="0.3">
      <c r="A73" s="19" t="str">
        <f t="shared" si="7"/>
        <v/>
      </c>
      <c r="B73" s="41"/>
      <c r="C73" s="60"/>
      <c r="D73" s="163"/>
      <c r="E73" s="164"/>
      <c r="F73" s="165">
        <f t="shared" si="8"/>
        <v>0</v>
      </c>
      <c r="G73" s="1"/>
      <c r="H73" s="163"/>
      <c r="I73" s="164"/>
      <c r="J73" s="165">
        <f t="shared" si="9"/>
        <v>0</v>
      </c>
      <c r="K73" s="202"/>
      <c r="L73" s="1"/>
      <c r="M73" s="19"/>
      <c r="N73" s="41"/>
      <c r="O73" s="163"/>
      <c r="P73" s="164"/>
      <c r="Q73" s="58">
        <f t="shared" si="10"/>
        <v>0</v>
      </c>
      <c r="R73" s="1"/>
      <c r="S73" s="163"/>
      <c r="T73" s="164"/>
      <c r="U73" s="58">
        <f t="shared" si="11"/>
        <v>0</v>
      </c>
      <c r="V73" s="186"/>
      <c r="W73" s="1"/>
      <c r="X73" s="1"/>
      <c r="Y73" s="1"/>
      <c r="Z73" s="1"/>
    </row>
    <row r="74" spans="1:26" ht="15.75" customHeight="1" x14ac:dyDescent="0.3">
      <c r="A74" s="36" t="s">
        <v>72</v>
      </c>
      <c r="B74" s="21"/>
      <c r="C74" s="64"/>
      <c r="D74" s="147"/>
      <c r="E74" s="166"/>
      <c r="F74" s="147">
        <f>SUM(F63:F73)</f>
        <v>27895049.415040005</v>
      </c>
      <c r="G74" s="36"/>
      <c r="H74" s="147"/>
      <c r="I74" s="166"/>
      <c r="J74" s="147">
        <f>SUM(J63:J73)</f>
        <v>24645143.277120002</v>
      </c>
      <c r="K74" s="147">
        <f>F74+J74</f>
        <v>52540192.69216001</v>
      </c>
      <c r="L74" s="1"/>
      <c r="M74" s="36" t="s">
        <v>72</v>
      </c>
      <c r="N74" s="19"/>
      <c r="O74" s="47"/>
      <c r="P74" s="19"/>
      <c r="Q74" s="173">
        <f>SUM(Q63:Q73)</f>
        <v>1112716.0814159999</v>
      </c>
      <c r="R74" s="1"/>
      <c r="S74" s="50"/>
      <c r="T74" s="19"/>
      <c r="U74" s="58">
        <f>SUM(U63:U73)</f>
        <v>983079.33836399997</v>
      </c>
      <c r="V74" s="172">
        <f>Q74+U74</f>
        <v>2095795.4197799999</v>
      </c>
      <c r="W74" s="1"/>
      <c r="X74" s="1"/>
      <c r="Y74" s="1"/>
      <c r="Z74" s="1"/>
    </row>
    <row r="75" spans="1:26" ht="7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2" t="s">
        <v>81</v>
      </c>
      <c r="B76" s="187"/>
      <c r="C76" s="66"/>
      <c r="D76" s="197"/>
      <c r="E76" s="199"/>
      <c r="F76" s="200"/>
      <c r="G76" s="26"/>
      <c r="H76" s="197"/>
      <c r="I76" s="199"/>
      <c r="J76" s="200" t="s">
        <v>69</v>
      </c>
      <c r="K76" s="187" t="s">
        <v>64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6" t="s">
        <v>74</v>
      </c>
      <c r="B77" s="186"/>
      <c r="C77" s="8"/>
      <c r="D77" s="198"/>
      <c r="E77" s="198"/>
      <c r="F77" s="201"/>
      <c r="G77" s="26"/>
      <c r="H77" s="198"/>
      <c r="I77" s="198"/>
      <c r="J77" s="201"/>
      <c r="K77" s="20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9" t="str">
        <f t="shared" ref="A78:A88" si="12">IF(A63="","",A63)</f>
        <v>RESIDENTIAL</v>
      </c>
      <c r="B78" s="41" t="s">
        <v>40</v>
      </c>
      <c r="C78" s="37"/>
      <c r="D78" s="163">
        <v>2691213763.3400002</v>
      </c>
      <c r="E78" s="164">
        <v>4.3E-3</v>
      </c>
      <c r="F78" s="165">
        <f t="shared" ref="F78:F88" si="13">D78*E78</f>
        <v>11572219.182362001</v>
      </c>
      <c r="G78" s="1"/>
      <c r="H78" s="163">
        <v>24674108.359999999</v>
      </c>
      <c r="I78" s="164">
        <v>4.3E-3</v>
      </c>
      <c r="J78" s="165">
        <f t="shared" ref="J78:J88" si="14">H78*I78</f>
        <v>106098.66594799999</v>
      </c>
      <c r="K78" s="18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9" t="str">
        <f t="shared" si="12"/>
        <v>GENERAL SERVICE &lt;50KW</v>
      </c>
      <c r="B79" s="41" t="s">
        <v>40</v>
      </c>
      <c r="C79" s="37"/>
      <c r="D79" s="163">
        <v>637640004.72000003</v>
      </c>
      <c r="E79" s="164">
        <v>4.3E-3</v>
      </c>
      <c r="F79" s="165">
        <f t="shared" si="13"/>
        <v>2741852.0202959999</v>
      </c>
      <c r="G79" s="1"/>
      <c r="H79" s="163">
        <v>108532481.97</v>
      </c>
      <c r="I79" s="164">
        <v>4.3E-3</v>
      </c>
      <c r="J79" s="165">
        <f t="shared" si="14"/>
        <v>466689.672471</v>
      </c>
      <c r="K79" s="20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9" t="str">
        <f t="shared" si="12"/>
        <v>GENERAL SERVICE 1000-1500KW</v>
      </c>
      <c r="B80" s="41" t="s">
        <v>40</v>
      </c>
      <c r="C80" s="37"/>
      <c r="D80" s="163">
        <v>339685303.57999998</v>
      </c>
      <c r="E80" s="164">
        <v>4.3E-3</v>
      </c>
      <c r="F80" s="165">
        <f t="shared" si="13"/>
        <v>1460646.8053939999</v>
      </c>
      <c r="G80" s="1"/>
      <c r="H80" s="163">
        <v>2568139769.46</v>
      </c>
      <c r="I80" s="164">
        <v>4.3E-3</v>
      </c>
      <c r="J80" s="165">
        <f t="shared" si="14"/>
        <v>11043001.008678</v>
      </c>
      <c r="K80" s="20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9" t="str">
        <f t="shared" si="12"/>
        <v>GENERAL SERVICE 1500-5000 KW</v>
      </c>
      <c r="B81" s="41" t="s">
        <v>40</v>
      </c>
      <c r="C81" s="37"/>
      <c r="D81" s="163">
        <v>0</v>
      </c>
      <c r="E81" s="164">
        <v>4.3E-3</v>
      </c>
      <c r="F81" s="165">
        <f t="shared" si="13"/>
        <v>0</v>
      </c>
      <c r="G81" s="1"/>
      <c r="H81" s="163">
        <v>721960603.94000006</v>
      </c>
      <c r="I81" s="164">
        <v>4.3E-3</v>
      </c>
      <c r="J81" s="165">
        <f t="shared" si="14"/>
        <v>3104430.5969420001</v>
      </c>
      <c r="K81" s="20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9" t="str">
        <f t="shared" si="12"/>
        <v>LARGE USER</v>
      </c>
      <c r="B82" s="41" t="s">
        <v>40</v>
      </c>
      <c r="C82" s="37"/>
      <c r="D82" s="163">
        <v>0</v>
      </c>
      <c r="E82" s="164">
        <v>4.3E-3</v>
      </c>
      <c r="F82" s="165">
        <f t="shared" si="13"/>
        <v>0</v>
      </c>
      <c r="G82" s="1"/>
      <c r="H82" s="163">
        <v>585724621.80999994</v>
      </c>
      <c r="I82" s="164">
        <v>4.3E-3</v>
      </c>
      <c r="J82" s="165">
        <f t="shared" si="14"/>
        <v>2518615.8737829998</v>
      </c>
      <c r="K82" s="20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9" t="str">
        <f t="shared" si="12"/>
        <v>STREETLIGHTING</v>
      </c>
      <c r="B83" s="41" t="s">
        <v>40</v>
      </c>
      <c r="C83" s="37"/>
      <c r="D83" s="163">
        <v>0</v>
      </c>
      <c r="E83" s="164">
        <v>4.3E-3</v>
      </c>
      <c r="F83" s="165">
        <f t="shared" si="13"/>
        <v>0</v>
      </c>
      <c r="G83" s="1"/>
      <c r="H83" s="163">
        <v>22792446.760000002</v>
      </c>
      <c r="I83" s="164">
        <v>4.3E-3</v>
      </c>
      <c r="J83" s="165">
        <f t="shared" si="14"/>
        <v>98007.521068000002</v>
      </c>
      <c r="K83" s="20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9" t="str">
        <f t="shared" si="12"/>
        <v>SENTINEL LIGHTS</v>
      </c>
      <c r="B84" s="41" t="s">
        <v>40</v>
      </c>
      <c r="C84" s="37"/>
      <c r="D84" s="163">
        <v>41220.550000000003</v>
      </c>
      <c r="E84" s="164">
        <v>4.3E-3</v>
      </c>
      <c r="F84" s="165">
        <f t="shared" si="13"/>
        <v>177.24836500000001</v>
      </c>
      <c r="G84" s="1"/>
      <c r="H84" s="163">
        <v>0</v>
      </c>
      <c r="I84" s="164">
        <v>4.3E-3</v>
      </c>
      <c r="J84" s="165">
        <f t="shared" si="14"/>
        <v>0</v>
      </c>
      <c r="K84" s="20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9" t="str">
        <f t="shared" si="12"/>
        <v>UNMETERED SCATTERED LOADS</v>
      </c>
      <c r="B85" s="41" t="s">
        <v>40</v>
      </c>
      <c r="C85" s="37"/>
      <c r="D85" s="163">
        <v>14952361.91</v>
      </c>
      <c r="E85" s="164">
        <v>4.3E-3</v>
      </c>
      <c r="F85" s="165">
        <f t="shared" si="13"/>
        <v>64295.156213000002</v>
      </c>
      <c r="G85" s="1"/>
      <c r="H85" s="163">
        <v>0</v>
      </c>
      <c r="I85" s="164">
        <v>4.3E-3</v>
      </c>
      <c r="J85" s="165">
        <f t="shared" si="14"/>
        <v>0</v>
      </c>
      <c r="K85" s="20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9" t="str">
        <f t="shared" si="12"/>
        <v>DRYCORE</v>
      </c>
      <c r="B86" s="41" t="s">
        <v>40</v>
      </c>
      <c r="C86" s="37"/>
      <c r="D86" s="163">
        <v>0</v>
      </c>
      <c r="E86" s="164"/>
      <c r="F86" s="165">
        <f t="shared" si="13"/>
        <v>0</v>
      </c>
      <c r="G86" s="1"/>
      <c r="H86" s="163">
        <v>6931149.8799999999</v>
      </c>
      <c r="I86" s="164">
        <v>4.3E-3</v>
      </c>
      <c r="J86" s="165">
        <f t="shared" si="14"/>
        <v>29803.944484</v>
      </c>
      <c r="K86" s="20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9" t="str">
        <f t="shared" si="12"/>
        <v/>
      </c>
      <c r="B87" s="41"/>
      <c r="C87" s="37"/>
      <c r="D87" s="163"/>
      <c r="E87" s="164"/>
      <c r="F87" s="165">
        <f t="shared" si="13"/>
        <v>0</v>
      </c>
      <c r="G87" s="1"/>
      <c r="H87" s="163"/>
      <c r="I87" s="164"/>
      <c r="J87" s="165">
        <f t="shared" si="14"/>
        <v>0</v>
      </c>
      <c r="K87" s="20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9" t="str">
        <f t="shared" si="12"/>
        <v/>
      </c>
      <c r="B88" s="41"/>
      <c r="C88" s="37"/>
      <c r="D88" s="163"/>
      <c r="E88" s="164"/>
      <c r="F88" s="165">
        <f t="shared" si="13"/>
        <v>0</v>
      </c>
      <c r="G88" s="1"/>
      <c r="H88" s="163"/>
      <c r="I88" s="164"/>
      <c r="J88" s="165">
        <f t="shared" si="14"/>
        <v>0</v>
      </c>
      <c r="K88" s="20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6" t="s">
        <v>72</v>
      </c>
      <c r="B89" s="21"/>
      <c r="C89" s="37"/>
      <c r="D89" s="147"/>
      <c r="E89" s="166"/>
      <c r="F89" s="147">
        <f>SUM(F78:F88)</f>
        <v>15839190.412630001</v>
      </c>
      <c r="G89" s="36"/>
      <c r="H89" s="147"/>
      <c r="I89" s="166"/>
      <c r="J89" s="147">
        <f>SUM(J78:J88)</f>
        <v>17366647.283374</v>
      </c>
      <c r="K89" s="147">
        <f>F89+J89</f>
        <v>33205837.696004003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2" t="s">
        <v>82</v>
      </c>
      <c r="B91" s="187"/>
      <c r="C91" s="66"/>
      <c r="D91" s="197"/>
      <c r="E91" s="199"/>
      <c r="F91" s="200"/>
      <c r="G91" s="26"/>
      <c r="H91" s="197"/>
      <c r="I91" s="199"/>
      <c r="J91" s="200" t="s">
        <v>69</v>
      </c>
      <c r="K91" s="187" t="s">
        <v>64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6" t="s">
        <v>74</v>
      </c>
      <c r="B92" s="186"/>
      <c r="C92" s="8"/>
      <c r="D92" s="198"/>
      <c r="E92" s="198"/>
      <c r="F92" s="201"/>
      <c r="G92" s="26"/>
      <c r="H92" s="198"/>
      <c r="I92" s="198"/>
      <c r="J92" s="201"/>
      <c r="K92" s="20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9" t="str">
        <f t="shared" ref="A93:A103" si="15">IF(A78="","",A78)</f>
        <v>RESIDENTIAL</v>
      </c>
      <c r="B93" s="41"/>
      <c r="C93" s="37"/>
      <c r="D93" s="163"/>
      <c r="E93" s="164"/>
      <c r="F93" s="165">
        <f t="shared" ref="F93:F103" si="16">D93*E93</f>
        <v>0</v>
      </c>
      <c r="G93" s="1"/>
      <c r="H93" s="163">
        <v>0</v>
      </c>
      <c r="I93" s="164">
        <v>4.0000000000000002E-4</v>
      </c>
      <c r="J93" s="165">
        <f t="shared" ref="J93:J103" si="17">H93*I93</f>
        <v>0</v>
      </c>
      <c r="K93" s="18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9" t="str">
        <f t="shared" si="15"/>
        <v>GENERAL SERVICE &lt;50KW</v>
      </c>
      <c r="B94" s="41"/>
      <c r="C94" s="37"/>
      <c r="D94" s="163"/>
      <c r="E94" s="164"/>
      <c r="F94" s="165">
        <f t="shared" si="16"/>
        <v>0</v>
      </c>
      <c r="G94" s="1"/>
      <c r="H94" s="163">
        <v>0</v>
      </c>
      <c r="I94" s="164">
        <v>4.0000000000000002E-4</v>
      </c>
      <c r="J94" s="165">
        <f t="shared" si="17"/>
        <v>0</v>
      </c>
      <c r="K94" s="20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9" t="str">
        <f t="shared" si="15"/>
        <v>GENERAL SERVICE 1000-1500KW</v>
      </c>
      <c r="B95" s="41" t="s">
        <v>40</v>
      </c>
      <c r="C95" s="37"/>
      <c r="D95" s="163"/>
      <c r="E95" s="164"/>
      <c r="F95" s="165">
        <f t="shared" si="16"/>
        <v>0</v>
      </c>
      <c r="G95" s="1"/>
      <c r="H95" s="163">
        <v>416157102.76999998</v>
      </c>
      <c r="I95" s="164">
        <v>4.0000000000000002E-4</v>
      </c>
      <c r="J95" s="165">
        <f t="shared" si="17"/>
        <v>166462.84110799999</v>
      </c>
      <c r="K95" s="20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9" t="str">
        <f t="shared" si="15"/>
        <v>GENERAL SERVICE 1500-5000 KW</v>
      </c>
      <c r="B96" s="41" t="s">
        <v>40</v>
      </c>
      <c r="C96" s="37"/>
      <c r="D96" s="163"/>
      <c r="E96" s="164"/>
      <c r="F96" s="165">
        <f t="shared" si="16"/>
        <v>0</v>
      </c>
      <c r="G96" s="1"/>
      <c r="H96" s="163">
        <v>570791398.80999994</v>
      </c>
      <c r="I96" s="164">
        <v>4.0000000000000002E-4</v>
      </c>
      <c r="J96" s="165">
        <f t="shared" si="17"/>
        <v>228316.55952399998</v>
      </c>
      <c r="K96" s="20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9" t="str">
        <f t="shared" si="15"/>
        <v>LARGE USER</v>
      </c>
      <c r="B97" s="41" t="s">
        <v>40</v>
      </c>
      <c r="C97" s="37"/>
      <c r="D97" s="163"/>
      <c r="E97" s="164"/>
      <c r="F97" s="165">
        <f t="shared" si="16"/>
        <v>0</v>
      </c>
      <c r="G97" s="1"/>
      <c r="H97" s="163">
        <v>534587014.55000001</v>
      </c>
      <c r="I97" s="164">
        <v>4.0000000000000002E-4</v>
      </c>
      <c r="J97" s="165">
        <f t="shared" si="17"/>
        <v>213834.80582000001</v>
      </c>
      <c r="K97" s="20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9" t="str">
        <f t="shared" si="15"/>
        <v>STREETLIGHTING</v>
      </c>
      <c r="B98" s="41"/>
      <c r="C98" s="37"/>
      <c r="D98" s="163"/>
      <c r="E98" s="164"/>
      <c r="F98" s="165">
        <f t="shared" si="16"/>
        <v>0</v>
      </c>
      <c r="G98" s="1"/>
      <c r="H98" s="163">
        <v>0</v>
      </c>
      <c r="I98" s="164">
        <v>4.0000000000000002E-4</v>
      </c>
      <c r="J98" s="165">
        <f t="shared" si="17"/>
        <v>0</v>
      </c>
      <c r="K98" s="20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9" t="str">
        <f t="shared" si="15"/>
        <v>SENTINEL LIGHTS</v>
      </c>
      <c r="B99" s="41"/>
      <c r="C99" s="37"/>
      <c r="D99" s="163"/>
      <c r="E99" s="164"/>
      <c r="F99" s="165">
        <f t="shared" si="16"/>
        <v>0</v>
      </c>
      <c r="G99" s="1"/>
      <c r="H99" s="163">
        <v>0</v>
      </c>
      <c r="I99" s="164">
        <v>4.0000000000000002E-4</v>
      </c>
      <c r="J99" s="165">
        <f t="shared" si="17"/>
        <v>0</v>
      </c>
      <c r="K99" s="20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9" t="str">
        <f t="shared" si="15"/>
        <v>UNMETERED SCATTERED LOADS</v>
      </c>
      <c r="B100" s="41"/>
      <c r="C100" s="37"/>
      <c r="D100" s="163"/>
      <c r="E100" s="164"/>
      <c r="F100" s="165">
        <f t="shared" si="16"/>
        <v>0</v>
      </c>
      <c r="G100" s="1"/>
      <c r="H100" s="163">
        <v>0</v>
      </c>
      <c r="I100" s="164">
        <v>4.0000000000000002E-4</v>
      </c>
      <c r="J100" s="165">
        <f t="shared" si="17"/>
        <v>0</v>
      </c>
      <c r="K100" s="20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9" t="str">
        <f t="shared" si="15"/>
        <v>DRYCORE</v>
      </c>
      <c r="B101" s="41"/>
      <c r="C101" s="37"/>
      <c r="D101" s="163"/>
      <c r="E101" s="164"/>
      <c r="F101" s="165">
        <f t="shared" si="16"/>
        <v>0</v>
      </c>
      <c r="G101" s="1"/>
      <c r="H101" s="163">
        <v>0</v>
      </c>
      <c r="I101" s="164"/>
      <c r="J101" s="165">
        <f t="shared" si="17"/>
        <v>0</v>
      </c>
      <c r="K101" s="20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9" t="str">
        <f t="shared" si="15"/>
        <v/>
      </c>
      <c r="B102" s="41"/>
      <c r="C102" s="37"/>
      <c r="D102" s="163"/>
      <c r="E102" s="164"/>
      <c r="F102" s="165">
        <f t="shared" si="16"/>
        <v>0</v>
      </c>
      <c r="G102" s="1"/>
      <c r="H102" s="163"/>
      <c r="I102" s="164"/>
      <c r="J102" s="165">
        <f t="shared" si="17"/>
        <v>0</v>
      </c>
      <c r="K102" s="20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9" t="str">
        <f t="shared" si="15"/>
        <v/>
      </c>
      <c r="B103" s="41"/>
      <c r="C103" s="37"/>
      <c r="D103" s="163"/>
      <c r="E103" s="164"/>
      <c r="F103" s="165">
        <f t="shared" si="16"/>
        <v>0</v>
      </c>
      <c r="G103" s="1"/>
      <c r="H103" s="163"/>
      <c r="I103" s="164"/>
      <c r="J103" s="165">
        <f t="shared" si="17"/>
        <v>0</v>
      </c>
      <c r="K103" s="20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6" t="s">
        <v>72</v>
      </c>
      <c r="B104" s="21"/>
      <c r="C104" s="37"/>
      <c r="D104" s="147"/>
      <c r="E104" s="166"/>
      <c r="F104" s="147">
        <f>SUM(F93:F103)</f>
        <v>0</v>
      </c>
      <c r="G104" s="36"/>
      <c r="H104" s="147"/>
      <c r="I104" s="166"/>
      <c r="J104" s="147">
        <f>SUM(J93:J103)</f>
        <v>608614.20645199995</v>
      </c>
      <c r="K104" s="147">
        <f>F104+J104</f>
        <v>608614.20645199995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.75" customHeight="1" x14ac:dyDescent="0.3">
      <c r="A105" s="36"/>
      <c r="B105" s="67"/>
      <c r="C105" s="37"/>
      <c r="D105" s="68"/>
      <c r="E105" s="64"/>
      <c r="F105" s="52"/>
      <c r="G105" s="1"/>
      <c r="H105" s="39"/>
      <c r="I105" s="64"/>
      <c r="J105" s="52"/>
      <c r="K105" s="6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2" t="s">
        <v>83</v>
      </c>
      <c r="B106" s="187"/>
      <c r="C106" s="66"/>
      <c r="D106" s="197"/>
      <c r="E106" s="199"/>
      <c r="F106" s="200"/>
      <c r="G106" s="26"/>
      <c r="H106" s="197"/>
      <c r="I106" s="199"/>
      <c r="J106" s="200" t="s">
        <v>69</v>
      </c>
      <c r="K106" s="187" t="s">
        <v>64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6" t="s">
        <v>74</v>
      </c>
      <c r="B107" s="186"/>
      <c r="C107" s="8"/>
      <c r="D107" s="198"/>
      <c r="E107" s="198"/>
      <c r="F107" s="201"/>
      <c r="G107" s="26"/>
      <c r="H107" s="198"/>
      <c r="I107" s="198"/>
      <c r="J107" s="201"/>
      <c r="K107" s="20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9" t="str">
        <f t="shared" ref="A108:A118" si="18">IF(A93="","",A93)</f>
        <v>RESIDENTIAL</v>
      </c>
      <c r="B108" s="41" t="s">
        <v>40</v>
      </c>
      <c r="C108" s="37"/>
      <c r="D108" s="163">
        <v>2691213763.3400002</v>
      </c>
      <c r="E108" s="164">
        <v>4.0000000000000002E-4</v>
      </c>
      <c r="F108" s="165">
        <f t="shared" ref="F108:F118" si="19">D108*E108</f>
        <v>1076485.5053360001</v>
      </c>
      <c r="G108" s="1"/>
      <c r="H108" s="163">
        <v>24674108.359999999</v>
      </c>
      <c r="I108" s="164">
        <v>4.0000000000000002E-4</v>
      </c>
      <c r="J108" s="165">
        <f t="shared" ref="J108:J118" si="20">H108*I108</f>
        <v>9869.6433440000001</v>
      </c>
      <c r="K108" s="18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9" t="str">
        <f t="shared" si="18"/>
        <v>GENERAL SERVICE &lt;50KW</v>
      </c>
      <c r="B109" s="41" t="s">
        <v>40</v>
      </c>
      <c r="C109" s="37"/>
      <c r="D109" s="163">
        <v>637640004.72000003</v>
      </c>
      <c r="E109" s="164">
        <v>4.0000000000000002E-4</v>
      </c>
      <c r="F109" s="165">
        <f t="shared" si="19"/>
        <v>255056.00188800003</v>
      </c>
      <c r="G109" s="1"/>
      <c r="H109" s="163">
        <v>108532481.97</v>
      </c>
      <c r="I109" s="164">
        <v>4.0000000000000002E-4</v>
      </c>
      <c r="J109" s="165">
        <f t="shared" si="20"/>
        <v>43412.992788000003</v>
      </c>
      <c r="K109" s="20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9" t="str">
        <f t="shared" si="18"/>
        <v>GENERAL SERVICE 1000-1500KW</v>
      </c>
      <c r="B110" s="41" t="s">
        <v>40</v>
      </c>
      <c r="C110" s="37"/>
      <c r="D110" s="163">
        <v>339685303.57999998</v>
      </c>
      <c r="E110" s="164">
        <v>4.0000000000000002E-4</v>
      </c>
      <c r="F110" s="165">
        <f t="shared" si="19"/>
        <v>135874.12143199999</v>
      </c>
      <c r="G110" s="1"/>
      <c r="H110" s="163">
        <v>2151982666.6999998</v>
      </c>
      <c r="I110" s="164">
        <v>4.0000000000000002E-4</v>
      </c>
      <c r="J110" s="165">
        <f t="shared" si="20"/>
        <v>860793.06667999993</v>
      </c>
      <c r="K110" s="20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9" t="str">
        <f t="shared" si="18"/>
        <v>GENERAL SERVICE 1500-5000 KW</v>
      </c>
      <c r="B111" s="41" t="s">
        <v>40</v>
      </c>
      <c r="C111" s="37"/>
      <c r="D111" s="163">
        <v>0</v>
      </c>
      <c r="E111" s="164">
        <v>4.0000000000000002E-4</v>
      </c>
      <c r="F111" s="165">
        <f t="shared" si="19"/>
        <v>0</v>
      </c>
      <c r="G111" s="1"/>
      <c r="H111" s="163">
        <v>151169205.12</v>
      </c>
      <c r="I111" s="164">
        <v>4.0000000000000002E-4</v>
      </c>
      <c r="J111" s="165">
        <f t="shared" si="20"/>
        <v>60467.682048000002</v>
      </c>
      <c r="K111" s="20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9" t="str">
        <f t="shared" si="18"/>
        <v>LARGE USER</v>
      </c>
      <c r="B112" s="41" t="s">
        <v>40</v>
      </c>
      <c r="C112" s="37"/>
      <c r="D112" s="163">
        <v>0</v>
      </c>
      <c r="E112" s="164">
        <v>4.0000000000000002E-4</v>
      </c>
      <c r="F112" s="165">
        <f t="shared" si="19"/>
        <v>0</v>
      </c>
      <c r="G112" s="1"/>
      <c r="H112" s="163">
        <v>51137607.259999998</v>
      </c>
      <c r="I112" s="164">
        <v>4.0000000000000002E-4</v>
      </c>
      <c r="J112" s="165">
        <f t="shared" si="20"/>
        <v>20455.042904000002</v>
      </c>
      <c r="K112" s="20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9" t="str">
        <f t="shared" si="18"/>
        <v>STREETLIGHTING</v>
      </c>
      <c r="B113" s="41" t="s">
        <v>40</v>
      </c>
      <c r="C113" s="37"/>
      <c r="D113" s="163">
        <v>0</v>
      </c>
      <c r="E113" s="164">
        <v>4.0000000000000002E-4</v>
      </c>
      <c r="F113" s="165">
        <f t="shared" si="19"/>
        <v>0</v>
      </c>
      <c r="G113" s="1"/>
      <c r="H113" s="163">
        <v>22792446.760000002</v>
      </c>
      <c r="I113" s="164">
        <v>4.0000000000000002E-4</v>
      </c>
      <c r="J113" s="165">
        <f t="shared" si="20"/>
        <v>9116.978704000001</v>
      </c>
      <c r="K113" s="20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9" t="str">
        <f t="shared" si="18"/>
        <v>SENTINEL LIGHTS</v>
      </c>
      <c r="B114" s="41" t="s">
        <v>40</v>
      </c>
      <c r="C114" s="37"/>
      <c r="D114" s="163">
        <v>41220.550000000003</v>
      </c>
      <c r="E114" s="164">
        <v>4.0000000000000002E-4</v>
      </c>
      <c r="F114" s="165">
        <f t="shared" si="19"/>
        <v>16.488220000000002</v>
      </c>
      <c r="G114" s="1"/>
      <c r="H114" s="163">
        <v>0</v>
      </c>
      <c r="I114" s="164">
        <v>4.0000000000000002E-4</v>
      </c>
      <c r="J114" s="165">
        <f t="shared" si="20"/>
        <v>0</v>
      </c>
      <c r="K114" s="20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9" t="str">
        <f t="shared" si="18"/>
        <v>UNMETERED SCATTERED LOADS</v>
      </c>
      <c r="B115" s="41" t="s">
        <v>40</v>
      </c>
      <c r="C115" s="37"/>
      <c r="D115" s="163">
        <v>14952361.91</v>
      </c>
      <c r="E115" s="164">
        <v>4.0000000000000002E-4</v>
      </c>
      <c r="F115" s="165">
        <f t="shared" si="19"/>
        <v>5980.9447640000008</v>
      </c>
      <c r="G115" s="1"/>
      <c r="H115" s="163">
        <v>0</v>
      </c>
      <c r="I115" s="164">
        <v>4.0000000000000002E-4</v>
      </c>
      <c r="J115" s="165">
        <f t="shared" si="20"/>
        <v>0</v>
      </c>
      <c r="K115" s="20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9" t="str">
        <f t="shared" si="18"/>
        <v>DRYCORE</v>
      </c>
      <c r="B116" s="41" t="s">
        <v>40</v>
      </c>
      <c r="C116" s="37"/>
      <c r="D116" s="163">
        <v>0</v>
      </c>
      <c r="E116" s="164"/>
      <c r="F116" s="165">
        <f t="shared" si="19"/>
        <v>0</v>
      </c>
      <c r="G116" s="1"/>
      <c r="H116" s="163">
        <v>6931149.8799999999</v>
      </c>
      <c r="I116" s="164">
        <v>4.0000000000000002E-4</v>
      </c>
      <c r="J116" s="165">
        <f t="shared" si="20"/>
        <v>2772.4599520000002</v>
      </c>
      <c r="K116" s="20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9" t="str">
        <f t="shared" si="18"/>
        <v/>
      </c>
      <c r="B117" s="41"/>
      <c r="C117" s="37"/>
      <c r="D117" s="163"/>
      <c r="E117" s="164"/>
      <c r="F117" s="165">
        <f t="shared" si="19"/>
        <v>0</v>
      </c>
      <c r="G117" s="1"/>
      <c r="H117" s="163"/>
      <c r="I117" s="164"/>
      <c r="J117" s="165">
        <f t="shared" si="20"/>
        <v>0</v>
      </c>
      <c r="K117" s="20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9" t="str">
        <f t="shared" si="18"/>
        <v/>
      </c>
      <c r="B118" s="41"/>
      <c r="C118" s="37"/>
      <c r="D118" s="163"/>
      <c r="E118" s="164"/>
      <c r="F118" s="165">
        <f t="shared" si="19"/>
        <v>0</v>
      </c>
      <c r="G118" s="1"/>
      <c r="H118" s="163"/>
      <c r="I118" s="164"/>
      <c r="J118" s="165">
        <f t="shared" si="20"/>
        <v>0</v>
      </c>
      <c r="K118" s="20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6" t="s">
        <v>72</v>
      </c>
      <c r="B119" s="21"/>
      <c r="C119" s="37"/>
      <c r="D119" s="147"/>
      <c r="E119" s="166"/>
      <c r="F119" s="147">
        <f>SUM(F108:F118)</f>
        <v>1473413.06164</v>
      </c>
      <c r="G119" s="36"/>
      <c r="H119" s="147"/>
      <c r="I119" s="166"/>
      <c r="J119" s="147">
        <f>SUM(J108:J118)</f>
        <v>1006887.86642</v>
      </c>
      <c r="K119" s="147">
        <f>F119+J119</f>
        <v>2480300.9280599998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.75" customHeight="1" x14ac:dyDescent="0.3">
      <c r="A120" s="36"/>
      <c r="B120" s="67"/>
      <c r="C120" s="37"/>
      <c r="D120" s="68"/>
      <c r="E120" s="64"/>
      <c r="F120" s="52"/>
      <c r="G120" s="1"/>
      <c r="H120" s="39"/>
      <c r="I120" s="64"/>
      <c r="J120" s="52"/>
      <c r="K120" s="6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32" t="s">
        <v>84</v>
      </c>
      <c r="B121" s="187"/>
      <c r="C121" s="33"/>
      <c r="D121" s="197"/>
      <c r="E121" s="199"/>
      <c r="F121" s="200"/>
      <c r="G121" s="26"/>
      <c r="H121" s="197"/>
      <c r="I121" s="199"/>
      <c r="J121" s="200" t="s">
        <v>69</v>
      </c>
      <c r="K121" s="187" t="s">
        <v>64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6" t="s">
        <v>74</v>
      </c>
      <c r="B122" s="186"/>
      <c r="C122" s="33"/>
      <c r="D122" s="198"/>
      <c r="E122" s="198"/>
      <c r="F122" s="201"/>
      <c r="G122" s="26"/>
      <c r="H122" s="198"/>
      <c r="I122" s="198"/>
      <c r="J122" s="201"/>
      <c r="K122" s="20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9" t="str">
        <f t="shared" ref="A123:A133" si="21">IF(A108="","",A108)</f>
        <v>RESIDENTIAL</v>
      </c>
      <c r="B123" s="41" t="s">
        <v>40</v>
      </c>
      <c r="C123" s="37"/>
      <c r="D123" s="163">
        <v>2691213763.3400002</v>
      </c>
      <c r="E123" s="164">
        <v>1.5E-3</v>
      </c>
      <c r="F123" s="165">
        <f t="shared" ref="F123:F133" si="22">D123*E123</f>
        <v>4036820.6450100001</v>
      </c>
      <c r="G123" s="1"/>
      <c r="H123" s="163">
        <v>24674108.359999999</v>
      </c>
      <c r="I123" s="164">
        <v>1.5E-3</v>
      </c>
      <c r="J123" s="165">
        <f t="shared" ref="J123:J133" si="23">H123*I123</f>
        <v>37011.162539999998</v>
      </c>
      <c r="K123" s="18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9" t="str">
        <f t="shared" si="21"/>
        <v>GENERAL SERVICE &lt;50KW</v>
      </c>
      <c r="B124" s="41" t="s">
        <v>40</v>
      </c>
      <c r="C124" s="37"/>
      <c r="D124" s="163">
        <v>637640004.72000003</v>
      </c>
      <c r="E124" s="164">
        <v>1.5E-3</v>
      </c>
      <c r="F124" s="165">
        <f t="shared" si="22"/>
        <v>956460.00708000001</v>
      </c>
      <c r="G124" s="1"/>
      <c r="H124" s="163">
        <v>108532481.97</v>
      </c>
      <c r="I124" s="164">
        <v>1.5E-3</v>
      </c>
      <c r="J124" s="165">
        <f t="shared" si="23"/>
        <v>162798.722955</v>
      </c>
      <c r="K124" s="20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9" t="str">
        <f t="shared" si="21"/>
        <v>GENERAL SERVICE 1000-1500KW</v>
      </c>
      <c r="B125" s="41" t="s">
        <v>40</v>
      </c>
      <c r="C125" s="37"/>
      <c r="D125" s="163">
        <v>339685303.57999998</v>
      </c>
      <c r="E125" s="164">
        <v>1.5E-3</v>
      </c>
      <c r="F125" s="165">
        <f t="shared" si="22"/>
        <v>509527.95536999998</v>
      </c>
      <c r="G125" s="1"/>
      <c r="H125" s="163">
        <v>2568139769.46</v>
      </c>
      <c r="I125" s="164">
        <v>1.5E-3</v>
      </c>
      <c r="J125" s="165">
        <f t="shared" si="23"/>
        <v>3852209.6541900001</v>
      </c>
      <c r="K125" s="20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9" t="str">
        <f t="shared" si="21"/>
        <v>GENERAL SERVICE 1500-5000 KW</v>
      </c>
      <c r="B126" s="41" t="s">
        <v>40</v>
      </c>
      <c r="C126" s="37"/>
      <c r="D126" s="163">
        <v>0</v>
      </c>
      <c r="E126" s="164">
        <v>1.5E-3</v>
      </c>
      <c r="F126" s="165">
        <f t="shared" si="22"/>
        <v>0</v>
      </c>
      <c r="G126" s="1"/>
      <c r="H126" s="163">
        <v>721960603.94000006</v>
      </c>
      <c r="I126" s="164">
        <v>1.5E-3</v>
      </c>
      <c r="J126" s="165">
        <f t="shared" si="23"/>
        <v>1082940.9059100002</v>
      </c>
      <c r="K126" s="20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9" t="str">
        <f t="shared" si="21"/>
        <v>LARGE USER</v>
      </c>
      <c r="B127" s="41" t="s">
        <v>40</v>
      </c>
      <c r="C127" s="37"/>
      <c r="D127" s="163">
        <v>0</v>
      </c>
      <c r="E127" s="164">
        <v>1.5E-3</v>
      </c>
      <c r="F127" s="165">
        <f t="shared" si="22"/>
        <v>0</v>
      </c>
      <c r="G127" s="1"/>
      <c r="H127" s="163">
        <v>585724621.80999994</v>
      </c>
      <c r="I127" s="164">
        <v>1.5E-3</v>
      </c>
      <c r="J127" s="165">
        <f t="shared" si="23"/>
        <v>878586.93271499989</v>
      </c>
      <c r="K127" s="20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9" t="str">
        <f t="shared" si="21"/>
        <v>STREETLIGHTING</v>
      </c>
      <c r="B128" s="41" t="s">
        <v>40</v>
      </c>
      <c r="C128" s="37"/>
      <c r="D128" s="163">
        <v>0</v>
      </c>
      <c r="E128" s="164">
        <v>1.5E-3</v>
      </c>
      <c r="F128" s="165">
        <f t="shared" si="22"/>
        <v>0</v>
      </c>
      <c r="G128" s="1"/>
      <c r="H128" s="163">
        <v>22792446.760000002</v>
      </c>
      <c r="I128" s="164">
        <v>1.5E-3</v>
      </c>
      <c r="J128" s="165">
        <f t="shared" si="23"/>
        <v>34188.670140000002</v>
      </c>
      <c r="K128" s="20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9" t="str">
        <f t="shared" si="21"/>
        <v>SENTINEL LIGHTS</v>
      </c>
      <c r="B129" s="41" t="s">
        <v>40</v>
      </c>
      <c r="C129" s="37"/>
      <c r="D129" s="163">
        <v>41220.550000000003</v>
      </c>
      <c r="E129" s="164">
        <v>1.5E-3</v>
      </c>
      <c r="F129" s="165">
        <f t="shared" si="22"/>
        <v>61.830825000000004</v>
      </c>
      <c r="G129" s="1"/>
      <c r="H129" s="163">
        <v>0</v>
      </c>
      <c r="I129" s="164">
        <v>1.5E-3</v>
      </c>
      <c r="J129" s="165">
        <f t="shared" si="23"/>
        <v>0</v>
      </c>
      <c r="K129" s="20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9" t="str">
        <f t="shared" si="21"/>
        <v>UNMETERED SCATTERED LOADS</v>
      </c>
      <c r="B130" s="41" t="s">
        <v>40</v>
      </c>
      <c r="C130" s="37"/>
      <c r="D130" s="163">
        <v>14952361.91</v>
      </c>
      <c r="E130" s="164">
        <v>1.5E-3</v>
      </c>
      <c r="F130" s="165">
        <f t="shared" si="22"/>
        <v>22428.542864999999</v>
      </c>
      <c r="G130" s="1"/>
      <c r="H130" s="163">
        <v>0</v>
      </c>
      <c r="I130" s="164">
        <v>1.5E-3</v>
      </c>
      <c r="J130" s="165">
        <f t="shared" si="23"/>
        <v>0</v>
      </c>
      <c r="K130" s="20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9" t="str">
        <f t="shared" si="21"/>
        <v>DRYCORE</v>
      </c>
      <c r="B131" s="41" t="s">
        <v>40</v>
      </c>
      <c r="C131" s="37"/>
      <c r="D131" s="163">
        <v>0</v>
      </c>
      <c r="E131" s="164"/>
      <c r="F131" s="165">
        <f t="shared" si="22"/>
        <v>0</v>
      </c>
      <c r="G131" s="1"/>
      <c r="H131" s="163">
        <v>6931149.8799999999</v>
      </c>
      <c r="I131" s="164">
        <v>1.5E-3</v>
      </c>
      <c r="J131" s="165">
        <f t="shared" si="23"/>
        <v>10396.724819999999</v>
      </c>
      <c r="K131" s="20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9" t="str">
        <f t="shared" si="21"/>
        <v/>
      </c>
      <c r="B132" s="41"/>
      <c r="C132" s="37"/>
      <c r="D132" s="163"/>
      <c r="E132" s="164"/>
      <c r="F132" s="165">
        <f t="shared" si="22"/>
        <v>0</v>
      </c>
      <c r="G132" s="1"/>
      <c r="H132" s="163"/>
      <c r="I132" s="164"/>
      <c r="J132" s="165">
        <f t="shared" si="23"/>
        <v>0</v>
      </c>
      <c r="K132" s="20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9" t="str">
        <f t="shared" si="21"/>
        <v/>
      </c>
      <c r="B133" s="41"/>
      <c r="C133" s="37"/>
      <c r="D133" s="163"/>
      <c r="E133" s="164"/>
      <c r="F133" s="165">
        <f t="shared" si="22"/>
        <v>0</v>
      </c>
      <c r="G133" s="1"/>
      <c r="H133" s="163"/>
      <c r="I133" s="164"/>
      <c r="J133" s="165">
        <f t="shared" si="23"/>
        <v>0</v>
      </c>
      <c r="K133" s="20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6" t="s">
        <v>72</v>
      </c>
      <c r="B134" s="21"/>
      <c r="C134" s="44"/>
      <c r="D134" s="147"/>
      <c r="E134" s="166"/>
      <c r="F134" s="147">
        <f>SUM(F123:F133)</f>
        <v>5525298.9811499994</v>
      </c>
      <c r="G134" s="36"/>
      <c r="H134" s="147"/>
      <c r="I134" s="166"/>
      <c r="J134" s="147">
        <f>SUM(J123:J133)</f>
        <v>6058132.7732699998</v>
      </c>
      <c r="K134" s="147">
        <f>F134+J134</f>
        <v>11583431.754419999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2" t="s">
        <v>85</v>
      </c>
      <c r="B136" s="187"/>
      <c r="C136" s="33"/>
      <c r="D136" s="197"/>
      <c r="E136" s="199"/>
      <c r="F136" s="200"/>
      <c r="G136" s="26"/>
      <c r="H136" s="197"/>
      <c r="I136" s="199"/>
      <c r="J136" s="200" t="s">
        <v>69</v>
      </c>
      <c r="K136" s="187" t="s">
        <v>64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6" t="s">
        <v>74</v>
      </c>
      <c r="B137" s="186"/>
      <c r="C137" s="33"/>
      <c r="D137" s="198"/>
      <c r="E137" s="198"/>
      <c r="F137" s="201"/>
      <c r="G137" s="26"/>
      <c r="H137" s="198"/>
      <c r="I137" s="198"/>
      <c r="J137" s="201"/>
      <c r="K137" s="20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9" t="str">
        <f t="shared" ref="A138:A148" si="24">IF(A123="","",A123)</f>
        <v>RESIDENTIAL</v>
      </c>
      <c r="B138" s="41" t="s">
        <v>40</v>
      </c>
      <c r="C138" s="37"/>
      <c r="D138" s="163">
        <v>2604736511.1599998</v>
      </c>
      <c r="E138" s="167">
        <v>6.3070000000000004E-5</v>
      </c>
      <c r="F138" s="165">
        <f t="shared" ref="F138:F148" si="25">D138*E138</f>
        <v>164280.73175886119</v>
      </c>
      <c r="G138" s="1"/>
      <c r="H138" s="163">
        <v>23881250.84</v>
      </c>
      <c r="I138" s="167">
        <v>6.3070000000000004E-5</v>
      </c>
      <c r="J138" s="165">
        <f t="shared" ref="J138:J148" si="26">H138*I138</f>
        <v>1506.1904904788</v>
      </c>
      <c r="K138" s="18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9" t="str">
        <f t="shared" si="24"/>
        <v>GENERAL SERVICE &lt;50KW</v>
      </c>
      <c r="B139" s="41" t="s">
        <v>40</v>
      </c>
      <c r="C139" s="37"/>
      <c r="D139" s="163">
        <v>617150604.63999999</v>
      </c>
      <c r="E139" s="167">
        <v>6.3070000000000004E-5</v>
      </c>
      <c r="F139" s="165">
        <f t="shared" si="25"/>
        <v>38923.688634644801</v>
      </c>
      <c r="G139" s="1"/>
      <c r="H139" s="163">
        <v>105044988.36</v>
      </c>
      <c r="I139" s="167">
        <v>6.3070000000000004E-5</v>
      </c>
      <c r="J139" s="165">
        <f t="shared" si="26"/>
        <v>6625.1874158652008</v>
      </c>
      <c r="K139" s="20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9" t="str">
        <f t="shared" si="24"/>
        <v>GENERAL SERVICE 1000-1500KW</v>
      </c>
      <c r="B140" s="41" t="s">
        <v>40</v>
      </c>
      <c r="C140" s="37"/>
      <c r="D140" s="163">
        <v>328770135.10000002</v>
      </c>
      <c r="E140" s="167">
        <v>6.3070000000000004E-5</v>
      </c>
      <c r="F140" s="165">
        <f t="shared" si="25"/>
        <v>20735.532420757005</v>
      </c>
      <c r="G140" s="1"/>
      <c r="H140" s="163">
        <v>2485617275.9000001</v>
      </c>
      <c r="I140" s="167">
        <v>6.3070000000000004E-5</v>
      </c>
      <c r="J140" s="165">
        <f t="shared" si="26"/>
        <v>156767.88159101302</v>
      </c>
      <c r="K140" s="20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9" t="str">
        <f t="shared" si="24"/>
        <v>GENERAL SERVICE 1500-5000 KW</v>
      </c>
      <c r="B141" s="41" t="s">
        <v>40</v>
      </c>
      <c r="C141" s="37"/>
      <c r="D141" s="163">
        <v>0</v>
      </c>
      <c r="E141" s="167">
        <v>6.3070000000000004E-5</v>
      </c>
      <c r="F141" s="165">
        <f t="shared" si="25"/>
        <v>0</v>
      </c>
      <c r="G141" s="1"/>
      <c r="H141" s="163">
        <v>698761715</v>
      </c>
      <c r="I141" s="167">
        <v>6.3070000000000004E-5</v>
      </c>
      <c r="J141" s="165">
        <f t="shared" si="26"/>
        <v>44070.901365050006</v>
      </c>
      <c r="K141" s="20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9" t="str">
        <f t="shared" si="24"/>
        <v>LARGE USER</v>
      </c>
      <c r="B142" s="41" t="s">
        <v>40</v>
      </c>
      <c r="C142" s="37"/>
      <c r="D142" s="163">
        <v>0</v>
      </c>
      <c r="E142" s="167">
        <v>6.3070000000000004E-5</v>
      </c>
      <c r="F142" s="165">
        <f t="shared" si="25"/>
        <v>0</v>
      </c>
      <c r="G142" s="1"/>
      <c r="H142" s="163">
        <v>566903428</v>
      </c>
      <c r="I142" s="167">
        <v>6.3070000000000004E-5</v>
      </c>
      <c r="J142" s="165">
        <f t="shared" si="26"/>
        <v>35754.599203960002</v>
      </c>
      <c r="K142" s="20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9" t="str">
        <f t="shared" si="24"/>
        <v>STREETLIGHTING</v>
      </c>
      <c r="B143" s="41" t="s">
        <v>40</v>
      </c>
      <c r="C143" s="37"/>
      <c r="D143" s="163">
        <v>0</v>
      </c>
      <c r="E143" s="167">
        <v>6.3070000000000004E-5</v>
      </c>
      <c r="F143" s="165">
        <f t="shared" si="25"/>
        <v>0</v>
      </c>
      <c r="G143" s="1"/>
      <c r="H143" s="163">
        <v>22060053</v>
      </c>
      <c r="I143" s="167">
        <v>6.3070000000000004E-5</v>
      </c>
      <c r="J143" s="165">
        <f t="shared" si="26"/>
        <v>1391.32754271</v>
      </c>
      <c r="K143" s="20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9" t="str">
        <f t="shared" si="24"/>
        <v>SENTINEL LIGHTS</v>
      </c>
      <c r="B144" s="41" t="s">
        <v>40</v>
      </c>
      <c r="C144" s="70"/>
      <c r="D144" s="163">
        <v>39896</v>
      </c>
      <c r="E144" s="167">
        <v>6.3070000000000004E-5</v>
      </c>
      <c r="F144" s="165">
        <f t="shared" si="25"/>
        <v>2.5162407200000003</v>
      </c>
      <c r="G144" s="1"/>
      <c r="H144" s="163">
        <v>0</v>
      </c>
      <c r="I144" s="167">
        <v>6.3070000000000004E-5</v>
      </c>
      <c r="J144" s="165">
        <f t="shared" si="26"/>
        <v>0</v>
      </c>
      <c r="K144" s="20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9" t="str">
        <f t="shared" si="24"/>
        <v>UNMETERED SCATTERED LOADS</v>
      </c>
      <c r="B145" s="41" t="s">
        <v>40</v>
      </c>
      <c r="C145" s="70"/>
      <c r="D145" s="163">
        <v>14471895</v>
      </c>
      <c r="E145" s="167">
        <v>6.3070000000000004E-5</v>
      </c>
      <c r="F145" s="165">
        <f t="shared" si="25"/>
        <v>912.74241765000011</v>
      </c>
      <c r="G145" s="1"/>
      <c r="H145" s="163">
        <v>0</v>
      </c>
      <c r="I145" s="167">
        <v>6.3070000000000004E-5</v>
      </c>
      <c r="J145" s="165">
        <f t="shared" si="26"/>
        <v>0</v>
      </c>
      <c r="K145" s="20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9" t="str">
        <f t="shared" si="24"/>
        <v>DRYCORE</v>
      </c>
      <c r="B146" s="41" t="s">
        <v>40</v>
      </c>
      <c r="C146" s="70"/>
      <c r="D146" s="163">
        <v>0</v>
      </c>
      <c r="E146" s="167">
        <v>6.3070000000000004E-5</v>
      </c>
      <c r="F146" s="165">
        <f t="shared" si="25"/>
        <v>0</v>
      </c>
      <c r="G146" s="1"/>
      <c r="H146" s="163">
        <v>6708430</v>
      </c>
      <c r="I146" s="167">
        <v>6.3070000000000004E-5</v>
      </c>
      <c r="J146" s="165">
        <f t="shared" si="26"/>
        <v>423.10068010000003</v>
      </c>
      <c r="K146" s="20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9" t="str">
        <f t="shared" si="24"/>
        <v/>
      </c>
      <c r="B147" s="41"/>
      <c r="C147" s="37"/>
      <c r="D147" s="163">
        <v>0</v>
      </c>
      <c r="E147" s="164"/>
      <c r="F147" s="165">
        <f t="shared" si="25"/>
        <v>0</v>
      </c>
      <c r="G147" s="1"/>
      <c r="H147" s="163">
        <v>0</v>
      </c>
      <c r="I147" s="164"/>
      <c r="J147" s="165">
        <f t="shared" si="26"/>
        <v>0</v>
      </c>
      <c r="K147" s="20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9" t="str">
        <f t="shared" si="24"/>
        <v/>
      </c>
      <c r="B148" s="41"/>
      <c r="C148" s="37"/>
      <c r="D148" s="163"/>
      <c r="E148" s="164"/>
      <c r="F148" s="165">
        <f t="shared" si="25"/>
        <v>0</v>
      </c>
      <c r="G148" s="1"/>
      <c r="H148" s="163"/>
      <c r="I148" s="164"/>
      <c r="J148" s="165">
        <f t="shared" si="26"/>
        <v>0</v>
      </c>
      <c r="K148" s="20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6" t="s">
        <v>72</v>
      </c>
      <c r="B149" s="21"/>
      <c r="C149" s="37"/>
      <c r="D149" s="147"/>
      <c r="E149" s="166"/>
      <c r="F149" s="147">
        <f>SUM(F138:F148)</f>
        <v>224855.211472633</v>
      </c>
      <c r="G149" s="36"/>
      <c r="H149" s="147"/>
      <c r="I149" s="166"/>
      <c r="J149" s="147">
        <f>SUM(J138:J148)</f>
        <v>246539.18828917702</v>
      </c>
      <c r="K149" s="147">
        <f>F149+J149</f>
        <v>471394.39976181003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2" t="s">
        <v>86</v>
      </c>
      <c r="B151" s="190"/>
      <c r="C151" s="33"/>
      <c r="D151" s="192"/>
      <c r="E151" s="190"/>
      <c r="F151" s="187"/>
      <c r="G151" s="8"/>
      <c r="H151" s="187"/>
      <c r="I151" s="190"/>
      <c r="J151" s="187" t="s">
        <v>69</v>
      </c>
      <c r="K151" s="192" t="s">
        <v>64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6" t="s">
        <v>74</v>
      </c>
      <c r="B152" s="196"/>
      <c r="C152" s="33"/>
      <c r="D152" s="193"/>
      <c r="E152" s="196"/>
      <c r="F152" s="186"/>
      <c r="G152" s="8"/>
      <c r="H152" s="186"/>
      <c r="I152" s="196"/>
      <c r="J152" s="186"/>
      <c r="K152" s="189"/>
      <c r="L152" s="4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1" t="s">
        <v>87</v>
      </c>
      <c r="B153" s="21" t="s">
        <v>88</v>
      </c>
      <c r="C153" s="37"/>
      <c r="D153" s="163">
        <v>351762</v>
      </c>
      <c r="E153" s="168">
        <v>0.42</v>
      </c>
      <c r="F153" s="165">
        <f t="shared" ref="F153:F160" si="27">D153*E153*12</f>
        <v>1772880.48</v>
      </c>
      <c r="G153" s="1"/>
      <c r="H153" s="163"/>
      <c r="I153" s="168"/>
      <c r="J153" s="165">
        <f t="shared" ref="J153:J160" si="28">H153*I153*12</f>
        <v>0</v>
      </c>
      <c r="K153" s="182"/>
      <c r="L153" s="4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5" t="s">
        <v>89</v>
      </c>
      <c r="B154" s="21" t="s">
        <v>88</v>
      </c>
      <c r="C154" s="37"/>
      <c r="D154" s="163">
        <v>26138</v>
      </c>
      <c r="E154" s="168">
        <v>0.42</v>
      </c>
      <c r="F154" s="165">
        <f t="shared" si="27"/>
        <v>131735.51999999999</v>
      </c>
      <c r="G154" s="1"/>
      <c r="H154" s="163"/>
      <c r="I154" s="168"/>
      <c r="J154" s="165">
        <f t="shared" si="28"/>
        <v>0</v>
      </c>
      <c r="K154" s="179"/>
      <c r="L154" s="4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5"/>
      <c r="B155" s="21"/>
      <c r="C155" s="37"/>
      <c r="D155" s="163"/>
      <c r="E155" s="163"/>
      <c r="F155" s="165">
        <f t="shared" si="27"/>
        <v>0</v>
      </c>
      <c r="G155" s="1"/>
      <c r="H155" s="163"/>
      <c r="I155" s="163"/>
      <c r="J155" s="165">
        <f t="shared" si="28"/>
        <v>0</v>
      </c>
      <c r="K155" s="179"/>
      <c r="L155" s="4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5"/>
      <c r="B156" s="21"/>
      <c r="C156" s="37"/>
      <c r="D156" s="163"/>
      <c r="E156" s="163"/>
      <c r="F156" s="165">
        <f t="shared" si="27"/>
        <v>0</v>
      </c>
      <c r="G156" s="1"/>
      <c r="H156" s="163"/>
      <c r="I156" s="163"/>
      <c r="J156" s="165">
        <f t="shared" si="28"/>
        <v>0</v>
      </c>
      <c r="K156" s="179"/>
      <c r="L156" s="4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5"/>
      <c r="B157" s="21"/>
      <c r="C157" s="37"/>
      <c r="D157" s="163"/>
      <c r="E157" s="163"/>
      <c r="F157" s="165">
        <f t="shared" si="27"/>
        <v>0</v>
      </c>
      <c r="G157" s="1"/>
      <c r="H157" s="163"/>
      <c r="I157" s="163"/>
      <c r="J157" s="165">
        <f t="shared" si="28"/>
        <v>0</v>
      </c>
      <c r="K157" s="179"/>
      <c r="L157" s="4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5"/>
      <c r="B158" s="21"/>
      <c r="C158" s="37"/>
      <c r="D158" s="163"/>
      <c r="E158" s="163"/>
      <c r="F158" s="165">
        <f t="shared" si="27"/>
        <v>0</v>
      </c>
      <c r="G158" s="1"/>
      <c r="H158" s="163"/>
      <c r="I158" s="163"/>
      <c r="J158" s="165">
        <f t="shared" si="28"/>
        <v>0</v>
      </c>
      <c r="K158" s="179"/>
      <c r="L158" s="4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5"/>
      <c r="B159" s="21"/>
      <c r="C159" s="37"/>
      <c r="D159" s="163"/>
      <c r="E159" s="163"/>
      <c r="F159" s="165">
        <f t="shared" si="27"/>
        <v>0</v>
      </c>
      <c r="G159" s="1"/>
      <c r="H159" s="163"/>
      <c r="I159" s="163"/>
      <c r="J159" s="165">
        <f t="shared" si="28"/>
        <v>0</v>
      </c>
      <c r="K159" s="179"/>
      <c r="L159" s="4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5"/>
      <c r="B160" s="21"/>
      <c r="C160" s="37"/>
      <c r="D160" s="163"/>
      <c r="E160" s="163"/>
      <c r="F160" s="165">
        <f t="shared" si="27"/>
        <v>0</v>
      </c>
      <c r="G160" s="1"/>
      <c r="H160" s="163"/>
      <c r="I160" s="163"/>
      <c r="J160" s="165">
        <f t="shared" si="28"/>
        <v>0</v>
      </c>
      <c r="K160" s="71"/>
      <c r="L160" s="4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6" t="s">
        <v>72</v>
      </c>
      <c r="B161" s="21"/>
      <c r="C161" s="37"/>
      <c r="D161" s="102"/>
      <c r="E161" s="102"/>
      <c r="F161" s="147">
        <f>SUM(F153:F160)</f>
        <v>1904616</v>
      </c>
      <c r="G161" s="19"/>
      <c r="H161" s="102"/>
      <c r="I161" s="102"/>
      <c r="J161" s="165">
        <f>SUM(J153:J160)</f>
        <v>0</v>
      </c>
      <c r="K161" s="147">
        <f>F161+J161</f>
        <v>1904616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9"/>
      <c r="B162" s="19"/>
      <c r="C162" s="37"/>
      <c r="D162" s="102"/>
      <c r="E162" s="102"/>
      <c r="F162" s="102"/>
      <c r="G162" s="19"/>
      <c r="H162" s="102"/>
      <c r="I162" s="102"/>
      <c r="J162" s="10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6" t="s">
        <v>90</v>
      </c>
      <c r="B163" s="19"/>
      <c r="C163" s="37"/>
      <c r="D163" s="102"/>
      <c r="E163" s="102"/>
      <c r="F163" s="165">
        <f>SUM(F24+F59+F74+F89+F134+F149+F161+F119)+Q59+Q74</f>
        <v>502245276.53108865</v>
      </c>
      <c r="G163" s="19"/>
      <c r="H163" s="102"/>
      <c r="I163" s="102"/>
      <c r="J163" s="165">
        <f>J24+J44+J59+J74+J89+J104+J119+J134+J149+J161+U59+U74</f>
        <v>506094657.2981022</v>
      </c>
      <c r="K163" s="47">
        <f t="shared" ref="K163:K164" si="29">+F163+J163</f>
        <v>1008339933.8291909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thickBot="1" x14ac:dyDescent="0.35">
      <c r="A164" s="36" t="s">
        <v>91</v>
      </c>
      <c r="B164" s="72">
        <v>0.13100000000000001</v>
      </c>
      <c r="C164" s="37"/>
      <c r="D164" s="163"/>
      <c r="E164" s="163"/>
      <c r="F164" s="169">
        <f>-F163*B164</f>
        <v>-65794131.225572616</v>
      </c>
      <c r="G164" s="19"/>
      <c r="H164" s="163"/>
      <c r="I164" s="163"/>
      <c r="J164" s="169">
        <v>0</v>
      </c>
      <c r="K164" s="47">
        <f t="shared" si="29"/>
        <v>-65794131.225572616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thickBot="1" x14ac:dyDescent="0.35">
      <c r="A165" s="36" t="s">
        <v>56</v>
      </c>
      <c r="B165" s="73"/>
      <c r="C165" s="59"/>
      <c r="D165" s="170"/>
      <c r="E165" s="170"/>
      <c r="F165" s="171">
        <f>+F163+F164</f>
        <v>436451145.305516</v>
      </c>
      <c r="G165" s="36"/>
      <c r="H165" s="170"/>
      <c r="I165" s="170"/>
      <c r="J165" s="171">
        <f t="shared" ref="J165:K165" si="30">+J163+J164</f>
        <v>506094657.2981022</v>
      </c>
      <c r="K165" s="74">
        <f t="shared" si="30"/>
        <v>942545802.60361826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thickTop="1" x14ac:dyDescent="0.3">
      <c r="A166" s="59"/>
      <c r="B166" s="75"/>
      <c r="C166" s="30"/>
      <c r="D166" s="30"/>
      <c r="E166" s="30"/>
      <c r="F166" s="76"/>
      <c r="G166" s="30"/>
      <c r="H166" s="30"/>
      <c r="I166" s="30"/>
      <c r="J166" s="76"/>
      <c r="K166" s="7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7" t="s">
        <v>92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7" t="s">
        <v>93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206" t="str">
        <f>D10 &amp; " - Cop"</f>
        <v>2027 Test Year - Cop</v>
      </c>
      <c r="E170" s="20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9" t="s">
        <v>94</v>
      </c>
      <c r="E171" s="77">
        <f>K24</f>
        <v>546615985.03999996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9" t="s">
        <v>95</v>
      </c>
      <c r="E172" s="48">
        <f>K44</f>
        <v>259316471.39399353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9" t="s">
        <v>96</v>
      </c>
      <c r="E173" s="48">
        <f>(K89+K104+K119+K134)</f>
        <v>47878184.584936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9" t="s">
        <v>97</v>
      </c>
      <c r="E174" s="48">
        <f>K59+V59</f>
        <v>97517294.297266975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9" t="s">
        <v>98</v>
      </c>
      <c r="E175" s="48">
        <f>K74+V74</f>
        <v>54635988.111940011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9" t="s">
        <v>99</v>
      </c>
      <c r="E176" s="48">
        <f>K149</f>
        <v>471394.39976181003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9" t="s">
        <v>100</v>
      </c>
      <c r="E177" s="48">
        <f>K161</f>
        <v>1904616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9" t="s">
        <v>101</v>
      </c>
      <c r="E178" s="48">
        <f>+K164</f>
        <v>-65794131.225572616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36" t="s">
        <v>56</v>
      </c>
      <c r="E179" s="78">
        <f>SUM(E171:E178)</f>
        <v>942545802.60232568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24">
        <f>+E179-K165</f>
        <v>-1.2925863265991211E-3</v>
      </c>
      <c r="F180" s="5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7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4">
    <mergeCell ref="K153:K159"/>
    <mergeCell ref="D170:E170"/>
    <mergeCell ref="K138:K148"/>
    <mergeCell ref="B151:B152"/>
    <mergeCell ref="D151:D152"/>
    <mergeCell ref="E151:E152"/>
    <mergeCell ref="F151:F152"/>
    <mergeCell ref="H151:H152"/>
    <mergeCell ref="I151:I152"/>
    <mergeCell ref="J151:J152"/>
    <mergeCell ref="K151:K152"/>
    <mergeCell ref="K123:K133"/>
    <mergeCell ref="B136:B137"/>
    <mergeCell ref="D136:D137"/>
    <mergeCell ref="E136:E137"/>
    <mergeCell ref="F136:F137"/>
    <mergeCell ref="H136:H137"/>
    <mergeCell ref="I136:I137"/>
    <mergeCell ref="J136:J137"/>
    <mergeCell ref="K136:K137"/>
    <mergeCell ref="K108:K118"/>
    <mergeCell ref="B121:B122"/>
    <mergeCell ref="D121:D122"/>
    <mergeCell ref="E121:E122"/>
    <mergeCell ref="F121:F122"/>
    <mergeCell ref="H121:H122"/>
    <mergeCell ref="I121:I122"/>
    <mergeCell ref="J121:J122"/>
    <mergeCell ref="K121:K122"/>
    <mergeCell ref="K93:K103"/>
    <mergeCell ref="B106:B107"/>
    <mergeCell ref="D106:D107"/>
    <mergeCell ref="E106:E107"/>
    <mergeCell ref="F106:F107"/>
    <mergeCell ref="H106:H107"/>
    <mergeCell ref="I106:I107"/>
    <mergeCell ref="J106:J107"/>
    <mergeCell ref="K106:K107"/>
    <mergeCell ref="J76:J77"/>
    <mergeCell ref="K76:K77"/>
    <mergeCell ref="K78:K88"/>
    <mergeCell ref="B91:B92"/>
    <mergeCell ref="D91:D92"/>
    <mergeCell ref="E91:E92"/>
    <mergeCell ref="F91:F92"/>
    <mergeCell ref="H91:H92"/>
    <mergeCell ref="I91:I92"/>
    <mergeCell ref="J91:J92"/>
    <mergeCell ref="B76:B77"/>
    <mergeCell ref="D76:D77"/>
    <mergeCell ref="E76:E77"/>
    <mergeCell ref="F76:F77"/>
    <mergeCell ref="H76:H77"/>
    <mergeCell ref="I76:I77"/>
    <mergeCell ref="K91:K92"/>
    <mergeCell ref="Q61:Q62"/>
    <mergeCell ref="S61:S62"/>
    <mergeCell ref="T61:T62"/>
    <mergeCell ref="U61:U62"/>
    <mergeCell ref="V61:V62"/>
    <mergeCell ref="K63:K73"/>
    <mergeCell ref="V63:V73"/>
    <mergeCell ref="K48:K58"/>
    <mergeCell ref="V48:V58"/>
    <mergeCell ref="B61:B62"/>
    <mergeCell ref="D61:D62"/>
    <mergeCell ref="E61:E62"/>
    <mergeCell ref="F61:F62"/>
    <mergeCell ref="H61:H62"/>
    <mergeCell ref="I61:I62"/>
    <mergeCell ref="J61:J62"/>
    <mergeCell ref="K61:K62"/>
    <mergeCell ref="K46:K47"/>
    <mergeCell ref="Q46:Q47"/>
    <mergeCell ref="S46:S47"/>
    <mergeCell ref="T46:T47"/>
    <mergeCell ref="U46:U47"/>
    <mergeCell ref="V46:V47"/>
    <mergeCell ref="K28:K43"/>
    <mergeCell ref="O45:P45"/>
    <mergeCell ref="S45:T45"/>
    <mergeCell ref="B46:B47"/>
    <mergeCell ref="D46:D47"/>
    <mergeCell ref="E46:E47"/>
    <mergeCell ref="F46:F47"/>
    <mergeCell ref="H46:H47"/>
    <mergeCell ref="I46:I47"/>
    <mergeCell ref="J46:J47"/>
    <mergeCell ref="A1:J1"/>
    <mergeCell ref="E9:F9"/>
    <mergeCell ref="I9:J9"/>
    <mergeCell ref="E10:F10"/>
    <mergeCell ref="I10:J10"/>
    <mergeCell ref="B11:B12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App.2-ZA_2027-Com. Exp. Forecas</vt:lpstr>
      <vt:lpstr>App.2-ZB_2027Cost of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Beingessner, Ted</cp:lastModifiedBy>
  <dcterms:created xsi:type="dcterms:W3CDTF">2025-03-27T20:09:49Z</dcterms:created>
  <dcterms:modified xsi:type="dcterms:W3CDTF">2025-04-15T20:00:09Z</dcterms:modified>
</cp:coreProperties>
</file>