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ynet\.syncclient\1695217496109\shaynethompson@hydroottawa.com\13gQ1x_A9_z2s3q6ENcZkFNt47uh_rBTI\"/>
    </mc:Choice>
  </mc:AlternateContent>
  <xr:revisionPtr revIDLastSave="0" documentId="13_ncr:1_{87D13F0E-54F1-4364-A3C1-7C3E6C4223CF}" xr6:coauthVersionLast="47" xr6:coauthVersionMax="47" xr10:uidLastSave="{00000000-0000-0000-0000-000000000000}"/>
  <bookViews>
    <workbookView xWindow="22932" yWindow="-228" windowWidth="23256" windowHeight="12576" activeTab="1" xr2:uid="{3EF4C014-EAC0-4B7F-BFCA-A74E41DB7802}"/>
  </bookViews>
  <sheets>
    <sheet name="App.2-ZA_2029-Com. Exp. Forecas" sheetId="1" r:id="rId1"/>
    <sheet name="App.2-ZB_2029Cost of Power" sheetId="2" r:id="rId2"/>
  </sheets>
  <externalReferences>
    <externalReference r:id="rId3"/>
  </externalReferences>
  <definedNames>
    <definedName name="_Parse_Out">#REF!</definedName>
    <definedName name="BridgeYear">'[1]LDC Info'!$E$26</definedName>
    <definedName name="Cash">#REF!</definedName>
    <definedName name="contactf">#REF!</definedName>
    <definedName name="EBNUMBER">'[1]LDC Info'!$E$16</definedName>
    <definedName name="Incr2000">#REF!</definedName>
    <definedName name="LIMIT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print_end">#REF!</definedName>
    <definedName name="RebaseYear">'[1]LDC Info'!$E$28</definedName>
    <definedName name="SALBENF">#REF!</definedName>
    <definedName name="salreg">#REF!</definedName>
    <definedName name="SALREGF">#REF!</definedName>
    <definedName name="TEMPA">#REF!</definedName>
    <definedName name="TestYear">'[1]LDC Info'!$E$24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RANBUD">#REF!</definedName>
    <definedName name="TRANEND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WAGBENF">#REF!</definedName>
    <definedName name="wagdob">#REF!</definedName>
    <definedName name="wagdobf">#REF!</definedName>
    <definedName name="wagreg">#REF!</definedName>
    <definedName name="wagreg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1" i="2" l="1"/>
  <c r="J34" i="2"/>
  <c r="J35" i="2"/>
  <c r="J36" i="2"/>
  <c r="J37" i="2"/>
  <c r="F14" i="2"/>
  <c r="F15" i="2"/>
  <c r="F16" i="2"/>
  <c r="F17" i="2"/>
  <c r="F18" i="2"/>
  <c r="F19" i="2"/>
  <c r="F20" i="2"/>
  <c r="F13" i="2"/>
  <c r="J40" i="2"/>
  <c r="J41" i="2"/>
  <c r="J39" i="2"/>
  <c r="J29" i="2"/>
  <c r="J30" i="2"/>
  <c r="J31" i="2"/>
  <c r="J32" i="2"/>
  <c r="J33" i="2"/>
  <c r="J28" i="2"/>
  <c r="H15" i="2"/>
  <c r="H16" i="2"/>
  <c r="J16" i="2" s="1"/>
  <c r="H17" i="2"/>
  <c r="J17" i="2" s="1"/>
  <c r="H18" i="2"/>
  <c r="H19" i="2"/>
  <c r="H20" i="2"/>
  <c r="H21" i="2"/>
  <c r="J21" i="2" s="1"/>
  <c r="H14" i="2"/>
  <c r="D14" i="2"/>
  <c r="D15" i="2"/>
  <c r="D16" i="2"/>
  <c r="D17" i="2"/>
  <c r="D18" i="2"/>
  <c r="D19" i="2"/>
  <c r="D20" i="2"/>
  <c r="D13" i="2"/>
  <c r="H13" i="2"/>
  <c r="J14" i="2"/>
  <c r="J15" i="2"/>
  <c r="J18" i="2"/>
  <c r="J19" i="2"/>
  <c r="J20" i="2"/>
  <c r="J13" i="2"/>
  <c r="D170" i="2"/>
  <c r="J160" i="2"/>
  <c r="F160" i="2"/>
  <c r="J159" i="2"/>
  <c r="F159" i="2"/>
  <c r="J158" i="2"/>
  <c r="F158" i="2"/>
  <c r="J157" i="2"/>
  <c r="F157" i="2"/>
  <c r="J156" i="2"/>
  <c r="F156" i="2"/>
  <c r="J155" i="2"/>
  <c r="F155" i="2"/>
  <c r="I154" i="2"/>
  <c r="J154" i="2" s="1"/>
  <c r="F154" i="2"/>
  <c r="I153" i="2"/>
  <c r="J153" i="2" s="1"/>
  <c r="F153" i="2"/>
  <c r="J148" i="2"/>
  <c r="F148" i="2"/>
  <c r="J147" i="2"/>
  <c r="F147" i="2"/>
  <c r="J146" i="2"/>
  <c r="F146" i="2"/>
  <c r="J145" i="2"/>
  <c r="F145" i="2"/>
  <c r="J144" i="2"/>
  <c r="F144" i="2"/>
  <c r="J143" i="2"/>
  <c r="F143" i="2"/>
  <c r="J142" i="2"/>
  <c r="F142" i="2"/>
  <c r="J141" i="2"/>
  <c r="F141" i="2"/>
  <c r="J140" i="2"/>
  <c r="F140" i="2"/>
  <c r="J139" i="2"/>
  <c r="F139" i="2"/>
  <c r="J138" i="2"/>
  <c r="F138" i="2"/>
  <c r="J133" i="2"/>
  <c r="F133" i="2"/>
  <c r="J132" i="2"/>
  <c r="F132" i="2"/>
  <c r="I131" i="2"/>
  <c r="J131" i="2" s="1"/>
  <c r="F131" i="2"/>
  <c r="J130" i="2"/>
  <c r="I130" i="2"/>
  <c r="F130" i="2"/>
  <c r="I129" i="2"/>
  <c r="J129" i="2" s="1"/>
  <c r="F129" i="2"/>
  <c r="I128" i="2"/>
  <c r="J128" i="2" s="1"/>
  <c r="F128" i="2"/>
  <c r="I127" i="2"/>
  <c r="J127" i="2" s="1"/>
  <c r="F127" i="2"/>
  <c r="I126" i="2"/>
  <c r="J126" i="2" s="1"/>
  <c r="F126" i="2"/>
  <c r="J125" i="2"/>
  <c r="I125" i="2"/>
  <c r="F125" i="2"/>
  <c r="I124" i="2"/>
  <c r="J124" i="2" s="1"/>
  <c r="F124" i="2"/>
  <c r="I123" i="2"/>
  <c r="J123" i="2" s="1"/>
  <c r="F123" i="2"/>
  <c r="J118" i="2"/>
  <c r="F118" i="2"/>
  <c r="J117" i="2"/>
  <c r="F117" i="2"/>
  <c r="I116" i="2"/>
  <c r="J116" i="2" s="1"/>
  <c r="F116" i="2"/>
  <c r="I115" i="2"/>
  <c r="J115" i="2" s="1"/>
  <c r="F115" i="2"/>
  <c r="I114" i="2"/>
  <c r="J114" i="2" s="1"/>
  <c r="F114" i="2"/>
  <c r="I113" i="2"/>
  <c r="J113" i="2" s="1"/>
  <c r="F113" i="2"/>
  <c r="I112" i="2"/>
  <c r="J112" i="2" s="1"/>
  <c r="F112" i="2"/>
  <c r="I111" i="2"/>
  <c r="J111" i="2" s="1"/>
  <c r="F111" i="2"/>
  <c r="I110" i="2"/>
  <c r="J110" i="2" s="1"/>
  <c r="F110" i="2"/>
  <c r="I109" i="2"/>
  <c r="J109" i="2" s="1"/>
  <c r="F109" i="2"/>
  <c r="I108" i="2"/>
  <c r="J108" i="2" s="1"/>
  <c r="F108" i="2"/>
  <c r="J103" i="2"/>
  <c r="F103" i="2"/>
  <c r="J102" i="2"/>
  <c r="F102" i="2"/>
  <c r="J101" i="2"/>
  <c r="F101" i="2"/>
  <c r="J100" i="2"/>
  <c r="F100" i="2"/>
  <c r="J99" i="2"/>
  <c r="F99" i="2"/>
  <c r="J98" i="2"/>
  <c r="F98" i="2"/>
  <c r="J97" i="2"/>
  <c r="J104" i="2" s="1"/>
  <c r="F97" i="2"/>
  <c r="J96" i="2"/>
  <c r="F96" i="2"/>
  <c r="J95" i="2"/>
  <c r="F95" i="2"/>
  <c r="J94" i="2"/>
  <c r="F94" i="2"/>
  <c r="J93" i="2"/>
  <c r="F93" i="2"/>
  <c r="J88" i="2"/>
  <c r="F88" i="2"/>
  <c r="J87" i="2"/>
  <c r="F87" i="2"/>
  <c r="I86" i="2"/>
  <c r="J86" i="2" s="1"/>
  <c r="F86" i="2"/>
  <c r="I85" i="2"/>
  <c r="J85" i="2" s="1"/>
  <c r="F85" i="2"/>
  <c r="I84" i="2"/>
  <c r="J84" i="2" s="1"/>
  <c r="F84" i="2"/>
  <c r="I83" i="2"/>
  <c r="J83" i="2" s="1"/>
  <c r="F83" i="2"/>
  <c r="I82" i="2"/>
  <c r="J82" i="2" s="1"/>
  <c r="F82" i="2"/>
  <c r="I81" i="2"/>
  <c r="J81" i="2" s="1"/>
  <c r="F81" i="2"/>
  <c r="I80" i="2"/>
  <c r="J80" i="2" s="1"/>
  <c r="F80" i="2"/>
  <c r="I79" i="2"/>
  <c r="J79" i="2" s="1"/>
  <c r="F79" i="2"/>
  <c r="I78" i="2"/>
  <c r="J78" i="2" s="1"/>
  <c r="F78" i="2"/>
  <c r="U73" i="2"/>
  <c r="Q73" i="2"/>
  <c r="J73" i="2"/>
  <c r="F73" i="2"/>
  <c r="A73" i="2"/>
  <c r="A88" i="2" s="1"/>
  <c r="A103" i="2" s="1"/>
  <c r="A118" i="2" s="1"/>
  <c r="A133" i="2" s="1"/>
  <c r="A148" i="2" s="1"/>
  <c r="U72" i="2"/>
  <c r="Q72" i="2"/>
  <c r="J72" i="2"/>
  <c r="F72" i="2"/>
  <c r="U71" i="2"/>
  <c r="Q71" i="2"/>
  <c r="J71" i="2"/>
  <c r="F71" i="2"/>
  <c r="U70" i="2"/>
  <c r="Q70" i="2"/>
  <c r="J70" i="2"/>
  <c r="F70" i="2"/>
  <c r="U69" i="2"/>
  <c r="Q69" i="2"/>
  <c r="J69" i="2"/>
  <c r="F69" i="2"/>
  <c r="U68" i="2"/>
  <c r="Q68" i="2"/>
  <c r="J68" i="2"/>
  <c r="F68" i="2"/>
  <c r="U67" i="2"/>
  <c r="Q67" i="2"/>
  <c r="J67" i="2"/>
  <c r="F67" i="2"/>
  <c r="A67" i="2"/>
  <c r="A82" i="2" s="1"/>
  <c r="A97" i="2" s="1"/>
  <c r="A112" i="2" s="1"/>
  <c r="A127" i="2" s="1"/>
  <c r="A142" i="2" s="1"/>
  <c r="U66" i="2"/>
  <c r="Q66" i="2"/>
  <c r="J66" i="2"/>
  <c r="F66" i="2"/>
  <c r="F74" i="2" s="1"/>
  <c r="U65" i="2"/>
  <c r="Q65" i="2"/>
  <c r="J65" i="2"/>
  <c r="F65" i="2"/>
  <c r="U64" i="2"/>
  <c r="Q64" i="2"/>
  <c r="J64" i="2"/>
  <c r="F64" i="2"/>
  <c r="U63" i="2"/>
  <c r="U74" i="2" s="1"/>
  <c r="Q63" i="2"/>
  <c r="Q74" i="2" s="1"/>
  <c r="V74" i="2" s="1"/>
  <c r="J63" i="2"/>
  <c r="J74" i="2" s="1"/>
  <c r="F63" i="2"/>
  <c r="U58" i="2"/>
  <c r="Q58" i="2"/>
  <c r="J58" i="2"/>
  <c r="F58" i="2"/>
  <c r="A58" i="2"/>
  <c r="U57" i="2"/>
  <c r="Q57" i="2"/>
  <c r="J57" i="2"/>
  <c r="F57" i="2"/>
  <c r="A57" i="2"/>
  <c r="A72" i="2" s="1"/>
  <c r="A87" i="2" s="1"/>
  <c r="A102" i="2" s="1"/>
  <c r="A117" i="2" s="1"/>
  <c r="A132" i="2" s="1"/>
  <c r="A147" i="2" s="1"/>
  <c r="U56" i="2"/>
  <c r="Q56" i="2"/>
  <c r="J56" i="2"/>
  <c r="F56" i="2"/>
  <c r="A56" i="2"/>
  <c r="A71" i="2" s="1"/>
  <c r="A86" i="2" s="1"/>
  <c r="A101" i="2" s="1"/>
  <c r="A116" i="2" s="1"/>
  <c r="A131" i="2" s="1"/>
  <c r="A146" i="2" s="1"/>
  <c r="U55" i="2"/>
  <c r="Q55" i="2"/>
  <c r="J55" i="2"/>
  <c r="F55" i="2"/>
  <c r="A55" i="2"/>
  <c r="A70" i="2" s="1"/>
  <c r="A85" i="2" s="1"/>
  <c r="A100" i="2" s="1"/>
  <c r="A115" i="2" s="1"/>
  <c r="A130" i="2" s="1"/>
  <c r="A145" i="2" s="1"/>
  <c r="U54" i="2"/>
  <c r="Q54" i="2"/>
  <c r="Q59" i="2" s="1"/>
  <c r="V59" i="2" s="1"/>
  <c r="J54" i="2"/>
  <c r="F54" i="2"/>
  <c r="A54" i="2"/>
  <c r="A69" i="2" s="1"/>
  <c r="A84" i="2" s="1"/>
  <c r="A99" i="2" s="1"/>
  <c r="A114" i="2" s="1"/>
  <c r="A129" i="2" s="1"/>
  <c r="A144" i="2" s="1"/>
  <c r="U53" i="2"/>
  <c r="Q53" i="2"/>
  <c r="J53" i="2"/>
  <c r="F53" i="2"/>
  <c r="A53" i="2"/>
  <c r="A68" i="2" s="1"/>
  <c r="A83" i="2" s="1"/>
  <c r="A98" i="2" s="1"/>
  <c r="A113" i="2" s="1"/>
  <c r="A128" i="2" s="1"/>
  <c r="A143" i="2" s="1"/>
  <c r="U52" i="2"/>
  <c r="Q52" i="2"/>
  <c r="J52" i="2"/>
  <c r="F52" i="2"/>
  <c r="A52" i="2"/>
  <c r="U51" i="2"/>
  <c r="Q51" i="2"/>
  <c r="J51" i="2"/>
  <c r="J59" i="2" s="1"/>
  <c r="F51" i="2"/>
  <c r="A51" i="2"/>
  <c r="A66" i="2" s="1"/>
  <c r="A81" i="2" s="1"/>
  <c r="A96" i="2" s="1"/>
  <c r="A111" i="2" s="1"/>
  <c r="A126" i="2" s="1"/>
  <c r="A141" i="2" s="1"/>
  <c r="U50" i="2"/>
  <c r="Q50" i="2"/>
  <c r="J50" i="2"/>
  <c r="F50" i="2"/>
  <c r="A50" i="2"/>
  <c r="A65" i="2" s="1"/>
  <c r="A80" i="2" s="1"/>
  <c r="A95" i="2" s="1"/>
  <c r="A110" i="2" s="1"/>
  <c r="A125" i="2" s="1"/>
  <c r="A140" i="2" s="1"/>
  <c r="U49" i="2"/>
  <c r="Q49" i="2"/>
  <c r="J49" i="2"/>
  <c r="F49" i="2"/>
  <c r="A49" i="2"/>
  <c r="A64" i="2" s="1"/>
  <c r="A79" i="2" s="1"/>
  <c r="A94" i="2" s="1"/>
  <c r="A109" i="2" s="1"/>
  <c r="A124" i="2" s="1"/>
  <c r="A139" i="2" s="1"/>
  <c r="U48" i="2"/>
  <c r="U59" i="2" s="1"/>
  <c r="Q48" i="2"/>
  <c r="J48" i="2"/>
  <c r="F48" i="2"/>
  <c r="A48" i="2"/>
  <c r="A63" i="2" s="1"/>
  <c r="A78" i="2" s="1"/>
  <c r="A93" i="2" s="1"/>
  <c r="A108" i="2" s="1"/>
  <c r="A123" i="2" s="1"/>
  <c r="A138" i="2" s="1"/>
  <c r="F44" i="2"/>
  <c r="F43" i="2"/>
  <c r="F42" i="2"/>
  <c r="F41" i="2"/>
  <c r="F40" i="2"/>
  <c r="F39" i="2"/>
  <c r="F38" i="2"/>
  <c r="F37" i="2"/>
  <c r="A37" i="2"/>
  <c r="F36" i="2"/>
  <c r="A36" i="2"/>
  <c r="F35" i="2"/>
  <c r="A35" i="2"/>
  <c r="F34" i="2"/>
  <c r="A34" i="2"/>
  <c r="F33" i="2"/>
  <c r="A33" i="2"/>
  <c r="F32" i="2"/>
  <c r="A32" i="2"/>
  <c r="F31" i="2"/>
  <c r="A31" i="2"/>
  <c r="F30" i="2"/>
  <c r="A30" i="2"/>
  <c r="F29" i="2"/>
  <c r="A29" i="2"/>
  <c r="F28" i="2"/>
  <c r="A28" i="2"/>
  <c r="J22" i="2"/>
  <c r="K65" i="1"/>
  <c r="L65" i="1" s="1"/>
  <c r="H65" i="1"/>
  <c r="B65" i="1"/>
  <c r="K64" i="1"/>
  <c r="L64" i="1" s="1"/>
  <c r="H64" i="1"/>
  <c r="B64" i="1"/>
  <c r="K63" i="1"/>
  <c r="L63" i="1" s="1"/>
  <c r="H63" i="1"/>
  <c r="B63" i="1"/>
  <c r="K62" i="1"/>
  <c r="L62" i="1" s="1"/>
  <c r="H62" i="1"/>
  <c r="B62" i="1"/>
  <c r="K61" i="1"/>
  <c r="L61" i="1" s="1"/>
  <c r="H61" i="1"/>
  <c r="B61" i="1"/>
  <c r="K60" i="1"/>
  <c r="L60" i="1" s="1"/>
  <c r="H60" i="1"/>
  <c r="B60" i="1"/>
  <c r="K59" i="1"/>
  <c r="L59" i="1" s="1"/>
  <c r="H59" i="1"/>
  <c r="B59" i="1"/>
  <c r="K58" i="1"/>
  <c r="L58" i="1" s="1"/>
  <c r="H58" i="1"/>
  <c r="B58" i="1"/>
  <c r="K57" i="1"/>
  <c r="L57" i="1" s="1"/>
  <c r="H57" i="1"/>
  <c r="B57" i="1"/>
  <c r="K56" i="1"/>
  <c r="L56" i="1" s="1"/>
  <c r="H56" i="1"/>
  <c r="B56" i="1"/>
  <c r="K55" i="1"/>
  <c r="L55" i="1" s="1"/>
  <c r="H55" i="1"/>
  <c r="H66" i="1" s="1"/>
  <c r="B55" i="1"/>
  <c r="G52" i="1"/>
  <c r="F50" i="1"/>
  <c r="L49" i="1"/>
  <c r="L48" i="1"/>
  <c r="G47" i="1"/>
  <c r="L47" i="1" s="1"/>
  <c r="G46" i="1"/>
  <c r="L46" i="1" s="1"/>
  <c r="L50" i="1" s="1"/>
  <c r="L45" i="1"/>
  <c r="G45" i="1"/>
  <c r="G50" i="1" s="1"/>
  <c r="B40" i="1"/>
  <c r="J39" i="1"/>
  <c r="J38" i="1"/>
  <c r="J37" i="1"/>
  <c r="J36" i="1"/>
  <c r="J35" i="1"/>
  <c r="J34" i="1"/>
  <c r="J33" i="1"/>
  <c r="J32" i="1"/>
  <c r="J31" i="1"/>
  <c r="J30" i="1"/>
  <c r="J29" i="1"/>
  <c r="G26" i="1"/>
  <c r="H20" i="1"/>
  <c r="K39" i="1" s="1"/>
  <c r="J161" i="2" l="1"/>
  <c r="K161" i="2" s="1"/>
  <c r="E177" i="2" s="1"/>
  <c r="F149" i="2"/>
  <c r="J149" i="2"/>
  <c r="F134" i="2"/>
  <c r="J134" i="2"/>
  <c r="K134" i="2" s="1"/>
  <c r="F119" i="2"/>
  <c r="F104" i="2"/>
  <c r="K104" i="2" s="1"/>
  <c r="F89" i="2"/>
  <c r="K89" i="2" s="1"/>
  <c r="K74" i="2"/>
  <c r="F59" i="2"/>
  <c r="K59" i="2"/>
  <c r="E174" i="2" s="1"/>
  <c r="J44" i="2"/>
  <c r="K44" i="2" s="1"/>
  <c r="E172" i="2" s="1"/>
  <c r="F24" i="2"/>
  <c r="J24" i="2"/>
  <c r="E175" i="2"/>
  <c r="J89" i="2"/>
  <c r="J119" i="2"/>
  <c r="K119" i="2"/>
  <c r="L39" i="1"/>
  <c r="L67" i="1"/>
  <c r="L32" i="1"/>
  <c r="K32" i="1"/>
  <c r="K36" i="1"/>
  <c r="L36" i="1" s="1"/>
  <c r="K29" i="1"/>
  <c r="L29" i="1" s="1"/>
  <c r="L40" i="1" s="1"/>
  <c r="K33" i="1"/>
  <c r="L33" i="1" s="1"/>
  <c r="K37" i="1"/>
  <c r="L37" i="1" s="1"/>
  <c r="K30" i="1"/>
  <c r="L30" i="1" s="1"/>
  <c r="K34" i="1"/>
  <c r="L34" i="1" s="1"/>
  <c r="K38" i="1"/>
  <c r="L38" i="1" s="1"/>
  <c r="K31" i="1"/>
  <c r="L31" i="1" s="1"/>
  <c r="K35" i="1"/>
  <c r="L35" i="1" s="1"/>
  <c r="K149" i="2" l="1"/>
  <c r="E176" i="2" s="1"/>
  <c r="F163" i="2"/>
  <c r="F164" i="2" s="1"/>
  <c r="K164" i="2" s="1"/>
  <c r="E178" i="2" s="1"/>
  <c r="J163" i="2"/>
  <c r="J165" i="2" s="1"/>
  <c r="E173" i="2"/>
  <c r="K24" i="2"/>
  <c r="L24" i="2" s="1"/>
  <c r="K163" i="2" l="1"/>
  <c r="K165" i="2" s="1"/>
  <c r="F165" i="2"/>
  <c r="E171" i="2"/>
  <c r="E179" i="2" s="1"/>
  <c r="E180" i="2" l="1"/>
</calcChain>
</file>

<file path=xl/sharedStrings.xml><?xml version="1.0" encoding="utf-8"?>
<sst xmlns="http://schemas.openxmlformats.org/spreadsheetml/2006/main" count="353" uniqueCount="107">
  <si>
    <t>File Number:</t>
  </si>
  <si>
    <t>EB-2024-0115</t>
  </si>
  <si>
    <t>Exhibit:</t>
  </si>
  <si>
    <t xml:space="preserve">Commodity Expense </t>
  </si>
  <si>
    <t>Tab:</t>
  </si>
  <si>
    <t>Schedule:</t>
  </si>
  <si>
    <t>Attachment:</t>
  </si>
  <si>
    <t>D</t>
  </si>
  <si>
    <t>Date:</t>
  </si>
  <si>
    <t>Step 1:</t>
  </si>
  <si>
    <t>Commodity Pricing</t>
  </si>
  <si>
    <t> </t>
  </si>
  <si>
    <t>Forecasted Commodity Prices</t>
  </si>
  <si>
    <t xml:space="preserve"> Table 1: Average RPP Supply Cost Summary*</t>
  </si>
  <si>
    <t>non-RPP</t>
  </si>
  <si>
    <t>RPP</t>
  </si>
  <si>
    <t>HOEP ($/MWh)</t>
  </si>
  <si>
    <t>Load-Weighted Price for RPP Consumers</t>
  </si>
  <si>
    <t>Global Adjustment ($/MWh)</t>
  </si>
  <si>
    <t>Impact of the Global Adjustment</t>
  </si>
  <si>
    <t>Adjustments ($/MWh)</t>
  </si>
  <si>
    <t>TOTAL ($/MWh)</t>
  </si>
  <si>
    <t>Average Supply Cost for RPP Consumers</t>
  </si>
  <si>
    <t>Step 2:</t>
  </si>
  <si>
    <t>Commodity Expense</t>
  </si>
  <si>
    <t>(volumes for the test year is loss adjusted)</t>
  </si>
  <si>
    <t>Commodity</t>
  </si>
  <si>
    <t>Customer</t>
  </si>
  <si>
    <t>Revenue</t>
  </si>
  <si>
    <t>Expense</t>
  </si>
  <si>
    <t>Class Name</t>
  </si>
  <si>
    <t>UoM</t>
  </si>
  <si>
    <t>USoA #</t>
  </si>
  <si>
    <t>Class A Non-RPP Volume**</t>
  </si>
  <si>
    <t>Class B Non-RPP Volume**</t>
  </si>
  <si>
    <t>Class B RPP Volume**</t>
  </si>
  <si>
    <t>Average HOEP</t>
  </si>
  <si>
    <t>Average RPP Rate</t>
  </si>
  <si>
    <t>Amount</t>
  </si>
  <si>
    <t>RESIDENTIAL</t>
  </si>
  <si>
    <t>kWh</t>
  </si>
  <si>
    <t>GENERAL SERVICE &lt;50KW</t>
  </si>
  <si>
    <t>GENERAL SERVICE 1000-1500KW</t>
  </si>
  <si>
    <t>GENERAL SERVICE 1500-5000 KW</t>
  </si>
  <si>
    <t>LARGE USER</t>
  </si>
  <si>
    <t>STREETLIGHTING</t>
  </si>
  <si>
    <t>SENTINEL LIGHTS</t>
  </si>
  <si>
    <t>UNMETERED SCATTERED LOADS</t>
  </si>
  <si>
    <t>DRYCORE</t>
  </si>
  <si>
    <t>Class A - non-RPP Global Adjustment</t>
  </si>
  <si>
    <t>kWh Volume</t>
  </si>
  <si>
    <t>Hist. Avg GA/kWh ***</t>
  </si>
  <si>
    <t>Class B - non-RPP Global Adjustment</t>
  </si>
  <si>
    <t>Class B Non-RPP Volume</t>
  </si>
  <si>
    <t>GA Rate/kWh</t>
  </si>
  <si>
    <t>Total Volume</t>
  </si>
  <si>
    <t>TOTAL</t>
  </si>
  <si>
    <t>*Regulated Price Plan Prices for the Period November 1, 2023 to October 31, 2024, p. 5</t>
  </si>
  <si>
    <t>** Enter 2024 load forecast data by class based on the most recent 12-month historic Class A and Class B RPP/Non-RPP proportions</t>
  </si>
  <si>
    <t>*** Based on average $ GA per kWh billed to class A customers for most recent 12-month historical year.</t>
  </si>
  <si>
    <t>Cost of Power Calculation</t>
  </si>
  <si>
    <t>All Volume should be loss adjusted with the exception of:</t>
  </si>
  <si>
    <t>1. Volume for Electricity Commodity, Wholesale Market Services, Class A and B should loss adjusted less WMP</t>
  </si>
  <si>
    <t>2. Low Voltage Charges - No loss adjustment for kWh</t>
  </si>
  <si>
    <t>2029 Test Year</t>
  </si>
  <si>
    <t>Total</t>
  </si>
  <si>
    <t>Electricity Commodity</t>
  </si>
  <si>
    <t>Units</t>
  </si>
  <si>
    <t>Volume</t>
  </si>
  <si>
    <t>Rate</t>
  </si>
  <si>
    <t xml:space="preserve">$ </t>
  </si>
  <si>
    <t>$</t>
  </si>
  <si>
    <t>Class per Load Forecast</t>
  </si>
  <si>
    <t>SUB-TOTAL</t>
  </si>
  <si>
    <t>Global Adjustment non-RPP</t>
  </si>
  <si>
    <t xml:space="preserve">Class per Load Forecast </t>
  </si>
  <si>
    <t>GENERAL SERVICE 1000-1500KW - Class A</t>
  </si>
  <si>
    <t>GENERAL SERVICE 1500-5000 KW - Class A</t>
  </si>
  <si>
    <t>LARGE USER - Class A</t>
  </si>
  <si>
    <t>Transmission - Network</t>
  </si>
  <si>
    <t xml:space="preserve"> Volume</t>
  </si>
  <si>
    <t>Transmission - Network - Hydro One</t>
  </si>
  <si>
    <t>kW</t>
  </si>
  <si>
    <t>Transmission - Connection</t>
  </si>
  <si>
    <t>Transmission - Connection - Hydro One</t>
  </si>
  <si>
    <t>Wholesale Market Service</t>
  </si>
  <si>
    <t xml:space="preserve">Class A CBR </t>
  </si>
  <si>
    <t xml:space="preserve">Class B CBR </t>
  </si>
  <si>
    <t>RRRP</t>
  </si>
  <si>
    <t>Low Voltage - No TLF adjustment</t>
  </si>
  <si>
    <t>Smart Meter Entity Charge</t>
  </si>
  <si>
    <t>Residential</t>
  </si>
  <si>
    <t># of Customers</t>
  </si>
  <si>
    <t>GS &lt; 50</t>
  </si>
  <si>
    <t>SUB- TOTAL</t>
  </si>
  <si>
    <t>OER CREDIT</t>
  </si>
  <si>
    <t xml:space="preserve">3.The OER Credit will only apply to RPP proportion of the listed components. Impacts on distribution charges are excluded for the purpose of calculating the cost of power. </t>
  </si>
  <si>
    <t>4. Class A CBR: use the average CBR per kWh, similar to how the Class A GA cost is calculated</t>
  </si>
  <si>
    <t>4705 -Power Purchased</t>
  </si>
  <si>
    <t>4707- Global Adjustment</t>
  </si>
  <si>
    <t>4708-Charges-WMS</t>
  </si>
  <si>
    <t>4714-Charges-NW</t>
  </si>
  <si>
    <t>4716-Charges-CN</t>
  </si>
  <si>
    <t>4750-Charges-LV</t>
  </si>
  <si>
    <t>4751-IESO SME</t>
  </si>
  <si>
    <t>Misc A/R or A/P</t>
  </si>
  <si>
    <t>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</si>
</sst>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.00_);&quot;($&quot;#,##0.00\)"/>
    <numFmt numFmtId="165" formatCode="_-* #,##0_-;\-* #,##0_-;_-* &quot;-&quot;??_-;_-@"/>
    <numFmt numFmtId="166" formatCode="_(&quot;$&quot;* #,##0.00000_);_(&quot;$&quot;* \(#,##0.00000\);_(&quot;$&quot;* &quot;-&quot;??_);_(@_)"/>
    <numFmt numFmtId="167" formatCode="\$#,##0"/>
    <numFmt numFmtId="168" formatCode="_(* #,##0_);_(* \(#,##0\);_(* &quot;-&quot;??_);_(@_)"/>
    <numFmt numFmtId="169" formatCode="_(* #,##0.0000_);_(* \(#,##0.0000\);_(* &quot;-&quot;??_);_(@_)"/>
    <numFmt numFmtId="170" formatCode="0.0000"/>
    <numFmt numFmtId="171" formatCode="_-* #,##0_-;\-* #,##0_-;_-* \-??_-;_-@"/>
    <numFmt numFmtId="172" formatCode="_(&quot;$&quot;* #,##0_);_(&quot;$&quot;* \(#,##0\);_(&quot;$&quot;* &quot;-&quot;??_);_(@_)"/>
    <numFmt numFmtId="173" formatCode="_(* #,##0.00_);_(* \(#,##0.00\);_(* &quot;-&quot;??.00_);_(@_)"/>
    <numFmt numFmtId="174" formatCode="_-* #,##0.00_-;\-* #,##0.00_-;_-* &quot;-&quot;??_-;_-@"/>
    <numFmt numFmtId="175" formatCode="0.0%"/>
  </numFmts>
  <fonts count="36" x14ac:knownFonts="1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i/>
      <sz val="8"/>
      <color rgb="FFC0C0C0"/>
      <name val="Arial"/>
    </font>
    <font>
      <strike/>
      <sz val="11"/>
      <color rgb="FFFF0000"/>
      <name val="Calibri"/>
    </font>
    <font>
      <b/>
      <sz val="10"/>
      <color theme="1"/>
      <name val="Arial"/>
    </font>
    <font>
      <sz val="8"/>
      <color theme="1"/>
      <name val="Arial"/>
    </font>
    <font>
      <b/>
      <sz val="14"/>
      <color theme="1"/>
      <name val="Arial"/>
    </font>
    <font>
      <sz val="11"/>
      <color theme="1"/>
      <name val="Arial"/>
    </font>
    <font>
      <i/>
      <sz val="10"/>
      <color theme="1"/>
      <name val="Arial"/>
    </font>
    <font>
      <b/>
      <i/>
      <sz val="11"/>
      <color theme="1"/>
      <name val="Arial"/>
    </font>
    <font>
      <b/>
      <u/>
      <sz val="12"/>
      <color theme="1"/>
      <name val="Arial"/>
    </font>
    <font>
      <b/>
      <sz val="11"/>
      <color theme="1"/>
      <name val="Arial"/>
    </font>
    <font>
      <b/>
      <u/>
      <sz val="10"/>
      <color theme="1"/>
      <name val="Arial"/>
    </font>
    <font>
      <sz val="10"/>
      <color theme="1"/>
      <name val="Arial"/>
    </font>
    <font>
      <sz val="10"/>
      <name val="Arial"/>
    </font>
    <font>
      <i/>
      <sz val="10"/>
      <color rgb="FFFF0000"/>
      <name val="Arial"/>
    </font>
    <font>
      <b/>
      <sz val="12"/>
      <color theme="1"/>
      <name val="Arial"/>
    </font>
    <font>
      <b/>
      <sz val="11"/>
      <color theme="1"/>
      <name val="Calibri"/>
    </font>
    <font>
      <b/>
      <sz val="10"/>
      <color rgb="FF7F7F7F"/>
      <name val="Arial"/>
    </font>
    <font>
      <sz val="10"/>
      <color rgb="FF7F7F7F"/>
      <name val="Arial"/>
    </font>
    <font>
      <sz val="11"/>
      <color rgb="FF7F7F7F"/>
      <name val="Calibri"/>
    </font>
    <font>
      <sz val="10"/>
      <color theme="1"/>
      <name val="Mangal"/>
    </font>
    <font>
      <b/>
      <sz val="16"/>
      <color theme="1"/>
      <name val="Calibri"/>
    </font>
    <font>
      <i/>
      <sz val="11"/>
      <color theme="1"/>
      <name val="Calibri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AF1DD"/>
        <bgColor rgb="FFEAF1DD"/>
      </patternFill>
    </fill>
    <fill>
      <patternFill patternType="solid">
        <fgColor rgb="FFA5A5A5"/>
        <bgColor rgb="FFA5A5A5"/>
      </patternFill>
    </fill>
    <fill>
      <patternFill patternType="solid">
        <fgColor rgb="FFE2EFD9"/>
        <bgColor rgb="FFE2EFD9"/>
      </patternFill>
    </fill>
    <fill>
      <patternFill patternType="solid">
        <fgColor rgb="FFB6DDE8"/>
        <bgColor rgb="FFB6DDE8"/>
      </patternFill>
    </fill>
    <fill>
      <patternFill patternType="solid">
        <fgColor rgb="FFDAEEF3"/>
        <bgColor rgb="FFDAEEF3"/>
      </patternFill>
    </fill>
    <fill>
      <patternFill patternType="solid">
        <fgColor theme="0"/>
        <bgColor theme="0"/>
      </patternFill>
    </fill>
    <fill>
      <patternFill patternType="solid">
        <fgColor rgb="FFFCE5CD"/>
        <bgColor rgb="FFFCE5CD"/>
      </patternFill>
    </fill>
    <fill>
      <patternFill patternType="solid">
        <fgColor rgb="FFB8CCE4"/>
        <bgColor rgb="FFB8CCE4"/>
      </patternFill>
    </fill>
  </fills>
  <borders count="2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3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right" vertical="top"/>
    </xf>
    <xf numFmtId="0" fontId="7" fillId="0" borderId="0" xfId="0" applyFont="1" applyAlignment="1">
      <alignment vertical="top"/>
    </xf>
    <xf numFmtId="0" fontId="6" fillId="2" borderId="1" xfId="0" applyFont="1" applyFill="1" applyBorder="1" applyAlignment="1">
      <alignment horizontal="right" vertical="top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right" vertical="top"/>
    </xf>
    <xf numFmtId="0" fontId="8" fillId="0" borderId="2" xfId="0" applyFont="1" applyBorder="1"/>
    <xf numFmtId="0" fontId="9" fillId="0" borderId="2" xfId="0" applyFont="1" applyBorder="1" applyAlignment="1">
      <alignment horizontal="left"/>
    </xf>
    <xf numFmtId="0" fontId="9" fillId="0" borderId="2" xfId="0" applyFont="1" applyBorder="1"/>
    <xf numFmtId="10" fontId="9" fillId="0" borderId="2" xfId="0" applyNumberFormat="1" applyFont="1" applyBorder="1" applyAlignment="1">
      <alignment horizontal="right"/>
    </xf>
    <xf numFmtId="10" fontId="9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/>
    <xf numFmtId="0" fontId="16" fillId="0" borderId="0" xfId="0" applyFont="1"/>
    <xf numFmtId="0" fontId="17" fillId="0" borderId="0" xfId="0" applyFont="1"/>
    <xf numFmtId="0" fontId="2" fillId="0" borderId="18" xfId="0" applyFont="1" applyBorder="1"/>
    <xf numFmtId="1" fontId="5" fillId="5" borderId="11" xfId="0" applyNumberFormat="1" applyFont="1" applyFill="1" applyBorder="1" applyAlignment="1">
      <alignment horizontal="center"/>
    </xf>
    <xf numFmtId="0" fontId="5" fillId="0" borderId="16" xfId="0" applyFont="1" applyBorder="1"/>
    <xf numFmtId="0" fontId="5" fillId="0" borderId="1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2" fillId="0" borderId="16" xfId="0" applyFont="1" applyBorder="1"/>
    <xf numFmtId="0" fontId="2" fillId="0" borderId="1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4" fillId="0" borderId="16" xfId="0" applyFont="1" applyBorder="1" applyAlignment="1">
      <alignment horizontal="center" wrapText="1"/>
    </xf>
    <xf numFmtId="0" fontId="14" fillId="2" borderId="16" xfId="0" applyFont="1" applyFill="1" applyBorder="1" applyAlignment="1">
      <alignment vertical="center"/>
    </xf>
    <xf numFmtId="0" fontId="2" fillId="6" borderId="16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5" fontId="14" fillId="2" borderId="16" xfId="0" applyNumberFormat="1" applyFont="1" applyFill="1" applyBorder="1" applyAlignment="1">
      <alignment vertical="center"/>
    </xf>
    <xf numFmtId="165" fontId="2" fillId="3" borderId="0" xfId="0" applyNumberFormat="1" applyFont="1" applyFill="1"/>
    <xf numFmtId="166" fontId="14" fillId="0" borderId="16" xfId="0" applyNumberFormat="1" applyFont="1" applyBorder="1" applyAlignment="1">
      <alignment horizontal="right"/>
    </xf>
    <xf numFmtId="167" fontId="2" fillId="0" borderId="16" xfId="0" applyNumberFormat="1" applyFont="1" applyBorder="1" applyAlignment="1">
      <alignment horizontal="right"/>
    </xf>
    <xf numFmtId="49" fontId="2" fillId="0" borderId="16" xfId="0" applyNumberFormat="1" applyFont="1" applyBorder="1" applyAlignment="1">
      <alignment horizontal="center"/>
    </xf>
    <xf numFmtId="37" fontId="5" fillId="0" borderId="16" xfId="0" applyNumberFormat="1" applyFont="1" applyBorder="1" applyAlignment="1">
      <alignment horizontal="right"/>
    </xf>
    <xf numFmtId="168" fontId="18" fillId="0" borderId="16" xfId="0" applyNumberFormat="1" applyFont="1" applyBorder="1"/>
    <xf numFmtId="37" fontId="5" fillId="0" borderId="11" xfId="0" applyNumberFormat="1" applyFont="1" applyBorder="1" applyAlignment="1">
      <alignment horizontal="right"/>
    </xf>
    <xf numFmtId="167" fontId="5" fillId="0" borderId="16" xfId="0" applyNumberFormat="1" applyFont="1" applyBorder="1" applyAlignment="1">
      <alignment horizontal="right"/>
    </xf>
    <xf numFmtId="169" fontId="8" fillId="0" borderId="0" xfId="0" applyNumberFormat="1" applyFont="1"/>
    <xf numFmtId="1" fontId="5" fillId="5" borderId="19" xfId="0" applyNumberFormat="1" applyFont="1" applyFill="1" applyBorder="1" applyAlignment="1">
      <alignment horizontal="center"/>
    </xf>
    <xf numFmtId="0" fontId="19" fillId="3" borderId="0" xfId="0" applyFont="1" applyFill="1" applyAlignment="1">
      <alignment horizontal="center"/>
    </xf>
    <xf numFmtId="0" fontId="5" fillId="0" borderId="18" xfId="0" applyFont="1" applyBorder="1" applyAlignment="1">
      <alignment horizontal="center"/>
    </xf>
    <xf numFmtId="0" fontId="2" fillId="3" borderId="0" xfId="0" applyFont="1" applyFill="1"/>
    <xf numFmtId="0" fontId="5" fillId="3" borderId="0" xfId="0" applyFont="1" applyFill="1" applyAlignment="1">
      <alignment horizontal="center"/>
    </xf>
    <xf numFmtId="0" fontId="5" fillId="0" borderId="18" xfId="0" applyFont="1" applyBorder="1" applyAlignment="1">
      <alignment horizontal="center" wrapText="1"/>
    </xf>
    <xf numFmtId="0" fontId="5" fillId="0" borderId="13" xfId="0" applyFont="1" applyBorder="1" applyAlignment="1">
      <alignment horizontal="center"/>
    </xf>
    <xf numFmtId="0" fontId="14" fillId="4" borderId="16" xfId="0" applyFont="1" applyFill="1" applyBorder="1"/>
    <xf numFmtId="0" fontId="20" fillId="3" borderId="0" xfId="0" applyFont="1" applyFill="1" applyAlignment="1">
      <alignment vertical="center"/>
    </xf>
    <xf numFmtId="165" fontId="14" fillId="2" borderId="11" xfId="0" applyNumberFormat="1" applyFont="1" applyFill="1" applyBorder="1" applyAlignment="1">
      <alignment vertical="center"/>
    </xf>
    <xf numFmtId="168" fontId="14" fillId="3" borderId="0" xfId="0" applyNumberFormat="1" applyFont="1" applyFill="1" applyAlignment="1">
      <alignment horizontal="center"/>
    </xf>
    <xf numFmtId="170" fontId="14" fillId="2" borderId="16" xfId="0" applyNumberFormat="1" applyFont="1" applyFill="1" applyBorder="1" applyAlignment="1">
      <alignment vertical="center"/>
    </xf>
    <xf numFmtId="43" fontId="14" fillId="3" borderId="0" xfId="0" applyNumberFormat="1" applyFont="1" applyFill="1" applyAlignment="1">
      <alignment horizontal="center"/>
    </xf>
    <xf numFmtId="168" fontId="21" fillId="3" borderId="0" xfId="0" applyNumberFormat="1" applyFont="1" applyFill="1" applyAlignment="1">
      <alignment horizontal="center"/>
    </xf>
    <xf numFmtId="171" fontId="2" fillId="6" borderId="11" xfId="0" applyNumberFormat="1" applyFont="1" applyFill="1" applyBorder="1" applyAlignment="1">
      <alignment horizontal="center"/>
    </xf>
    <xf numFmtId="171" fontId="2" fillId="3" borderId="0" xfId="0" applyNumberFormat="1" applyFont="1" applyFill="1" applyAlignment="1">
      <alignment horizontal="center"/>
    </xf>
    <xf numFmtId="0" fontId="2" fillId="6" borderId="11" xfId="0" applyFont="1" applyFill="1" applyBorder="1" applyAlignment="1">
      <alignment horizontal="center"/>
    </xf>
    <xf numFmtId="167" fontId="18" fillId="0" borderId="16" xfId="0" applyNumberFormat="1" applyFont="1" applyBorder="1" applyAlignment="1">
      <alignment horizontal="right"/>
    </xf>
    <xf numFmtId="0" fontId="5" fillId="0" borderId="0" xfId="0" applyFont="1"/>
    <xf numFmtId="0" fontId="14" fillId="0" borderId="16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6" xfId="0" applyFont="1" applyBorder="1" applyAlignment="1">
      <alignment vertical="center"/>
    </xf>
    <xf numFmtId="37" fontId="2" fillId="3" borderId="0" xfId="0" applyNumberFormat="1" applyFont="1" applyFill="1" applyAlignment="1">
      <alignment horizontal="right"/>
    </xf>
    <xf numFmtId="37" fontId="2" fillId="7" borderId="10" xfId="0" applyNumberFormat="1" applyFont="1" applyFill="1" applyBorder="1" applyAlignment="1">
      <alignment horizontal="right"/>
    </xf>
    <xf numFmtId="166" fontId="14" fillId="7" borderId="11" xfId="0" applyNumberFormat="1" applyFont="1" applyFill="1" applyBorder="1" applyAlignment="1">
      <alignment horizontal="right"/>
    </xf>
    <xf numFmtId="37" fontId="2" fillId="0" borderId="16" xfId="0" applyNumberFormat="1" applyFont="1" applyBorder="1" applyAlignment="1">
      <alignment horizontal="right"/>
    </xf>
    <xf numFmtId="37" fontId="18" fillId="7" borderId="16" xfId="0" applyNumberFormat="1" applyFont="1" applyFill="1" applyBorder="1" applyAlignment="1">
      <alignment horizontal="right"/>
    </xf>
    <xf numFmtId="37" fontId="2" fillId="7" borderId="11" xfId="0" applyNumberFormat="1" applyFont="1" applyFill="1" applyBorder="1" applyAlignment="1">
      <alignment horizontal="right"/>
    </xf>
    <xf numFmtId="37" fontId="5" fillId="0" borderId="13" xfId="0" applyNumberFormat="1" applyFont="1" applyBorder="1" applyAlignment="1">
      <alignment horizontal="right"/>
    </xf>
    <xf numFmtId="49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37" fontId="5" fillId="0" borderId="0" xfId="0" applyNumberFormat="1" applyFont="1" applyAlignment="1">
      <alignment horizontal="right"/>
    </xf>
    <xf numFmtId="167" fontId="2" fillId="0" borderId="0" xfId="0" applyNumberFormat="1" applyFont="1"/>
    <xf numFmtId="171" fontId="22" fillId="0" borderId="0" xfId="0" applyNumberFormat="1" applyFont="1"/>
    <xf numFmtId="43" fontId="2" fillId="0" borderId="0" xfId="0" applyNumberFormat="1" applyFont="1"/>
    <xf numFmtId="0" fontId="18" fillId="0" borderId="0" xfId="0" applyFont="1" applyAlignment="1">
      <alignment horizontal="center"/>
    </xf>
    <xf numFmtId="0" fontId="18" fillId="0" borderId="16" xfId="0" applyFont="1" applyBorder="1"/>
    <xf numFmtId="0" fontId="2" fillId="0" borderId="12" xfId="0" applyFont="1" applyBorder="1"/>
    <xf numFmtId="0" fontId="2" fillId="0" borderId="20" xfId="0" applyFont="1" applyBorder="1"/>
    <xf numFmtId="0" fontId="2" fillId="0" borderId="13" xfId="0" applyFont="1" applyBorder="1"/>
    <xf numFmtId="168" fontId="2" fillId="0" borderId="16" xfId="0" applyNumberFormat="1" applyFont="1" applyBorder="1"/>
    <xf numFmtId="0" fontId="2" fillId="0" borderId="11" xfId="0" applyFont="1" applyBorder="1"/>
    <xf numFmtId="172" fontId="2" fillId="0" borderId="0" xfId="0" applyNumberFormat="1" applyFont="1"/>
    <xf numFmtId="0" fontId="24" fillId="8" borderId="16" xfId="0" applyFont="1" applyFill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4" borderId="16" xfId="0" applyFont="1" applyFill="1" applyBorder="1"/>
    <xf numFmtId="168" fontId="2" fillId="4" borderId="16" xfId="0" applyNumberFormat="1" applyFont="1" applyFill="1" applyBorder="1" applyAlignment="1">
      <alignment horizontal="right"/>
    </xf>
    <xf numFmtId="169" fontId="2" fillId="4" borderId="16" xfId="0" applyNumberFormat="1" applyFont="1" applyFill="1" applyBorder="1" applyAlignment="1">
      <alignment horizontal="right"/>
    </xf>
    <xf numFmtId="168" fontId="2" fillId="0" borderId="16" xfId="0" applyNumberFormat="1" applyFont="1" applyBorder="1" applyAlignment="1">
      <alignment horizontal="right"/>
    </xf>
    <xf numFmtId="173" fontId="2" fillId="4" borderId="16" xfId="0" applyNumberFormat="1" applyFont="1" applyFill="1" applyBorder="1" applyAlignment="1">
      <alignment horizontal="right"/>
    </xf>
    <xf numFmtId="168" fontId="2" fillId="4" borderId="16" xfId="0" applyNumberFormat="1" applyFont="1" applyFill="1" applyBorder="1"/>
    <xf numFmtId="173" fontId="2" fillId="4" borderId="16" xfId="0" applyNumberFormat="1" applyFont="1" applyFill="1" applyBorder="1"/>
    <xf numFmtId="169" fontId="2" fillId="0" borderId="16" xfId="0" applyNumberFormat="1" applyFont="1" applyBorder="1"/>
    <xf numFmtId="0" fontId="2" fillId="0" borderId="9" xfId="0" applyFont="1" applyBorder="1"/>
    <xf numFmtId="168" fontId="2" fillId="0" borderId="9" xfId="0" applyNumberFormat="1" applyFont="1" applyBorder="1" applyAlignment="1">
      <alignment horizontal="right"/>
    </xf>
    <xf numFmtId="173" fontId="2" fillId="0" borderId="11" xfId="0" applyNumberFormat="1" applyFont="1" applyBorder="1"/>
    <xf numFmtId="173" fontId="2" fillId="0" borderId="0" xfId="0" applyNumberFormat="1" applyFont="1"/>
    <xf numFmtId="0" fontId="2" fillId="0" borderId="23" xfId="0" applyFont="1" applyBorder="1"/>
    <xf numFmtId="0" fontId="2" fillId="0" borderId="24" xfId="0" applyFont="1" applyBorder="1"/>
    <xf numFmtId="169" fontId="2" fillId="4" borderId="16" xfId="0" applyNumberFormat="1" applyFont="1" applyFill="1" applyBorder="1"/>
    <xf numFmtId="0" fontId="1" fillId="0" borderId="0" xfId="0" applyFont="1"/>
    <xf numFmtId="0" fontId="1" fillId="0" borderId="0" xfId="0" applyFont="1" applyAlignment="1">
      <alignment wrapText="1"/>
    </xf>
    <xf numFmtId="0" fontId="25" fillId="0" borderId="0" xfId="0" applyFont="1" applyAlignment="1">
      <alignment wrapText="1"/>
    </xf>
    <xf numFmtId="0" fontId="25" fillId="0" borderId="16" xfId="0" applyFont="1" applyBorder="1" applyAlignment="1">
      <alignment horizontal="center"/>
    </xf>
    <xf numFmtId="0" fontId="25" fillId="0" borderId="0" xfId="0" applyFont="1"/>
    <xf numFmtId="0" fontId="25" fillId="0" borderId="11" xfId="0" applyFont="1" applyBorder="1" applyAlignment="1">
      <alignment horizontal="center" vertical="center"/>
    </xf>
    <xf numFmtId="0" fontId="27" fillId="0" borderId="16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 wrapText="1"/>
    </xf>
    <xf numFmtId="0" fontId="1" fillId="0" borderId="1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25" fillId="0" borderId="16" xfId="0" applyFont="1" applyBorder="1"/>
    <xf numFmtId="0" fontId="1" fillId="0" borderId="15" xfId="0" applyFont="1" applyBorder="1"/>
    <xf numFmtId="37" fontId="1" fillId="0" borderId="16" xfId="0" applyNumberFormat="1" applyFont="1" applyBorder="1"/>
    <xf numFmtId="0" fontId="1" fillId="0" borderId="12" xfId="0" applyFont="1" applyBorder="1"/>
    <xf numFmtId="168" fontId="28" fillId="0" borderId="11" xfId="0" applyNumberFormat="1" applyFont="1" applyBorder="1"/>
    <xf numFmtId="0" fontId="1" fillId="0" borderId="16" xfId="0" applyFont="1" applyBorder="1"/>
    <xf numFmtId="0" fontId="1" fillId="2" borderId="16" xfId="0" applyFont="1" applyFill="1" applyBorder="1"/>
    <xf numFmtId="0" fontId="28" fillId="3" borderId="15" xfId="0" applyFont="1" applyFill="1" applyBorder="1"/>
    <xf numFmtId="0" fontId="1" fillId="3" borderId="15" xfId="0" applyFont="1" applyFill="1" applyBorder="1"/>
    <xf numFmtId="0" fontId="1" fillId="0" borderId="20" xfId="0" applyFont="1" applyBorder="1"/>
    <xf numFmtId="0" fontId="1" fillId="2" borderId="12" xfId="0" applyFont="1" applyFill="1" applyBorder="1"/>
    <xf numFmtId="0" fontId="1" fillId="0" borderId="13" xfId="0" applyFont="1" applyBorder="1"/>
    <xf numFmtId="168" fontId="29" fillId="0" borderId="11" xfId="0" applyNumberFormat="1" applyFont="1" applyBorder="1"/>
    <xf numFmtId="0" fontId="1" fillId="0" borderId="18" xfId="0" applyFont="1" applyBorder="1"/>
    <xf numFmtId="168" fontId="25" fillId="0" borderId="16" xfId="0" applyNumberFormat="1" applyFont="1" applyBorder="1"/>
    <xf numFmtId="172" fontId="29" fillId="0" borderId="16" xfId="0" applyNumberFormat="1" applyFont="1" applyBorder="1"/>
    <xf numFmtId="0" fontId="1" fillId="0" borderId="21" xfId="0" applyFont="1" applyBorder="1"/>
    <xf numFmtId="0" fontId="1" fillId="3" borderId="0" xfId="0" applyFont="1" applyFill="1"/>
    <xf numFmtId="0" fontId="1" fillId="0" borderId="11" xfId="0" applyFont="1" applyBorder="1"/>
    <xf numFmtId="37" fontId="1" fillId="3" borderId="0" xfId="0" applyNumberFormat="1" applyFont="1" applyFill="1"/>
    <xf numFmtId="0" fontId="1" fillId="0" borderId="9" xfId="0" applyFont="1" applyBorder="1" applyAlignment="1">
      <alignment horizontal="center"/>
    </xf>
    <xf numFmtId="168" fontId="28" fillId="0" borderId="16" xfId="0" applyNumberFormat="1" applyFont="1" applyBorder="1"/>
    <xf numFmtId="172" fontId="28" fillId="0" borderId="16" xfId="0" applyNumberFormat="1" applyFont="1" applyBorder="1"/>
    <xf numFmtId="0" fontId="1" fillId="0" borderId="20" xfId="0" applyFont="1" applyBorder="1" applyAlignment="1">
      <alignment horizontal="center"/>
    </xf>
    <xf numFmtId="168" fontId="28" fillId="2" borderId="16" xfId="0" applyNumberFormat="1" applyFont="1" applyFill="1" applyBorder="1"/>
    <xf numFmtId="169" fontId="28" fillId="2" borderId="16" xfId="0" applyNumberFormat="1" applyFont="1" applyFill="1" applyBorder="1"/>
    <xf numFmtId="0" fontId="1" fillId="0" borderId="9" xfId="0" applyFont="1" applyBorder="1"/>
    <xf numFmtId="0" fontId="1" fillId="0" borderId="23" xfId="0" applyFont="1" applyBorder="1"/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168" fontId="28" fillId="0" borderId="19" xfId="0" applyNumberFormat="1" applyFont="1" applyBorder="1"/>
    <xf numFmtId="168" fontId="28" fillId="0" borderId="12" xfId="0" applyNumberFormat="1" applyFont="1" applyBorder="1"/>
    <xf numFmtId="0" fontId="1" fillId="0" borderId="22" xfId="0" applyFont="1" applyBorder="1"/>
    <xf numFmtId="168" fontId="1" fillId="0" borderId="16" xfId="0" applyNumberFormat="1" applyFont="1" applyBorder="1"/>
    <xf numFmtId="174" fontId="28" fillId="2" borderId="16" xfId="0" applyNumberFormat="1" applyFont="1" applyFill="1" applyBorder="1"/>
    <xf numFmtId="43" fontId="28" fillId="2" borderId="16" xfId="0" applyNumberFormat="1" applyFont="1" applyFill="1" applyBorder="1"/>
    <xf numFmtId="0" fontId="1" fillId="0" borderId="21" xfId="0" applyFont="1" applyBorder="1" applyAlignment="1">
      <alignment horizontal="center"/>
    </xf>
    <xf numFmtId="175" fontId="1" fillId="2" borderId="9" xfId="0" applyNumberFormat="1" applyFont="1" applyFill="1" applyBorder="1" applyAlignment="1">
      <alignment horizontal="center"/>
    </xf>
    <xf numFmtId="168" fontId="28" fillId="0" borderId="25" xfId="0" applyNumberFormat="1" applyFont="1" applyBorder="1"/>
    <xf numFmtId="10" fontId="25" fillId="0" borderId="16" xfId="0" applyNumberFormat="1" applyFont="1" applyBorder="1"/>
    <xf numFmtId="0" fontId="25" fillId="0" borderId="15" xfId="0" applyFont="1" applyBorder="1"/>
    <xf numFmtId="168" fontId="25" fillId="0" borderId="26" xfId="0" applyNumberFormat="1" applyFont="1" applyBorder="1"/>
    <xf numFmtId="10" fontId="25" fillId="0" borderId="0" xfId="0" applyNumberFormat="1" applyFont="1"/>
    <xf numFmtId="168" fontId="25" fillId="0" borderId="0" xfId="0" applyNumberFormat="1" applyFont="1"/>
    <xf numFmtId="172" fontId="1" fillId="0" borderId="16" xfId="0" applyNumberFormat="1" applyFont="1" applyBorder="1"/>
    <xf numFmtId="172" fontId="25" fillId="0" borderId="16" xfId="0" applyNumberFormat="1" applyFont="1" applyBorder="1"/>
    <xf numFmtId="43" fontId="1" fillId="0" borderId="0" xfId="0" applyNumberFormat="1" applyFont="1"/>
    <xf numFmtId="172" fontId="1" fillId="0" borderId="0" xfId="0" applyNumberFormat="1" applyFont="1"/>
    <xf numFmtId="168" fontId="29" fillId="0" borderId="16" xfId="0" applyNumberFormat="1" applyFont="1" applyBorder="1"/>
    <xf numFmtId="0" fontId="31" fillId="0" borderId="0" xfId="0" applyFont="1" applyAlignment="1">
      <alignment horizontal="left"/>
    </xf>
    <xf numFmtId="0" fontId="31" fillId="0" borderId="0" xfId="0" applyFont="1"/>
    <xf numFmtId="10" fontId="31" fillId="0" borderId="0" xfId="0" applyNumberFormat="1" applyFont="1" applyAlignment="1">
      <alignment horizontal="right"/>
    </xf>
    <xf numFmtId="0" fontId="32" fillId="0" borderId="0" xfId="0" applyFont="1"/>
    <xf numFmtId="0" fontId="33" fillId="0" borderId="0" xfId="0" applyFont="1"/>
    <xf numFmtId="44" fontId="29" fillId="0" borderId="3" xfId="0" applyNumberFormat="1" applyFont="1" applyBorder="1" applyAlignment="1">
      <alignment horizontal="center"/>
    </xf>
    <xf numFmtId="44" fontId="29" fillId="0" borderId="4" xfId="0" applyNumberFormat="1" applyFont="1" applyBorder="1" applyAlignment="1">
      <alignment horizontal="center"/>
    </xf>
    <xf numFmtId="44" fontId="29" fillId="0" borderId="0" xfId="0" applyNumberFormat="1" applyFont="1" applyAlignment="1">
      <alignment horizontal="center"/>
    </xf>
    <xf numFmtId="0" fontId="34" fillId="0" borderId="0" xfId="0" applyFont="1"/>
    <xf numFmtId="0" fontId="25" fillId="0" borderId="5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35" fillId="0" borderId="0" xfId="0" applyFont="1"/>
    <xf numFmtId="0" fontId="25" fillId="0" borderId="7" xfId="0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28" fillId="0" borderId="9" xfId="0" applyFont="1" applyBorder="1"/>
    <xf numFmtId="0" fontId="28" fillId="3" borderId="12" xfId="0" applyFont="1" applyFill="1" applyBorder="1" applyAlignment="1">
      <alignment horizontal="center" wrapText="1"/>
    </xf>
    <xf numFmtId="164" fontId="28" fillId="4" borderId="13" xfId="0" applyNumberFormat="1" applyFont="1" applyFill="1" applyBorder="1" applyAlignment="1">
      <alignment horizontal="right"/>
    </xf>
    <xf numFmtId="164" fontId="28" fillId="4" borderId="14" xfId="0" applyNumberFormat="1" applyFont="1" applyFill="1" applyBorder="1" applyAlignment="1">
      <alignment horizontal="right"/>
    </xf>
    <xf numFmtId="164" fontId="28" fillId="0" borderId="0" xfId="0" applyNumberFormat="1" applyFont="1"/>
    <xf numFmtId="0" fontId="28" fillId="3" borderId="15" xfId="0" applyFont="1" applyFill="1" applyBorder="1" applyAlignment="1">
      <alignment horizontal="center" wrapText="1"/>
    </xf>
    <xf numFmtId="164" fontId="1" fillId="0" borderId="16" xfId="0" applyNumberFormat="1" applyFont="1" applyBorder="1"/>
    <xf numFmtId="164" fontId="1" fillId="0" borderId="0" xfId="0" applyNumberFormat="1" applyFont="1"/>
    <xf numFmtId="0" fontId="29" fillId="0" borderId="9" xfId="0" applyFont="1" applyBorder="1" applyAlignment="1">
      <alignment horizontal="left"/>
    </xf>
    <xf numFmtId="164" fontId="29" fillId="0" borderId="16" xfId="0" applyNumberFormat="1" applyFont="1" applyBorder="1"/>
    <xf numFmtId="164" fontId="29" fillId="0" borderId="17" xfId="0" applyNumberFormat="1" applyFont="1" applyBorder="1"/>
    <xf numFmtId="164" fontId="29" fillId="0" borderId="0" xfId="0" applyNumberFormat="1" applyFont="1"/>
    <xf numFmtId="0" fontId="1" fillId="0" borderId="2" xfId="0" applyFont="1" applyBorder="1"/>
    <xf numFmtId="1" fontId="5" fillId="5" borderId="9" xfId="0" applyNumberFormat="1" applyFont="1" applyFill="1" applyBorder="1" applyAlignment="1">
      <alignment horizontal="center"/>
    </xf>
    <xf numFmtId="0" fontId="15" fillId="0" borderId="10" xfId="0" applyFont="1" applyBorder="1"/>
    <xf numFmtId="0" fontId="15" fillId="0" borderId="11" xfId="0" applyFont="1" applyBorder="1"/>
    <xf numFmtId="0" fontId="7" fillId="0" borderId="0" xfId="0" applyFont="1" applyAlignment="1">
      <alignment horizontal="center" vertical="top"/>
    </xf>
    <xf numFmtId="0" fontId="0" fillId="0" borderId="0" xfId="0"/>
    <xf numFmtId="0" fontId="28" fillId="0" borderId="9" xfId="0" applyFont="1" applyBorder="1" applyAlignment="1">
      <alignment horizontal="center" vertical="center" wrapText="1"/>
    </xf>
    <xf numFmtId="0" fontId="26" fillId="0" borderId="10" xfId="0" applyFont="1" applyBorder="1"/>
    <xf numFmtId="0" fontId="26" fillId="0" borderId="11" xfId="0" applyFont="1" applyBorder="1"/>
    <xf numFmtId="0" fontId="1" fillId="0" borderId="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0" fontId="25" fillId="9" borderId="9" xfId="0" applyFont="1" applyFill="1" applyBorder="1" applyAlignment="1">
      <alignment horizontal="center"/>
    </xf>
    <xf numFmtId="0" fontId="30" fillId="0" borderId="11" xfId="0" applyFont="1" applyBorder="1"/>
    <xf numFmtId="0" fontId="1" fillId="0" borderId="12" xfId="0" applyFont="1" applyBorder="1" applyAlignment="1">
      <alignment horizontal="center"/>
    </xf>
    <xf numFmtId="0" fontId="26" fillId="0" borderId="15" xfId="0" applyFont="1" applyBorder="1"/>
    <xf numFmtId="0" fontId="26" fillId="0" borderId="13" xfId="0" applyFont="1" applyBorder="1"/>
    <xf numFmtId="0" fontId="1" fillId="0" borderId="23" xfId="0" applyFont="1" applyBorder="1" applyAlignment="1">
      <alignment horizontal="center"/>
    </xf>
    <xf numFmtId="0" fontId="26" fillId="0" borderId="24" xfId="0" applyFont="1" applyBorder="1"/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26" fillId="0" borderId="18" xfId="0" applyFont="1" applyBorder="1"/>
    <xf numFmtId="0" fontId="2" fillId="0" borderId="19" xfId="0" applyFont="1" applyBorder="1" applyAlignment="1">
      <alignment horizontal="center"/>
    </xf>
    <xf numFmtId="0" fontId="15" fillId="0" borderId="18" xfId="0" applyFont="1" applyBorder="1"/>
    <xf numFmtId="173" fontId="2" fillId="0" borderId="12" xfId="0" applyNumberFormat="1" applyFont="1" applyBorder="1" applyAlignment="1">
      <alignment horizontal="center"/>
    </xf>
    <xf numFmtId="0" fontId="15" fillId="0" borderId="13" xfId="0" applyFont="1" applyBorder="1"/>
    <xf numFmtId="0" fontId="2" fillId="0" borderId="12" xfId="0" applyFont="1" applyBorder="1" applyAlignment="1">
      <alignment horizontal="center"/>
    </xf>
    <xf numFmtId="0" fontId="2" fillId="0" borderId="12" xfId="0" applyFont="1" applyBorder="1"/>
    <xf numFmtId="0" fontId="15" fillId="0" borderId="15" xfId="0" applyFont="1" applyBorder="1"/>
    <xf numFmtId="0" fontId="2" fillId="0" borderId="12" xfId="0" applyFont="1" applyBorder="1" applyAlignment="1">
      <alignment horizontal="center" wrapText="1"/>
    </xf>
    <xf numFmtId="0" fontId="18" fillId="0" borderId="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6" fillId="0" borderId="22" xfId="0" applyFont="1" applyBorder="1"/>
    <xf numFmtId="0" fontId="26" fillId="0" borderId="20" xfId="0" applyFont="1" applyBorder="1"/>
  </cellXfs>
  <cellStyles count="1">
    <cellStyle name="Normal" xfId="0" builtinId="0"/>
  </cellStyles>
  <dxfs count="1">
    <dxf>
      <font>
        <b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rild/Downloads/Updated_2025_Filing_Requirements_Chapter2_Appendices_1.0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2.1.7 - System OM (2-AB)"/>
      <sheetName val="Hidden_CAPEX"/>
      <sheetName val="App.2-AC_Customer Engagement"/>
      <sheetName val="App.2-BA_Fixed Asset Cont_21-25"/>
      <sheetName val="App.2-B_Acctg Instructions"/>
      <sheetName val="App.2-BA_Fixed Asset Cont_26-30"/>
      <sheetName val="Appendix 2-BB Service Life  "/>
      <sheetName val="App.2-C_DepExp_21-25"/>
      <sheetName val="App.2-C_DepExp_26-30"/>
      <sheetName val="App.2-D_Overhead"/>
      <sheetName val="App.2-EA_Account 1575 (2015)"/>
      <sheetName val="App.2-EB_Account 1576 (2012)"/>
      <sheetName val="App.2-EC_Account 1576 (2013)"/>
      <sheetName val="Hidden_REG Invest."/>
      <sheetName val="Hidden_REG Improvement"/>
      <sheetName val="Hidden_REG Expansion"/>
      <sheetName val="App.2-FA Proposed REG Invest."/>
      <sheetName val="App.2-FB Calc of REG Improvemnt"/>
      <sheetName val="2.1.5.6"/>
      <sheetName val="App.2-FC Calc of REG Expansion"/>
      <sheetName val="App.2-G SQI"/>
      <sheetName val="App.2-H_Other_Rev"/>
      <sheetName val="2.1.4_ServiceQuality"/>
      <sheetName val="App.2-IA_Load_Forecast_Instrct"/>
      <sheetName val="App.2-IB_Load_Forecast_Analysis"/>
      <sheetName val="2018 Adjusted SAIDI and SAIFI"/>
      <sheetName val="2019 Adjusted SAIDI and SAIFI"/>
      <sheetName val="2020"/>
      <sheetName val="2.1.4_ServiceQuality old"/>
      <sheetName val="2.1.4 SAIDI SAIFI"/>
      <sheetName val="2.1.7  All Accounts"/>
      <sheetName val="Hidden_Other Revenue"/>
      <sheetName val="Several_Accounts"/>
      <sheetName val="App_2-I LF_CDM"/>
      <sheetName val="lists"/>
      <sheetName val="2.1.2"/>
      <sheetName val="2.1.5.4"/>
      <sheetName val="App.2-JA_OM&amp;A_Summary_Analys"/>
      <sheetName val="App.2-JB_OM&amp;A_Cost _Drivers"/>
      <sheetName val="App.2-JC_OMA Programs"/>
      <sheetName val="Hidden_OM&amp;A Summary"/>
      <sheetName val="OM&amp;A_Expenses"/>
      <sheetName val="App.2-JD_OMA Programs"/>
      <sheetName val="App.2-K_Employee Costs"/>
      <sheetName val="Hidden_Employee Costs"/>
      <sheetName val="FTE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OLD App.2-R_Loss Factors"/>
      <sheetName val="NEW App.2-R_Loss Factors"/>
      <sheetName val="App.2-ZA_2026-Com. Exp. Forecas"/>
      <sheetName val="App.2-ZB_2026Cost of Power"/>
      <sheetName val="App.2-ZA_2027-Com. Exp. Forecas"/>
      <sheetName val="App.2-ZB_2027Cost of Power"/>
      <sheetName val="App.2-ZA_2028-Com. Exp. Forecas"/>
      <sheetName val="App.2-ZB_2028Cost of Power"/>
      <sheetName val="App.2-ZA_2029-Com. Exp. Forecas"/>
      <sheetName val="App.2-ZB_2029Cost of Power"/>
      <sheetName val="App.2-ZA_2030-Com. Exp. Forecas"/>
      <sheetName val="App.2-ZB_2030Cost of Power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>
        <row r="16">
          <cell r="E16" t="str">
            <v>EB-2024-0115</v>
          </cell>
        </row>
        <row r="24">
          <cell r="E24">
            <v>2026</v>
          </cell>
        </row>
        <row r="26">
          <cell r="E26">
            <v>2024</v>
          </cell>
        </row>
        <row r="28">
          <cell r="E28">
            <v>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>
        <row r="39">
          <cell r="I39"/>
        </row>
      </sheetData>
      <sheetData sheetId="65"/>
      <sheetData sheetId="66">
        <row r="38">
          <cell r="I38">
            <v>0</v>
          </cell>
        </row>
      </sheetData>
      <sheetData sheetId="67"/>
      <sheetData sheetId="68"/>
      <sheetData sheetId="69"/>
      <sheetData sheetId="70">
        <row r="29">
          <cell r="K29">
            <v>0.11217000000000001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4AD82-C44C-41B7-8FF3-677EC187786C}">
  <dimension ref="A1:AA1000"/>
  <sheetViews>
    <sheetView showGridLines="0" topLeftCell="B1" workbookViewId="0">
      <selection activeCell="L9" sqref="L9"/>
    </sheetView>
  </sheetViews>
  <sheetFormatPr defaultColWidth="12.5546875" defaultRowHeight="15" customHeight="1" outlineLevelRow="1" x14ac:dyDescent="0.3"/>
  <cols>
    <col min="1" max="1" width="9.109375" customWidth="1"/>
    <col min="2" max="2" width="43.109375" customWidth="1"/>
    <col min="3" max="3" width="7.109375" customWidth="1"/>
    <col min="4" max="4" width="10.109375" customWidth="1"/>
    <col min="5" max="5" width="7.5546875" customWidth="1"/>
    <col min="6" max="6" width="20.109375" customWidth="1"/>
    <col min="7" max="7" width="14.5546875" customWidth="1"/>
    <col min="8" max="10" width="17.44140625" customWidth="1"/>
    <col min="11" max="11" width="21.109375" customWidth="1"/>
    <col min="12" max="12" width="16.5546875" customWidth="1"/>
    <col min="13" max="13" width="12.44140625" customWidth="1"/>
    <col min="14" max="14" width="12" customWidth="1"/>
    <col min="15" max="27" width="9.109375" customWidth="1"/>
  </cols>
  <sheetData>
    <row r="1" spans="1:27" ht="14.4" x14ac:dyDescent="0.3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4.4" x14ac:dyDescent="0.3">
      <c r="A2" s="3"/>
      <c r="B2" s="3"/>
      <c r="C2" s="3"/>
      <c r="D2" s="3"/>
      <c r="E2" s="3"/>
      <c r="F2" s="1"/>
      <c r="G2" s="1"/>
      <c r="H2" s="1"/>
      <c r="I2" s="1"/>
      <c r="J2" s="1"/>
      <c r="K2" s="4" t="s">
        <v>0</v>
      </c>
      <c r="L2" s="5" t="s">
        <v>1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7.399999999999999" x14ac:dyDescent="0.3">
      <c r="A3" s="3"/>
      <c r="B3" s="1"/>
      <c r="C3" s="6"/>
      <c r="D3" s="6"/>
      <c r="E3" s="6"/>
      <c r="F3" s="6"/>
      <c r="G3" s="6"/>
      <c r="H3" s="6"/>
      <c r="I3" s="6"/>
      <c r="J3" s="6"/>
      <c r="K3" s="4" t="s">
        <v>2</v>
      </c>
      <c r="L3" s="7">
        <v>2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4.4" x14ac:dyDescent="0.3">
      <c r="A4" s="1"/>
      <c r="B4" s="198" t="s">
        <v>3</v>
      </c>
      <c r="C4" s="199"/>
      <c r="D4" s="199"/>
      <c r="E4" s="199"/>
      <c r="F4" s="199"/>
      <c r="G4" s="199"/>
      <c r="H4" s="199"/>
      <c r="I4" s="199"/>
      <c r="J4" s="1"/>
      <c r="K4" s="4" t="s">
        <v>4</v>
      </c>
      <c r="L4" s="7">
        <v>3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8" customHeight="1" x14ac:dyDescent="0.3">
      <c r="A5" s="1"/>
      <c r="B5" s="199"/>
      <c r="C5" s="199"/>
      <c r="D5" s="199"/>
      <c r="E5" s="199"/>
      <c r="F5" s="199"/>
      <c r="G5" s="199"/>
      <c r="H5" s="199"/>
      <c r="I5" s="199"/>
      <c r="J5" s="6"/>
      <c r="K5" s="4" t="s">
        <v>5</v>
      </c>
      <c r="L5" s="7">
        <v>1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" customHeight="1" x14ac:dyDescent="0.3">
      <c r="A6" s="1"/>
      <c r="B6" s="199"/>
      <c r="C6" s="199"/>
      <c r="D6" s="199"/>
      <c r="E6" s="199"/>
      <c r="F6" s="199"/>
      <c r="G6" s="199"/>
      <c r="H6" s="199"/>
      <c r="I6" s="199"/>
      <c r="J6" s="6"/>
      <c r="K6" s="4" t="s">
        <v>6</v>
      </c>
      <c r="L6" s="5" t="s">
        <v>7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4.4" x14ac:dyDescent="0.3">
      <c r="A7" s="1"/>
      <c r="B7" s="8"/>
      <c r="C7" s="1"/>
      <c r="D7" s="1"/>
      <c r="E7" s="1"/>
      <c r="F7" s="1"/>
      <c r="G7" s="1"/>
      <c r="H7" s="1"/>
      <c r="I7" s="1"/>
      <c r="J7" s="1"/>
      <c r="K7" s="4"/>
      <c r="L7" s="9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4.4" x14ac:dyDescent="0.3">
      <c r="A8" s="1"/>
      <c r="B8" s="8"/>
      <c r="C8" s="1"/>
      <c r="D8" s="1"/>
      <c r="E8" s="1"/>
      <c r="F8" s="1"/>
      <c r="G8" s="1"/>
      <c r="H8" s="1"/>
      <c r="I8" s="1"/>
      <c r="J8" s="1"/>
      <c r="K8" s="4" t="s">
        <v>8</v>
      </c>
      <c r="L8" s="5" t="s">
        <v>106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4.4" x14ac:dyDescent="0.3">
      <c r="A9" s="1"/>
      <c r="B9" s="8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thickBot="1" x14ac:dyDescent="0.35">
      <c r="A10" s="10"/>
      <c r="B10" s="11"/>
      <c r="C10" s="12"/>
      <c r="D10" s="13"/>
      <c r="E10" s="13"/>
      <c r="F10" s="13"/>
      <c r="G10" s="10"/>
      <c r="H10" s="10"/>
      <c r="I10" s="10"/>
      <c r="J10" s="10"/>
      <c r="K10" s="10"/>
      <c r="L10" s="13"/>
      <c r="M10" s="1"/>
      <c r="N10" s="1"/>
      <c r="O10" s="1"/>
      <c r="P10" s="1"/>
      <c r="Q10" s="14"/>
      <c r="R10" s="14"/>
      <c r="S10" s="14"/>
      <c r="T10" s="14"/>
      <c r="U10" s="14"/>
      <c r="V10" s="14"/>
      <c r="W10" s="1"/>
      <c r="X10" s="1"/>
      <c r="Y10" s="15"/>
      <c r="Z10" s="15"/>
      <c r="AA10" s="15"/>
    </row>
    <row r="11" spans="1:27" ht="15.6" x14ac:dyDescent="0.3">
      <c r="A11" s="167"/>
      <c r="B11" s="168"/>
      <c r="C11" s="169"/>
      <c r="D11" s="169"/>
      <c r="E11" s="169"/>
      <c r="F11" s="169"/>
      <c r="G11" s="106"/>
      <c r="H11" s="169"/>
      <c r="I11" s="169"/>
      <c r="J11" s="169"/>
      <c r="K11" s="169"/>
      <c r="L11" s="170"/>
      <c r="M11" s="18"/>
      <c r="N11" s="16"/>
      <c r="O11" s="14"/>
      <c r="P11" s="14"/>
      <c r="Q11" s="14"/>
      <c r="R11" s="14"/>
      <c r="S11" s="14"/>
      <c r="T11" s="14"/>
      <c r="U11" s="14"/>
      <c r="V11" s="14"/>
      <c r="W11" s="1"/>
      <c r="X11" s="1"/>
      <c r="Y11" s="15"/>
      <c r="Z11" s="15"/>
      <c r="AA11" s="15"/>
    </row>
    <row r="12" spans="1:27" ht="15.6" x14ac:dyDescent="0.3">
      <c r="A12" s="170" t="s">
        <v>9</v>
      </c>
      <c r="B12" s="171" t="s">
        <v>10</v>
      </c>
      <c r="C12" s="168"/>
      <c r="D12" s="169"/>
      <c r="E12" s="169"/>
      <c r="F12" s="169"/>
      <c r="G12" s="106"/>
      <c r="H12" s="169"/>
      <c r="I12" s="169"/>
      <c r="J12" s="169"/>
      <c r="K12" s="169"/>
      <c r="L12" s="170"/>
      <c r="M12" s="18"/>
      <c r="N12" s="16"/>
      <c r="O12" s="14"/>
      <c r="P12" s="14"/>
      <c r="Q12" s="14"/>
      <c r="R12" s="14"/>
      <c r="S12" s="14"/>
      <c r="T12" s="14"/>
      <c r="U12" s="14"/>
      <c r="V12" s="14"/>
      <c r="W12" s="1"/>
      <c r="X12" s="1"/>
      <c r="Y12" s="15"/>
      <c r="Z12" s="15"/>
      <c r="AA12" s="15"/>
    </row>
    <row r="13" spans="1:27" ht="16.2" thickBot="1" x14ac:dyDescent="0.35">
      <c r="A13" s="167"/>
      <c r="B13" s="168"/>
      <c r="C13" s="169"/>
      <c r="D13" s="169"/>
      <c r="E13" s="169"/>
      <c r="F13" s="169"/>
      <c r="G13" s="106"/>
      <c r="H13" s="169"/>
      <c r="I13" s="169"/>
      <c r="J13" s="169"/>
      <c r="K13" s="169"/>
      <c r="L13" s="170"/>
      <c r="M13" s="18"/>
      <c r="N13" s="16"/>
      <c r="O13" s="14"/>
      <c r="P13" s="14"/>
      <c r="Q13" s="14"/>
      <c r="R13" s="14"/>
      <c r="S13" s="14"/>
      <c r="T13" s="14"/>
      <c r="U13" s="14"/>
      <c r="V13" s="14"/>
      <c r="W13" s="1"/>
      <c r="X13" s="1"/>
      <c r="Y13" s="15"/>
      <c r="Z13" s="15"/>
      <c r="AA13" s="15"/>
    </row>
    <row r="14" spans="1:27" thickBot="1" x14ac:dyDescent="0.35">
      <c r="A14" s="106"/>
      <c r="B14" s="106" t="s">
        <v>11</v>
      </c>
      <c r="C14" s="106"/>
      <c r="D14" s="106"/>
      <c r="E14" s="106"/>
      <c r="F14" s="106"/>
      <c r="G14" s="172"/>
      <c r="H14" s="173"/>
      <c r="I14" s="106"/>
      <c r="J14" s="174"/>
      <c r="K14" s="174"/>
      <c r="L14" s="106"/>
      <c r="M14" s="1"/>
      <c r="N14" s="19"/>
      <c r="O14" s="19"/>
      <c r="P14" s="15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4.4" x14ac:dyDescent="0.3">
      <c r="A15" s="170"/>
      <c r="B15" s="175" t="s">
        <v>12</v>
      </c>
      <c r="C15" s="106" t="s">
        <v>13</v>
      </c>
      <c r="D15" s="106"/>
      <c r="E15" s="106"/>
      <c r="F15" s="106"/>
      <c r="G15" s="176" t="s">
        <v>14</v>
      </c>
      <c r="H15" s="177" t="s">
        <v>15</v>
      </c>
      <c r="I15" s="106"/>
      <c r="J15" s="178"/>
      <c r="K15" s="178"/>
      <c r="L15" s="106"/>
      <c r="M15" s="1"/>
      <c r="N15" s="19"/>
      <c r="O15" s="19"/>
      <c r="P15" s="15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thickBot="1" x14ac:dyDescent="0.35">
      <c r="A16" s="106"/>
      <c r="B16" s="179"/>
      <c r="C16" s="106"/>
      <c r="D16" s="106"/>
      <c r="E16" s="106"/>
      <c r="F16" s="106"/>
      <c r="G16" s="180"/>
      <c r="H16" s="181"/>
      <c r="I16" s="106"/>
      <c r="J16" s="178"/>
      <c r="K16" s="178"/>
      <c r="L16" s="106"/>
      <c r="M16" s="1"/>
      <c r="N16" s="19"/>
      <c r="O16" s="19"/>
      <c r="P16" s="15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29.25" customHeight="1" x14ac:dyDescent="0.3">
      <c r="A17" s="106"/>
      <c r="B17" s="182" t="s">
        <v>16</v>
      </c>
      <c r="C17" s="200" t="s">
        <v>17</v>
      </c>
      <c r="D17" s="201"/>
      <c r="E17" s="202"/>
      <c r="F17" s="183"/>
      <c r="G17" s="184">
        <v>38.75</v>
      </c>
      <c r="H17" s="185">
        <v>38.75</v>
      </c>
      <c r="I17" s="106"/>
      <c r="J17" s="186"/>
      <c r="K17" s="186"/>
      <c r="L17" s="106"/>
      <c r="M17" s="1"/>
      <c r="N17" s="15"/>
      <c r="O17" s="15"/>
      <c r="P17" s="15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32.25" customHeight="1" x14ac:dyDescent="0.3">
      <c r="A18" s="106"/>
      <c r="B18" s="182" t="s">
        <v>18</v>
      </c>
      <c r="C18" s="200" t="s">
        <v>19</v>
      </c>
      <c r="D18" s="201"/>
      <c r="E18" s="202"/>
      <c r="F18" s="187"/>
      <c r="G18" s="184">
        <v>72.42</v>
      </c>
      <c r="H18" s="185">
        <v>72.42</v>
      </c>
      <c r="I18" s="106"/>
      <c r="J18" s="186"/>
      <c r="K18" s="186"/>
      <c r="L18" s="106"/>
      <c r="M18" s="1"/>
      <c r="N18" s="15"/>
      <c r="O18" s="15"/>
      <c r="P18" s="15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4.4" x14ac:dyDescent="0.3">
      <c r="A19" s="106"/>
      <c r="B19" s="182" t="s">
        <v>20</v>
      </c>
      <c r="C19" s="203"/>
      <c r="D19" s="201"/>
      <c r="E19" s="202"/>
      <c r="F19" s="187"/>
      <c r="G19" s="188"/>
      <c r="H19" s="185">
        <v>1</v>
      </c>
      <c r="I19" s="106"/>
      <c r="J19" s="189"/>
      <c r="K19" s="186"/>
      <c r="L19" s="106"/>
      <c r="M19" s="1"/>
      <c r="N19" s="15"/>
      <c r="O19" s="15"/>
      <c r="P19" s="15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40.5" customHeight="1" x14ac:dyDescent="0.3">
      <c r="A20" s="106"/>
      <c r="B20" s="190" t="s">
        <v>21</v>
      </c>
      <c r="C20" s="200" t="s">
        <v>22</v>
      </c>
      <c r="D20" s="201"/>
      <c r="E20" s="202"/>
      <c r="F20" s="187"/>
      <c r="G20" s="191"/>
      <c r="H20" s="192">
        <f>SUM(H17:H19)</f>
        <v>112.17</v>
      </c>
      <c r="I20" s="106"/>
      <c r="J20" s="193"/>
      <c r="K20" s="193"/>
      <c r="L20" s="106"/>
      <c r="M20" s="1"/>
      <c r="N20" s="15"/>
      <c r="O20" s="15"/>
      <c r="P20" s="15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 thickBot="1" x14ac:dyDescent="0.35">
      <c r="A21" s="194"/>
      <c r="B21" s="194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5"/>
      <c r="N21" s="15"/>
      <c r="O21" s="15"/>
      <c r="P21" s="15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 x14ac:dyDescent="0.3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 outlineLevel="1" x14ac:dyDescent="0.3">
      <c r="A23" s="17" t="s">
        <v>23</v>
      </c>
      <c r="B23" s="18" t="s">
        <v>24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" customHeight="1" outlineLevel="1" x14ac:dyDescent="0.3">
      <c r="A24" s="15"/>
      <c r="B24" s="21" t="s">
        <v>25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" customHeight="1" outlineLevel="1" x14ac:dyDescent="0.3">
      <c r="A25" s="15"/>
      <c r="B25" s="21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" customHeight="1" outlineLevel="1" x14ac:dyDescent="0.3">
      <c r="A26" s="15"/>
      <c r="B26" s="22" t="s">
        <v>26</v>
      </c>
      <c r="C26" s="1"/>
      <c r="D26" s="1"/>
      <c r="E26" s="23"/>
      <c r="F26" s="24"/>
      <c r="G26" s="195" t="str">
        <f>"2029" &amp; " Test Year"</f>
        <v>2029 Test Year</v>
      </c>
      <c r="H26" s="196"/>
      <c r="I26" s="196"/>
      <c r="J26" s="196"/>
      <c r="K26" s="196"/>
      <c r="L26" s="197"/>
      <c r="M26" s="15"/>
      <c r="N26" s="15"/>
      <c r="O26" s="15"/>
      <c r="P26" s="15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" customHeight="1" outlineLevel="1" x14ac:dyDescent="0.3">
      <c r="A27" s="15"/>
      <c r="B27" s="25" t="s">
        <v>27</v>
      </c>
      <c r="C27" s="26"/>
      <c r="D27" s="26" t="s">
        <v>28</v>
      </c>
      <c r="E27" s="27" t="s">
        <v>29</v>
      </c>
      <c r="F27" s="26"/>
      <c r="G27" s="26"/>
      <c r="H27" s="26"/>
      <c r="I27" s="26"/>
      <c r="J27" s="26"/>
      <c r="K27" s="26"/>
      <c r="L27" s="26"/>
      <c r="M27" s="15"/>
      <c r="N27" s="15"/>
      <c r="O27" s="15"/>
      <c r="P27" s="15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42.75" customHeight="1" outlineLevel="1" x14ac:dyDescent="0.3">
      <c r="A28" s="15"/>
      <c r="B28" s="28" t="s">
        <v>30</v>
      </c>
      <c r="C28" s="29" t="s">
        <v>31</v>
      </c>
      <c r="D28" s="29" t="s">
        <v>32</v>
      </c>
      <c r="E28" s="30" t="s">
        <v>32</v>
      </c>
      <c r="F28" s="31" t="s">
        <v>33</v>
      </c>
      <c r="G28" s="31"/>
      <c r="H28" s="31" t="s">
        <v>34</v>
      </c>
      <c r="I28" s="31" t="s">
        <v>35</v>
      </c>
      <c r="J28" s="31" t="s">
        <v>36</v>
      </c>
      <c r="K28" s="31" t="s">
        <v>37</v>
      </c>
      <c r="L28" s="29" t="s">
        <v>38</v>
      </c>
      <c r="M28" s="15"/>
      <c r="N28" s="15"/>
      <c r="O28" s="15"/>
      <c r="P28" s="15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" customHeight="1" outlineLevel="1" x14ac:dyDescent="0.3">
      <c r="A29" s="15"/>
      <c r="B29" s="32" t="s">
        <v>39</v>
      </c>
      <c r="C29" s="33" t="s">
        <v>40</v>
      </c>
      <c r="D29" s="33">
        <v>4006</v>
      </c>
      <c r="E29" s="34">
        <v>4705</v>
      </c>
      <c r="F29" s="35"/>
      <c r="G29" s="36"/>
      <c r="H29" s="35">
        <v>25177143.780000001</v>
      </c>
      <c r="I29" s="35">
        <v>2746080015.0999999</v>
      </c>
      <c r="J29" s="37">
        <f t="shared" ref="J29:J39" si="0">+$G$17/1000</f>
        <v>3.875E-2</v>
      </c>
      <c r="K29" s="37">
        <f t="shared" ref="K29:K39" si="1">+$H$20/1000</f>
        <v>0.11217000000000001</v>
      </c>
      <c r="L29" s="38">
        <f t="shared" ref="L29:L39" si="2">(+F29+H29)*J29+(I29*K29)</f>
        <v>309003409.61524206</v>
      </c>
      <c r="M29" s="15"/>
      <c r="N29" s="15"/>
      <c r="O29" s="15"/>
      <c r="P29" s="15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" customHeight="1" outlineLevel="1" x14ac:dyDescent="0.3">
      <c r="A30" s="15"/>
      <c r="B30" s="32" t="s">
        <v>41</v>
      </c>
      <c r="C30" s="33" t="s">
        <v>40</v>
      </c>
      <c r="D30" s="33">
        <v>4010</v>
      </c>
      <c r="E30" s="34">
        <v>4705</v>
      </c>
      <c r="F30" s="35"/>
      <c r="G30" s="36"/>
      <c r="H30" s="35">
        <v>108644279.97</v>
      </c>
      <c r="I30" s="35">
        <v>638296830.01999998</v>
      </c>
      <c r="J30" s="37">
        <f t="shared" si="0"/>
        <v>3.875E-2</v>
      </c>
      <c r="K30" s="37">
        <f t="shared" si="1"/>
        <v>0.11217000000000001</v>
      </c>
      <c r="L30" s="38">
        <f t="shared" si="2"/>
        <v>75807721.2721809</v>
      </c>
      <c r="M30" s="15"/>
      <c r="N30" s="15"/>
      <c r="O30" s="15"/>
      <c r="P30" s="15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" customHeight="1" outlineLevel="1" x14ac:dyDescent="0.3">
      <c r="A31" s="15"/>
      <c r="B31" s="32" t="s">
        <v>42</v>
      </c>
      <c r="C31" s="33" t="s">
        <v>40</v>
      </c>
      <c r="D31" s="33">
        <v>4035</v>
      </c>
      <c r="E31" s="34">
        <v>4705</v>
      </c>
      <c r="F31" s="35">
        <v>413029036</v>
      </c>
      <c r="G31" s="36"/>
      <c r="H31" s="35">
        <v>2135807173.51</v>
      </c>
      <c r="I31" s="35">
        <v>337132040.76999998</v>
      </c>
      <c r="J31" s="37">
        <f t="shared" si="0"/>
        <v>3.875E-2</v>
      </c>
      <c r="K31" s="37">
        <f t="shared" si="1"/>
        <v>0.11217000000000001</v>
      </c>
      <c r="L31" s="38">
        <f t="shared" si="2"/>
        <v>136583504.13168341</v>
      </c>
      <c r="M31" s="15"/>
      <c r="N31" s="15"/>
      <c r="O31" s="15"/>
      <c r="P31" s="15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" customHeight="1" outlineLevel="1" x14ac:dyDescent="0.3">
      <c r="A32" s="15"/>
      <c r="B32" s="32" t="s">
        <v>43</v>
      </c>
      <c r="C32" s="33" t="s">
        <v>40</v>
      </c>
      <c r="D32" s="33">
        <v>4010</v>
      </c>
      <c r="E32" s="34">
        <v>4705</v>
      </c>
      <c r="F32" s="35">
        <v>559948340</v>
      </c>
      <c r="G32" s="36"/>
      <c r="H32" s="35">
        <v>148297514.11000001</v>
      </c>
      <c r="I32" s="35">
        <v>0</v>
      </c>
      <c r="J32" s="37">
        <f t="shared" si="0"/>
        <v>3.875E-2</v>
      </c>
      <c r="K32" s="37">
        <f t="shared" si="1"/>
        <v>0.11217000000000001</v>
      </c>
      <c r="L32" s="38">
        <f t="shared" si="2"/>
        <v>27444526.846762501</v>
      </c>
      <c r="M32" s="15"/>
      <c r="N32" s="15"/>
      <c r="O32" s="15"/>
      <c r="P32" s="15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" customHeight="1" outlineLevel="1" x14ac:dyDescent="0.3">
      <c r="A33" s="15"/>
      <c r="B33" s="32" t="s">
        <v>44</v>
      </c>
      <c r="C33" s="33" t="s">
        <v>40</v>
      </c>
      <c r="D33" s="33">
        <v>4025</v>
      </c>
      <c r="E33" s="34">
        <v>4705</v>
      </c>
      <c r="F33" s="35">
        <v>628899582</v>
      </c>
      <c r="G33" s="36"/>
      <c r="H33" s="35">
        <v>60159373.420000002</v>
      </c>
      <c r="I33" s="35">
        <v>0</v>
      </c>
      <c r="J33" s="37">
        <f t="shared" si="0"/>
        <v>3.875E-2</v>
      </c>
      <c r="K33" s="37">
        <f t="shared" si="1"/>
        <v>0.11217000000000001</v>
      </c>
      <c r="L33" s="38">
        <f t="shared" si="2"/>
        <v>26701034.522524998</v>
      </c>
      <c r="M33" s="15"/>
      <c r="N33" s="15"/>
      <c r="O33" s="15"/>
      <c r="P33" s="15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" customHeight="1" outlineLevel="1" x14ac:dyDescent="0.3">
      <c r="A34" s="15"/>
      <c r="B34" s="32" t="s">
        <v>45</v>
      </c>
      <c r="C34" s="33" t="s">
        <v>40</v>
      </c>
      <c r="D34" s="33">
        <v>4025</v>
      </c>
      <c r="E34" s="34">
        <v>4705</v>
      </c>
      <c r="F34" s="35"/>
      <c r="G34" s="36"/>
      <c r="H34" s="35">
        <v>22995495.359999999</v>
      </c>
      <c r="I34" s="35">
        <v>0</v>
      </c>
      <c r="J34" s="37">
        <f t="shared" si="0"/>
        <v>3.875E-2</v>
      </c>
      <c r="K34" s="37">
        <f t="shared" si="1"/>
        <v>0.11217000000000001</v>
      </c>
      <c r="L34" s="38">
        <f t="shared" si="2"/>
        <v>891075.44519999996</v>
      </c>
      <c r="M34" s="15"/>
      <c r="N34" s="15"/>
      <c r="O34" s="15"/>
      <c r="P34" s="15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" customHeight="1" outlineLevel="1" x14ac:dyDescent="0.3">
      <c r="A35" s="15"/>
      <c r="B35" s="32" t="s">
        <v>46</v>
      </c>
      <c r="C35" s="33" t="s">
        <v>40</v>
      </c>
      <c r="D35" s="33">
        <v>4025</v>
      </c>
      <c r="E35" s="34">
        <v>4705</v>
      </c>
      <c r="F35" s="35"/>
      <c r="G35" s="36"/>
      <c r="H35" s="35">
        <v>0</v>
      </c>
      <c r="I35" s="35">
        <v>39702.78</v>
      </c>
      <c r="J35" s="37">
        <f t="shared" si="0"/>
        <v>3.875E-2</v>
      </c>
      <c r="K35" s="37">
        <f t="shared" si="1"/>
        <v>0.11217000000000001</v>
      </c>
      <c r="L35" s="38">
        <f t="shared" si="2"/>
        <v>4453.4608325999998</v>
      </c>
      <c r="M35" s="15"/>
      <c r="N35" s="15"/>
      <c r="O35" s="15"/>
      <c r="P35" s="15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" customHeight="1" outlineLevel="1" x14ac:dyDescent="0.3">
      <c r="A36" s="15"/>
      <c r="B36" s="32" t="s">
        <v>47</v>
      </c>
      <c r="C36" s="33" t="s">
        <v>40</v>
      </c>
      <c r="D36" s="33">
        <v>4025</v>
      </c>
      <c r="E36" s="34">
        <v>4705</v>
      </c>
      <c r="F36" s="35"/>
      <c r="G36" s="36"/>
      <c r="H36" s="35">
        <v>0</v>
      </c>
      <c r="I36" s="35">
        <v>15118477.74</v>
      </c>
      <c r="J36" s="37">
        <f t="shared" si="0"/>
        <v>3.875E-2</v>
      </c>
      <c r="K36" s="37">
        <f t="shared" si="1"/>
        <v>0.11217000000000001</v>
      </c>
      <c r="L36" s="38">
        <f t="shared" si="2"/>
        <v>1695839.6480958001</v>
      </c>
      <c r="M36" s="15"/>
      <c r="N36" s="15"/>
      <c r="O36" s="15"/>
      <c r="P36" s="15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" customHeight="1" outlineLevel="1" x14ac:dyDescent="0.3">
      <c r="A37" s="15"/>
      <c r="B37" s="32" t="s">
        <v>48</v>
      </c>
      <c r="C37" s="33" t="s">
        <v>40</v>
      </c>
      <c r="D37" s="33">
        <v>4025</v>
      </c>
      <c r="E37" s="34">
        <v>4705</v>
      </c>
      <c r="F37" s="35"/>
      <c r="G37" s="36"/>
      <c r="H37" s="35">
        <v>6931149.8799999999</v>
      </c>
      <c r="I37" s="35">
        <v>0</v>
      </c>
      <c r="J37" s="37">
        <f t="shared" si="0"/>
        <v>3.875E-2</v>
      </c>
      <c r="K37" s="37">
        <f t="shared" si="1"/>
        <v>0.11217000000000001</v>
      </c>
      <c r="L37" s="38">
        <f t="shared" si="2"/>
        <v>268582.05784999998</v>
      </c>
      <c r="M37" s="15"/>
      <c r="N37" s="15"/>
      <c r="O37" s="15"/>
      <c r="P37" s="15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" customHeight="1" outlineLevel="1" x14ac:dyDescent="0.3">
      <c r="A38" s="15"/>
      <c r="B38" s="32"/>
      <c r="C38" s="33" t="s">
        <v>40</v>
      </c>
      <c r="D38" s="33">
        <v>4025</v>
      </c>
      <c r="E38" s="34">
        <v>4705</v>
      </c>
      <c r="F38" s="35"/>
      <c r="G38" s="36"/>
      <c r="H38" s="35">
        <v>0</v>
      </c>
      <c r="I38" s="35">
        <v>0</v>
      </c>
      <c r="J38" s="37">
        <f t="shared" si="0"/>
        <v>3.875E-2</v>
      </c>
      <c r="K38" s="37">
        <f t="shared" si="1"/>
        <v>0.11217000000000001</v>
      </c>
      <c r="L38" s="38">
        <f t="shared" si="2"/>
        <v>0</v>
      </c>
      <c r="M38" s="15"/>
      <c r="N38" s="15"/>
      <c r="O38" s="15"/>
      <c r="P38" s="15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" customHeight="1" outlineLevel="1" x14ac:dyDescent="0.3">
      <c r="A39" s="15"/>
      <c r="B39" s="28"/>
      <c r="C39" s="33" t="s">
        <v>40</v>
      </c>
      <c r="D39" s="33">
        <v>4025</v>
      </c>
      <c r="E39" s="34">
        <v>4705</v>
      </c>
      <c r="F39" s="35"/>
      <c r="G39" s="36"/>
      <c r="H39" s="35"/>
      <c r="I39" s="35"/>
      <c r="J39" s="37">
        <f t="shared" si="0"/>
        <v>3.875E-2</v>
      </c>
      <c r="K39" s="37">
        <f t="shared" si="1"/>
        <v>0.11217000000000001</v>
      </c>
      <c r="L39" s="38">
        <f t="shared" si="2"/>
        <v>0</v>
      </c>
      <c r="M39" s="15"/>
      <c r="N39" s="15"/>
      <c r="O39" s="15"/>
      <c r="P39" s="15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" customHeight="1" outlineLevel="1" x14ac:dyDescent="0.3">
      <c r="A40" s="15"/>
      <c r="B40" s="28" t="str">
        <f t="shared" ref="B40" si="3">IF(B25="","",B25)</f>
        <v/>
      </c>
      <c r="C40" s="39"/>
      <c r="D40" s="26"/>
      <c r="E40" s="27"/>
      <c r="F40" s="40"/>
      <c r="G40" s="41"/>
      <c r="H40" s="40"/>
      <c r="I40" s="42"/>
      <c r="J40" s="42"/>
      <c r="K40" s="40"/>
      <c r="L40" s="43">
        <f>SUM(L29:L39)</f>
        <v>578400147.00037229</v>
      </c>
      <c r="M40" s="15"/>
      <c r="N40" s="15"/>
      <c r="O40" s="15"/>
      <c r="P40" s="15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" customHeight="1" outlineLevel="1" x14ac:dyDescent="0.3">
      <c r="A41" s="15"/>
      <c r="B41" s="21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" customHeight="1" outlineLevel="1" x14ac:dyDescent="0.3">
      <c r="A42" s="15"/>
      <c r="B42" s="20"/>
      <c r="C42" s="15"/>
      <c r="D42" s="15"/>
      <c r="E42" s="15"/>
      <c r="F42" s="44"/>
      <c r="G42" s="44"/>
      <c r="H42" s="15"/>
      <c r="I42" s="15"/>
      <c r="J42" s="15"/>
      <c r="K42" s="15"/>
      <c r="L42" s="15"/>
      <c r="M42" s="15"/>
      <c r="N42" s="15"/>
      <c r="O42" s="15"/>
      <c r="P42" s="15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 outlineLevel="1" x14ac:dyDescent="0.3">
      <c r="A43" s="15"/>
      <c r="B43" s="22" t="s">
        <v>49</v>
      </c>
      <c r="C43" s="1"/>
      <c r="D43" s="1"/>
      <c r="E43" s="23"/>
      <c r="F43" s="45"/>
      <c r="G43" s="195">
        <v>2029</v>
      </c>
      <c r="H43" s="196"/>
      <c r="I43" s="196"/>
      <c r="J43" s="196"/>
      <c r="K43" s="196"/>
      <c r="L43" s="197"/>
      <c r="M43" s="15"/>
      <c r="N43" s="15"/>
      <c r="O43" s="15"/>
      <c r="P43" s="15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" customHeight="1" outlineLevel="1" x14ac:dyDescent="0.3">
      <c r="A44" s="15"/>
      <c r="B44" s="25" t="s">
        <v>27</v>
      </c>
      <c r="C44" s="29" t="s">
        <v>31</v>
      </c>
      <c r="D44" s="26" t="s">
        <v>28</v>
      </c>
      <c r="E44" s="27" t="s">
        <v>29</v>
      </c>
      <c r="F44" s="46"/>
      <c r="G44" s="47" t="s">
        <v>50</v>
      </c>
      <c r="H44" s="48"/>
      <c r="I44" s="48"/>
      <c r="J44" s="49"/>
      <c r="K44" s="50" t="s">
        <v>51</v>
      </c>
      <c r="L44" s="51" t="s">
        <v>38</v>
      </c>
      <c r="M44" s="15"/>
      <c r="N44" s="15"/>
      <c r="O44" s="15"/>
      <c r="P44" s="15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" customHeight="1" outlineLevel="1" x14ac:dyDescent="0.3">
      <c r="A45" s="15"/>
      <c r="B45" s="52" t="s">
        <v>42</v>
      </c>
      <c r="C45" s="33" t="s">
        <v>40</v>
      </c>
      <c r="D45" s="33">
        <v>4035</v>
      </c>
      <c r="E45" s="34">
        <v>4707</v>
      </c>
      <c r="F45" s="53"/>
      <c r="G45" s="54">
        <f t="shared" ref="G45:G47" si="4">F31</f>
        <v>413029036</v>
      </c>
      <c r="H45" s="48"/>
      <c r="I45" s="48"/>
      <c r="J45" s="55"/>
      <c r="K45" s="56">
        <v>5.79E-2</v>
      </c>
      <c r="L45" s="38">
        <f t="shared" ref="L45:L49" si="5">+K45*G45</f>
        <v>23914381.1844</v>
      </c>
      <c r="M45" s="15"/>
      <c r="N45" s="15"/>
      <c r="O45" s="15"/>
      <c r="P45" s="15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" customHeight="1" outlineLevel="1" x14ac:dyDescent="0.3">
      <c r="A46" s="15"/>
      <c r="B46" s="52" t="s">
        <v>43</v>
      </c>
      <c r="C46" s="33" t="s">
        <v>40</v>
      </c>
      <c r="D46" s="33">
        <v>4010</v>
      </c>
      <c r="E46" s="34">
        <v>4707</v>
      </c>
      <c r="F46" s="53"/>
      <c r="G46" s="54">
        <f t="shared" si="4"/>
        <v>559948340</v>
      </c>
      <c r="H46" s="48"/>
      <c r="I46" s="48"/>
      <c r="J46" s="55"/>
      <c r="K46" s="32">
        <v>5.79E-2</v>
      </c>
      <c r="L46" s="38">
        <f t="shared" si="5"/>
        <v>32421008.886</v>
      </c>
      <c r="M46" s="15"/>
      <c r="N46" s="15"/>
      <c r="O46" s="15"/>
      <c r="P46" s="15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" customHeight="1" outlineLevel="1" x14ac:dyDescent="0.3">
      <c r="A47" s="15"/>
      <c r="B47" s="52" t="s">
        <v>44</v>
      </c>
      <c r="C47" s="33" t="s">
        <v>40</v>
      </c>
      <c r="D47" s="33">
        <v>4010</v>
      </c>
      <c r="E47" s="34">
        <v>4707</v>
      </c>
      <c r="F47" s="53"/>
      <c r="G47" s="54">
        <f t="shared" si="4"/>
        <v>628899582</v>
      </c>
      <c r="H47" s="48"/>
      <c r="I47" s="48"/>
      <c r="J47" s="55"/>
      <c r="K47" s="32">
        <v>5.79E-2</v>
      </c>
      <c r="L47" s="38">
        <f t="shared" si="5"/>
        <v>36413285.797799997</v>
      </c>
      <c r="M47" s="15"/>
      <c r="N47" s="15"/>
      <c r="O47" s="15"/>
      <c r="P47" s="15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" customHeight="1" outlineLevel="1" x14ac:dyDescent="0.3">
      <c r="A48" s="15"/>
      <c r="B48" s="32"/>
      <c r="C48" s="33"/>
      <c r="D48" s="33">
        <v>4010</v>
      </c>
      <c r="E48" s="34">
        <v>4707</v>
      </c>
      <c r="F48" s="53"/>
      <c r="G48" s="54"/>
      <c r="H48" s="48"/>
      <c r="I48" s="48"/>
      <c r="J48" s="55"/>
      <c r="K48" s="32"/>
      <c r="L48" s="38">
        <f t="shared" si="5"/>
        <v>0</v>
      </c>
      <c r="M48" s="15"/>
      <c r="N48" s="15"/>
      <c r="O48" s="15"/>
      <c r="P48" s="15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" customHeight="1" outlineLevel="1" x14ac:dyDescent="0.3">
      <c r="A49" s="15"/>
      <c r="B49" s="32"/>
      <c r="C49" s="33"/>
      <c r="D49" s="33">
        <v>4010</v>
      </c>
      <c r="E49" s="34">
        <v>4707</v>
      </c>
      <c r="F49" s="53"/>
      <c r="G49" s="54"/>
      <c r="H49" s="48"/>
      <c r="I49" s="48"/>
      <c r="J49" s="57"/>
      <c r="K49" s="32"/>
      <c r="L49" s="38">
        <f t="shared" si="5"/>
        <v>0</v>
      </c>
      <c r="M49" s="15"/>
      <c r="N49" s="15"/>
      <c r="O49" s="15"/>
      <c r="P49" s="15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" customHeight="1" outlineLevel="1" x14ac:dyDescent="0.3">
      <c r="A50" s="15"/>
      <c r="B50" s="1"/>
      <c r="C50" s="1"/>
      <c r="D50" s="1"/>
      <c r="E50" s="1"/>
      <c r="F50" s="58">
        <f>+F45+F46</f>
        <v>0</v>
      </c>
      <c r="G50" s="59">
        <f>SUM(G45:G49)</f>
        <v>1601876958</v>
      </c>
      <c r="H50" s="48"/>
      <c r="I50" s="48"/>
      <c r="J50" s="60"/>
      <c r="K50" s="61"/>
      <c r="L50" s="62">
        <f>SUM(L45:L49)</f>
        <v>92748675.868200004</v>
      </c>
      <c r="M50" s="15"/>
      <c r="N50" s="15"/>
      <c r="O50" s="15"/>
      <c r="P50" s="15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" customHeight="1" outlineLevel="1" x14ac:dyDescent="0.3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 outlineLevel="1" x14ac:dyDescent="0.3">
      <c r="A52" s="1"/>
      <c r="B52" s="22" t="s">
        <v>52</v>
      </c>
      <c r="C52" s="1"/>
      <c r="D52" s="1"/>
      <c r="E52" s="23"/>
      <c r="F52" s="24"/>
      <c r="G52" s="195">
        <f>G43</f>
        <v>2029</v>
      </c>
      <c r="H52" s="196"/>
      <c r="I52" s="196"/>
      <c r="J52" s="196"/>
      <c r="K52" s="196"/>
      <c r="L52" s="197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" customHeight="1" outlineLevel="1" x14ac:dyDescent="0.3">
      <c r="A53" s="63"/>
      <c r="B53" s="25" t="s">
        <v>27</v>
      </c>
      <c r="C53" s="26"/>
      <c r="D53" s="26" t="s">
        <v>28</v>
      </c>
      <c r="E53" s="27" t="s">
        <v>29</v>
      </c>
      <c r="F53" s="26"/>
      <c r="G53" s="26"/>
      <c r="H53" s="26"/>
      <c r="I53" s="26"/>
      <c r="J53" s="26"/>
      <c r="K53" s="26"/>
      <c r="L53" s="29" t="s">
        <v>38</v>
      </c>
      <c r="M53" s="63"/>
      <c r="N53" s="63"/>
      <c r="O53" s="63"/>
      <c r="P53" s="63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30.75" customHeight="1" outlineLevel="1" x14ac:dyDescent="0.3">
      <c r="A54" s="1"/>
      <c r="B54" s="28" t="s">
        <v>30</v>
      </c>
      <c r="C54" s="29" t="s">
        <v>31</v>
      </c>
      <c r="D54" s="29" t="s">
        <v>32</v>
      </c>
      <c r="E54" s="29" t="s">
        <v>32</v>
      </c>
      <c r="F54" s="64"/>
      <c r="G54" s="64"/>
      <c r="H54" s="31" t="s">
        <v>53</v>
      </c>
      <c r="I54" s="65"/>
      <c r="J54" s="65"/>
      <c r="K54" s="64" t="s">
        <v>54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" customHeight="1" outlineLevel="1" x14ac:dyDescent="0.3">
      <c r="A55" s="1"/>
      <c r="B55" s="66" t="str">
        <f t="shared" ref="B55:B65" si="6">IF(B29=0,"",B29)</f>
        <v>RESIDENTIAL</v>
      </c>
      <c r="C55" s="33" t="s">
        <v>40</v>
      </c>
      <c r="D55" s="33">
        <v>4006</v>
      </c>
      <c r="E55" s="33">
        <v>4707</v>
      </c>
      <c r="F55" s="67"/>
      <c r="G55" s="67"/>
      <c r="H55" s="68">
        <f t="shared" ref="H55:H65" si="7">+H29</f>
        <v>25177143.780000001</v>
      </c>
      <c r="I55" s="67"/>
      <c r="J55" s="67"/>
      <c r="K55" s="69">
        <f t="shared" ref="K55:K65" si="8">+$G$18/1000</f>
        <v>7.2419999999999998E-2</v>
      </c>
      <c r="L55" s="38">
        <f t="shared" ref="L55:L65" si="9">+K55*H55</f>
        <v>1823328.7525476001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" customHeight="1" outlineLevel="1" x14ac:dyDescent="0.3">
      <c r="A56" s="1"/>
      <c r="B56" s="66" t="str">
        <f t="shared" si="6"/>
        <v>GENERAL SERVICE &lt;50KW</v>
      </c>
      <c r="C56" s="33" t="s">
        <v>40</v>
      </c>
      <c r="D56" s="33">
        <v>4010</v>
      </c>
      <c r="E56" s="33">
        <v>4707</v>
      </c>
      <c r="F56" s="67"/>
      <c r="G56" s="67"/>
      <c r="H56" s="68">
        <f t="shared" si="7"/>
        <v>108644279.97</v>
      </c>
      <c r="I56" s="67"/>
      <c r="J56" s="67"/>
      <c r="K56" s="69">
        <f t="shared" si="8"/>
        <v>7.2419999999999998E-2</v>
      </c>
      <c r="L56" s="38">
        <f t="shared" si="9"/>
        <v>7868018.7554273997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" customHeight="1" outlineLevel="1" x14ac:dyDescent="0.3">
      <c r="A57" s="1"/>
      <c r="B57" s="66" t="str">
        <f t="shared" si="6"/>
        <v>GENERAL SERVICE 1000-1500KW</v>
      </c>
      <c r="C57" s="33" t="s">
        <v>40</v>
      </c>
      <c r="D57" s="33">
        <v>4035</v>
      </c>
      <c r="E57" s="33">
        <v>4707</v>
      </c>
      <c r="F57" s="67"/>
      <c r="G57" s="67"/>
      <c r="H57" s="68">
        <f t="shared" si="7"/>
        <v>2135807173.51</v>
      </c>
      <c r="I57" s="67"/>
      <c r="J57" s="67"/>
      <c r="K57" s="69">
        <f t="shared" si="8"/>
        <v>7.2419999999999998E-2</v>
      </c>
      <c r="L57" s="38">
        <f t="shared" si="9"/>
        <v>154675155.50559419</v>
      </c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" customHeight="1" outlineLevel="1" x14ac:dyDescent="0.3">
      <c r="A58" s="1"/>
      <c r="B58" s="66" t="str">
        <f t="shared" si="6"/>
        <v>GENERAL SERVICE 1500-5000 KW</v>
      </c>
      <c r="C58" s="33" t="s">
        <v>40</v>
      </c>
      <c r="D58" s="33">
        <v>4010</v>
      </c>
      <c r="E58" s="33">
        <v>4707</v>
      </c>
      <c r="F58" s="67"/>
      <c r="G58" s="67"/>
      <c r="H58" s="68">
        <f t="shared" si="7"/>
        <v>148297514.11000001</v>
      </c>
      <c r="I58" s="67"/>
      <c r="J58" s="67"/>
      <c r="K58" s="69">
        <f t="shared" si="8"/>
        <v>7.2419999999999998E-2</v>
      </c>
      <c r="L58" s="38">
        <f t="shared" si="9"/>
        <v>10739705.971846201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" customHeight="1" outlineLevel="1" x14ac:dyDescent="0.3">
      <c r="A59" s="1"/>
      <c r="B59" s="66" t="str">
        <f t="shared" si="6"/>
        <v>LARGE USER</v>
      </c>
      <c r="C59" s="33" t="s">
        <v>40</v>
      </c>
      <c r="D59" s="33">
        <v>4025</v>
      </c>
      <c r="E59" s="33">
        <v>4707</v>
      </c>
      <c r="F59" s="67"/>
      <c r="G59" s="67"/>
      <c r="H59" s="68">
        <f t="shared" si="7"/>
        <v>60159373.420000002</v>
      </c>
      <c r="I59" s="67"/>
      <c r="J59" s="67"/>
      <c r="K59" s="69">
        <f t="shared" si="8"/>
        <v>7.2419999999999998E-2</v>
      </c>
      <c r="L59" s="38">
        <f t="shared" si="9"/>
        <v>4356741.8230764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" customHeight="1" outlineLevel="1" x14ac:dyDescent="0.3">
      <c r="A60" s="1"/>
      <c r="B60" s="66" t="str">
        <f t="shared" si="6"/>
        <v>STREETLIGHTING</v>
      </c>
      <c r="C60" s="33" t="s">
        <v>40</v>
      </c>
      <c r="D60" s="33">
        <v>4025</v>
      </c>
      <c r="E60" s="33">
        <v>4707</v>
      </c>
      <c r="F60" s="67"/>
      <c r="G60" s="67"/>
      <c r="H60" s="68">
        <f t="shared" si="7"/>
        <v>22995495.359999999</v>
      </c>
      <c r="I60" s="67"/>
      <c r="J60" s="67"/>
      <c r="K60" s="69">
        <f t="shared" si="8"/>
        <v>7.2419999999999998E-2</v>
      </c>
      <c r="L60" s="38">
        <f t="shared" si="9"/>
        <v>1665333.7739712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" customHeight="1" outlineLevel="1" x14ac:dyDescent="0.3">
      <c r="A61" s="1"/>
      <c r="B61" s="66" t="str">
        <f t="shared" si="6"/>
        <v>SENTINEL LIGHTS</v>
      </c>
      <c r="C61" s="33" t="s">
        <v>40</v>
      </c>
      <c r="D61" s="33">
        <v>4025</v>
      </c>
      <c r="E61" s="33">
        <v>4707</v>
      </c>
      <c r="F61" s="67"/>
      <c r="G61" s="67"/>
      <c r="H61" s="68">
        <f t="shared" si="7"/>
        <v>0</v>
      </c>
      <c r="I61" s="67"/>
      <c r="J61" s="67"/>
      <c r="K61" s="69">
        <f t="shared" si="8"/>
        <v>7.2419999999999998E-2</v>
      </c>
      <c r="L61" s="38">
        <f t="shared" si="9"/>
        <v>0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" customHeight="1" outlineLevel="1" x14ac:dyDescent="0.3">
      <c r="A62" s="1"/>
      <c r="B62" s="66" t="str">
        <f t="shared" si="6"/>
        <v>UNMETERED SCATTERED LOADS</v>
      </c>
      <c r="C62" s="33" t="s">
        <v>40</v>
      </c>
      <c r="D62" s="33">
        <v>4025</v>
      </c>
      <c r="E62" s="33">
        <v>4707</v>
      </c>
      <c r="F62" s="67"/>
      <c r="G62" s="67"/>
      <c r="H62" s="68">
        <f t="shared" si="7"/>
        <v>0</v>
      </c>
      <c r="I62" s="67"/>
      <c r="J62" s="67"/>
      <c r="K62" s="69">
        <f t="shared" si="8"/>
        <v>7.2419999999999998E-2</v>
      </c>
      <c r="L62" s="38">
        <f t="shared" si="9"/>
        <v>0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" customHeight="1" outlineLevel="1" x14ac:dyDescent="0.3">
      <c r="A63" s="1"/>
      <c r="B63" s="66" t="str">
        <f t="shared" si="6"/>
        <v>DRYCORE</v>
      </c>
      <c r="C63" s="33" t="s">
        <v>40</v>
      </c>
      <c r="D63" s="33">
        <v>4025</v>
      </c>
      <c r="E63" s="33">
        <v>4707</v>
      </c>
      <c r="F63" s="67"/>
      <c r="G63" s="67"/>
      <c r="H63" s="68">
        <f t="shared" si="7"/>
        <v>6931149.8799999999</v>
      </c>
      <c r="I63" s="67"/>
      <c r="J63" s="67"/>
      <c r="K63" s="69">
        <f t="shared" si="8"/>
        <v>7.2419999999999998E-2</v>
      </c>
      <c r="L63" s="38">
        <f t="shared" si="9"/>
        <v>501953.87430959998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" customHeight="1" outlineLevel="1" x14ac:dyDescent="0.3">
      <c r="A64" s="1"/>
      <c r="B64" s="66" t="str">
        <f t="shared" si="6"/>
        <v/>
      </c>
      <c r="C64" s="33" t="s">
        <v>40</v>
      </c>
      <c r="D64" s="33">
        <v>4025</v>
      </c>
      <c r="E64" s="33">
        <v>4707</v>
      </c>
      <c r="F64" s="67"/>
      <c r="G64" s="67"/>
      <c r="H64" s="68">
        <f t="shared" si="7"/>
        <v>0</v>
      </c>
      <c r="I64" s="67"/>
      <c r="J64" s="67"/>
      <c r="K64" s="69">
        <f t="shared" si="8"/>
        <v>7.2419999999999998E-2</v>
      </c>
      <c r="L64" s="38">
        <f t="shared" si="9"/>
        <v>0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" customHeight="1" outlineLevel="1" x14ac:dyDescent="0.3">
      <c r="A65" s="1"/>
      <c r="B65" s="66" t="str">
        <f t="shared" si="6"/>
        <v/>
      </c>
      <c r="C65" s="33" t="s">
        <v>40</v>
      </c>
      <c r="D65" s="33">
        <v>4025</v>
      </c>
      <c r="E65" s="33">
        <v>4707</v>
      </c>
      <c r="F65" s="67"/>
      <c r="G65" s="67"/>
      <c r="H65" s="68">
        <f t="shared" si="7"/>
        <v>0</v>
      </c>
      <c r="I65" s="67"/>
      <c r="J65" s="67"/>
      <c r="K65" s="69">
        <f t="shared" si="8"/>
        <v>7.2419999999999998E-2</v>
      </c>
      <c r="L65" s="38">
        <f t="shared" si="9"/>
        <v>0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" customHeight="1" outlineLevel="1" x14ac:dyDescent="0.3">
      <c r="A66" s="1"/>
      <c r="B66" s="66" t="s">
        <v>55</v>
      </c>
      <c r="C66" s="29"/>
      <c r="D66" s="29"/>
      <c r="E66" s="30"/>
      <c r="F66" s="70"/>
      <c r="G66" s="70"/>
      <c r="H66" s="71">
        <f>SUM(H55:H65)</f>
        <v>2508012130.0300007</v>
      </c>
      <c r="I66" s="70"/>
      <c r="J66" s="70"/>
      <c r="K66" s="72"/>
      <c r="L66" s="43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" customHeight="1" outlineLevel="1" x14ac:dyDescent="0.3">
      <c r="A67" s="1"/>
      <c r="B67" s="25" t="s">
        <v>56</v>
      </c>
      <c r="C67" s="39"/>
      <c r="D67" s="26"/>
      <c r="E67" s="27"/>
      <c r="F67" s="73"/>
      <c r="G67" s="73"/>
      <c r="H67" s="73"/>
      <c r="I67" s="73"/>
      <c r="J67" s="73"/>
      <c r="K67" s="40"/>
      <c r="L67" s="62">
        <f>SUM(L55:L65)</f>
        <v>181630238.4567726</v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" customHeight="1" outlineLevel="1" x14ac:dyDescent="0.3">
      <c r="A68" s="1"/>
      <c r="B68" s="63"/>
      <c r="C68" s="74"/>
      <c r="D68" s="75"/>
      <c r="E68" s="75"/>
      <c r="F68" s="76"/>
      <c r="G68" s="76"/>
      <c r="H68" s="76"/>
      <c r="I68" s="76"/>
      <c r="J68" s="76"/>
      <c r="K68" s="76"/>
      <c r="L68" s="8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" customHeight="1" outlineLevel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77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 x14ac:dyDescent="0.75">
      <c r="A70" s="1" t="s">
        <v>57</v>
      </c>
      <c r="B70" s="1"/>
      <c r="C70" s="1"/>
      <c r="D70" s="1"/>
      <c r="E70" s="1"/>
      <c r="F70" s="78"/>
      <c r="G70" s="78"/>
      <c r="H70" s="78"/>
      <c r="I70" s="78"/>
      <c r="J70" s="78"/>
      <c r="K70" s="78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 x14ac:dyDescent="0.3">
      <c r="A71" s="1" t="s">
        <v>58</v>
      </c>
      <c r="B71" s="1"/>
      <c r="C71" s="1"/>
      <c r="D71" s="1"/>
      <c r="E71" s="1"/>
      <c r="F71" s="1"/>
      <c r="G71" s="79"/>
      <c r="H71" s="79"/>
      <c r="I71" s="79"/>
      <c r="J71" s="79"/>
      <c r="K71" s="79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 x14ac:dyDescent="0.3">
      <c r="A72" s="1" t="s">
        <v>59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mergeCells count="8">
    <mergeCell ref="G43:L43"/>
    <mergeCell ref="G52:L52"/>
    <mergeCell ref="B4:I6"/>
    <mergeCell ref="C17:E17"/>
    <mergeCell ref="C18:E18"/>
    <mergeCell ref="C19:E19"/>
    <mergeCell ref="C20:E20"/>
    <mergeCell ref="G26:L26"/>
  </mergeCells>
  <conditionalFormatting sqref="B1">
    <cfRule type="expression" dxfId="0" priority="1" stopIfTrue="1">
      <formula>LEFT($C1,6)="Macros"</formula>
    </cfRule>
  </conditionalFormatting>
  <pageMargins left="0.7" right="0.7" top="0.75" bottom="0.75" header="0" footer="0"/>
  <pageSetup paperSize="5" scale="7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9289B-C7FD-4B49-98CB-9B6E2332020A}">
  <dimension ref="A1:Z1000"/>
  <sheetViews>
    <sheetView showGridLines="0" tabSelected="1" workbookViewId="0">
      <selection activeCell="K9" sqref="K9"/>
    </sheetView>
  </sheetViews>
  <sheetFormatPr defaultColWidth="12.5546875" defaultRowHeight="15" customHeight="1" x14ac:dyDescent="0.3"/>
  <cols>
    <col min="1" max="1" width="37" customWidth="1"/>
    <col min="2" max="2" width="8" customWidth="1"/>
    <col min="3" max="3" width="1.5546875" customWidth="1"/>
    <col min="4" max="4" width="23.109375" customWidth="1"/>
    <col min="5" max="5" width="15.109375" customWidth="1"/>
    <col min="6" max="6" width="12.88671875" customWidth="1"/>
    <col min="7" max="7" width="2.109375" customWidth="1"/>
    <col min="8" max="8" width="19.109375" customWidth="1"/>
    <col min="9" max="9" width="11.109375" customWidth="1"/>
    <col min="10" max="10" width="13.109375" customWidth="1"/>
    <col min="11" max="11" width="16.109375" customWidth="1"/>
    <col min="12" max="12" width="12" customWidth="1"/>
    <col min="13" max="13" width="36.109375" bestFit="1" customWidth="1"/>
    <col min="14" max="16" width="9.109375" customWidth="1"/>
    <col min="17" max="17" width="10.5546875" bestFit="1" customWidth="1"/>
    <col min="18" max="18" width="9.109375" customWidth="1"/>
    <col min="19" max="19" width="11.5546875" bestFit="1" customWidth="1"/>
    <col min="20" max="20" width="8" bestFit="1" customWidth="1"/>
    <col min="21" max="22" width="10.5546875" bestFit="1" customWidth="1"/>
    <col min="23" max="26" width="9.109375" customWidth="1"/>
  </cols>
  <sheetData>
    <row r="1" spans="1:26" ht="21" x14ac:dyDescent="0.4">
      <c r="A1" s="226" t="s">
        <v>60</v>
      </c>
      <c r="B1" s="199"/>
      <c r="C1" s="199"/>
      <c r="D1" s="199"/>
      <c r="E1" s="199"/>
      <c r="F1" s="199"/>
      <c r="G1" s="199"/>
      <c r="H1" s="199"/>
      <c r="I1" s="199"/>
      <c r="J1" s="199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4" x14ac:dyDescent="0.3">
      <c r="A2" s="80"/>
      <c r="B2" s="80"/>
      <c r="C2" s="80"/>
      <c r="D2" s="80"/>
      <c r="E2" s="80"/>
      <c r="F2" s="80"/>
      <c r="G2" s="80"/>
      <c r="H2" s="80"/>
      <c r="I2" s="80"/>
      <c r="J2" s="4" t="s">
        <v>0</v>
      </c>
      <c r="K2" s="5" t="s">
        <v>1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4" x14ac:dyDescent="0.3">
      <c r="A3" s="80"/>
      <c r="B3" s="80"/>
      <c r="C3" s="80"/>
      <c r="D3" s="80"/>
      <c r="E3" s="80"/>
      <c r="F3" s="80"/>
      <c r="G3" s="80"/>
      <c r="H3" s="80"/>
      <c r="I3" s="80"/>
      <c r="J3" s="4" t="s">
        <v>2</v>
      </c>
      <c r="K3" s="5">
        <v>2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4" x14ac:dyDescent="0.3">
      <c r="A4" s="80"/>
      <c r="B4" s="80"/>
      <c r="C4" s="80"/>
      <c r="D4" s="80"/>
      <c r="E4" s="80"/>
      <c r="F4" s="80"/>
      <c r="G4" s="80"/>
      <c r="H4" s="80"/>
      <c r="I4" s="80"/>
      <c r="J4" s="4" t="s">
        <v>4</v>
      </c>
      <c r="K4" s="5">
        <v>3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4" x14ac:dyDescent="0.3">
      <c r="A5" s="80"/>
      <c r="B5" s="80"/>
      <c r="C5" s="80"/>
      <c r="D5" s="80"/>
      <c r="E5" s="80"/>
      <c r="F5" s="80"/>
      <c r="G5" s="80"/>
      <c r="H5" s="80"/>
      <c r="I5" s="80"/>
      <c r="J5" s="4" t="s">
        <v>5</v>
      </c>
      <c r="K5" s="5">
        <v>1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4" x14ac:dyDescent="0.3">
      <c r="A6" s="80"/>
      <c r="B6" s="80"/>
      <c r="C6" s="80"/>
      <c r="D6" s="80"/>
      <c r="E6" s="80"/>
      <c r="F6" s="80"/>
      <c r="G6" s="80"/>
      <c r="H6" s="80"/>
      <c r="I6" s="80"/>
      <c r="J6" s="4" t="s">
        <v>6</v>
      </c>
      <c r="K6" s="5" t="s">
        <v>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4" x14ac:dyDescent="0.3">
      <c r="A7" s="1" t="s">
        <v>61</v>
      </c>
      <c r="B7" s="1"/>
      <c r="C7" s="1"/>
      <c r="D7" s="1"/>
      <c r="E7" s="1"/>
      <c r="F7" s="1"/>
      <c r="G7" s="1"/>
      <c r="H7" s="1"/>
      <c r="I7" s="1"/>
      <c r="J7" s="4"/>
      <c r="K7" s="9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4" x14ac:dyDescent="0.3">
      <c r="A8" s="1" t="s">
        <v>62</v>
      </c>
      <c r="B8" s="1"/>
      <c r="C8" s="1"/>
      <c r="D8" s="1"/>
      <c r="E8" s="1"/>
      <c r="F8" s="1"/>
      <c r="G8" s="1"/>
      <c r="H8" s="1"/>
      <c r="I8" s="1"/>
      <c r="J8" s="4" t="s">
        <v>8</v>
      </c>
      <c r="K8" s="5" t="s">
        <v>106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4" x14ac:dyDescent="0.3">
      <c r="A9" s="1" t="s">
        <v>63</v>
      </c>
      <c r="B9" s="1"/>
      <c r="C9" s="1"/>
      <c r="D9" s="1"/>
      <c r="E9" s="227"/>
      <c r="F9" s="199"/>
      <c r="G9" s="8"/>
      <c r="H9" s="8"/>
      <c r="I9" s="227"/>
      <c r="J9" s="199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4" x14ac:dyDescent="0.3">
      <c r="A10" s="106"/>
      <c r="B10" s="107"/>
      <c r="C10" s="108"/>
      <c r="D10" s="109" t="s">
        <v>64</v>
      </c>
      <c r="E10" s="228" t="s">
        <v>15</v>
      </c>
      <c r="F10" s="202"/>
      <c r="G10" s="110"/>
      <c r="H10" s="109" t="s">
        <v>64</v>
      </c>
      <c r="I10" s="228" t="s">
        <v>14</v>
      </c>
      <c r="J10" s="202"/>
      <c r="K10" s="111" t="s">
        <v>65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4" x14ac:dyDescent="0.3">
      <c r="A11" s="112" t="s">
        <v>66</v>
      </c>
      <c r="B11" s="229" t="s">
        <v>67</v>
      </c>
      <c r="C11" s="113"/>
      <c r="D11" s="114" t="s">
        <v>68</v>
      </c>
      <c r="E11" s="114" t="s">
        <v>69</v>
      </c>
      <c r="F11" s="115" t="s">
        <v>70</v>
      </c>
      <c r="G11" s="116"/>
      <c r="H11" s="114" t="s">
        <v>68</v>
      </c>
      <c r="I11" s="114" t="s">
        <v>69</v>
      </c>
      <c r="J11" s="115" t="s">
        <v>70</v>
      </c>
      <c r="K11" s="117" t="s">
        <v>71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4" x14ac:dyDescent="0.3">
      <c r="A12" s="118" t="s">
        <v>72</v>
      </c>
      <c r="B12" s="209"/>
      <c r="C12" s="119"/>
      <c r="D12" s="120"/>
      <c r="E12" s="121"/>
      <c r="F12" s="122"/>
      <c r="G12" s="106"/>
      <c r="H12" s="120"/>
      <c r="I12" s="121"/>
      <c r="J12" s="122"/>
      <c r="K12" s="20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4" x14ac:dyDescent="0.3">
      <c r="A13" s="123" t="s">
        <v>39</v>
      </c>
      <c r="B13" s="124" t="s">
        <v>40</v>
      </c>
      <c r="C13" s="119"/>
      <c r="D13" s="120">
        <f>'App.2-ZA_2029-Com. Exp. Forecas'!I29</f>
        <v>2746080015.0999999</v>
      </c>
      <c r="E13" s="125"/>
      <c r="F13" s="122">
        <f>D13*'App.2-ZA_2029-Com. Exp. Forecas'!K29</f>
        <v>308027795.29376704</v>
      </c>
      <c r="G13" s="106"/>
      <c r="H13" s="120">
        <f>'App.2-ZA_2029-Com. Exp. Forecas'!F29+'App.2-ZA_2029-Com. Exp. Forecas'!H29</f>
        <v>25177143.780000001</v>
      </c>
      <c r="I13" s="126"/>
      <c r="J13" s="122">
        <f>H13*'App.2-ZA_2029-Com. Exp. Forecas'!J29</f>
        <v>975614.321475</v>
      </c>
      <c r="K13" s="208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4" x14ac:dyDescent="0.3">
      <c r="A14" s="123" t="s">
        <v>41</v>
      </c>
      <c r="B14" s="124" t="s">
        <v>40</v>
      </c>
      <c r="C14" s="119"/>
      <c r="D14" s="120">
        <f>'App.2-ZA_2029-Com. Exp. Forecas'!I30</f>
        <v>638296830.01999998</v>
      </c>
      <c r="E14" s="125"/>
      <c r="F14" s="122">
        <f>D14*'App.2-ZA_2029-Com. Exp. Forecas'!K30</f>
        <v>71597755.423343405</v>
      </c>
      <c r="G14" s="106"/>
      <c r="H14" s="120">
        <f>'App.2-ZA_2029-Com. Exp. Forecas'!F30+'App.2-ZA_2029-Com. Exp. Forecas'!H30</f>
        <v>108644279.97</v>
      </c>
      <c r="I14" s="126"/>
      <c r="J14" s="122">
        <f>H14*'App.2-ZA_2029-Com. Exp. Forecas'!J30</f>
        <v>4209965.8488374995</v>
      </c>
      <c r="K14" s="208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4" x14ac:dyDescent="0.3">
      <c r="A15" s="123" t="s">
        <v>42</v>
      </c>
      <c r="B15" s="124" t="s">
        <v>40</v>
      </c>
      <c r="C15" s="119"/>
      <c r="D15" s="120">
        <f>'App.2-ZA_2029-Com. Exp. Forecas'!I31</f>
        <v>337132040.76999998</v>
      </c>
      <c r="E15" s="125"/>
      <c r="F15" s="122">
        <f>D15*'App.2-ZA_2029-Com. Exp. Forecas'!K31</f>
        <v>37816101.013170898</v>
      </c>
      <c r="G15" s="106"/>
      <c r="H15" s="120">
        <f>'App.2-ZA_2029-Com. Exp. Forecas'!F31+'App.2-ZA_2029-Com. Exp. Forecas'!H31</f>
        <v>2548836209.5100002</v>
      </c>
      <c r="I15" s="126"/>
      <c r="J15" s="122">
        <f>H15*'App.2-ZA_2029-Com. Exp. Forecas'!J31</f>
        <v>98767403.118512511</v>
      </c>
      <c r="K15" s="208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4" x14ac:dyDescent="0.3">
      <c r="A16" s="123" t="s">
        <v>43</v>
      </c>
      <c r="B16" s="124" t="s">
        <v>40</v>
      </c>
      <c r="C16" s="119"/>
      <c r="D16" s="120">
        <f>'App.2-ZA_2029-Com. Exp. Forecas'!I32</f>
        <v>0</v>
      </c>
      <c r="E16" s="125"/>
      <c r="F16" s="122">
        <f>D16*'App.2-ZA_2029-Com. Exp. Forecas'!K32</f>
        <v>0</v>
      </c>
      <c r="G16" s="106"/>
      <c r="H16" s="120">
        <f>'App.2-ZA_2029-Com. Exp. Forecas'!F32+'App.2-ZA_2029-Com. Exp. Forecas'!H32</f>
        <v>708245854.11000001</v>
      </c>
      <c r="I16" s="126"/>
      <c r="J16" s="122">
        <f>H16*'App.2-ZA_2029-Com. Exp. Forecas'!J32</f>
        <v>27444526.846762501</v>
      </c>
      <c r="K16" s="208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4" x14ac:dyDescent="0.3">
      <c r="A17" s="123" t="s">
        <v>44</v>
      </c>
      <c r="B17" s="124" t="s">
        <v>40</v>
      </c>
      <c r="C17" s="119"/>
      <c r="D17" s="120">
        <f>'App.2-ZA_2029-Com. Exp. Forecas'!I33</f>
        <v>0</v>
      </c>
      <c r="E17" s="125"/>
      <c r="F17" s="122">
        <f>D17*'App.2-ZA_2029-Com. Exp. Forecas'!K33</f>
        <v>0</v>
      </c>
      <c r="G17" s="106"/>
      <c r="H17" s="120">
        <f>'App.2-ZA_2029-Com. Exp. Forecas'!F33+'App.2-ZA_2029-Com. Exp. Forecas'!H33</f>
        <v>689058955.41999996</v>
      </c>
      <c r="I17" s="126"/>
      <c r="J17" s="122">
        <f>H17*'App.2-ZA_2029-Com. Exp. Forecas'!J33</f>
        <v>26701034.522524998</v>
      </c>
      <c r="K17" s="208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4" x14ac:dyDescent="0.3">
      <c r="A18" s="123" t="s">
        <v>45</v>
      </c>
      <c r="B18" s="124" t="s">
        <v>40</v>
      </c>
      <c r="C18" s="119"/>
      <c r="D18" s="120">
        <f>'App.2-ZA_2029-Com. Exp. Forecas'!I34</f>
        <v>0</v>
      </c>
      <c r="E18" s="125"/>
      <c r="F18" s="122">
        <f>D18*'App.2-ZA_2029-Com. Exp. Forecas'!K34</f>
        <v>0</v>
      </c>
      <c r="G18" s="106"/>
      <c r="H18" s="120">
        <f>'App.2-ZA_2029-Com. Exp. Forecas'!F34+'App.2-ZA_2029-Com. Exp. Forecas'!H34</f>
        <v>22995495.359999999</v>
      </c>
      <c r="I18" s="126"/>
      <c r="J18" s="122">
        <f>H18*'App.2-ZA_2029-Com. Exp. Forecas'!J34</f>
        <v>891075.44519999996</v>
      </c>
      <c r="K18" s="208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4" x14ac:dyDescent="0.3">
      <c r="A19" s="123" t="s">
        <v>46</v>
      </c>
      <c r="B19" s="124" t="s">
        <v>40</v>
      </c>
      <c r="C19" s="119"/>
      <c r="D19" s="120">
        <f>'App.2-ZA_2029-Com. Exp. Forecas'!I35</f>
        <v>39702.78</v>
      </c>
      <c r="E19" s="125"/>
      <c r="F19" s="122">
        <f>D19*'App.2-ZA_2029-Com. Exp. Forecas'!K35</f>
        <v>4453.4608325999998</v>
      </c>
      <c r="G19" s="106"/>
      <c r="H19" s="120">
        <f>'App.2-ZA_2029-Com. Exp. Forecas'!F35+'App.2-ZA_2029-Com. Exp. Forecas'!H35</f>
        <v>0</v>
      </c>
      <c r="I19" s="126"/>
      <c r="J19" s="122">
        <f>H19*'App.2-ZA_2029-Com. Exp. Forecas'!J35</f>
        <v>0</v>
      </c>
      <c r="K19" s="208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4" x14ac:dyDescent="0.3">
      <c r="A20" s="123" t="s">
        <v>47</v>
      </c>
      <c r="B20" s="124" t="s">
        <v>40</v>
      </c>
      <c r="C20" s="119"/>
      <c r="D20" s="120">
        <f>'App.2-ZA_2029-Com. Exp. Forecas'!I36</f>
        <v>15118477.74</v>
      </c>
      <c r="E20" s="125"/>
      <c r="F20" s="122">
        <f>D20*'App.2-ZA_2029-Com. Exp. Forecas'!K36</f>
        <v>1695839.6480958001</v>
      </c>
      <c r="G20" s="106"/>
      <c r="H20" s="120">
        <f>'App.2-ZA_2029-Com. Exp. Forecas'!F36+'App.2-ZA_2029-Com. Exp. Forecas'!H36</f>
        <v>0</v>
      </c>
      <c r="I20" s="126"/>
      <c r="J20" s="122">
        <f>H20*'App.2-ZA_2029-Com. Exp. Forecas'!J36</f>
        <v>0</v>
      </c>
      <c r="K20" s="208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123" t="s">
        <v>48</v>
      </c>
      <c r="B21" s="124" t="s">
        <v>40</v>
      </c>
      <c r="C21" s="119"/>
      <c r="D21" s="120"/>
      <c r="E21" s="125"/>
      <c r="F21" s="122"/>
      <c r="G21" s="106"/>
      <c r="H21" s="120">
        <f>'App.2-ZA_2029-Com. Exp. Forecas'!F37+'App.2-ZA_2029-Com. Exp. Forecas'!H37</f>
        <v>6931149.8799999999</v>
      </c>
      <c r="I21" s="126"/>
      <c r="J21" s="122">
        <f>H21*'App.2-ZA_2029-Com. Exp. Forecas'!J37</f>
        <v>268582.05784999998</v>
      </c>
      <c r="K21" s="208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123"/>
      <c r="B22" s="124"/>
      <c r="C22" s="127"/>
      <c r="D22" s="120"/>
      <c r="E22" s="125"/>
      <c r="F22" s="122"/>
      <c r="G22" s="106"/>
      <c r="H22" s="120"/>
      <c r="I22" s="126"/>
      <c r="J22" s="122">
        <f>H22*'App.2-ZA_2029-Com. Exp. Forecas'!J38</f>
        <v>0</v>
      </c>
      <c r="K22" s="208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123"/>
      <c r="B23" s="128"/>
      <c r="C23" s="119"/>
      <c r="D23" s="120"/>
      <c r="E23" s="125"/>
      <c r="F23" s="122"/>
      <c r="G23" s="106"/>
      <c r="H23" s="120"/>
      <c r="I23" s="126"/>
      <c r="J23" s="122"/>
      <c r="K23" s="209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118" t="s">
        <v>73</v>
      </c>
      <c r="B24" s="123"/>
      <c r="C24" s="119"/>
      <c r="D24" s="120"/>
      <c r="E24" s="129"/>
      <c r="F24" s="130">
        <f>SUM(F13:F23)</f>
        <v>419141944.83920974</v>
      </c>
      <c r="G24" s="123"/>
      <c r="H24" s="120"/>
      <c r="I24" s="131"/>
      <c r="J24" s="132">
        <f>SUM(J13:J23)</f>
        <v>159258202.16116253</v>
      </c>
      <c r="K24" s="133">
        <f>F24+J24</f>
        <v>578400147.00037229</v>
      </c>
      <c r="L24" s="1" t="str">
        <f>IF(K24='App.2-ZA_2029-Com. Exp. Forecas'!L40,"OK", "ERROR")</f>
        <v>OK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7.5" customHeight="1" x14ac:dyDescent="0.3">
      <c r="A25" s="106"/>
      <c r="B25" s="106"/>
      <c r="C25" s="106"/>
      <c r="D25" s="134"/>
      <c r="E25" s="106"/>
      <c r="F25" s="106"/>
      <c r="G25" s="106"/>
      <c r="H25" s="106"/>
      <c r="I25" s="230"/>
      <c r="J25" s="231"/>
      <c r="K25" s="106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112" t="s">
        <v>74</v>
      </c>
      <c r="B26" s="229" t="s">
        <v>67</v>
      </c>
      <c r="C26" s="113"/>
      <c r="D26" s="207" t="s">
        <v>68</v>
      </c>
      <c r="E26" s="210" t="s">
        <v>69</v>
      </c>
      <c r="F26" s="214" t="s">
        <v>70</v>
      </c>
      <c r="G26" s="116"/>
      <c r="H26" s="213" t="s">
        <v>68</v>
      </c>
      <c r="I26" s="210" t="s">
        <v>69</v>
      </c>
      <c r="J26" s="214" t="s">
        <v>70</v>
      </c>
      <c r="K26" s="207" t="s">
        <v>65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118" t="s">
        <v>75</v>
      </c>
      <c r="B27" s="209"/>
      <c r="C27" s="113"/>
      <c r="D27" s="208"/>
      <c r="E27" s="232"/>
      <c r="F27" s="215"/>
      <c r="G27" s="116"/>
      <c r="H27" s="208"/>
      <c r="I27" s="232"/>
      <c r="J27" s="215"/>
      <c r="K27" s="209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123" t="str">
        <f t="shared" ref="A28:A37" si="0">IF(A13="","",A13 &amp; " - Class B")</f>
        <v>RESIDENTIAL - Class B</v>
      </c>
      <c r="B28" s="124" t="s">
        <v>40</v>
      </c>
      <c r="C28" s="119"/>
      <c r="D28" s="135"/>
      <c r="E28" s="135"/>
      <c r="F28" s="136">
        <f t="shared" ref="F28:F43" si="1">D28*E28</f>
        <v>0</v>
      </c>
      <c r="G28" s="106"/>
      <c r="H28" s="137"/>
      <c r="I28" s="135"/>
      <c r="J28" s="122">
        <f>'App.2-ZA_2029-Com. Exp. Forecas'!L55</f>
        <v>1823328.7525476001</v>
      </c>
      <c r="K28" s="207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123" t="str">
        <f t="shared" si="0"/>
        <v>GENERAL SERVICE &lt;50KW - Class B</v>
      </c>
      <c r="B29" s="124" t="s">
        <v>40</v>
      </c>
      <c r="C29" s="119"/>
      <c r="D29" s="135"/>
      <c r="E29" s="135"/>
      <c r="F29" s="136">
        <f t="shared" si="1"/>
        <v>0</v>
      </c>
      <c r="G29" s="106"/>
      <c r="H29" s="137"/>
      <c r="I29" s="135"/>
      <c r="J29" s="122">
        <f>'App.2-ZA_2029-Com. Exp. Forecas'!L56</f>
        <v>7868018.7554273997</v>
      </c>
      <c r="K29" s="208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123" t="str">
        <f t="shared" si="0"/>
        <v>GENERAL SERVICE 1000-1500KW - Class B</v>
      </c>
      <c r="B30" s="124" t="s">
        <v>40</v>
      </c>
      <c r="C30" s="119"/>
      <c r="D30" s="135"/>
      <c r="E30" s="135"/>
      <c r="F30" s="136">
        <f t="shared" si="1"/>
        <v>0</v>
      </c>
      <c r="G30" s="106"/>
      <c r="H30" s="137"/>
      <c r="I30" s="135"/>
      <c r="J30" s="122">
        <f>'App.2-ZA_2029-Com. Exp. Forecas'!L57</f>
        <v>154675155.50559419</v>
      </c>
      <c r="K30" s="208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123" t="str">
        <f t="shared" si="0"/>
        <v>GENERAL SERVICE 1500-5000 KW - Class B</v>
      </c>
      <c r="B31" s="124" t="s">
        <v>40</v>
      </c>
      <c r="C31" s="119"/>
      <c r="D31" s="135"/>
      <c r="E31" s="135"/>
      <c r="F31" s="136">
        <f t="shared" si="1"/>
        <v>0</v>
      </c>
      <c r="G31" s="106"/>
      <c r="H31" s="137"/>
      <c r="I31" s="135"/>
      <c r="J31" s="122">
        <f>'App.2-ZA_2029-Com. Exp. Forecas'!L58</f>
        <v>10739705.971846201</v>
      </c>
      <c r="K31" s="208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123" t="str">
        <f t="shared" si="0"/>
        <v>LARGE USER - Class B</v>
      </c>
      <c r="B32" s="124" t="s">
        <v>40</v>
      </c>
      <c r="C32" s="119"/>
      <c r="D32" s="135"/>
      <c r="E32" s="135"/>
      <c r="F32" s="136">
        <f t="shared" si="1"/>
        <v>0</v>
      </c>
      <c r="G32" s="106"/>
      <c r="H32" s="137"/>
      <c r="I32" s="135"/>
      <c r="J32" s="122">
        <f>'App.2-ZA_2029-Com. Exp. Forecas'!L59</f>
        <v>4356741.8230764</v>
      </c>
      <c r="K32" s="208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123" t="str">
        <f t="shared" si="0"/>
        <v>STREETLIGHTING - Class B</v>
      </c>
      <c r="B33" s="124" t="s">
        <v>40</v>
      </c>
      <c r="C33" s="119"/>
      <c r="D33" s="135"/>
      <c r="E33" s="135"/>
      <c r="F33" s="136">
        <f t="shared" si="1"/>
        <v>0</v>
      </c>
      <c r="G33" s="106"/>
      <c r="H33" s="137"/>
      <c r="I33" s="135"/>
      <c r="J33" s="122">
        <f>'App.2-ZA_2029-Com. Exp. Forecas'!L60</f>
        <v>1665333.7739712</v>
      </c>
      <c r="K33" s="208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123" t="str">
        <f t="shared" si="0"/>
        <v>SENTINEL LIGHTS - Class B</v>
      </c>
      <c r="B34" s="124" t="s">
        <v>40</v>
      </c>
      <c r="C34" s="119"/>
      <c r="D34" s="135"/>
      <c r="E34" s="135"/>
      <c r="F34" s="136">
        <f t="shared" si="1"/>
        <v>0</v>
      </c>
      <c r="G34" s="106"/>
      <c r="H34" s="137"/>
      <c r="I34" s="135"/>
      <c r="J34" s="122">
        <f>'App.2-ZA_2029-Com. Exp. Forecas'!L61</f>
        <v>0</v>
      </c>
      <c r="K34" s="208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123" t="str">
        <f t="shared" si="0"/>
        <v>UNMETERED SCATTERED LOADS - Class B</v>
      </c>
      <c r="B35" s="124" t="s">
        <v>40</v>
      </c>
      <c r="C35" s="119"/>
      <c r="D35" s="135"/>
      <c r="E35" s="135"/>
      <c r="F35" s="136">
        <f t="shared" si="1"/>
        <v>0</v>
      </c>
      <c r="G35" s="106"/>
      <c r="H35" s="137"/>
      <c r="I35" s="135"/>
      <c r="J35" s="122">
        <f>'App.2-ZA_2029-Com. Exp. Forecas'!L62</f>
        <v>0</v>
      </c>
      <c r="K35" s="208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123" t="str">
        <f t="shared" si="0"/>
        <v>DRYCORE - Class B</v>
      </c>
      <c r="B36" s="124" t="s">
        <v>40</v>
      </c>
      <c r="C36" s="119"/>
      <c r="D36" s="135"/>
      <c r="E36" s="135"/>
      <c r="F36" s="136">
        <f t="shared" si="1"/>
        <v>0</v>
      </c>
      <c r="G36" s="106"/>
      <c r="H36" s="137"/>
      <c r="I36" s="135"/>
      <c r="J36" s="122">
        <f>'App.2-ZA_2029-Com. Exp. Forecas'!L63</f>
        <v>501953.87430959998</v>
      </c>
      <c r="K36" s="208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123" t="str">
        <f t="shared" si="0"/>
        <v/>
      </c>
      <c r="B37" s="124"/>
      <c r="C37" s="119"/>
      <c r="D37" s="135"/>
      <c r="E37" s="135"/>
      <c r="F37" s="136">
        <f t="shared" si="1"/>
        <v>0</v>
      </c>
      <c r="G37" s="106"/>
      <c r="H37" s="137"/>
      <c r="I37" s="135"/>
      <c r="J37" s="122">
        <f>'App.2-ZA_2029-Com. Exp. Forecas'!L64</f>
        <v>0</v>
      </c>
      <c r="K37" s="208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123"/>
      <c r="B38" s="124"/>
      <c r="C38" s="119"/>
      <c r="D38" s="135"/>
      <c r="E38" s="135"/>
      <c r="F38" s="136">
        <f t="shared" si="1"/>
        <v>0</v>
      </c>
      <c r="G38" s="106"/>
      <c r="H38" s="137"/>
      <c r="I38" s="135"/>
      <c r="J38" s="122"/>
      <c r="K38" s="208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123" t="s">
        <v>76</v>
      </c>
      <c r="B39" s="124" t="s">
        <v>40</v>
      </c>
      <c r="C39" s="119"/>
      <c r="D39" s="135"/>
      <c r="E39" s="135"/>
      <c r="F39" s="136">
        <f t="shared" si="1"/>
        <v>0</v>
      </c>
      <c r="G39" s="106"/>
      <c r="H39" s="137"/>
      <c r="I39" s="135"/>
      <c r="J39" s="122">
        <f>'App.2-ZA_2029-Com. Exp. Forecas'!L45</f>
        <v>23914381.1844</v>
      </c>
      <c r="K39" s="208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123" t="s">
        <v>77</v>
      </c>
      <c r="B40" s="124" t="s">
        <v>40</v>
      </c>
      <c r="C40" s="119"/>
      <c r="D40" s="135"/>
      <c r="E40" s="135"/>
      <c r="F40" s="136">
        <f t="shared" si="1"/>
        <v>0</v>
      </c>
      <c r="G40" s="106"/>
      <c r="H40" s="137"/>
      <c r="I40" s="135"/>
      <c r="J40" s="122">
        <f>'App.2-ZA_2029-Com. Exp. Forecas'!L46</f>
        <v>32421008.886</v>
      </c>
      <c r="K40" s="208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123" t="s">
        <v>78</v>
      </c>
      <c r="B41" s="124" t="s">
        <v>40</v>
      </c>
      <c r="C41" s="119"/>
      <c r="D41" s="135"/>
      <c r="E41" s="135"/>
      <c r="F41" s="136">
        <f t="shared" si="1"/>
        <v>0</v>
      </c>
      <c r="G41" s="106"/>
      <c r="H41" s="137"/>
      <c r="I41" s="135"/>
      <c r="J41" s="122">
        <f>'App.2-ZA_2029-Com. Exp. Forecas'!L47</f>
        <v>36413285.797799997</v>
      </c>
      <c r="K41" s="208"/>
      <c r="L41" s="8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123"/>
      <c r="B42" s="124"/>
      <c r="C42" s="119"/>
      <c r="D42" s="135"/>
      <c r="E42" s="135"/>
      <c r="F42" s="136">
        <f t="shared" si="1"/>
        <v>0</v>
      </c>
      <c r="G42" s="106"/>
      <c r="H42" s="137"/>
      <c r="I42" s="135"/>
      <c r="J42" s="122"/>
      <c r="K42" s="208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123"/>
      <c r="B43" s="124"/>
      <c r="C43" s="119"/>
      <c r="D43" s="135"/>
      <c r="E43" s="135"/>
      <c r="F43" s="136">
        <f t="shared" si="1"/>
        <v>0</v>
      </c>
      <c r="G43" s="106"/>
      <c r="H43" s="137"/>
      <c r="I43" s="135"/>
      <c r="J43" s="122"/>
      <c r="K43" s="209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118" t="s">
        <v>73</v>
      </c>
      <c r="B44" s="138"/>
      <c r="C44" s="119"/>
      <c r="D44" s="131"/>
      <c r="E44" s="129"/>
      <c r="F44" s="123">
        <f>SUM(F28:F43)</f>
        <v>0</v>
      </c>
      <c r="G44" s="123"/>
      <c r="H44" s="129"/>
      <c r="I44" s="129"/>
      <c r="J44" s="139">
        <f>SUM(J28:J43)</f>
        <v>274378914.32497257</v>
      </c>
      <c r="K44" s="140">
        <f>F44+J44</f>
        <v>274378914.32497257</v>
      </c>
      <c r="L44" s="87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 x14ac:dyDescent="0.3">
      <c r="A45" s="106"/>
      <c r="B45" s="134"/>
      <c r="C45" s="106"/>
      <c r="D45" s="134"/>
      <c r="E45" s="106"/>
      <c r="F45" s="106"/>
      <c r="G45" s="106"/>
      <c r="H45" s="106"/>
      <c r="I45" s="106"/>
      <c r="J45" s="106"/>
      <c r="K45" s="106"/>
      <c r="L45" s="1"/>
      <c r="M45" s="1"/>
      <c r="N45" s="1"/>
      <c r="O45" s="224" t="s">
        <v>15</v>
      </c>
      <c r="P45" s="197"/>
      <c r="Q45" s="1"/>
      <c r="R45" s="1"/>
      <c r="S45" s="224" t="s">
        <v>14</v>
      </c>
      <c r="T45" s="197"/>
      <c r="U45" s="1"/>
      <c r="V45" s="1"/>
      <c r="W45" s="1"/>
      <c r="X45" s="1"/>
      <c r="Y45" s="1"/>
      <c r="Z45" s="1"/>
    </row>
    <row r="46" spans="1:26" ht="15.75" customHeight="1" x14ac:dyDescent="0.3">
      <c r="A46" s="112" t="s">
        <v>79</v>
      </c>
      <c r="B46" s="225"/>
      <c r="C46" s="113"/>
      <c r="D46" s="213" t="s">
        <v>80</v>
      </c>
      <c r="E46" s="207" t="s">
        <v>69</v>
      </c>
      <c r="F46" s="214" t="s">
        <v>70</v>
      </c>
      <c r="G46" s="116"/>
      <c r="H46" s="213" t="s">
        <v>68</v>
      </c>
      <c r="I46" s="207" t="s">
        <v>69</v>
      </c>
      <c r="J46" s="214" t="s">
        <v>70</v>
      </c>
      <c r="K46" s="207" t="s">
        <v>65</v>
      </c>
      <c r="L46" s="1"/>
      <c r="M46" s="88" t="s">
        <v>81</v>
      </c>
      <c r="N46" s="82"/>
      <c r="O46" s="89" t="s">
        <v>68</v>
      </c>
      <c r="P46" s="89" t="s">
        <v>69</v>
      </c>
      <c r="Q46" s="216" t="s">
        <v>70</v>
      </c>
      <c r="R46" s="1"/>
      <c r="S46" s="223" t="s">
        <v>68</v>
      </c>
      <c r="T46" s="220" t="s">
        <v>69</v>
      </c>
      <c r="U46" s="216" t="s">
        <v>70</v>
      </c>
      <c r="V46" s="220" t="s">
        <v>65</v>
      </c>
      <c r="W46" s="1"/>
      <c r="X46" s="1"/>
      <c r="Y46" s="1"/>
      <c r="Z46" s="1"/>
    </row>
    <row r="47" spans="1:26" ht="15.75" customHeight="1" x14ac:dyDescent="0.3">
      <c r="A47" s="118" t="s">
        <v>75</v>
      </c>
      <c r="B47" s="211"/>
      <c r="C47" s="141"/>
      <c r="D47" s="209"/>
      <c r="E47" s="209"/>
      <c r="F47" s="215"/>
      <c r="G47" s="116"/>
      <c r="H47" s="209"/>
      <c r="I47" s="209"/>
      <c r="J47" s="215"/>
      <c r="K47" s="209"/>
      <c r="L47" s="1"/>
      <c r="M47" s="81" t="s">
        <v>72</v>
      </c>
      <c r="N47" s="84"/>
      <c r="O47" s="90"/>
      <c r="P47" s="90"/>
      <c r="Q47" s="217"/>
      <c r="R47" s="1"/>
      <c r="S47" s="219"/>
      <c r="T47" s="219"/>
      <c r="U47" s="217"/>
      <c r="V47" s="219"/>
      <c r="W47" s="1"/>
      <c r="X47" s="1"/>
      <c r="Y47" s="1"/>
      <c r="Z47" s="1"/>
    </row>
    <row r="48" spans="1:26" ht="15.75" customHeight="1" x14ac:dyDescent="0.3">
      <c r="A48" s="123" t="str">
        <f t="shared" ref="A48:A58" si="2">IF(A13="","",A13)</f>
        <v>RESIDENTIAL</v>
      </c>
      <c r="B48" s="124" t="s">
        <v>82</v>
      </c>
      <c r="C48" s="119"/>
      <c r="D48" s="142">
        <v>5767528.1500000004</v>
      </c>
      <c r="E48" s="143">
        <v>7.0007000000000001</v>
      </c>
      <c r="F48" s="139">
        <f t="shared" ref="F48:F58" si="3">D48*E48</f>
        <v>40376734.319705002</v>
      </c>
      <c r="G48" s="106"/>
      <c r="H48" s="142">
        <v>52878.97</v>
      </c>
      <c r="I48" s="143">
        <v>7.0007000000000001</v>
      </c>
      <c r="J48" s="139">
        <f t="shared" ref="J48:J58" si="4">H48*I48</f>
        <v>370189.80527900002</v>
      </c>
      <c r="K48" s="207"/>
      <c r="L48" s="1"/>
      <c r="M48" s="28" t="s">
        <v>39</v>
      </c>
      <c r="N48" s="91" t="s">
        <v>82</v>
      </c>
      <c r="O48" s="92">
        <v>232063.14</v>
      </c>
      <c r="P48" s="93">
        <v>5.8555999999999999</v>
      </c>
      <c r="Q48" s="94">
        <f t="shared" ref="Q48:Q58" si="5">O48*P48</f>
        <v>1358868.922584</v>
      </c>
      <c r="R48" s="1"/>
      <c r="S48" s="95">
        <v>2127.65</v>
      </c>
      <c r="T48" s="93">
        <v>5.8555999999999999</v>
      </c>
      <c r="U48" s="94">
        <f t="shared" ref="U48:U58" si="6">S48*T48</f>
        <v>12458.66734</v>
      </c>
      <c r="V48" s="221"/>
      <c r="W48" s="1"/>
      <c r="X48" s="1"/>
      <c r="Y48" s="1"/>
      <c r="Z48" s="1"/>
    </row>
    <row r="49" spans="1:26" ht="15.75" customHeight="1" x14ac:dyDescent="0.3">
      <c r="A49" s="123" t="str">
        <f t="shared" si="2"/>
        <v>GENERAL SERVICE &lt;50KW</v>
      </c>
      <c r="B49" s="124" t="s">
        <v>82</v>
      </c>
      <c r="C49" s="127"/>
      <c r="D49" s="142">
        <v>1221222.22</v>
      </c>
      <c r="E49" s="143">
        <v>7.0007000000000001</v>
      </c>
      <c r="F49" s="139">
        <f t="shared" si="3"/>
        <v>8549410.3955540005</v>
      </c>
      <c r="G49" s="106"/>
      <c r="H49" s="142">
        <v>207863.81</v>
      </c>
      <c r="I49" s="143">
        <v>7.0007000000000001</v>
      </c>
      <c r="J49" s="139">
        <f t="shared" si="4"/>
        <v>1455192.1746670001</v>
      </c>
      <c r="K49" s="208"/>
      <c r="L49" s="1"/>
      <c r="M49" s="28" t="s">
        <v>41</v>
      </c>
      <c r="N49" s="91" t="s">
        <v>82</v>
      </c>
      <c r="O49" s="92">
        <v>49137.279999999999</v>
      </c>
      <c r="P49" s="93">
        <v>5.8555999999999999</v>
      </c>
      <c r="Q49" s="94">
        <f t="shared" si="5"/>
        <v>287728.25676799996</v>
      </c>
      <c r="R49" s="1"/>
      <c r="S49" s="95">
        <v>8363.64</v>
      </c>
      <c r="T49" s="93">
        <v>5.8555999999999999</v>
      </c>
      <c r="U49" s="94">
        <f t="shared" si="6"/>
        <v>48974.130383999996</v>
      </c>
      <c r="V49" s="222"/>
      <c r="W49" s="1"/>
      <c r="X49" s="1"/>
      <c r="Y49" s="1"/>
      <c r="Z49" s="1"/>
    </row>
    <row r="50" spans="1:26" ht="15.75" customHeight="1" x14ac:dyDescent="0.3">
      <c r="A50" s="123" t="str">
        <f t="shared" si="2"/>
        <v>GENERAL SERVICE 1000-1500KW</v>
      </c>
      <c r="B50" s="124" t="s">
        <v>82</v>
      </c>
      <c r="C50" s="127"/>
      <c r="D50" s="142">
        <v>585474.56000000006</v>
      </c>
      <c r="E50" s="143">
        <v>7.0007000000000001</v>
      </c>
      <c r="F50" s="139">
        <f t="shared" si="3"/>
        <v>4098731.7521920004</v>
      </c>
      <c r="G50" s="106"/>
      <c r="H50" s="142">
        <v>4426392.55</v>
      </c>
      <c r="I50" s="143">
        <v>7.0007000000000001</v>
      </c>
      <c r="J50" s="139">
        <f t="shared" si="4"/>
        <v>30987846.324784998</v>
      </c>
      <c r="K50" s="208"/>
      <c r="L50" s="1"/>
      <c r="M50" s="28" t="s">
        <v>42</v>
      </c>
      <c r="N50" s="91" t="s">
        <v>82</v>
      </c>
      <c r="O50" s="92">
        <v>23557.31</v>
      </c>
      <c r="P50" s="93">
        <v>5.8555999999999999</v>
      </c>
      <c r="Q50" s="94">
        <f t="shared" si="5"/>
        <v>137942.18443600001</v>
      </c>
      <c r="R50" s="1"/>
      <c r="S50" s="95">
        <v>178101.51</v>
      </c>
      <c r="T50" s="93">
        <v>5.8555999999999999</v>
      </c>
      <c r="U50" s="94">
        <f t="shared" si="6"/>
        <v>1042891.2019560001</v>
      </c>
      <c r="V50" s="222"/>
      <c r="W50" s="1"/>
      <c r="X50" s="1"/>
      <c r="Y50" s="1"/>
      <c r="Z50" s="1"/>
    </row>
    <row r="51" spans="1:26" ht="15.75" customHeight="1" x14ac:dyDescent="0.3">
      <c r="A51" s="123" t="str">
        <f t="shared" si="2"/>
        <v>GENERAL SERVICE 1500-5000 KW</v>
      </c>
      <c r="B51" s="124" t="s">
        <v>82</v>
      </c>
      <c r="C51" s="127"/>
      <c r="D51" s="142">
        <v>0</v>
      </c>
      <c r="E51" s="143">
        <v>7.0007000000000001</v>
      </c>
      <c r="F51" s="139">
        <f t="shared" si="3"/>
        <v>0</v>
      </c>
      <c r="G51" s="106"/>
      <c r="H51" s="142">
        <v>1130308.8500000001</v>
      </c>
      <c r="I51" s="143">
        <v>7.0007000000000001</v>
      </c>
      <c r="J51" s="139">
        <f t="shared" si="4"/>
        <v>7912953.1661950005</v>
      </c>
      <c r="K51" s="208"/>
      <c r="L51" s="1"/>
      <c r="M51" s="28" t="s">
        <v>43</v>
      </c>
      <c r="N51" s="91" t="s">
        <v>82</v>
      </c>
      <c r="O51" s="92">
        <v>0</v>
      </c>
      <c r="P51" s="93">
        <v>5.8555999999999999</v>
      </c>
      <c r="Q51" s="94">
        <f t="shared" si="5"/>
        <v>0</v>
      </c>
      <c r="R51" s="1"/>
      <c r="S51" s="95">
        <v>45479.28</v>
      </c>
      <c r="T51" s="93">
        <v>5.8555999999999999</v>
      </c>
      <c r="U51" s="94">
        <f t="shared" si="6"/>
        <v>266308.471968</v>
      </c>
      <c r="V51" s="222"/>
      <c r="W51" s="1"/>
      <c r="X51" s="1"/>
      <c r="Y51" s="1"/>
      <c r="Z51" s="1"/>
    </row>
    <row r="52" spans="1:26" ht="15.75" customHeight="1" x14ac:dyDescent="0.3">
      <c r="A52" s="123" t="str">
        <f t="shared" si="2"/>
        <v>LARGE USER</v>
      </c>
      <c r="B52" s="124" t="s">
        <v>82</v>
      </c>
      <c r="C52" s="127"/>
      <c r="D52" s="142">
        <v>0</v>
      </c>
      <c r="E52" s="143">
        <v>7.0007000000000001</v>
      </c>
      <c r="F52" s="139">
        <f t="shared" si="3"/>
        <v>0</v>
      </c>
      <c r="G52" s="106"/>
      <c r="H52" s="142">
        <v>865647.4</v>
      </c>
      <c r="I52" s="143">
        <v>7.0007000000000001</v>
      </c>
      <c r="J52" s="139">
        <f t="shared" si="4"/>
        <v>6060137.75318</v>
      </c>
      <c r="K52" s="208"/>
      <c r="L52" s="1"/>
      <c r="M52" s="28" t="s">
        <v>44</v>
      </c>
      <c r="N52" s="91" t="s">
        <v>82</v>
      </c>
      <c r="O52" s="92">
        <v>0</v>
      </c>
      <c r="P52" s="93">
        <v>5.8555999999999999</v>
      </c>
      <c r="Q52" s="94">
        <f t="shared" si="5"/>
        <v>0</v>
      </c>
      <c r="R52" s="1"/>
      <c r="S52" s="95">
        <v>34830.32</v>
      </c>
      <c r="T52" s="93">
        <v>5.8555999999999999</v>
      </c>
      <c r="U52" s="94">
        <f t="shared" si="6"/>
        <v>203952.42179200001</v>
      </c>
      <c r="V52" s="222"/>
      <c r="W52" s="1"/>
      <c r="X52" s="1"/>
      <c r="Y52" s="1"/>
      <c r="Z52" s="1"/>
    </row>
    <row r="53" spans="1:26" ht="15.75" customHeight="1" x14ac:dyDescent="0.3">
      <c r="A53" s="123" t="str">
        <f t="shared" si="2"/>
        <v>STREETLIGHTING</v>
      </c>
      <c r="B53" s="124" t="s">
        <v>82</v>
      </c>
      <c r="C53" s="127"/>
      <c r="D53" s="142">
        <v>0</v>
      </c>
      <c r="E53" s="143">
        <v>7.0007000000000001</v>
      </c>
      <c r="F53" s="139">
        <f t="shared" si="3"/>
        <v>0</v>
      </c>
      <c r="G53" s="106"/>
      <c r="H53" s="142">
        <v>23277.62</v>
      </c>
      <c r="I53" s="143">
        <v>7.0007000000000001</v>
      </c>
      <c r="J53" s="139">
        <f t="shared" si="4"/>
        <v>162959.634334</v>
      </c>
      <c r="K53" s="208"/>
      <c r="L53" s="1"/>
      <c r="M53" s="28" t="s">
        <v>45</v>
      </c>
      <c r="N53" s="91" t="s">
        <v>82</v>
      </c>
      <c r="O53" s="92">
        <v>0</v>
      </c>
      <c r="P53" s="93">
        <v>5.8555999999999999</v>
      </c>
      <c r="Q53" s="94">
        <f t="shared" si="5"/>
        <v>0</v>
      </c>
      <c r="R53" s="1"/>
      <c r="S53" s="95">
        <v>936.6</v>
      </c>
      <c r="T53" s="93">
        <v>5.8555999999999999</v>
      </c>
      <c r="U53" s="94">
        <f t="shared" si="6"/>
        <v>5484.3549599999997</v>
      </c>
      <c r="V53" s="222"/>
      <c r="W53" s="1"/>
      <c r="X53" s="1"/>
      <c r="Y53" s="1"/>
      <c r="Z53" s="1"/>
    </row>
    <row r="54" spans="1:26" ht="15.75" customHeight="1" x14ac:dyDescent="0.3">
      <c r="A54" s="123" t="str">
        <f t="shared" si="2"/>
        <v>SENTINEL LIGHTS</v>
      </c>
      <c r="B54" s="124" t="s">
        <v>82</v>
      </c>
      <c r="C54" s="119"/>
      <c r="D54" s="142">
        <v>42.89</v>
      </c>
      <c r="E54" s="143">
        <v>7.0007000000000001</v>
      </c>
      <c r="F54" s="139">
        <f t="shared" si="3"/>
        <v>300.26002299999999</v>
      </c>
      <c r="G54" s="106"/>
      <c r="H54" s="142">
        <v>0</v>
      </c>
      <c r="I54" s="143">
        <v>7.0007000000000001</v>
      </c>
      <c r="J54" s="139">
        <f t="shared" si="4"/>
        <v>0</v>
      </c>
      <c r="K54" s="208"/>
      <c r="L54" s="1"/>
      <c r="M54" s="28" t="s">
        <v>46</v>
      </c>
      <c r="N54" s="91" t="s">
        <v>82</v>
      </c>
      <c r="O54" s="92">
        <v>1.73</v>
      </c>
      <c r="P54" s="93">
        <v>5.8555999999999999</v>
      </c>
      <c r="Q54" s="94">
        <f t="shared" si="5"/>
        <v>10.130188</v>
      </c>
      <c r="R54" s="1"/>
      <c r="S54" s="95">
        <v>0</v>
      </c>
      <c r="T54" s="93">
        <v>5.8555999999999999</v>
      </c>
      <c r="U54" s="94">
        <f t="shared" si="6"/>
        <v>0</v>
      </c>
      <c r="V54" s="222"/>
      <c r="W54" s="1"/>
      <c r="X54" s="1"/>
      <c r="Y54" s="1"/>
      <c r="Z54" s="1"/>
    </row>
    <row r="55" spans="1:26" ht="15.75" customHeight="1" x14ac:dyDescent="0.3">
      <c r="A55" s="123" t="str">
        <f t="shared" si="2"/>
        <v>UNMETERED SCATTERED LOADS</v>
      </c>
      <c r="B55" s="124" t="s">
        <v>82</v>
      </c>
      <c r="C55" s="119"/>
      <c r="D55" s="142">
        <v>17100.759999999998</v>
      </c>
      <c r="E55" s="143">
        <v>7.0007000000000001</v>
      </c>
      <c r="F55" s="139">
        <f t="shared" si="3"/>
        <v>119717.29053199998</v>
      </c>
      <c r="G55" s="106"/>
      <c r="H55" s="142">
        <v>0</v>
      </c>
      <c r="I55" s="143">
        <v>7.0007000000000001</v>
      </c>
      <c r="J55" s="139">
        <f t="shared" si="4"/>
        <v>0</v>
      </c>
      <c r="K55" s="208"/>
      <c r="L55" s="1"/>
      <c r="M55" s="28" t="s">
        <v>47</v>
      </c>
      <c r="N55" s="91" t="s">
        <v>82</v>
      </c>
      <c r="O55" s="92">
        <v>688.07</v>
      </c>
      <c r="P55" s="93">
        <v>5.8555999999999999</v>
      </c>
      <c r="Q55" s="94">
        <f t="shared" si="5"/>
        <v>4029.0626920000004</v>
      </c>
      <c r="R55" s="1"/>
      <c r="S55" s="95">
        <v>0</v>
      </c>
      <c r="T55" s="93">
        <v>5.8555999999999999</v>
      </c>
      <c r="U55" s="94">
        <f t="shared" si="6"/>
        <v>0</v>
      </c>
      <c r="V55" s="222"/>
      <c r="W55" s="1"/>
      <c r="X55" s="1"/>
      <c r="Y55" s="1"/>
      <c r="Z55" s="1"/>
    </row>
    <row r="56" spans="1:26" ht="15.75" customHeight="1" x14ac:dyDescent="0.3">
      <c r="A56" s="123" t="str">
        <f t="shared" si="2"/>
        <v>DRYCORE</v>
      </c>
      <c r="B56" s="124" t="s">
        <v>82</v>
      </c>
      <c r="C56" s="119"/>
      <c r="D56" s="142">
        <v>0</v>
      </c>
      <c r="E56" s="143">
        <v>7.0007000000000001</v>
      </c>
      <c r="F56" s="139">
        <f t="shared" si="3"/>
        <v>0</v>
      </c>
      <c r="G56" s="106"/>
      <c r="H56" s="142">
        <v>557.63</v>
      </c>
      <c r="I56" s="143">
        <v>7.0007000000000001</v>
      </c>
      <c r="J56" s="139">
        <f t="shared" si="4"/>
        <v>3903.8003410000001</v>
      </c>
      <c r="K56" s="208"/>
      <c r="L56" s="1"/>
      <c r="M56" s="28" t="s">
        <v>48</v>
      </c>
      <c r="N56" s="91" t="s">
        <v>82</v>
      </c>
      <c r="O56" s="92">
        <v>0</v>
      </c>
      <c r="P56" s="93">
        <v>5.8555999999999999</v>
      </c>
      <c r="Q56" s="94">
        <f t="shared" si="5"/>
        <v>0</v>
      </c>
      <c r="R56" s="1"/>
      <c r="S56" s="95">
        <v>22.44</v>
      </c>
      <c r="T56" s="93">
        <v>5.8555999999999999</v>
      </c>
      <c r="U56" s="94">
        <f t="shared" si="6"/>
        <v>131.399664</v>
      </c>
      <c r="V56" s="222"/>
      <c r="W56" s="1"/>
      <c r="X56" s="1"/>
      <c r="Y56" s="1"/>
      <c r="Z56" s="1"/>
    </row>
    <row r="57" spans="1:26" ht="15.75" customHeight="1" x14ac:dyDescent="0.3">
      <c r="A57" s="123" t="str">
        <f t="shared" si="2"/>
        <v/>
      </c>
      <c r="B57" s="124"/>
      <c r="C57" s="119"/>
      <c r="D57" s="142"/>
      <c r="E57" s="143">
        <v>7.0007000000000001</v>
      </c>
      <c r="F57" s="139">
        <f t="shared" si="3"/>
        <v>0</v>
      </c>
      <c r="G57" s="106"/>
      <c r="H57" s="142"/>
      <c r="I57" s="143">
        <v>7.0007000000000001</v>
      </c>
      <c r="J57" s="139">
        <f t="shared" si="4"/>
        <v>0</v>
      </c>
      <c r="K57" s="208"/>
      <c r="L57" s="1"/>
      <c r="M57" s="28"/>
      <c r="N57" s="91"/>
      <c r="O57" s="96"/>
      <c r="P57" s="93">
        <v>5.8555999999999999</v>
      </c>
      <c r="Q57" s="94">
        <f t="shared" si="5"/>
        <v>0</v>
      </c>
      <c r="R57" s="1"/>
      <c r="S57" s="97"/>
      <c r="T57" s="93">
        <v>5.8555999999999999</v>
      </c>
      <c r="U57" s="94">
        <f t="shared" si="6"/>
        <v>0</v>
      </c>
      <c r="V57" s="222"/>
      <c r="W57" s="1"/>
      <c r="X57" s="1"/>
      <c r="Y57" s="1"/>
      <c r="Z57" s="1"/>
    </row>
    <row r="58" spans="1:26" ht="15.75" customHeight="1" x14ac:dyDescent="0.3">
      <c r="A58" s="123" t="str">
        <f t="shared" si="2"/>
        <v/>
      </c>
      <c r="B58" s="124"/>
      <c r="C58" s="119"/>
      <c r="D58" s="142"/>
      <c r="E58" s="143">
        <v>7.0007000000000001</v>
      </c>
      <c r="F58" s="139">
        <f t="shared" si="3"/>
        <v>0</v>
      </c>
      <c r="G58" s="106"/>
      <c r="H58" s="142"/>
      <c r="I58" s="143">
        <v>7.0007000000000001</v>
      </c>
      <c r="J58" s="139">
        <f t="shared" si="4"/>
        <v>0</v>
      </c>
      <c r="K58" s="209"/>
      <c r="L58" s="1"/>
      <c r="M58" s="28"/>
      <c r="N58" s="91"/>
      <c r="O58" s="96"/>
      <c r="P58" s="93">
        <v>5.8555999999999999</v>
      </c>
      <c r="Q58" s="94">
        <f t="shared" si="5"/>
        <v>0</v>
      </c>
      <c r="R58" s="1"/>
      <c r="S58" s="97"/>
      <c r="T58" s="93">
        <v>5.8555999999999999</v>
      </c>
      <c r="U58" s="94">
        <f t="shared" si="6"/>
        <v>0</v>
      </c>
      <c r="V58" s="219"/>
      <c r="W58" s="1"/>
      <c r="X58" s="1"/>
      <c r="Y58" s="1"/>
      <c r="Z58" s="1"/>
    </row>
    <row r="59" spans="1:26" ht="15.75" customHeight="1" x14ac:dyDescent="0.3">
      <c r="A59" s="118" t="s">
        <v>73</v>
      </c>
      <c r="B59" s="138"/>
      <c r="C59" s="119"/>
      <c r="D59" s="120"/>
      <c r="E59" s="123"/>
      <c r="F59" s="166">
        <f>SUM(F48:F58)</f>
        <v>53144894.018005997</v>
      </c>
      <c r="G59" s="123"/>
      <c r="H59" s="120"/>
      <c r="I59" s="123"/>
      <c r="J59" s="166">
        <f>SUM(J48:J58)</f>
        <v>46953182.658780992</v>
      </c>
      <c r="K59" s="166">
        <f>F59+J59</f>
        <v>100098076.67678699</v>
      </c>
      <c r="L59" s="1"/>
      <c r="M59" s="81" t="s">
        <v>73</v>
      </c>
      <c r="N59" s="99"/>
      <c r="O59" s="94">
        <v>298292.27</v>
      </c>
      <c r="P59" s="98"/>
      <c r="Q59" s="100">
        <f>SUM(Q48:Q58)</f>
        <v>1788578.5566679998</v>
      </c>
      <c r="R59" s="1"/>
      <c r="S59" s="101"/>
      <c r="T59" s="98"/>
      <c r="U59" s="94">
        <f>SUM(U48:U58)</f>
        <v>1580200.6480640001</v>
      </c>
      <c r="V59" s="94">
        <f>Q59+U59</f>
        <v>3368779.2047319999</v>
      </c>
      <c r="W59" s="1"/>
      <c r="X59" s="1"/>
      <c r="Y59" s="1"/>
      <c r="Z59" s="1"/>
    </row>
    <row r="60" spans="1:26" ht="5.25" customHeight="1" x14ac:dyDescent="0.3">
      <c r="A60" s="106"/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"/>
      <c r="M60" s="1"/>
      <c r="N60" s="1"/>
      <c r="O60" s="1"/>
      <c r="P60" s="1"/>
      <c r="Q60" s="1"/>
      <c r="R60" s="1"/>
      <c r="S60" s="102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12" t="s">
        <v>83</v>
      </c>
      <c r="B61" s="210"/>
      <c r="C61" s="113"/>
      <c r="D61" s="213"/>
      <c r="E61" s="207"/>
      <c r="F61" s="214"/>
      <c r="G61" s="116"/>
      <c r="H61" s="213"/>
      <c r="I61" s="207"/>
      <c r="J61" s="214" t="s">
        <v>70</v>
      </c>
      <c r="K61" s="207" t="s">
        <v>65</v>
      </c>
      <c r="L61" s="1"/>
      <c r="M61" s="88" t="s">
        <v>84</v>
      </c>
      <c r="N61" s="103"/>
      <c r="O61" s="89" t="s">
        <v>68</v>
      </c>
      <c r="P61" s="89" t="s">
        <v>69</v>
      </c>
      <c r="Q61" s="216" t="s">
        <v>70</v>
      </c>
      <c r="R61" s="1"/>
      <c r="S61" s="218" t="s">
        <v>68</v>
      </c>
      <c r="T61" s="220" t="s">
        <v>69</v>
      </c>
      <c r="U61" s="216" t="s">
        <v>70</v>
      </c>
      <c r="V61" s="220" t="s">
        <v>65</v>
      </c>
      <c r="W61" s="1"/>
      <c r="X61" s="1"/>
      <c r="Y61" s="1"/>
      <c r="Z61" s="1"/>
    </row>
    <row r="62" spans="1:26" ht="15.75" customHeight="1" x14ac:dyDescent="0.3">
      <c r="A62" s="118" t="s">
        <v>75</v>
      </c>
      <c r="B62" s="211"/>
      <c r="C62" s="141"/>
      <c r="D62" s="209"/>
      <c r="E62" s="209"/>
      <c r="F62" s="215"/>
      <c r="G62" s="116"/>
      <c r="H62" s="209"/>
      <c r="I62" s="209"/>
      <c r="J62" s="215"/>
      <c r="K62" s="209"/>
      <c r="L62" s="1"/>
      <c r="M62" s="81" t="s">
        <v>72</v>
      </c>
      <c r="N62" s="104"/>
      <c r="O62" s="90"/>
      <c r="P62" s="90"/>
      <c r="Q62" s="217"/>
      <c r="R62" s="1"/>
      <c r="S62" s="219"/>
      <c r="T62" s="219"/>
      <c r="U62" s="217"/>
      <c r="V62" s="219"/>
      <c r="W62" s="1"/>
      <c r="X62" s="1"/>
      <c r="Y62" s="1"/>
      <c r="Z62" s="1"/>
    </row>
    <row r="63" spans="1:26" ht="15.75" customHeight="1" x14ac:dyDescent="0.3">
      <c r="A63" s="123" t="str">
        <f t="shared" ref="A63:A73" si="7">IF(A48="","",A48)</f>
        <v>RESIDENTIAL</v>
      </c>
      <c r="B63" s="124" t="s">
        <v>82</v>
      </c>
      <c r="C63" s="119"/>
      <c r="D63" s="142">
        <v>10061003.210000001</v>
      </c>
      <c r="E63" s="143">
        <v>2.2349999999999999</v>
      </c>
      <c r="F63" s="139">
        <f t="shared" ref="F63:F73" si="8">D63*E63</f>
        <v>22486342.174350001</v>
      </c>
      <c r="G63" s="106"/>
      <c r="H63" s="142">
        <v>92243.24</v>
      </c>
      <c r="I63" s="143">
        <v>2.2349999999999999</v>
      </c>
      <c r="J63" s="139">
        <f t="shared" ref="J63:J73" si="9">H63*I63</f>
        <v>206163.64139999999</v>
      </c>
      <c r="K63" s="207"/>
      <c r="L63" s="1"/>
      <c r="M63" s="28" t="s">
        <v>39</v>
      </c>
      <c r="N63" s="91" t="s">
        <v>82</v>
      </c>
      <c r="O63" s="92">
        <v>255810.85</v>
      </c>
      <c r="P63" s="93">
        <v>3.5064000000000002</v>
      </c>
      <c r="Q63" s="94">
        <f t="shared" ref="Q63:Q73" si="10">O63*P63</f>
        <v>896975.16444000008</v>
      </c>
      <c r="R63" s="1"/>
      <c r="S63" s="95">
        <v>2345.37</v>
      </c>
      <c r="T63" s="93">
        <v>3.5064000000000002</v>
      </c>
      <c r="U63" s="94">
        <f t="shared" ref="U63:U73" si="11">S63*T63</f>
        <v>8223.8053679999994</v>
      </c>
      <c r="V63" s="221"/>
      <c r="W63" s="1"/>
      <c r="X63" s="1"/>
      <c r="Y63" s="1"/>
      <c r="Z63" s="1"/>
    </row>
    <row r="64" spans="1:26" ht="15.75" customHeight="1" x14ac:dyDescent="0.3">
      <c r="A64" s="123" t="str">
        <f t="shared" si="7"/>
        <v>GENERAL SERVICE &lt;50KW</v>
      </c>
      <c r="B64" s="124" t="s">
        <v>82</v>
      </c>
      <c r="C64" s="119"/>
      <c r="D64" s="142">
        <v>2130326.96</v>
      </c>
      <c r="E64" s="143">
        <v>2.2349999999999999</v>
      </c>
      <c r="F64" s="139">
        <f t="shared" si="8"/>
        <v>4761280.7555999998</v>
      </c>
      <c r="G64" s="106"/>
      <c r="H64" s="142">
        <v>362602.21</v>
      </c>
      <c r="I64" s="143">
        <v>2.2349999999999999</v>
      </c>
      <c r="J64" s="139">
        <f t="shared" si="9"/>
        <v>810415.93935</v>
      </c>
      <c r="K64" s="208"/>
      <c r="L64" s="1"/>
      <c r="M64" s="28" t="s">
        <v>41</v>
      </c>
      <c r="N64" s="91" t="s">
        <v>82</v>
      </c>
      <c r="O64" s="92">
        <v>54165.65</v>
      </c>
      <c r="P64" s="93">
        <v>3.5064000000000002</v>
      </c>
      <c r="Q64" s="94">
        <f t="shared" si="10"/>
        <v>189926.43516000002</v>
      </c>
      <c r="R64" s="1"/>
      <c r="S64" s="95">
        <v>9219.52</v>
      </c>
      <c r="T64" s="93">
        <v>3.5064000000000002</v>
      </c>
      <c r="U64" s="94">
        <f t="shared" si="11"/>
        <v>32327.324928000002</v>
      </c>
      <c r="V64" s="222"/>
      <c r="W64" s="1"/>
      <c r="X64" s="1"/>
      <c r="Y64" s="1"/>
      <c r="Z64" s="1"/>
    </row>
    <row r="65" spans="1:26" ht="15.75" customHeight="1" x14ac:dyDescent="0.3">
      <c r="A65" s="123" t="str">
        <f t="shared" si="7"/>
        <v>GENERAL SERVICE 1000-1500KW</v>
      </c>
      <c r="B65" s="124" t="s">
        <v>82</v>
      </c>
      <c r="C65" s="119"/>
      <c r="D65" s="142">
        <v>1021317.64</v>
      </c>
      <c r="E65" s="143">
        <v>2.2349999999999999</v>
      </c>
      <c r="F65" s="139">
        <f t="shared" si="8"/>
        <v>2282644.9254000001</v>
      </c>
      <c r="G65" s="106"/>
      <c r="H65" s="142">
        <v>7721518.7400000002</v>
      </c>
      <c r="I65" s="143">
        <v>2.2349999999999999</v>
      </c>
      <c r="J65" s="139">
        <f t="shared" si="9"/>
        <v>17257594.383899998</v>
      </c>
      <c r="K65" s="208"/>
      <c r="L65" s="1"/>
      <c r="M65" s="28" t="s">
        <v>42</v>
      </c>
      <c r="N65" s="91" t="s">
        <v>82</v>
      </c>
      <c r="O65" s="92">
        <v>25968</v>
      </c>
      <c r="P65" s="93">
        <v>3.5064000000000002</v>
      </c>
      <c r="Q65" s="94">
        <f t="shared" si="10"/>
        <v>91054.195200000002</v>
      </c>
      <c r="R65" s="1"/>
      <c r="S65" s="95">
        <v>196327.17</v>
      </c>
      <c r="T65" s="93">
        <v>3.5064000000000002</v>
      </c>
      <c r="U65" s="94">
        <f t="shared" si="11"/>
        <v>688401.58888800011</v>
      </c>
      <c r="V65" s="222"/>
      <c r="W65" s="1"/>
      <c r="X65" s="1"/>
      <c r="Y65" s="1"/>
      <c r="Z65" s="1"/>
    </row>
    <row r="66" spans="1:26" ht="15.75" customHeight="1" x14ac:dyDescent="0.3">
      <c r="A66" s="123" t="str">
        <f t="shared" si="7"/>
        <v>GENERAL SERVICE 1500-5000 KW</v>
      </c>
      <c r="B66" s="124" t="s">
        <v>82</v>
      </c>
      <c r="C66" s="119"/>
      <c r="D66" s="142">
        <v>0</v>
      </c>
      <c r="E66" s="143">
        <v>2.2349999999999999</v>
      </c>
      <c r="F66" s="139">
        <f t="shared" si="8"/>
        <v>0</v>
      </c>
      <c r="G66" s="106"/>
      <c r="H66" s="142">
        <v>1971735.67</v>
      </c>
      <c r="I66" s="143">
        <v>2.2349999999999999</v>
      </c>
      <c r="J66" s="139">
        <f t="shared" si="9"/>
        <v>4406829.2224499993</v>
      </c>
      <c r="K66" s="208"/>
      <c r="L66" s="1"/>
      <c r="M66" s="28" t="s">
        <v>43</v>
      </c>
      <c r="N66" s="91" t="s">
        <v>82</v>
      </c>
      <c r="O66" s="92">
        <v>0</v>
      </c>
      <c r="P66" s="93">
        <v>3.5064000000000002</v>
      </c>
      <c r="Q66" s="94">
        <f t="shared" si="10"/>
        <v>0</v>
      </c>
      <c r="R66" s="1"/>
      <c r="S66" s="95">
        <v>50133.31</v>
      </c>
      <c r="T66" s="93">
        <v>3.5064000000000002</v>
      </c>
      <c r="U66" s="94">
        <f t="shared" si="11"/>
        <v>175787.438184</v>
      </c>
      <c r="V66" s="222"/>
      <c r="W66" s="1"/>
      <c r="X66" s="1"/>
      <c r="Y66" s="1"/>
      <c r="Z66" s="1"/>
    </row>
    <row r="67" spans="1:26" ht="15.75" customHeight="1" x14ac:dyDescent="0.3">
      <c r="A67" s="123" t="str">
        <f t="shared" si="7"/>
        <v>LARGE USER</v>
      </c>
      <c r="B67" s="124" t="s">
        <v>82</v>
      </c>
      <c r="C67" s="119"/>
      <c r="D67" s="142">
        <v>0</v>
      </c>
      <c r="E67" s="143">
        <v>2.2349999999999999</v>
      </c>
      <c r="F67" s="139">
        <f t="shared" si="8"/>
        <v>0</v>
      </c>
      <c r="G67" s="106"/>
      <c r="H67" s="142">
        <v>1510054.4</v>
      </c>
      <c r="I67" s="143">
        <v>2.2349999999999999</v>
      </c>
      <c r="J67" s="139">
        <f t="shared" si="9"/>
        <v>3374971.5839999998</v>
      </c>
      <c r="K67" s="208"/>
      <c r="L67" s="1"/>
      <c r="M67" s="28" t="s">
        <v>44</v>
      </c>
      <c r="N67" s="91" t="s">
        <v>82</v>
      </c>
      <c r="O67" s="92">
        <v>0</v>
      </c>
      <c r="P67" s="93">
        <v>3.5064000000000002</v>
      </c>
      <c r="Q67" s="94">
        <f t="shared" si="10"/>
        <v>0</v>
      </c>
      <c r="R67" s="1"/>
      <c r="S67" s="95">
        <v>38394.61</v>
      </c>
      <c r="T67" s="93">
        <v>3.5064000000000002</v>
      </c>
      <c r="U67" s="94">
        <f t="shared" si="11"/>
        <v>134626.86050400001</v>
      </c>
      <c r="V67" s="222"/>
      <c r="W67" s="1"/>
      <c r="X67" s="1"/>
      <c r="Y67" s="1"/>
      <c r="Z67" s="1"/>
    </row>
    <row r="68" spans="1:26" ht="15.75" customHeight="1" x14ac:dyDescent="0.3">
      <c r="A68" s="123" t="str">
        <f t="shared" si="7"/>
        <v>STREETLIGHTING</v>
      </c>
      <c r="B68" s="124" t="s">
        <v>82</v>
      </c>
      <c r="C68" s="129"/>
      <c r="D68" s="142">
        <v>0</v>
      </c>
      <c r="E68" s="143">
        <v>2.2349999999999999</v>
      </c>
      <c r="F68" s="139">
        <f t="shared" si="8"/>
        <v>0</v>
      </c>
      <c r="G68" s="106"/>
      <c r="H68" s="142">
        <v>40606</v>
      </c>
      <c r="I68" s="143">
        <v>2.2349999999999999</v>
      </c>
      <c r="J68" s="139">
        <f t="shared" si="9"/>
        <v>90754.409999999989</v>
      </c>
      <c r="K68" s="208"/>
      <c r="L68" s="1"/>
      <c r="M68" s="28" t="s">
        <v>45</v>
      </c>
      <c r="N68" s="91" t="s">
        <v>82</v>
      </c>
      <c r="O68" s="92">
        <v>0</v>
      </c>
      <c r="P68" s="93">
        <v>3.5064000000000002</v>
      </c>
      <c r="Q68" s="94">
        <f t="shared" si="10"/>
        <v>0</v>
      </c>
      <c r="R68" s="1"/>
      <c r="S68" s="95">
        <v>1032.45</v>
      </c>
      <c r="T68" s="93">
        <v>3.5064000000000002</v>
      </c>
      <c r="U68" s="94">
        <f t="shared" si="11"/>
        <v>3620.1826800000003</v>
      </c>
      <c r="V68" s="222"/>
      <c r="W68" s="1"/>
      <c r="X68" s="1"/>
      <c r="Y68" s="1"/>
      <c r="Z68" s="1"/>
    </row>
    <row r="69" spans="1:26" ht="15.75" customHeight="1" x14ac:dyDescent="0.3">
      <c r="A69" s="123" t="str">
        <f t="shared" si="7"/>
        <v>SENTINEL LIGHTS</v>
      </c>
      <c r="B69" s="124" t="s">
        <v>82</v>
      </c>
      <c r="C69" s="144"/>
      <c r="D69" s="142">
        <v>74.83</v>
      </c>
      <c r="E69" s="143">
        <v>2.2349999999999999</v>
      </c>
      <c r="F69" s="139">
        <f t="shared" si="8"/>
        <v>167.24504999999999</v>
      </c>
      <c r="G69" s="106"/>
      <c r="H69" s="142">
        <v>0</v>
      </c>
      <c r="I69" s="143">
        <v>2.2349999999999999</v>
      </c>
      <c r="J69" s="139">
        <f t="shared" si="9"/>
        <v>0</v>
      </c>
      <c r="K69" s="208"/>
      <c r="L69" s="1"/>
      <c r="M69" s="28" t="s">
        <v>46</v>
      </c>
      <c r="N69" s="91" t="s">
        <v>82</v>
      </c>
      <c r="O69" s="92">
        <v>1.9</v>
      </c>
      <c r="P69" s="93">
        <v>3.5064000000000002</v>
      </c>
      <c r="Q69" s="94">
        <f t="shared" si="10"/>
        <v>6.6621600000000001</v>
      </c>
      <c r="R69" s="1"/>
      <c r="S69" s="95">
        <v>0</v>
      </c>
      <c r="T69" s="93">
        <v>3.5064000000000002</v>
      </c>
      <c r="U69" s="94">
        <f t="shared" si="11"/>
        <v>0</v>
      </c>
      <c r="V69" s="222"/>
      <c r="W69" s="1"/>
      <c r="X69" s="1"/>
      <c r="Y69" s="1"/>
      <c r="Z69" s="1"/>
    </row>
    <row r="70" spans="1:26" ht="15.75" customHeight="1" x14ac:dyDescent="0.3">
      <c r="A70" s="123" t="str">
        <f t="shared" si="7"/>
        <v>UNMETERED SCATTERED LOADS</v>
      </c>
      <c r="B70" s="124" t="s">
        <v>82</v>
      </c>
      <c r="C70" s="144"/>
      <c r="D70" s="142">
        <v>29830.94</v>
      </c>
      <c r="E70" s="143">
        <v>2.2349999999999999</v>
      </c>
      <c r="F70" s="139">
        <f t="shared" si="8"/>
        <v>66672.150899999993</v>
      </c>
      <c r="G70" s="106"/>
      <c r="H70" s="142">
        <v>0</v>
      </c>
      <c r="I70" s="143">
        <v>2.2349999999999999</v>
      </c>
      <c r="J70" s="139">
        <f t="shared" si="9"/>
        <v>0</v>
      </c>
      <c r="K70" s="208"/>
      <c r="L70" s="1"/>
      <c r="M70" s="28" t="s">
        <v>47</v>
      </c>
      <c r="N70" s="91" t="s">
        <v>82</v>
      </c>
      <c r="O70" s="92">
        <v>758.48</v>
      </c>
      <c r="P70" s="93">
        <v>3.5064000000000002</v>
      </c>
      <c r="Q70" s="94">
        <f t="shared" si="10"/>
        <v>2659.5342720000003</v>
      </c>
      <c r="R70" s="1"/>
      <c r="S70" s="95">
        <v>0</v>
      </c>
      <c r="T70" s="93">
        <v>3.5064000000000002</v>
      </c>
      <c r="U70" s="94">
        <f t="shared" si="11"/>
        <v>0</v>
      </c>
      <c r="V70" s="222"/>
      <c r="W70" s="1"/>
      <c r="X70" s="1"/>
      <c r="Y70" s="1"/>
      <c r="Z70" s="1"/>
    </row>
    <row r="71" spans="1:26" ht="15.75" customHeight="1" x14ac:dyDescent="0.3">
      <c r="A71" s="123" t="str">
        <f t="shared" si="7"/>
        <v>DRYCORE</v>
      </c>
      <c r="B71" s="124" t="s">
        <v>82</v>
      </c>
      <c r="C71" s="144"/>
      <c r="D71" s="142">
        <v>0</v>
      </c>
      <c r="E71" s="143">
        <v>2.2349999999999999</v>
      </c>
      <c r="F71" s="139">
        <f t="shared" si="8"/>
        <v>0</v>
      </c>
      <c r="G71" s="106"/>
      <c r="H71" s="142">
        <v>972.75</v>
      </c>
      <c r="I71" s="143">
        <v>2.2349999999999999</v>
      </c>
      <c r="J71" s="139">
        <f t="shared" si="9"/>
        <v>2174.0962500000001</v>
      </c>
      <c r="K71" s="208"/>
      <c r="L71" s="1"/>
      <c r="M71" s="28" t="s">
        <v>48</v>
      </c>
      <c r="N71" s="91" t="s">
        <v>82</v>
      </c>
      <c r="O71" s="92">
        <v>0</v>
      </c>
      <c r="P71" s="93">
        <v>3.5064000000000002</v>
      </c>
      <c r="Q71" s="94">
        <f t="shared" si="10"/>
        <v>0</v>
      </c>
      <c r="R71" s="1"/>
      <c r="S71" s="95">
        <v>24.73</v>
      </c>
      <c r="T71" s="93">
        <v>3.5064000000000002</v>
      </c>
      <c r="U71" s="94">
        <f t="shared" si="11"/>
        <v>86.713272000000003</v>
      </c>
      <c r="V71" s="222"/>
      <c r="W71" s="1"/>
      <c r="X71" s="1"/>
      <c r="Y71" s="1"/>
      <c r="Z71" s="1"/>
    </row>
    <row r="72" spans="1:26" ht="15.75" customHeight="1" x14ac:dyDescent="0.3">
      <c r="A72" s="123" t="str">
        <f t="shared" si="7"/>
        <v/>
      </c>
      <c r="B72" s="124"/>
      <c r="C72" s="144"/>
      <c r="D72" s="142"/>
      <c r="E72" s="143"/>
      <c r="F72" s="139">
        <f t="shared" si="8"/>
        <v>0</v>
      </c>
      <c r="G72" s="106"/>
      <c r="H72" s="142"/>
      <c r="I72" s="143"/>
      <c r="J72" s="139">
        <f t="shared" si="9"/>
        <v>0</v>
      </c>
      <c r="K72" s="208"/>
      <c r="L72" s="1"/>
      <c r="M72" s="28"/>
      <c r="N72" s="91"/>
      <c r="O72" s="96"/>
      <c r="P72" s="105"/>
      <c r="Q72" s="94">
        <f t="shared" si="10"/>
        <v>0</v>
      </c>
      <c r="R72" s="1"/>
      <c r="S72" s="97"/>
      <c r="T72" s="96"/>
      <c r="U72" s="94">
        <f t="shared" si="11"/>
        <v>0</v>
      </c>
      <c r="V72" s="222"/>
      <c r="W72" s="1"/>
      <c r="X72" s="1"/>
      <c r="Y72" s="1"/>
      <c r="Z72" s="1"/>
    </row>
    <row r="73" spans="1:26" ht="15.75" customHeight="1" x14ac:dyDescent="0.3">
      <c r="A73" s="123" t="str">
        <f t="shared" si="7"/>
        <v/>
      </c>
      <c r="B73" s="124"/>
      <c r="C73" s="144"/>
      <c r="D73" s="142"/>
      <c r="E73" s="143"/>
      <c r="F73" s="139">
        <f t="shared" si="8"/>
        <v>0</v>
      </c>
      <c r="G73" s="106"/>
      <c r="H73" s="142"/>
      <c r="I73" s="143"/>
      <c r="J73" s="139">
        <f t="shared" si="9"/>
        <v>0</v>
      </c>
      <c r="K73" s="209"/>
      <c r="L73" s="1"/>
      <c r="M73" s="28"/>
      <c r="N73" s="91"/>
      <c r="O73" s="96"/>
      <c r="P73" s="105"/>
      <c r="Q73" s="94">
        <f t="shared" si="10"/>
        <v>0</v>
      </c>
      <c r="R73" s="1"/>
      <c r="S73" s="96"/>
      <c r="T73" s="96"/>
      <c r="U73" s="94">
        <f t="shared" si="11"/>
        <v>0</v>
      </c>
      <c r="V73" s="219"/>
      <c r="W73" s="1"/>
      <c r="X73" s="1"/>
      <c r="Y73" s="1"/>
      <c r="Z73" s="1"/>
    </row>
    <row r="74" spans="1:26" ht="15.75" customHeight="1" x14ac:dyDescent="0.3">
      <c r="A74" s="118" t="s">
        <v>73</v>
      </c>
      <c r="B74" s="138"/>
      <c r="C74" s="145"/>
      <c r="D74" s="120"/>
      <c r="E74" s="123"/>
      <c r="F74" s="166">
        <f>SUM(F63:F73)</f>
        <v>29597107.251299996</v>
      </c>
      <c r="G74" s="123"/>
      <c r="H74" s="120"/>
      <c r="I74" s="123"/>
      <c r="J74" s="166">
        <f>SUM(J63:J73)</f>
        <v>26148903.277349997</v>
      </c>
      <c r="K74" s="166">
        <f>F74+J74</f>
        <v>55746010.528649993</v>
      </c>
      <c r="L74" s="1"/>
      <c r="M74" s="81" t="s">
        <v>73</v>
      </c>
      <c r="N74" s="28"/>
      <c r="O74" s="85"/>
      <c r="P74" s="28"/>
      <c r="Q74" s="100">
        <f>SUM(Q63:Q73)</f>
        <v>1180621.9912320001</v>
      </c>
      <c r="R74" s="1"/>
      <c r="S74" s="86"/>
      <c r="T74" s="28"/>
      <c r="U74" s="94">
        <f>SUM(U63:U73)</f>
        <v>1043073.913824</v>
      </c>
      <c r="V74" s="94">
        <f>Q74+U74</f>
        <v>2223695.9050560002</v>
      </c>
      <c r="W74" s="1"/>
      <c r="X74" s="1"/>
      <c r="Y74" s="1"/>
      <c r="Z74" s="1"/>
    </row>
    <row r="75" spans="1:26" ht="7.5" customHeight="1" x14ac:dyDescent="0.3">
      <c r="A75" s="106"/>
      <c r="B75" s="106"/>
      <c r="C75" s="106"/>
      <c r="D75" s="106"/>
      <c r="E75" s="106"/>
      <c r="F75" s="106"/>
      <c r="G75" s="106"/>
      <c r="H75" s="106"/>
      <c r="I75" s="106"/>
      <c r="J75" s="106"/>
      <c r="K75" s="106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12" t="s">
        <v>85</v>
      </c>
      <c r="B76" s="207"/>
      <c r="C76" s="146"/>
      <c r="D76" s="213"/>
      <c r="E76" s="207"/>
      <c r="F76" s="214"/>
      <c r="G76" s="116"/>
      <c r="H76" s="213"/>
      <c r="I76" s="207"/>
      <c r="J76" s="214" t="s">
        <v>70</v>
      </c>
      <c r="K76" s="207" t="s">
        <v>65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18" t="s">
        <v>75</v>
      </c>
      <c r="B77" s="209"/>
      <c r="C77" s="116"/>
      <c r="D77" s="209"/>
      <c r="E77" s="209"/>
      <c r="F77" s="215"/>
      <c r="G77" s="116"/>
      <c r="H77" s="209"/>
      <c r="I77" s="209"/>
      <c r="J77" s="215"/>
      <c r="K77" s="209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23" t="str">
        <f t="shared" ref="A78:A88" si="12">IF(A63="","",A63)</f>
        <v>RESIDENTIAL</v>
      </c>
      <c r="B78" s="124" t="s">
        <v>40</v>
      </c>
      <c r="C78" s="119"/>
      <c r="D78" s="142">
        <v>2746080015.0999999</v>
      </c>
      <c r="E78" s="143">
        <v>4.4999999999999997E-3</v>
      </c>
      <c r="F78" s="139">
        <f t="shared" ref="F78:F88" si="13">D78*E78</f>
        <v>12357360.067949999</v>
      </c>
      <c r="G78" s="106"/>
      <c r="H78" s="142">
        <v>25177143.780000001</v>
      </c>
      <c r="I78" s="143">
        <f t="shared" ref="I78:I86" si="14">E78</f>
        <v>4.4999999999999997E-3</v>
      </c>
      <c r="J78" s="139">
        <f t="shared" ref="J78:J88" si="15">H78*I78</f>
        <v>113297.14701</v>
      </c>
      <c r="K78" s="207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23" t="str">
        <f t="shared" si="12"/>
        <v>GENERAL SERVICE &lt;50KW</v>
      </c>
      <c r="B79" s="124" t="s">
        <v>40</v>
      </c>
      <c r="C79" s="119"/>
      <c r="D79" s="142">
        <v>638296830.01999998</v>
      </c>
      <c r="E79" s="143">
        <v>4.4999999999999997E-3</v>
      </c>
      <c r="F79" s="139">
        <f t="shared" si="13"/>
        <v>2872335.7350899996</v>
      </c>
      <c r="G79" s="106"/>
      <c r="H79" s="142">
        <v>108644279.97</v>
      </c>
      <c r="I79" s="143">
        <f t="shared" si="14"/>
        <v>4.4999999999999997E-3</v>
      </c>
      <c r="J79" s="139">
        <f t="shared" si="15"/>
        <v>488899.25986499997</v>
      </c>
      <c r="K79" s="208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23" t="str">
        <f t="shared" si="12"/>
        <v>GENERAL SERVICE 1000-1500KW</v>
      </c>
      <c r="B80" s="124" t="s">
        <v>40</v>
      </c>
      <c r="C80" s="119"/>
      <c r="D80" s="142">
        <v>337132040.76999998</v>
      </c>
      <c r="E80" s="143">
        <v>4.4999999999999997E-3</v>
      </c>
      <c r="F80" s="139">
        <f t="shared" si="13"/>
        <v>1517094.1834649998</v>
      </c>
      <c r="G80" s="106"/>
      <c r="H80" s="142">
        <v>2548836209.0799999</v>
      </c>
      <c r="I80" s="143">
        <f t="shared" si="14"/>
        <v>4.4999999999999997E-3</v>
      </c>
      <c r="J80" s="139">
        <f t="shared" si="15"/>
        <v>11469762.94086</v>
      </c>
      <c r="K80" s="208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23" t="str">
        <f t="shared" si="12"/>
        <v>GENERAL SERVICE 1500-5000 KW</v>
      </c>
      <c r="B81" s="124" t="s">
        <v>40</v>
      </c>
      <c r="C81" s="119"/>
      <c r="D81" s="142">
        <v>0</v>
      </c>
      <c r="E81" s="143">
        <v>4.4999999999999997E-3</v>
      </c>
      <c r="F81" s="139">
        <f t="shared" si="13"/>
        <v>0</v>
      </c>
      <c r="G81" s="106"/>
      <c r="H81" s="142">
        <v>708245854.44000006</v>
      </c>
      <c r="I81" s="143">
        <f t="shared" si="14"/>
        <v>4.4999999999999997E-3</v>
      </c>
      <c r="J81" s="139">
        <f t="shared" si="15"/>
        <v>3187106.3449800001</v>
      </c>
      <c r="K81" s="208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23" t="str">
        <f t="shared" si="12"/>
        <v>LARGE USER</v>
      </c>
      <c r="B82" s="124" t="s">
        <v>40</v>
      </c>
      <c r="C82" s="119"/>
      <c r="D82" s="142">
        <v>0</v>
      </c>
      <c r="E82" s="143">
        <v>4.4999999999999997E-3</v>
      </c>
      <c r="F82" s="139">
        <f t="shared" si="13"/>
        <v>0</v>
      </c>
      <c r="G82" s="106"/>
      <c r="H82" s="142">
        <v>689058955.38999999</v>
      </c>
      <c r="I82" s="143">
        <f t="shared" si="14"/>
        <v>4.4999999999999997E-3</v>
      </c>
      <c r="J82" s="139">
        <f t="shared" si="15"/>
        <v>3100765.2992549995</v>
      </c>
      <c r="K82" s="208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23" t="str">
        <f t="shared" si="12"/>
        <v>STREETLIGHTING</v>
      </c>
      <c r="B83" s="124" t="s">
        <v>40</v>
      </c>
      <c r="C83" s="119"/>
      <c r="D83" s="142">
        <v>0</v>
      </c>
      <c r="E83" s="143">
        <v>4.4999999999999997E-3</v>
      </c>
      <c r="F83" s="139">
        <f t="shared" si="13"/>
        <v>0</v>
      </c>
      <c r="G83" s="106"/>
      <c r="H83" s="142">
        <v>22995495.359999999</v>
      </c>
      <c r="I83" s="143">
        <f t="shared" si="14"/>
        <v>4.4999999999999997E-3</v>
      </c>
      <c r="J83" s="139">
        <f t="shared" si="15"/>
        <v>103479.72911999999</v>
      </c>
      <c r="K83" s="208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23" t="str">
        <f t="shared" si="12"/>
        <v>SENTINEL LIGHTS</v>
      </c>
      <c r="B84" s="124" t="s">
        <v>40</v>
      </c>
      <c r="C84" s="119"/>
      <c r="D84" s="142">
        <v>39702.78</v>
      </c>
      <c r="E84" s="143">
        <v>4.4999999999999997E-3</v>
      </c>
      <c r="F84" s="139">
        <f t="shared" si="13"/>
        <v>178.66250999999997</v>
      </c>
      <c r="G84" s="106"/>
      <c r="H84" s="142">
        <v>0</v>
      </c>
      <c r="I84" s="143">
        <f t="shared" si="14"/>
        <v>4.4999999999999997E-3</v>
      </c>
      <c r="J84" s="139">
        <f t="shared" si="15"/>
        <v>0</v>
      </c>
      <c r="K84" s="208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23" t="str">
        <f t="shared" si="12"/>
        <v>UNMETERED SCATTERED LOADS</v>
      </c>
      <c r="B85" s="124" t="s">
        <v>40</v>
      </c>
      <c r="C85" s="119"/>
      <c r="D85" s="142">
        <v>15118477.74</v>
      </c>
      <c r="E85" s="143">
        <v>4.4999999999999997E-3</v>
      </c>
      <c r="F85" s="139">
        <f t="shared" si="13"/>
        <v>68033.149829999995</v>
      </c>
      <c r="G85" s="106"/>
      <c r="H85" s="142">
        <v>0</v>
      </c>
      <c r="I85" s="143">
        <f t="shared" si="14"/>
        <v>4.4999999999999997E-3</v>
      </c>
      <c r="J85" s="139">
        <f t="shared" si="15"/>
        <v>0</v>
      </c>
      <c r="K85" s="208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23" t="str">
        <f t="shared" si="12"/>
        <v>DRYCORE</v>
      </c>
      <c r="B86" s="124" t="s">
        <v>40</v>
      </c>
      <c r="C86" s="119"/>
      <c r="D86" s="142">
        <v>0</v>
      </c>
      <c r="E86" s="143">
        <v>4.4999999999999997E-3</v>
      </c>
      <c r="F86" s="139">
        <f t="shared" si="13"/>
        <v>0</v>
      </c>
      <c r="G86" s="106"/>
      <c r="H86" s="142">
        <v>6931149.8799999999</v>
      </c>
      <c r="I86" s="143">
        <f t="shared" si="14"/>
        <v>4.4999999999999997E-3</v>
      </c>
      <c r="J86" s="139">
        <f t="shared" si="15"/>
        <v>31190.174459999998</v>
      </c>
      <c r="K86" s="208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23" t="str">
        <f t="shared" si="12"/>
        <v/>
      </c>
      <c r="B87" s="124"/>
      <c r="C87" s="119"/>
      <c r="D87" s="142"/>
      <c r="E87" s="143"/>
      <c r="F87" s="139">
        <f t="shared" si="13"/>
        <v>0</v>
      </c>
      <c r="G87" s="106"/>
      <c r="H87" s="142"/>
      <c r="I87" s="143"/>
      <c r="J87" s="139">
        <f t="shared" si="15"/>
        <v>0</v>
      </c>
      <c r="K87" s="208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23" t="str">
        <f t="shared" si="12"/>
        <v/>
      </c>
      <c r="B88" s="124"/>
      <c r="C88" s="119"/>
      <c r="D88" s="142"/>
      <c r="E88" s="143"/>
      <c r="F88" s="139">
        <f t="shared" si="13"/>
        <v>0</v>
      </c>
      <c r="G88" s="106"/>
      <c r="H88" s="142"/>
      <c r="I88" s="143"/>
      <c r="J88" s="139">
        <f t="shared" si="15"/>
        <v>0</v>
      </c>
      <c r="K88" s="209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18" t="s">
        <v>73</v>
      </c>
      <c r="B89" s="138"/>
      <c r="C89" s="119"/>
      <c r="D89" s="120"/>
      <c r="E89" s="123"/>
      <c r="F89" s="166">
        <f>SUM(F78:F88)</f>
        <v>16815001.798844997</v>
      </c>
      <c r="G89" s="123"/>
      <c r="H89" s="120"/>
      <c r="I89" s="123"/>
      <c r="J89" s="166">
        <f>SUM(J78:J88)</f>
        <v>18494500.895550001</v>
      </c>
      <c r="K89" s="166">
        <f>F89+J89</f>
        <v>35309502.694394998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6.75" customHeight="1" x14ac:dyDescent="0.3">
      <c r="A90" s="106"/>
      <c r="B90" s="106"/>
      <c r="C90" s="106"/>
      <c r="D90" s="106"/>
      <c r="E90" s="106"/>
      <c r="F90" s="106"/>
      <c r="G90" s="106"/>
      <c r="H90" s="106"/>
      <c r="I90" s="106"/>
      <c r="J90" s="106"/>
      <c r="K90" s="106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12" t="s">
        <v>86</v>
      </c>
      <c r="B91" s="207"/>
      <c r="C91" s="146"/>
      <c r="D91" s="213"/>
      <c r="E91" s="207"/>
      <c r="F91" s="214"/>
      <c r="G91" s="116"/>
      <c r="H91" s="213"/>
      <c r="I91" s="207"/>
      <c r="J91" s="214" t="s">
        <v>70</v>
      </c>
      <c r="K91" s="207" t="s">
        <v>65</v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18" t="s">
        <v>75</v>
      </c>
      <c r="B92" s="209"/>
      <c r="C92" s="116"/>
      <c r="D92" s="209"/>
      <c r="E92" s="209"/>
      <c r="F92" s="215"/>
      <c r="G92" s="116"/>
      <c r="H92" s="209"/>
      <c r="I92" s="209"/>
      <c r="J92" s="215"/>
      <c r="K92" s="209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23" t="str">
        <f t="shared" ref="A93:A103" si="16">IF(A78="","",A78)</f>
        <v>RESIDENTIAL</v>
      </c>
      <c r="B93" s="124"/>
      <c r="C93" s="119"/>
      <c r="D93" s="142"/>
      <c r="E93" s="143"/>
      <c r="F93" s="139">
        <f t="shared" ref="F93:F103" si="17">D93*E93</f>
        <v>0</v>
      </c>
      <c r="G93" s="106"/>
      <c r="H93" s="142">
        <v>0</v>
      </c>
      <c r="I93" s="143"/>
      <c r="J93" s="139">
        <f t="shared" ref="J93:J103" si="18">H93*I93</f>
        <v>0</v>
      </c>
      <c r="K93" s="207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23" t="str">
        <f t="shared" si="16"/>
        <v>GENERAL SERVICE &lt;50KW</v>
      </c>
      <c r="B94" s="124"/>
      <c r="C94" s="119"/>
      <c r="D94" s="142"/>
      <c r="E94" s="143"/>
      <c r="F94" s="139">
        <f t="shared" si="17"/>
        <v>0</v>
      </c>
      <c r="G94" s="106"/>
      <c r="H94" s="142">
        <v>0</v>
      </c>
      <c r="I94" s="143"/>
      <c r="J94" s="139">
        <f t="shared" si="18"/>
        <v>0</v>
      </c>
      <c r="K94" s="208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23" t="str">
        <f t="shared" si="16"/>
        <v>GENERAL SERVICE 1000-1500KW</v>
      </c>
      <c r="B95" s="124" t="s">
        <v>40</v>
      </c>
      <c r="C95" s="119"/>
      <c r="D95" s="142"/>
      <c r="E95" s="143"/>
      <c r="F95" s="139">
        <f t="shared" si="17"/>
        <v>0</v>
      </c>
      <c r="G95" s="106"/>
      <c r="H95" s="142">
        <v>413029035.56999999</v>
      </c>
      <c r="I95" s="143">
        <v>4.0000000000000002E-4</v>
      </c>
      <c r="J95" s="139">
        <f t="shared" si="18"/>
        <v>165211.61422799999</v>
      </c>
      <c r="K95" s="208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23" t="str">
        <f t="shared" si="16"/>
        <v>GENERAL SERVICE 1500-5000 KW</v>
      </c>
      <c r="B96" s="124" t="s">
        <v>40</v>
      </c>
      <c r="C96" s="119"/>
      <c r="D96" s="142"/>
      <c r="E96" s="143"/>
      <c r="F96" s="139">
        <f t="shared" si="17"/>
        <v>0</v>
      </c>
      <c r="G96" s="106"/>
      <c r="H96" s="142">
        <v>559948340.34000003</v>
      </c>
      <c r="I96" s="143">
        <v>4.0000000000000002E-4</v>
      </c>
      <c r="J96" s="139">
        <f t="shared" si="18"/>
        <v>223979.33613600003</v>
      </c>
      <c r="K96" s="208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23" t="str">
        <f t="shared" si="16"/>
        <v>LARGE USER</v>
      </c>
      <c r="B97" s="124" t="s">
        <v>40</v>
      </c>
      <c r="C97" s="119"/>
      <c r="D97" s="142"/>
      <c r="E97" s="143"/>
      <c r="F97" s="139">
        <f t="shared" si="17"/>
        <v>0</v>
      </c>
      <c r="G97" s="106"/>
      <c r="H97" s="142">
        <v>628899581.98000002</v>
      </c>
      <c r="I97" s="143">
        <v>4.0000000000000002E-4</v>
      </c>
      <c r="J97" s="139">
        <f t="shared" si="18"/>
        <v>251559.83279200003</v>
      </c>
      <c r="K97" s="208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23" t="str">
        <f t="shared" si="16"/>
        <v>STREETLIGHTING</v>
      </c>
      <c r="B98" s="124"/>
      <c r="C98" s="119"/>
      <c r="D98" s="142"/>
      <c r="E98" s="143"/>
      <c r="F98" s="139">
        <f t="shared" si="17"/>
        <v>0</v>
      </c>
      <c r="G98" s="106"/>
      <c r="H98" s="142">
        <v>0</v>
      </c>
      <c r="I98" s="143"/>
      <c r="J98" s="139">
        <f t="shared" si="18"/>
        <v>0</v>
      </c>
      <c r="K98" s="208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23" t="str">
        <f t="shared" si="16"/>
        <v>SENTINEL LIGHTS</v>
      </c>
      <c r="B99" s="124"/>
      <c r="C99" s="119"/>
      <c r="D99" s="142"/>
      <c r="E99" s="143"/>
      <c r="F99" s="139">
        <f t="shared" si="17"/>
        <v>0</v>
      </c>
      <c r="G99" s="106"/>
      <c r="H99" s="142">
        <v>0</v>
      </c>
      <c r="I99" s="143"/>
      <c r="J99" s="139">
        <f t="shared" si="18"/>
        <v>0</v>
      </c>
      <c r="K99" s="208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23" t="str">
        <f t="shared" si="16"/>
        <v>UNMETERED SCATTERED LOADS</v>
      </c>
      <c r="B100" s="124"/>
      <c r="C100" s="119"/>
      <c r="D100" s="142"/>
      <c r="E100" s="143"/>
      <c r="F100" s="139">
        <f t="shared" si="17"/>
        <v>0</v>
      </c>
      <c r="G100" s="106"/>
      <c r="H100" s="142">
        <v>0</v>
      </c>
      <c r="I100" s="143"/>
      <c r="J100" s="139">
        <f t="shared" si="18"/>
        <v>0</v>
      </c>
      <c r="K100" s="208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23" t="str">
        <f t="shared" si="16"/>
        <v>DRYCORE</v>
      </c>
      <c r="B101" s="124"/>
      <c r="C101" s="119"/>
      <c r="D101" s="142"/>
      <c r="E101" s="143"/>
      <c r="F101" s="139">
        <f t="shared" si="17"/>
        <v>0</v>
      </c>
      <c r="G101" s="106"/>
      <c r="H101" s="142">
        <v>0</v>
      </c>
      <c r="I101" s="143"/>
      <c r="J101" s="139">
        <f t="shared" si="18"/>
        <v>0</v>
      </c>
      <c r="K101" s="208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23" t="str">
        <f t="shared" si="16"/>
        <v/>
      </c>
      <c r="B102" s="124"/>
      <c r="C102" s="119"/>
      <c r="D102" s="142"/>
      <c r="E102" s="143"/>
      <c r="F102" s="139">
        <f t="shared" si="17"/>
        <v>0</v>
      </c>
      <c r="G102" s="106"/>
      <c r="H102" s="142"/>
      <c r="I102" s="143"/>
      <c r="J102" s="139">
        <f t="shared" si="18"/>
        <v>0</v>
      </c>
      <c r="K102" s="208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23" t="str">
        <f t="shared" si="16"/>
        <v/>
      </c>
      <c r="B103" s="124"/>
      <c r="C103" s="119"/>
      <c r="D103" s="142"/>
      <c r="E103" s="143"/>
      <c r="F103" s="139">
        <f t="shared" si="17"/>
        <v>0</v>
      </c>
      <c r="G103" s="106"/>
      <c r="H103" s="142"/>
      <c r="I103" s="143"/>
      <c r="J103" s="139">
        <f t="shared" si="18"/>
        <v>0</v>
      </c>
      <c r="K103" s="209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18" t="s">
        <v>73</v>
      </c>
      <c r="B104" s="138"/>
      <c r="C104" s="119"/>
      <c r="D104" s="120"/>
      <c r="E104" s="123"/>
      <c r="F104" s="166">
        <f>SUM(F93:F103)</f>
        <v>0</v>
      </c>
      <c r="G104" s="123"/>
      <c r="H104" s="120"/>
      <c r="I104" s="123"/>
      <c r="J104" s="166">
        <f>SUM(J93:J103)</f>
        <v>640750.78315600008</v>
      </c>
      <c r="K104" s="166">
        <f>F104+J104</f>
        <v>640750.78315600008</v>
      </c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6.75" customHeight="1" x14ac:dyDescent="0.3">
      <c r="A105" s="118"/>
      <c r="B105" s="147"/>
      <c r="C105" s="119"/>
      <c r="D105" s="148"/>
      <c r="E105" s="145"/>
      <c r="F105" s="139"/>
      <c r="G105" s="106"/>
      <c r="H105" s="121"/>
      <c r="I105" s="145"/>
      <c r="J105" s="139"/>
      <c r="K105" s="149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12" t="s">
        <v>87</v>
      </c>
      <c r="B106" s="207"/>
      <c r="C106" s="146"/>
      <c r="D106" s="213"/>
      <c r="E106" s="207"/>
      <c r="F106" s="214"/>
      <c r="G106" s="116"/>
      <c r="H106" s="213"/>
      <c r="I106" s="207"/>
      <c r="J106" s="214" t="s">
        <v>70</v>
      </c>
      <c r="K106" s="207" t="s">
        <v>65</v>
      </c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18" t="s">
        <v>75</v>
      </c>
      <c r="B107" s="209"/>
      <c r="C107" s="116"/>
      <c r="D107" s="209"/>
      <c r="E107" s="209"/>
      <c r="F107" s="215"/>
      <c r="G107" s="116"/>
      <c r="H107" s="209"/>
      <c r="I107" s="209"/>
      <c r="J107" s="215"/>
      <c r="K107" s="209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23" t="str">
        <f t="shared" ref="A108:A118" si="19">IF(A93="","",A93)</f>
        <v>RESIDENTIAL</v>
      </c>
      <c r="B108" s="124" t="s">
        <v>40</v>
      </c>
      <c r="C108" s="119"/>
      <c r="D108" s="142">
        <v>2746080015.0999999</v>
      </c>
      <c r="E108" s="143">
        <v>4.0000000000000002E-4</v>
      </c>
      <c r="F108" s="139">
        <f t="shared" ref="F108:F118" si="20">D108*E108</f>
        <v>1098432.0060400001</v>
      </c>
      <c r="G108" s="106"/>
      <c r="H108" s="142">
        <v>25177143.780000001</v>
      </c>
      <c r="I108" s="143">
        <f t="shared" ref="I108:I116" si="21">E108</f>
        <v>4.0000000000000002E-4</v>
      </c>
      <c r="J108" s="139">
        <f t="shared" ref="J108:J118" si="22">H108*I108</f>
        <v>10070.857512</v>
      </c>
      <c r="K108" s="207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23" t="str">
        <f t="shared" si="19"/>
        <v>GENERAL SERVICE &lt;50KW</v>
      </c>
      <c r="B109" s="124" t="s">
        <v>40</v>
      </c>
      <c r="C109" s="119"/>
      <c r="D109" s="142">
        <v>638296830.01999998</v>
      </c>
      <c r="E109" s="143">
        <v>4.0000000000000002E-4</v>
      </c>
      <c r="F109" s="139">
        <f t="shared" si="20"/>
        <v>255318.73200799999</v>
      </c>
      <c r="G109" s="106"/>
      <c r="H109" s="142">
        <v>108644279.97</v>
      </c>
      <c r="I109" s="143">
        <f t="shared" si="21"/>
        <v>4.0000000000000002E-4</v>
      </c>
      <c r="J109" s="139">
        <f t="shared" si="22"/>
        <v>43457.711988000003</v>
      </c>
      <c r="K109" s="208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23" t="str">
        <f t="shared" si="19"/>
        <v>GENERAL SERVICE 1000-1500KW</v>
      </c>
      <c r="B110" s="124" t="s">
        <v>40</v>
      </c>
      <c r="C110" s="119"/>
      <c r="D110" s="142">
        <v>337132040.76999998</v>
      </c>
      <c r="E110" s="143">
        <v>4.0000000000000002E-4</v>
      </c>
      <c r="F110" s="139">
        <f t="shared" si="20"/>
        <v>134852.81630800001</v>
      </c>
      <c r="G110" s="106"/>
      <c r="H110" s="142">
        <v>2135807173.51</v>
      </c>
      <c r="I110" s="143">
        <f t="shared" si="21"/>
        <v>4.0000000000000002E-4</v>
      </c>
      <c r="J110" s="139">
        <f t="shared" si="22"/>
        <v>854322.869404</v>
      </c>
      <c r="K110" s="208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23" t="str">
        <f t="shared" si="19"/>
        <v>GENERAL SERVICE 1500-5000 KW</v>
      </c>
      <c r="B111" s="124" t="s">
        <v>40</v>
      </c>
      <c r="C111" s="119"/>
      <c r="D111" s="142">
        <v>0</v>
      </c>
      <c r="E111" s="143">
        <v>4.0000000000000002E-4</v>
      </c>
      <c r="F111" s="139">
        <f t="shared" si="20"/>
        <v>0</v>
      </c>
      <c r="G111" s="106"/>
      <c r="H111" s="142">
        <v>148297514.11000001</v>
      </c>
      <c r="I111" s="143">
        <f t="shared" si="21"/>
        <v>4.0000000000000002E-4</v>
      </c>
      <c r="J111" s="139">
        <f t="shared" si="22"/>
        <v>59319.005644000012</v>
      </c>
      <c r="K111" s="208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23" t="str">
        <f t="shared" si="19"/>
        <v>LARGE USER</v>
      </c>
      <c r="B112" s="124" t="s">
        <v>40</v>
      </c>
      <c r="C112" s="119"/>
      <c r="D112" s="142">
        <v>0</v>
      </c>
      <c r="E112" s="143">
        <v>4.0000000000000002E-4</v>
      </c>
      <c r="F112" s="139">
        <f t="shared" si="20"/>
        <v>0</v>
      </c>
      <c r="G112" s="106"/>
      <c r="H112" s="142">
        <v>60159373.420000002</v>
      </c>
      <c r="I112" s="143">
        <f t="shared" si="21"/>
        <v>4.0000000000000002E-4</v>
      </c>
      <c r="J112" s="139">
        <f t="shared" si="22"/>
        <v>24063.749368000001</v>
      </c>
      <c r="K112" s="208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23" t="str">
        <f t="shared" si="19"/>
        <v>STREETLIGHTING</v>
      </c>
      <c r="B113" s="124" t="s">
        <v>40</v>
      </c>
      <c r="C113" s="119"/>
      <c r="D113" s="142">
        <v>0</v>
      </c>
      <c r="E113" s="143">
        <v>4.0000000000000002E-4</v>
      </c>
      <c r="F113" s="139">
        <f t="shared" si="20"/>
        <v>0</v>
      </c>
      <c r="G113" s="106"/>
      <c r="H113" s="142">
        <v>22995495.359999999</v>
      </c>
      <c r="I113" s="143">
        <f t="shared" si="21"/>
        <v>4.0000000000000002E-4</v>
      </c>
      <c r="J113" s="139">
        <f t="shared" si="22"/>
        <v>9198.198144</v>
      </c>
      <c r="K113" s="208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23" t="str">
        <f t="shared" si="19"/>
        <v>SENTINEL LIGHTS</v>
      </c>
      <c r="B114" s="124" t="s">
        <v>40</v>
      </c>
      <c r="C114" s="119"/>
      <c r="D114" s="142">
        <v>39702.78</v>
      </c>
      <c r="E114" s="143">
        <v>4.0000000000000002E-4</v>
      </c>
      <c r="F114" s="139">
        <f t="shared" si="20"/>
        <v>15.881112</v>
      </c>
      <c r="G114" s="106"/>
      <c r="H114" s="142">
        <v>0</v>
      </c>
      <c r="I114" s="143">
        <f t="shared" si="21"/>
        <v>4.0000000000000002E-4</v>
      </c>
      <c r="J114" s="139">
        <f t="shared" si="22"/>
        <v>0</v>
      </c>
      <c r="K114" s="208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23" t="str">
        <f t="shared" si="19"/>
        <v>UNMETERED SCATTERED LOADS</v>
      </c>
      <c r="B115" s="124" t="s">
        <v>40</v>
      </c>
      <c r="C115" s="119"/>
      <c r="D115" s="142">
        <v>15118477.74</v>
      </c>
      <c r="E115" s="143">
        <v>4.0000000000000002E-4</v>
      </c>
      <c r="F115" s="139">
        <f t="shared" si="20"/>
        <v>6047.3910960000003</v>
      </c>
      <c r="G115" s="106"/>
      <c r="H115" s="142">
        <v>0</v>
      </c>
      <c r="I115" s="143">
        <f t="shared" si="21"/>
        <v>4.0000000000000002E-4</v>
      </c>
      <c r="J115" s="139">
        <f t="shared" si="22"/>
        <v>0</v>
      </c>
      <c r="K115" s="208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23" t="str">
        <f t="shared" si="19"/>
        <v>DRYCORE</v>
      </c>
      <c r="B116" s="124" t="s">
        <v>40</v>
      </c>
      <c r="C116" s="119"/>
      <c r="D116" s="142">
        <v>0</v>
      </c>
      <c r="E116" s="143">
        <v>4.0000000000000002E-4</v>
      </c>
      <c r="F116" s="139">
        <f t="shared" si="20"/>
        <v>0</v>
      </c>
      <c r="G116" s="106"/>
      <c r="H116" s="142">
        <v>6931149.8799999999</v>
      </c>
      <c r="I116" s="143">
        <f t="shared" si="21"/>
        <v>4.0000000000000002E-4</v>
      </c>
      <c r="J116" s="139">
        <f t="shared" si="22"/>
        <v>2772.4599520000002</v>
      </c>
      <c r="K116" s="208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23" t="str">
        <f t="shared" si="19"/>
        <v/>
      </c>
      <c r="B117" s="124"/>
      <c r="C117" s="119"/>
      <c r="D117" s="142"/>
      <c r="E117" s="143"/>
      <c r="F117" s="139">
        <f t="shared" si="20"/>
        <v>0</v>
      </c>
      <c r="G117" s="106"/>
      <c r="H117" s="142"/>
      <c r="I117" s="143"/>
      <c r="J117" s="139">
        <f t="shared" si="22"/>
        <v>0</v>
      </c>
      <c r="K117" s="208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23" t="str">
        <f t="shared" si="19"/>
        <v/>
      </c>
      <c r="B118" s="124"/>
      <c r="C118" s="119"/>
      <c r="D118" s="142"/>
      <c r="E118" s="143"/>
      <c r="F118" s="139">
        <f t="shared" si="20"/>
        <v>0</v>
      </c>
      <c r="G118" s="106"/>
      <c r="H118" s="142"/>
      <c r="I118" s="143"/>
      <c r="J118" s="139">
        <f t="shared" si="22"/>
        <v>0</v>
      </c>
      <c r="K118" s="209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18" t="s">
        <v>73</v>
      </c>
      <c r="B119" s="138"/>
      <c r="C119" s="119"/>
      <c r="D119" s="120"/>
      <c r="E119" s="123"/>
      <c r="F119" s="166">
        <f>SUM(F108:F118)</f>
        <v>1494666.826564</v>
      </c>
      <c r="G119" s="123"/>
      <c r="H119" s="120"/>
      <c r="I119" s="123"/>
      <c r="J119" s="166">
        <f>SUM(J108:J118)</f>
        <v>1003204.8520119999</v>
      </c>
      <c r="K119" s="166">
        <f>F119+J119</f>
        <v>2497871.678576</v>
      </c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6.75" customHeight="1" x14ac:dyDescent="0.3">
      <c r="A120" s="118"/>
      <c r="B120" s="147"/>
      <c r="C120" s="119"/>
      <c r="D120" s="148"/>
      <c r="E120" s="145"/>
      <c r="F120" s="139"/>
      <c r="G120" s="106"/>
      <c r="H120" s="121"/>
      <c r="I120" s="145"/>
      <c r="J120" s="139"/>
      <c r="K120" s="149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" customHeight="1" x14ac:dyDescent="0.3">
      <c r="A121" s="112" t="s">
        <v>88</v>
      </c>
      <c r="B121" s="207"/>
      <c r="C121" s="113"/>
      <c r="D121" s="213"/>
      <c r="E121" s="207"/>
      <c r="F121" s="214"/>
      <c r="G121" s="116"/>
      <c r="H121" s="213"/>
      <c r="I121" s="207"/>
      <c r="J121" s="214" t="s">
        <v>70</v>
      </c>
      <c r="K121" s="207" t="s">
        <v>65</v>
      </c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18" t="s">
        <v>75</v>
      </c>
      <c r="B122" s="209"/>
      <c r="C122" s="113"/>
      <c r="D122" s="209"/>
      <c r="E122" s="209"/>
      <c r="F122" s="215"/>
      <c r="G122" s="116"/>
      <c r="H122" s="209"/>
      <c r="I122" s="209"/>
      <c r="J122" s="215"/>
      <c r="K122" s="209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23" t="str">
        <f t="shared" ref="A123:A133" si="23">IF(A108="","",A108)</f>
        <v>RESIDENTIAL</v>
      </c>
      <c r="B123" s="124" t="s">
        <v>40</v>
      </c>
      <c r="C123" s="119"/>
      <c r="D123" s="142">
        <v>2746080015.0999999</v>
      </c>
      <c r="E123" s="143">
        <v>1.5E-3</v>
      </c>
      <c r="F123" s="139">
        <f t="shared" ref="F123:F133" si="24">D123*E123</f>
        <v>4119120.0226500002</v>
      </c>
      <c r="G123" s="106"/>
      <c r="H123" s="142">
        <v>25177143.780000001</v>
      </c>
      <c r="I123" s="143">
        <f t="shared" ref="I123:I131" si="25">E123</f>
        <v>1.5E-3</v>
      </c>
      <c r="J123" s="139">
        <f t="shared" ref="J123:J133" si="26">H123*I123</f>
        <v>37765.715670000005</v>
      </c>
      <c r="K123" s="207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23" t="str">
        <f t="shared" si="23"/>
        <v>GENERAL SERVICE &lt;50KW</v>
      </c>
      <c r="B124" s="124" t="s">
        <v>40</v>
      </c>
      <c r="C124" s="119"/>
      <c r="D124" s="142">
        <v>638296830.01999998</v>
      </c>
      <c r="E124" s="143">
        <v>1.5E-3</v>
      </c>
      <c r="F124" s="139">
        <f t="shared" si="24"/>
        <v>957445.24502999999</v>
      </c>
      <c r="G124" s="106"/>
      <c r="H124" s="142">
        <v>108644279.97</v>
      </c>
      <c r="I124" s="143">
        <f t="shared" si="25"/>
        <v>1.5E-3</v>
      </c>
      <c r="J124" s="139">
        <f t="shared" si="26"/>
        <v>162966.41995499999</v>
      </c>
      <c r="K124" s="208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23" t="str">
        <f t="shared" si="23"/>
        <v>GENERAL SERVICE 1000-1500KW</v>
      </c>
      <c r="B125" s="124" t="s">
        <v>40</v>
      </c>
      <c r="C125" s="119"/>
      <c r="D125" s="142">
        <v>337132040.76999998</v>
      </c>
      <c r="E125" s="143">
        <v>1.5E-3</v>
      </c>
      <c r="F125" s="139">
        <f t="shared" si="24"/>
        <v>505698.061155</v>
      </c>
      <c r="G125" s="106"/>
      <c r="H125" s="142">
        <v>2548836209.0799999</v>
      </c>
      <c r="I125" s="143">
        <f t="shared" si="25"/>
        <v>1.5E-3</v>
      </c>
      <c r="J125" s="139">
        <f t="shared" si="26"/>
        <v>3823254.3136200001</v>
      </c>
      <c r="K125" s="208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23" t="str">
        <f t="shared" si="23"/>
        <v>GENERAL SERVICE 1500-5000 KW</v>
      </c>
      <c r="B126" s="124" t="s">
        <v>40</v>
      </c>
      <c r="C126" s="119"/>
      <c r="D126" s="142">
        <v>0</v>
      </c>
      <c r="E126" s="143">
        <v>1.5E-3</v>
      </c>
      <c r="F126" s="139">
        <f t="shared" si="24"/>
        <v>0</v>
      </c>
      <c r="G126" s="106"/>
      <c r="H126" s="142">
        <v>708245854.44000006</v>
      </c>
      <c r="I126" s="143">
        <f t="shared" si="25"/>
        <v>1.5E-3</v>
      </c>
      <c r="J126" s="139">
        <f t="shared" si="26"/>
        <v>1062368.7816600001</v>
      </c>
      <c r="K126" s="208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23" t="str">
        <f t="shared" si="23"/>
        <v>LARGE USER</v>
      </c>
      <c r="B127" s="124" t="s">
        <v>40</v>
      </c>
      <c r="C127" s="119"/>
      <c r="D127" s="142">
        <v>0</v>
      </c>
      <c r="E127" s="143">
        <v>1.5E-3</v>
      </c>
      <c r="F127" s="139">
        <f t="shared" si="24"/>
        <v>0</v>
      </c>
      <c r="G127" s="106"/>
      <c r="H127" s="142">
        <v>689058955.38999999</v>
      </c>
      <c r="I127" s="143">
        <f t="shared" si="25"/>
        <v>1.5E-3</v>
      </c>
      <c r="J127" s="139">
        <f t="shared" si="26"/>
        <v>1033588.433085</v>
      </c>
      <c r="K127" s="208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23" t="str">
        <f t="shared" si="23"/>
        <v>STREETLIGHTING</v>
      </c>
      <c r="B128" s="124" t="s">
        <v>40</v>
      </c>
      <c r="C128" s="119"/>
      <c r="D128" s="142">
        <v>0</v>
      </c>
      <c r="E128" s="143">
        <v>1.5E-3</v>
      </c>
      <c r="F128" s="139">
        <f t="shared" si="24"/>
        <v>0</v>
      </c>
      <c r="G128" s="106"/>
      <c r="H128" s="142">
        <v>22995495.359999999</v>
      </c>
      <c r="I128" s="143">
        <f t="shared" si="25"/>
        <v>1.5E-3</v>
      </c>
      <c r="J128" s="139">
        <f t="shared" si="26"/>
        <v>34493.243040000001</v>
      </c>
      <c r="K128" s="208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23" t="str">
        <f t="shared" si="23"/>
        <v>SENTINEL LIGHTS</v>
      </c>
      <c r="B129" s="124" t="s">
        <v>40</v>
      </c>
      <c r="C129" s="119"/>
      <c r="D129" s="142">
        <v>39702.78</v>
      </c>
      <c r="E129" s="143">
        <v>1.5E-3</v>
      </c>
      <c r="F129" s="139">
        <f t="shared" si="24"/>
        <v>59.554169999999999</v>
      </c>
      <c r="G129" s="106"/>
      <c r="H129" s="142">
        <v>0</v>
      </c>
      <c r="I129" s="143">
        <f t="shared" si="25"/>
        <v>1.5E-3</v>
      </c>
      <c r="J129" s="139">
        <f t="shared" si="26"/>
        <v>0</v>
      </c>
      <c r="K129" s="208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23" t="str">
        <f t="shared" si="23"/>
        <v>UNMETERED SCATTERED LOADS</v>
      </c>
      <c r="B130" s="124" t="s">
        <v>40</v>
      </c>
      <c r="C130" s="119"/>
      <c r="D130" s="142">
        <v>15118477.74</v>
      </c>
      <c r="E130" s="143">
        <v>1.5E-3</v>
      </c>
      <c r="F130" s="139">
        <f t="shared" si="24"/>
        <v>22677.716609999999</v>
      </c>
      <c r="G130" s="106"/>
      <c r="H130" s="142">
        <v>0</v>
      </c>
      <c r="I130" s="143">
        <f t="shared" si="25"/>
        <v>1.5E-3</v>
      </c>
      <c r="J130" s="139">
        <f t="shared" si="26"/>
        <v>0</v>
      </c>
      <c r="K130" s="208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23" t="str">
        <f t="shared" si="23"/>
        <v>DRYCORE</v>
      </c>
      <c r="B131" s="124" t="s">
        <v>40</v>
      </c>
      <c r="C131" s="119"/>
      <c r="D131" s="142">
        <v>0</v>
      </c>
      <c r="E131" s="143">
        <v>1.5E-3</v>
      </c>
      <c r="F131" s="139">
        <f t="shared" si="24"/>
        <v>0</v>
      </c>
      <c r="G131" s="106"/>
      <c r="H131" s="142">
        <v>6931149.8799999999</v>
      </c>
      <c r="I131" s="143">
        <f t="shared" si="25"/>
        <v>1.5E-3</v>
      </c>
      <c r="J131" s="139">
        <f t="shared" si="26"/>
        <v>10396.724819999999</v>
      </c>
      <c r="K131" s="208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23" t="str">
        <f t="shared" si="23"/>
        <v/>
      </c>
      <c r="B132" s="124"/>
      <c r="C132" s="119"/>
      <c r="D132" s="142"/>
      <c r="E132" s="143"/>
      <c r="F132" s="139">
        <f t="shared" si="24"/>
        <v>0</v>
      </c>
      <c r="G132" s="106"/>
      <c r="H132" s="142"/>
      <c r="I132" s="143"/>
      <c r="J132" s="139">
        <f t="shared" si="26"/>
        <v>0</v>
      </c>
      <c r="K132" s="208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23" t="str">
        <f t="shared" si="23"/>
        <v/>
      </c>
      <c r="B133" s="124"/>
      <c r="C133" s="119"/>
      <c r="D133" s="142"/>
      <c r="E133" s="143"/>
      <c r="F133" s="139">
        <f t="shared" si="24"/>
        <v>0</v>
      </c>
      <c r="G133" s="106"/>
      <c r="H133" s="142"/>
      <c r="I133" s="143"/>
      <c r="J133" s="139">
        <f t="shared" si="26"/>
        <v>0</v>
      </c>
      <c r="K133" s="209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18" t="s">
        <v>73</v>
      </c>
      <c r="B134" s="138"/>
      <c r="C134" s="127"/>
      <c r="D134" s="120"/>
      <c r="E134" s="123"/>
      <c r="F134" s="166">
        <f>SUM(F123:F133)</f>
        <v>5605000.5996150002</v>
      </c>
      <c r="G134" s="123"/>
      <c r="H134" s="120"/>
      <c r="I134" s="123"/>
      <c r="J134" s="166">
        <f>SUM(J123:J133)</f>
        <v>6164833.6318500005</v>
      </c>
      <c r="K134" s="166">
        <f>F134+J134</f>
        <v>11769834.231465001</v>
      </c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6.75" customHeight="1" x14ac:dyDescent="0.3">
      <c r="A135" s="106"/>
      <c r="B135" s="106"/>
      <c r="C135" s="106"/>
      <c r="D135" s="106"/>
      <c r="E135" s="106"/>
      <c r="F135" s="106"/>
      <c r="G135" s="106"/>
      <c r="H135" s="106"/>
      <c r="I135" s="106"/>
      <c r="J135" s="106"/>
      <c r="K135" s="106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12" t="s">
        <v>89</v>
      </c>
      <c r="B136" s="207"/>
      <c r="C136" s="113"/>
      <c r="D136" s="213"/>
      <c r="E136" s="207"/>
      <c r="F136" s="214"/>
      <c r="G136" s="116"/>
      <c r="H136" s="213"/>
      <c r="I136" s="207"/>
      <c r="J136" s="214" t="s">
        <v>70</v>
      </c>
      <c r="K136" s="207" t="s">
        <v>65</v>
      </c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18" t="s">
        <v>75</v>
      </c>
      <c r="B137" s="209"/>
      <c r="C137" s="113"/>
      <c r="D137" s="209"/>
      <c r="E137" s="209"/>
      <c r="F137" s="215"/>
      <c r="G137" s="116"/>
      <c r="H137" s="209"/>
      <c r="I137" s="209"/>
      <c r="J137" s="215"/>
      <c r="K137" s="209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23" t="str">
        <f t="shared" ref="A138:A148" si="27">IF(A123="","",A123)</f>
        <v>RESIDENTIAL</v>
      </c>
      <c r="B138" s="124" t="s">
        <v>40</v>
      </c>
      <c r="C138" s="119"/>
      <c r="D138" s="142">
        <v>2657839735.8699999</v>
      </c>
      <c r="E138" s="143">
        <v>6.5370000000000006E-5</v>
      </c>
      <c r="F138" s="139">
        <f t="shared" ref="F138:F148" si="28">D138*E138</f>
        <v>173742.98353382191</v>
      </c>
      <c r="G138" s="106"/>
      <c r="H138" s="142">
        <v>24368122.129999999</v>
      </c>
      <c r="I138" s="143">
        <v>6.5370000000000006E-5</v>
      </c>
      <c r="J138" s="139">
        <f t="shared" ref="J138:J148" si="29">H138*I138</f>
        <v>1592.9441436381001</v>
      </c>
      <c r="K138" s="207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23" t="str">
        <f t="shared" si="27"/>
        <v>GENERAL SERVICE &lt;50KW</v>
      </c>
      <c r="B139" s="124" t="s">
        <v>40</v>
      </c>
      <c r="C139" s="119"/>
      <c r="D139" s="142">
        <v>617786324.05999994</v>
      </c>
      <c r="E139" s="143">
        <v>6.5370000000000006E-5</v>
      </c>
      <c r="F139" s="139">
        <f t="shared" si="28"/>
        <v>40384.6920038022</v>
      </c>
      <c r="G139" s="106"/>
      <c r="H139" s="142">
        <v>105153193.94</v>
      </c>
      <c r="I139" s="143">
        <v>6.5370000000000006E-5</v>
      </c>
      <c r="J139" s="139">
        <f t="shared" si="29"/>
        <v>6873.8642878578003</v>
      </c>
      <c r="K139" s="208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23" t="str">
        <f t="shared" si="27"/>
        <v>GENERAL SERVICE 1000-1500KW</v>
      </c>
      <c r="B140" s="124" t="s">
        <v>40</v>
      </c>
      <c r="C140" s="119"/>
      <c r="D140" s="142">
        <v>326298916.73000002</v>
      </c>
      <c r="E140" s="143">
        <v>6.5370000000000006E-5</v>
      </c>
      <c r="F140" s="139">
        <f t="shared" si="28"/>
        <v>21330.160186640103</v>
      </c>
      <c r="G140" s="106"/>
      <c r="H140" s="142">
        <v>2466934000.27</v>
      </c>
      <c r="I140" s="143">
        <v>6.5370000000000006E-5</v>
      </c>
      <c r="J140" s="139">
        <f t="shared" si="29"/>
        <v>161263.4755976499</v>
      </c>
      <c r="K140" s="208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23" t="str">
        <f t="shared" si="27"/>
        <v>GENERAL SERVICE 1500-5000 KW</v>
      </c>
      <c r="B141" s="124" t="s">
        <v>40</v>
      </c>
      <c r="C141" s="119"/>
      <c r="D141" s="142">
        <v>0</v>
      </c>
      <c r="E141" s="143">
        <v>6.5370000000000006E-5</v>
      </c>
      <c r="F141" s="139">
        <f t="shared" si="28"/>
        <v>0</v>
      </c>
      <c r="G141" s="106"/>
      <c r="H141" s="142">
        <v>685487664</v>
      </c>
      <c r="I141" s="143">
        <v>6.5370000000000006E-5</v>
      </c>
      <c r="J141" s="139">
        <f t="shared" si="29"/>
        <v>44810.328595680003</v>
      </c>
      <c r="K141" s="208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23" t="str">
        <f t="shared" si="27"/>
        <v>LARGE USER</v>
      </c>
      <c r="B142" s="124" t="s">
        <v>40</v>
      </c>
      <c r="C142" s="119"/>
      <c r="D142" s="142">
        <v>0</v>
      </c>
      <c r="E142" s="143">
        <v>6.5370000000000006E-5</v>
      </c>
      <c r="F142" s="139">
        <f t="shared" si="28"/>
        <v>0</v>
      </c>
      <c r="G142" s="106"/>
      <c r="H142" s="142">
        <v>666917301</v>
      </c>
      <c r="I142" s="143">
        <v>6.5370000000000006E-5</v>
      </c>
      <c r="J142" s="139">
        <f t="shared" si="29"/>
        <v>43596.383966370006</v>
      </c>
      <c r="K142" s="208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23" t="str">
        <f t="shared" si="27"/>
        <v>STREETLIGHTING</v>
      </c>
      <c r="B143" s="124" t="s">
        <v>40</v>
      </c>
      <c r="C143" s="119"/>
      <c r="D143" s="142">
        <v>0</v>
      </c>
      <c r="E143" s="143">
        <v>6.5370000000000006E-5</v>
      </c>
      <c r="F143" s="139">
        <f t="shared" si="28"/>
        <v>0</v>
      </c>
      <c r="G143" s="106"/>
      <c r="H143" s="142">
        <v>22256577</v>
      </c>
      <c r="I143" s="143">
        <v>6.5370000000000006E-5</v>
      </c>
      <c r="J143" s="139">
        <f t="shared" si="29"/>
        <v>1454.9124384900001</v>
      </c>
      <c r="K143" s="208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23" t="str">
        <f t="shared" si="27"/>
        <v>SENTINEL LIGHTS</v>
      </c>
      <c r="B144" s="124" t="s">
        <v>40</v>
      </c>
      <c r="C144" s="150"/>
      <c r="D144" s="142">
        <v>38427</v>
      </c>
      <c r="E144" s="143">
        <v>6.5370000000000006E-5</v>
      </c>
      <c r="F144" s="139">
        <f t="shared" si="28"/>
        <v>2.5119729900000003</v>
      </c>
      <c r="G144" s="106"/>
      <c r="H144" s="142">
        <v>0</v>
      </c>
      <c r="I144" s="143">
        <v>6.5370000000000006E-5</v>
      </c>
      <c r="J144" s="139">
        <f t="shared" si="29"/>
        <v>0</v>
      </c>
      <c r="K144" s="208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23" t="str">
        <f t="shared" si="27"/>
        <v>UNMETERED SCATTERED LOADS</v>
      </c>
      <c r="B145" s="124" t="s">
        <v>40</v>
      </c>
      <c r="C145" s="150"/>
      <c r="D145" s="142">
        <v>14632673</v>
      </c>
      <c r="E145" s="143">
        <v>6.5370000000000006E-5</v>
      </c>
      <c r="F145" s="139">
        <f t="shared" si="28"/>
        <v>956.5378340100001</v>
      </c>
      <c r="G145" s="106"/>
      <c r="H145" s="142">
        <v>0</v>
      </c>
      <c r="I145" s="143">
        <v>6.5370000000000006E-5</v>
      </c>
      <c r="J145" s="139">
        <f t="shared" si="29"/>
        <v>0</v>
      </c>
      <c r="K145" s="208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23" t="str">
        <f t="shared" si="27"/>
        <v>DRYCORE</v>
      </c>
      <c r="B146" s="124" t="s">
        <v>40</v>
      </c>
      <c r="C146" s="150"/>
      <c r="D146" s="142">
        <v>0</v>
      </c>
      <c r="E146" s="143">
        <v>6.5370000000000006E-5</v>
      </c>
      <c r="F146" s="139">
        <f t="shared" si="28"/>
        <v>0</v>
      </c>
      <c r="G146" s="106"/>
      <c r="H146" s="142">
        <v>6708430</v>
      </c>
      <c r="I146" s="143">
        <v>6.5370000000000006E-5</v>
      </c>
      <c r="J146" s="139">
        <f t="shared" si="29"/>
        <v>438.53006910000005</v>
      </c>
      <c r="K146" s="208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">
      <c r="A147" s="123" t="str">
        <f t="shared" si="27"/>
        <v/>
      </c>
      <c r="B147" s="124"/>
      <c r="C147" s="119"/>
      <c r="D147" s="142">
        <v>0</v>
      </c>
      <c r="E147" s="143"/>
      <c r="F147" s="139">
        <f t="shared" si="28"/>
        <v>0</v>
      </c>
      <c r="G147" s="106"/>
      <c r="H147" s="142">
        <v>0</v>
      </c>
      <c r="I147" s="143"/>
      <c r="J147" s="139">
        <f t="shared" si="29"/>
        <v>0</v>
      </c>
      <c r="K147" s="208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23" t="str">
        <f t="shared" si="27"/>
        <v/>
      </c>
      <c r="B148" s="124"/>
      <c r="C148" s="119"/>
      <c r="D148" s="142"/>
      <c r="E148" s="143"/>
      <c r="F148" s="139">
        <f t="shared" si="28"/>
        <v>0</v>
      </c>
      <c r="G148" s="106"/>
      <c r="H148" s="142"/>
      <c r="I148" s="143"/>
      <c r="J148" s="139">
        <f t="shared" si="29"/>
        <v>0</v>
      </c>
      <c r="K148" s="209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18" t="s">
        <v>73</v>
      </c>
      <c r="B149" s="138"/>
      <c r="C149" s="119"/>
      <c r="D149" s="120"/>
      <c r="E149" s="123"/>
      <c r="F149" s="166">
        <f>SUM(F138:F148)</f>
        <v>236416.88553126421</v>
      </c>
      <c r="G149" s="123"/>
      <c r="H149" s="120"/>
      <c r="I149" s="123"/>
      <c r="J149" s="166">
        <f>SUM(J138:J148)</f>
        <v>260030.43909878581</v>
      </c>
      <c r="K149" s="166">
        <f>F149+J149</f>
        <v>496447.32463004999</v>
      </c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06"/>
      <c r="B150" s="106"/>
      <c r="C150" s="106"/>
      <c r="D150" s="106"/>
      <c r="E150" s="106"/>
      <c r="F150" s="106"/>
      <c r="G150" s="106"/>
      <c r="H150" s="106"/>
      <c r="I150" s="106"/>
      <c r="J150" s="106"/>
      <c r="K150" s="106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12" t="s">
        <v>90</v>
      </c>
      <c r="B151" s="210"/>
      <c r="C151" s="113"/>
      <c r="D151" s="207"/>
      <c r="E151" s="207"/>
      <c r="F151" s="207"/>
      <c r="G151" s="116"/>
      <c r="H151" s="207"/>
      <c r="I151" s="207"/>
      <c r="J151" s="207" t="s">
        <v>70</v>
      </c>
      <c r="K151" s="207" t="s">
        <v>65</v>
      </c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18" t="s">
        <v>75</v>
      </c>
      <c r="B152" s="211"/>
      <c r="C152" s="113"/>
      <c r="D152" s="212"/>
      <c r="E152" s="212"/>
      <c r="F152" s="212"/>
      <c r="G152" s="116"/>
      <c r="H152" s="212"/>
      <c r="I152" s="212"/>
      <c r="J152" s="212"/>
      <c r="K152" s="204"/>
      <c r="L152" s="83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24" t="s">
        <v>91</v>
      </c>
      <c r="B153" s="138" t="s">
        <v>92</v>
      </c>
      <c r="C153" s="119"/>
      <c r="D153" s="142">
        <v>358968</v>
      </c>
      <c r="E153" s="152">
        <v>0.44</v>
      </c>
      <c r="F153" s="139">
        <f t="shared" ref="F153:F160" si="30">D153*E153*12</f>
        <v>1895351.04</v>
      </c>
      <c r="G153" s="106"/>
      <c r="H153" s="142"/>
      <c r="I153" s="153">
        <f t="shared" ref="I153:I154" si="31">E153</f>
        <v>0.44</v>
      </c>
      <c r="J153" s="139">
        <f t="shared" ref="J153:J160" si="32">H153*I153*12</f>
        <v>0</v>
      </c>
      <c r="K153" s="204"/>
      <c r="L153" s="83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28" t="s">
        <v>93</v>
      </c>
      <c r="B154" s="138" t="s">
        <v>92</v>
      </c>
      <c r="C154" s="119"/>
      <c r="D154" s="142">
        <v>26393</v>
      </c>
      <c r="E154" s="152">
        <v>0.44</v>
      </c>
      <c r="F154" s="139">
        <f t="shared" si="30"/>
        <v>139355.04</v>
      </c>
      <c r="G154" s="106"/>
      <c r="H154" s="142"/>
      <c r="I154" s="153">
        <f t="shared" si="31"/>
        <v>0.44</v>
      </c>
      <c r="J154" s="139">
        <f t="shared" si="32"/>
        <v>0</v>
      </c>
      <c r="K154" s="204"/>
      <c r="L154" s="83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28"/>
      <c r="B155" s="138"/>
      <c r="C155" s="119"/>
      <c r="D155" s="142"/>
      <c r="E155" s="142"/>
      <c r="F155" s="139">
        <f t="shared" si="30"/>
        <v>0</v>
      </c>
      <c r="G155" s="106"/>
      <c r="H155" s="142"/>
      <c r="I155" s="142"/>
      <c r="J155" s="139">
        <f t="shared" si="32"/>
        <v>0</v>
      </c>
      <c r="K155" s="204"/>
      <c r="L155" s="83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28"/>
      <c r="B156" s="138"/>
      <c r="C156" s="119"/>
      <c r="D156" s="142"/>
      <c r="E156" s="142"/>
      <c r="F156" s="139">
        <f t="shared" si="30"/>
        <v>0</v>
      </c>
      <c r="G156" s="106"/>
      <c r="H156" s="142"/>
      <c r="I156" s="142"/>
      <c r="J156" s="139">
        <f t="shared" si="32"/>
        <v>0</v>
      </c>
      <c r="K156" s="204"/>
      <c r="L156" s="83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28"/>
      <c r="B157" s="138"/>
      <c r="C157" s="119"/>
      <c r="D157" s="142"/>
      <c r="E157" s="142"/>
      <c r="F157" s="139">
        <f t="shared" si="30"/>
        <v>0</v>
      </c>
      <c r="G157" s="106"/>
      <c r="H157" s="142"/>
      <c r="I157" s="142"/>
      <c r="J157" s="139">
        <f t="shared" si="32"/>
        <v>0</v>
      </c>
      <c r="K157" s="204"/>
      <c r="L157" s="83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28"/>
      <c r="B158" s="138"/>
      <c r="C158" s="119"/>
      <c r="D158" s="142"/>
      <c r="E158" s="142"/>
      <c r="F158" s="139">
        <f t="shared" si="30"/>
        <v>0</v>
      </c>
      <c r="G158" s="106"/>
      <c r="H158" s="142"/>
      <c r="I158" s="142"/>
      <c r="J158" s="139">
        <f t="shared" si="32"/>
        <v>0</v>
      </c>
      <c r="K158" s="204"/>
      <c r="L158" s="83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28"/>
      <c r="B159" s="138"/>
      <c r="C159" s="119"/>
      <c r="D159" s="142"/>
      <c r="E159" s="142"/>
      <c r="F159" s="139">
        <f t="shared" si="30"/>
        <v>0</v>
      </c>
      <c r="G159" s="106"/>
      <c r="H159" s="142"/>
      <c r="I159" s="142"/>
      <c r="J159" s="139">
        <f t="shared" si="32"/>
        <v>0</v>
      </c>
      <c r="K159" s="204"/>
      <c r="L159" s="83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28"/>
      <c r="B160" s="138"/>
      <c r="C160" s="119"/>
      <c r="D160" s="142"/>
      <c r="E160" s="142"/>
      <c r="F160" s="139">
        <f t="shared" si="30"/>
        <v>0</v>
      </c>
      <c r="G160" s="106"/>
      <c r="H160" s="142"/>
      <c r="I160" s="142"/>
      <c r="J160" s="139">
        <f t="shared" si="32"/>
        <v>0</v>
      </c>
      <c r="K160" s="154"/>
      <c r="L160" s="83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18" t="s">
        <v>73</v>
      </c>
      <c r="B161" s="138"/>
      <c r="C161" s="119"/>
      <c r="D161" s="123"/>
      <c r="E161" s="123"/>
      <c r="F161" s="166">
        <f>SUM(F153:F160)</f>
        <v>2034706.08</v>
      </c>
      <c r="G161" s="123"/>
      <c r="H161" s="123"/>
      <c r="I161" s="123"/>
      <c r="J161" s="139">
        <f>SUM(J153:J160)</f>
        <v>0</v>
      </c>
      <c r="K161" s="166">
        <f>F161+J161</f>
        <v>2034706.08</v>
      </c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23"/>
      <c r="B162" s="123"/>
      <c r="C162" s="119"/>
      <c r="D162" s="123"/>
      <c r="E162" s="123"/>
      <c r="F162" s="123"/>
      <c r="G162" s="123"/>
      <c r="H162" s="123"/>
      <c r="I162" s="123"/>
      <c r="J162" s="123"/>
      <c r="K162" s="106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18" t="s">
        <v>94</v>
      </c>
      <c r="B163" s="123"/>
      <c r="C163" s="119"/>
      <c r="D163" s="123"/>
      <c r="E163" s="123"/>
      <c r="F163" s="139">
        <f>SUM(F24+F59+F74+F89+F134+F149+F161+F119)+Q59+Q74</f>
        <v>531038938.84697092</v>
      </c>
      <c r="G163" s="123"/>
      <c r="H163" s="123"/>
      <c r="I163" s="123"/>
      <c r="J163" s="139">
        <f>J24+J44+J59+J74+J89+J104+J119+J134+J149+J161+U59+U74</f>
        <v>535925797.58582091</v>
      </c>
      <c r="K163" s="151">
        <f t="shared" ref="K163:K164" si="33">+F163+J163</f>
        <v>1066964736.4327918</v>
      </c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thickBot="1" x14ac:dyDescent="0.35">
      <c r="A164" s="118" t="s">
        <v>95</v>
      </c>
      <c r="B164" s="155">
        <v>0.13100000000000001</v>
      </c>
      <c r="C164" s="119"/>
      <c r="D164" s="142"/>
      <c r="E164" s="142"/>
      <c r="F164" s="156">
        <f>-F163*B164</f>
        <v>-69566100.988953188</v>
      </c>
      <c r="G164" s="123"/>
      <c r="H164" s="142"/>
      <c r="I164" s="142"/>
      <c r="J164" s="123">
        <v>0</v>
      </c>
      <c r="K164" s="151">
        <f t="shared" si="33"/>
        <v>-69566100.988953188</v>
      </c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thickBot="1" x14ac:dyDescent="0.35">
      <c r="A165" s="118" t="s">
        <v>56</v>
      </c>
      <c r="B165" s="157"/>
      <c r="C165" s="158"/>
      <c r="D165" s="118"/>
      <c r="E165" s="118"/>
      <c r="F165" s="159">
        <f>+F163+F164</f>
        <v>461472837.85801774</v>
      </c>
      <c r="G165" s="118"/>
      <c r="H165" s="118"/>
      <c r="I165" s="118"/>
      <c r="J165" s="159">
        <f t="shared" ref="J165:K165" si="34">+J163+J164</f>
        <v>535925797.58582091</v>
      </c>
      <c r="K165" s="159">
        <f t="shared" si="34"/>
        <v>997398635.4438386</v>
      </c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thickTop="1" x14ac:dyDescent="0.3">
      <c r="A166" s="158"/>
      <c r="B166" s="160"/>
      <c r="C166" s="110"/>
      <c r="D166" s="110"/>
      <c r="E166" s="110"/>
      <c r="F166" s="161"/>
      <c r="G166" s="110"/>
      <c r="H166" s="110"/>
      <c r="I166" s="110"/>
      <c r="J166" s="161"/>
      <c r="K166" s="16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19" t="s">
        <v>96</v>
      </c>
      <c r="B167" s="106"/>
      <c r="C167" s="106"/>
      <c r="D167" s="106"/>
      <c r="E167" s="106"/>
      <c r="F167" s="106"/>
      <c r="G167" s="106"/>
      <c r="H167" s="106"/>
      <c r="I167" s="106"/>
      <c r="J167" s="106"/>
      <c r="K167" s="106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19" t="s">
        <v>97</v>
      </c>
      <c r="B168" s="106"/>
      <c r="C168" s="106"/>
      <c r="D168" s="106"/>
      <c r="E168" s="106"/>
      <c r="F168" s="106"/>
      <c r="G168" s="106"/>
      <c r="H168" s="106"/>
      <c r="I168" s="106"/>
      <c r="J168" s="106"/>
      <c r="K168" s="106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10"/>
      <c r="B169" s="106"/>
      <c r="C169" s="106"/>
      <c r="D169" s="106"/>
      <c r="E169" s="106"/>
      <c r="F169" s="106"/>
      <c r="G169" s="106"/>
      <c r="H169" s="106"/>
      <c r="I169" s="106"/>
      <c r="J169" s="106"/>
      <c r="K169" s="106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06"/>
      <c r="B170" s="106"/>
      <c r="C170" s="106"/>
      <c r="D170" s="205" t="str">
        <f>D10 &amp; " - Cop"</f>
        <v>2029 Test Year - Cop</v>
      </c>
      <c r="E170" s="206"/>
      <c r="F170" s="106"/>
      <c r="G170" s="106"/>
      <c r="H170" s="106"/>
      <c r="I170" s="106"/>
      <c r="J170" s="106"/>
      <c r="K170" s="106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06"/>
      <c r="B171" s="106"/>
      <c r="C171" s="106"/>
      <c r="D171" s="123" t="s">
        <v>98</v>
      </c>
      <c r="E171" s="162">
        <f>K24</f>
        <v>578400147.00037229</v>
      </c>
      <c r="F171" s="106"/>
      <c r="G171" s="106"/>
      <c r="H171" s="106"/>
      <c r="I171" s="106"/>
      <c r="J171" s="106"/>
      <c r="K171" s="106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06"/>
      <c r="B172" s="106"/>
      <c r="C172" s="106"/>
      <c r="D172" s="123" t="s">
        <v>99</v>
      </c>
      <c r="E172" s="140">
        <f>K44</f>
        <v>274378914.32497257</v>
      </c>
      <c r="F172" s="106"/>
      <c r="G172" s="106"/>
      <c r="H172" s="106"/>
      <c r="I172" s="106"/>
      <c r="J172" s="106"/>
      <c r="K172" s="106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06"/>
      <c r="B173" s="106"/>
      <c r="C173" s="106"/>
      <c r="D173" s="123" t="s">
        <v>100</v>
      </c>
      <c r="E173" s="140">
        <f>(K89+K104+K119+K134)</f>
        <v>50217959.387592003</v>
      </c>
      <c r="F173" s="106"/>
      <c r="G173" s="106"/>
      <c r="H173" s="106"/>
      <c r="I173" s="106"/>
      <c r="J173" s="106"/>
      <c r="K173" s="106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06"/>
      <c r="B174" s="106"/>
      <c r="C174" s="106"/>
      <c r="D174" s="123" t="s">
        <v>101</v>
      </c>
      <c r="E174" s="140">
        <f>K59+V59</f>
        <v>103466855.88151899</v>
      </c>
      <c r="F174" s="106"/>
      <c r="G174" s="106"/>
      <c r="H174" s="106"/>
      <c r="I174" s="106"/>
      <c r="J174" s="106"/>
      <c r="K174" s="106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06"/>
      <c r="B175" s="106"/>
      <c r="C175" s="106"/>
      <c r="D175" s="123" t="s">
        <v>102</v>
      </c>
      <c r="E175" s="140">
        <f>K74+V74</f>
        <v>57969706.433705993</v>
      </c>
      <c r="F175" s="106"/>
      <c r="G175" s="106"/>
      <c r="H175" s="106"/>
      <c r="I175" s="106"/>
      <c r="J175" s="106"/>
      <c r="K175" s="106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06"/>
      <c r="B176" s="106"/>
      <c r="C176" s="106"/>
      <c r="D176" s="123" t="s">
        <v>103</v>
      </c>
      <c r="E176" s="140">
        <f>K149</f>
        <v>496447.32463004999</v>
      </c>
      <c r="F176" s="106"/>
      <c r="G176" s="106"/>
      <c r="H176" s="106"/>
      <c r="I176" s="106"/>
      <c r="J176" s="106"/>
      <c r="K176" s="106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06"/>
      <c r="B177" s="106"/>
      <c r="C177" s="106"/>
      <c r="D177" s="123" t="s">
        <v>104</v>
      </c>
      <c r="E177" s="140">
        <f>K161</f>
        <v>2034706.08</v>
      </c>
      <c r="F177" s="106"/>
      <c r="G177" s="106"/>
      <c r="H177" s="106"/>
      <c r="I177" s="106"/>
      <c r="J177" s="106"/>
      <c r="K177" s="106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06"/>
      <c r="B178" s="106"/>
      <c r="C178" s="106"/>
      <c r="D178" s="123" t="s">
        <v>105</v>
      </c>
      <c r="E178" s="140">
        <f>+K164</f>
        <v>-69566100.988953188</v>
      </c>
      <c r="F178" s="106"/>
      <c r="G178" s="106"/>
      <c r="H178" s="106"/>
      <c r="I178" s="106"/>
      <c r="J178" s="106"/>
      <c r="K178" s="106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06"/>
      <c r="B179" s="106"/>
      <c r="C179" s="106"/>
      <c r="D179" s="118" t="s">
        <v>56</v>
      </c>
      <c r="E179" s="163">
        <f>SUM(E171:E178)</f>
        <v>997398635.4438386</v>
      </c>
      <c r="F179" s="106"/>
      <c r="G179" s="106"/>
      <c r="H179" s="106"/>
      <c r="I179" s="106"/>
      <c r="J179" s="106"/>
      <c r="K179" s="106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06"/>
      <c r="B180" s="106"/>
      <c r="C180" s="106"/>
      <c r="D180" s="106"/>
      <c r="E180" s="164">
        <f>+E179-K165</f>
        <v>0</v>
      </c>
      <c r="F180" s="165"/>
      <c r="G180" s="106"/>
      <c r="H180" s="106"/>
      <c r="I180" s="106"/>
      <c r="J180" s="106"/>
      <c r="K180" s="106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06"/>
      <c r="B181" s="106"/>
      <c r="C181" s="106"/>
      <c r="D181" s="106"/>
      <c r="E181" s="106"/>
      <c r="F181" s="106"/>
      <c r="G181" s="106"/>
      <c r="H181" s="106"/>
      <c r="I181" s="106"/>
      <c r="J181" s="106"/>
      <c r="K181" s="106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06"/>
      <c r="B182" s="106"/>
      <c r="C182" s="106"/>
      <c r="D182" s="106"/>
      <c r="E182" s="106"/>
      <c r="F182" s="106"/>
      <c r="G182" s="106"/>
      <c r="H182" s="106"/>
      <c r="I182" s="106"/>
      <c r="J182" s="106"/>
      <c r="K182" s="106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06"/>
      <c r="B183" s="106"/>
      <c r="C183" s="106"/>
      <c r="D183" s="106"/>
      <c r="E183" s="106"/>
      <c r="F183" s="106"/>
      <c r="G183" s="106"/>
      <c r="H183" s="106"/>
      <c r="I183" s="106"/>
      <c r="J183" s="106"/>
      <c r="K183" s="106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06"/>
      <c r="B184" s="106"/>
      <c r="C184" s="106"/>
      <c r="D184" s="106"/>
      <c r="E184" s="106"/>
      <c r="F184" s="106"/>
      <c r="G184" s="106"/>
      <c r="H184" s="106"/>
      <c r="I184" s="106"/>
      <c r="J184" s="106"/>
      <c r="K184" s="106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06"/>
      <c r="B185" s="106"/>
      <c r="C185" s="106"/>
      <c r="D185" s="106"/>
      <c r="E185" s="106"/>
      <c r="F185" s="106"/>
      <c r="G185" s="106"/>
      <c r="H185" s="106"/>
      <c r="I185" s="106"/>
      <c r="J185" s="106"/>
      <c r="K185" s="106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06"/>
      <c r="B186" s="106"/>
      <c r="C186" s="106"/>
      <c r="D186" s="106"/>
      <c r="E186" s="106"/>
      <c r="F186" s="106"/>
      <c r="G186" s="106"/>
      <c r="H186" s="106"/>
      <c r="I186" s="106"/>
      <c r="J186" s="106"/>
      <c r="K186" s="106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06"/>
      <c r="B187" s="106"/>
      <c r="C187" s="106"/>
      <c r="D187" s="106"/>
      <c r="E187" s="106"/>
      <c r="F187" s="106"/>
      <c r="G187" s="106"/>
      <c r="H187" s="106"/>
      <c r="I187" s="106"/>
      <c r="J187" s="106"/>
      <c r="K187" s="106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06"/>
      <c r="B188" s="106"/>
      <c r="C188" s="106"/>
      <c r="D188" s="106"/>
      <c r="E188" s="106"/>
      <c r="F188" s="106"/>
      <c r="G188" s="106"/>
      <c r="H188" s="106"/>
      <c r="I188" s="106"/>
      <c r="J188" s="106"/>
      <c r="K188" s="106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06"/>
      <c r="B189" s="106"/>
      <c r="C189" s="106"/>
      <c r="D189" s="106"/>
      <c r="E189" s="106"/>
      <c r="F189" s="106"/>
      <c r="G189" s="106"/>
      <c r="H189" s="106"/>
      <c r="I189" s="106"/>
      <c r="J189" s="106"/>
      <c r="K189" s="106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04">
    <mergeCell ref="A1:J1"/>
    <mergeCell ref="E9:F9"/>
    <mergeCell ref="I9:J9"/>
    <mergeCell ref="E10:F10"/>
    <mergeCell ref="I10:J10"/>
    <mergeCell ref="B11:B12"/>
    <mergeCell ref="K12:K23"/>
    <mergeCell ref="I25:J25"/>
    <mergeCell ref="B26:B27"/>
    <mergeCell ref="D26:D27"/>
    <mergeCell ref="E26:E27"/>
    <mergeCell ref="F26:F27"/>
    <mergeCell ref="H26:H27"/>
    <mergeCell ref="I26:I27"/>
    <mergeCell ref="J26:J27"/>
    <mergeCell ref="K26:K27"/>
    <mergeCell ref="Q46:Q47"/>
    <mergeCell ref="S46:S47"/>
    <mergeCell ref="T46:T47"/>
    <mergeCell ref="U46:U47"/>
    <mergeCell ref="V46:V47"/>
    <mergeCell ref="K28:K43"/>
    <mergeCell ref="O45:P45"/>
    <mergeCell ref="S45:T45"/>
    <mergeCell ref="B46:B47"/>
    <mergeCell ref="D46:D47"/>
    <mergeCell ref="E46:E47"/>
    <mergeCell ref="F46:F47"/>
    <mergeCell ref="H46:H47"/>
    <mergeCell ref="I46:I47"/>
    <mergeCell ref="J46:J47"/>
    <mergeCell ref="B61:B62"/>
    <mergeCell ref="D61:D62"/>
    <mergeCell ref="E61:E62"/>
    <mergeCell ref="F61:F62"/>
    <mergeCell ref="H61:H62"/>
    <mergeCell ref="I61:I62"/>
    <mergeCell ref="J61:J62"/>
    <mergeCell ref="K61:K62"/>
    <mergeCell ref="K46:K47"/>
    <mergeCell ref="Q61:Q62"/>
    <mergeCell ref="S61:S62"/>
    <mergeCell ref="T61:T62"/>
    <mergeCell ref="U61:U62"/>
    <mergeCell ref="V61:V62"/>
    <mergeCell ref="K63:K73"/>
    <mergeCell ref="V63:V73"/>
    <mergeCell ref="K48:K58"/>
    <mergeCell ref="V48:V58"/>
    <mergeCell ref="J76:J77"/>
    <mergeCell ref="K76:K77"/>
    <mergeCell ref="K78:K88"/>
    <mergeCell ref="B91:B92"/>
    <mergeCell ref="D91:D92"/>
    <mergeCell ref="E91:E92"/>
    <mergeCell ref="F91:F92"/>
    <mergeCell ref="H91:H92"/>
    <mergeCell ref="I91:I92"/>
    <mergeCell ref="J91:J92"/>
    <mergeCell ref="B76:B77"/>
    <mergeCell ref="D76:D77"/>
    <mergeCell ref="E76:E77"/>
    <mergeCell ref="F76:F77"/>
    <mergeCell ref="H76:H77"/>
    <mergeCell ref="I76:I77"/>
    <mergeCell ref="K91:K92"/>
    <mergeCell ref="K93:K103"/>
    <mergeCell ref="B106:B107"/>
    <mergeCell ref="D106:D107"/>
    <mergeCell ref="E106:E107"/>
    <mergeCell ref="F106:F107"/>
    <mergeCell ref="H106:H107"/>
    <mergeCell ref="I106:I107"/>
    <mergeCell ref="J106:J107"/>
    <mergeCell ref="K106:K107"/>
    <mergeCell ref="K108:K118"/>
    <mergeCell ref="B121:B122"/>
    <mergeCell ref="D121:D122"/>
    <mergeCell ref="E121:E122"/>
    <mergeCell ref="F121:F122"/>
    <mergeCell ref="H121:H122"/>
    <mergeCell ref="I121:I122"/>
    <mergeCell ref="J121:J122"/>
    <mergeCell ref="K121:K122"/>
    <mergeCell ref="K123:K133"/>
    <mergeCell ref="B136:B137"/>
    <mergeCell ref="D136:D137"/>
    <mergeCell ref="E136:E137"/>
    <mergeCell ref="F136:F137"/>
    <mergeCell ref="H136:H137"/>
    <mergeCell ref="I136:I137"/>
    <mergeCell ref="J136:J137"/>
    <mergeCell ref="K136:K137"/>
    <mergeCell ref="K153:K159"/>
    <mergeCell ref="D170:E170"/>
    <mergeCell ref="K138:K148"/>
    <mergeCell ref="B151:B152"/>
    <mergeCell ref="D151:D152"/>
    <mergeCell ref="E151:E152"/>
    <mergeCell ref="F151:F152"/>
    <mergeCell ref="H151:H152"/>
    <mergeCell ref="I151:I152"/>
    <mergeCell ref="J151:J152"/>
    <mergeCell ref="K151:K152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App.2-ZA_2029-Com. Exp. Forecas</vt:lpstr>
      <vt:lpstr>App.2-ZB_2029Cost of Power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Dugan, April</dc:creator>
  <cp:lastModifiedBy>Thompson, Shayne</cp:lastModifiedBy>
  <dcterms:created xsi:type="dcterms:W3CDTF">2025-03-28T00:59:38Z</dcterms:created>
  <dcterms:modified xsi:type="dcterms:W3CDTF">2025-04-15T19:50:57Z</dcterms:modified>
</cp:coreProperties>
</file>