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B\.syncclient\1730730958531\tedbeingessner@hydroottawa.com\1LOjIYyj0d-g_0JJsO3lVf1ipR3wePQZm\"/>
    </mc:Choice>
  </mc:AlternateContent>
  <xr:revisionPtr revIDLastSave="0" documentId="13_ncr:1_{19163EE7-3E07-44EC-B282-3647777399DF}" xr6:coauthVersionLast="47" xr6:coauthVersionMax="47" xr10:uidLastSave="{00000000-0000-0000-0000-000000000000}"/>
  <bookViews>
    <workbookView xWindow="13995" yWindow="-16395" windowWidth="29040" windowHeight="15990" xr2:uid="{18C700E2-E430-42DC-8C9A-18ED9312E956}"/>
  </bookViews>
  <sheets>
    <sheet name="App.2-ZA_2030-Com. Exp. Forecas" sheetId="1" r:id="rId1"/>
    <sheet name="App.2-ZB_2030Cost of Power" sheetId="2" r:id="rId2"/>
  </sheets>
  <externalReferences>
    <externalReference r:id="rId3"/>
  </externalReferences>
  <definedNames>
    <definedName name="_Parse_Out">#REF!</definedName>
    <definedName name="BridgeYear">'[1]LDC Info'!$E$26</definedName>
    <definedName name="Cash">#REF!</definedName>
    <definedName name="contactf">#REF!</definedName>
    <definedName name="EBNUMBER">'[1]LDC Info'!$E$16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ebaseYear">'[1]LDC Info'!$E$28</definedName>
    <definedName name="SALBENF">#REF!</definedName>
    <definedName name="salreg">#REF!</definedName>
    <definedName name="SALREGF">#REF!</definedName>
    <definedName name="TEMPA">#REF!</definedName>
    <definedName name="TestYear">'[1]LDC Info'!$E$24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2" l="1"/>
  <c r="J40" i="2"/>
  <c r="J41" i="2"/>
  <c r="J39" i="2"/>
  <c r="J29" i="2"/>
  <c r="J30" i="2"/>
  <c r="J31" i="2"/>
  <c r="J32" i="2"/>
  <c r="J33" i="2"/>
  <c r="J34" i="2"/>
  <c r="J35" i="2"/>
  <c r="J36" i="2"/>
  <c r="J28" i="2"/>
  <c r="J14" i="2"/>
  <c r="J15" i="2"/>
  <c r="J16" i="2"/>
  <c r="J17" i="2"/>
  <c r="J18" i="2"/>
  <c r="J19" i="2"/>
  <c r="J20" i="2"/>
  <c r="J21" i="2"/>
  <c r="J13" i="2"/>
  <c r="H14" i="2"/>
  <c r="H15" i="2"/>
  <c r="H16" i="2"/>
  <c r="H17" i="2"/>
  <c r="H18" i="2"/>
  <c r="H21" i="2"/>
  <c r="H13" i="2"/>
  <c r="F14" i="2"/>
  <c r="F15" i="2"/>
  <c r="F16" i="2"/>
  <c r="F17" i="2"/>
  <c r="F18" i="2"/>
  <c r="F19" i="2"/>
  <c r="F20" i="2"/>
  <c r="F21" i="2"/>
  <c r="F13" i="2"/>
  <c r="D14" i="2"/>
  <c r="D15" i="2"/>
  <c r="D16" i="2"/>
  <c r="D17" i="2"/>
  <c r="D18" i="2"/>
  <c r="D19" i="2"/>
  <c r="D20" i="2"/>
  <c r="D13" i="2"/>
  <c r="L40" i="1"/>
  <c r="D170" i="2"/>
  <c r="J160" i="2"/>
  <c r="F160" i="2"/>
  <c r="J159" i="2"/>
  <c r="F159" i="2"/>
  <c r="J158" i="2"/>
  <c r="F158" i="2"/>
  <c r="J157" i="2"/>
  <c r="F157" i="2"/>
  <c r="J156" i="2"/>
  <c r="F156" i="2"/>
  <c r="J155" i="2"/>
  <c r="F155" i="2"/>
  <c r="F161" i="2" s="1"/>
  <c r="I154" i="2"/>
  <c r="J154" i="2" s="1"/>
  <c r="F154" i="2"/>
  <c r="J153" i="2"/>
  <c r="I153" i="2"/>
  <c r="F153" i="2"/>
  <c r="J148" i="2"/>
  <c r="F148" i="2"/>
  <c r="J147" i="2"/>
  <c r="F147" i="2"/>
  <c r="J146" i="2"/>
  <c r="F146" i="2"/>
  <c r="J145" i="2"/>
  <c r="F145" i="2"/>
  <c r="J144" i="2"/>
  <c r="F144" i="2"/>
  <c r="J143" i="2"/>
  <c r="F143" i="2"/>
  <c r="J142" i="2"/>
  <c r="F142" i="2"/>
  <c r="J141" i="2"/>
  <c r="F141" i="2"/>
  <c r="J140" i="2"/>
  <c r="F140" i="2"/>
  <c r="J139" i="2"/>
  <c r="F139" i="2"/>
  <c r="J138" i="2"/>
  <c r="J149" i="2" s="1"/>
  <c r="F138" i="2"/>
  <c r="F149" i="2" s="1"/>
  <c r="K149" i="2" s="1"/>
  <c r="E176" i="2" s="1"/>
  <c r="J133" i="2"/>
  <c r="F133" i="2"/>
  <c r="J132" i="2"/>
  <c r="F132" i="2"/>
  <c r="J131" i="2"/>
  <c r="I131" i="2"/>
  <c r="F131" i="2"/>
  <c r="I130" i="2"/>
  <c r="J130" i="2" s="1"/>
  <c r="F130" i="2"/>
  <c r="I129" i="2"/>
  <c r="J129" i="2" s="1"/>
  <c r="F129" i="2"/>
  <c r="J128" i="2"/>
  <c r="I128" i="2"/>
  <c r="F128" i="2"/>
  <c r="I127" i="2"/>
  <c r="J127" i="2" s="1"/>
  <c r="F127" i="2"/>
  <c r="I126" i="2"/>
  <c r="J126" i="2" s="1"/>
  <c r="F126" i="2"/>
  <c r="J125" i="2"/>
  <c r="I125" i="2"/>
  <c r="F125" i="2"/>
  <c r="I124" i="2"/>
  <c r="J124" i="2" s="1"/>
  <c r="F124" i="2"/>
  <c r="I123" i="2"/>
  <c r="J123" i="2" s="1"/>
  <c r="F123" i="2"/>
  <c r="F134" i="2" s="1"/>
  <c r="J118" i="2"/>
  <c r="F118" i="2"/>
  <c r="J117" i="2"/>
  <c r="F117" i="2"/>
  <c r="I116" i="2"/>
  <c r="J116" i="2" s="1"/>
  <c r="F116" i="2"/>
  <c r="J115" i="2"/>
  <c r="I115" i="2"/>
  <c r="F115" i="2"/>
  <c r="J114" i="2"/>
  <c r="I114" i="2"/>
  <c r="F114" i="2"/>
  <c r="I113" i="2"/>
  <c r="J113" i="2" s="1"/>
  <c r="F113" i="2"/>
  <c r="J112" i="2"/>
  <c r="I112" i="2"/>
  <c r="F112" i="2"/>
  <c r="J111" i="2"/>
  <c r="I111" i="2"/>
  <c r="F111" i="2"/>
  <c r="I110" i="2"/>
  <c r="J110" i="2" s="1"/>
  <c r="F110" i="2"/>
  <c r="J109" i="2"/>
  <c r="I109" i="2"/>
  <c r="F109" i="2"/>
  <c r="F119" i="2" s="1"/>
  <c r="J108" i="2"/>
  <c r="I108" i="2"/>
  <c r="F108" i="2"/>
  <c r="J104" i="2"/>
  <c r="J103" i="2"/>
  <c r="F103" i="2"/>
  <c r="J102" i="2"/>
  <c r="F102" i="2"/>
  <c r="J101" i="2"/>
  <c r="F101" i="2"/>
  <c r="J100" i="2"/>
  <c r="F100" i="2"/>
  <c r="J99" i="2"/>
  <c r="F99" i="2"/>
  <c r="J98" i="2"/>
  <c r="F98" i="2"/>
  <c r="J97" i="2"/>
  <c r="F97" i="2"/>
  <c r="J96" i="2"/>
  <c r="F96" i="2"/>
  <c r="J95" i="2"/>
  <c r="F95" i="2"/>
  <c r="F104" i="2" s="1"/>
  <c r="K104" i="2" s="1"/>
  <c r="J94" i="2"/>
  <c r="F94" i="2"/>
  <c r="J93" i="2"/>
  <c r="F93" i="2"/>
  <c r="J88" i="2"/>
  <c r="F88" i="2"/>
  <c r="J87" i="2"/>
  <c r="F87" i="2"/>
  <c r="I86" i="2"/>
  <c r="J86" i="2" s="1"/>
  <c r="F86" i="2"/>
  <c r="J85" i="2"/>
  <c r="I85" i="2"/>
  <c r="F85" i="2"/>
  <c r="I84" i="2"/>
  <c r="J84" i="2" s="1"/>
  <c r="F84" i="2"/>
  <c r="I83" i="2"/>
  <c r="J83" i="2" s="1"/>
  <c r="F83" i="2"/>
  <c r="A83" i="2"/>
  <c r="A98" i="2" s="1"/>
  <c r="A113" i="2" s="1"/>
  <c r="A128" i="2" s="1"/>
  <c r="A143" i="2" s="1"/>
  <c r="J82" i="2"/>
  <c r="I82" i="2"/>
  <c r="F82" i="2"/>
  <c r="J81" i="2"/>
  <c r="I81" i="2"/>
  <c r="F81" i="2"/>
  <c r="I80" i="2"/>
  <c r="J80" i="2" s="1"/>
  <c r="F80" i="2"/>
  <c r="J79" i="2"/>
  <c r="I79" i="2"/>
  <c r="F79" i="2"/>
  <c r="F89" i="2" s="1"/>
  <c r="J78" i="2"/>
  <c r="I78" i="2"/>
  <c r="F78" i="2"/>
  <c r="U73" i="2"/>
  <c r="Q73" i="2"/>
  <c r="J73" i="2"/>
  <c r="F73" i="2"/>
  <c r="U72" i="2"/>
  <c r="Q72" i="2"/>
  <c r="J72" i="2"/>
  <c r="F72" i="2"/>
  <c r="U71" i="2"/>
  <c r="Q71" i="2"/>
  <c r="J71" i="2"/>
  <c r="F71" i="2"/>
  <c r="U70" i="2"/>
  <c r="Q70" i="2"/>
  <c r="J70" i="2"/>
  <c r="F70" i="2"/>
  <c r="U69" i="2"/>
  <c r="Q69" i="2"/>
  <c r="J69" i="2"/>
  <c r="J74" i="2" s="1"/>
  <c r="F69" i="2"/>
  <c r="U68" i="2"/>
  <c r="Q68" i="2"/>
  <c r="J68" i="2"/>
  <c r="F68" i="2"/>
  <c r="A68" i="2"/>
  <c r="U67" i="2"/>
  <c r="Q67" i="2"/>
  <c r="J67" i="2"/>
  <c r="F67" i="2"/>
  <c r="A67" i="2"/>
  <c r="A82" i="2" s="1"/>
  <c r="A97" i="2" s="1"/>
  <c r="A112" i="2" s="1"/>
  <c r="A127" i="2" s="1"/>
  <c r="A142" i="2" s="1"/>
  <c r="U66" i="2"/>
  <c r="Q66" i="2"/>
  <c r="J66" i="2"/>
  <c r="F66" i="2"/>
  <c r="U65" i="2"/>
  <c r="Q65" i="2"/>
  <c r="J65" i="2"/>
  <c r="F65" i="2"/>
  <c r="U64" i="2"/>
  <c r="Q64" i="2"/>
  <c r="J64" i="2"/>
  <c r="F64" i="2"/>
  <c r="A64" i="2"/>
  <c r="A79" i="2" s="1"/>
  <c r="A94" i="2" s="1"/>
  <c r="A109" i="2" s="1"/>
  <c r="A124" i="2" s="1"/>
  <c r="A139" i="2" s="1"/>
  <c r="U63" i="2"/>
  <c r="U74" i="2" s="1"/>
  <c r="Q63" i="2"/>
  <c r="J63" i="2"/>
  <c r="F63" i="2"/>
  <c r="F74" i="2" s="1"/>
  <c r="K74" i="2" s="1"/>
  <c r="U58" i="2"/>
  <c r="Q58" i="2"/>
  <c r="J58" i="2"/>
  <c r="F58" i="2"/>
  <c r="A58" i="2"/>
  <c r="A73" i="2" s="1"/>
  <c r="A88" i="2" s="1"/>
  <c r="A103" i="2" s="1"/>
  <c r="A118" i="2" s="1"/>
  <c r="A133" i="2" s="1"/>
  <c r="A148" i="2" s="1"/>
  <c r="U57" i="2"/>
  <c r="Q57" i="2"/>
  <c r="J57" i="2"/>
  <c r="F57" i="2"/>
  <c r="U56" i="2"/>
  <c r="Q56" i="2"/>
  <c r="J56" i="2"/>
  <c r="F56" i="2"/>
  <c r="A56" i="2"/>
  <c r="A71" i="2" s="1"/>
  <c r="A86" i="2" s="1"/>
  <c r="A101" i="2" s="1"/>
  <c r="A116" i="2" s="1"/>
  <c r="A131" i="2" s="1"/>
  <c r="A146" i="2" s="1"/>
  <c r="U55" i="2"/>
  <c r="Q55" i="2"/>
  <c r="J55" i="2"/>
  <c r="F55" i="2"/>
  <c r="A55" i="2"/>
  <c r="A70" i="2" s="1"/>
  <c r="A85" i="2" s="1"/>
  <c r="A100" i="2" s="1"/>
  <c r="A115" i="2" s="1"/>
  <c r="A130" i="2" s="1"/>
  <c r="A145" i="2" s="1"/>
  <c r="U54" i="2"/>
  <c r="Q54" i="2"/>
  <c r="J54" i="2"/>
  <c r="F54" i="2"/>
  <c r="A54" i="2"/>
  <c r="A69" i="2" s="1"/>
  <c r="A84" i="2" s="1"/>
  <c r="A99" i="2" s="1"/>
  <c r="A114" i="2" s="1"/>
  <c r="A129" i="2" s="1"/>
  <c r="A144" i="2" s="1"/>
  <c r="U53" i="2"/>
  <c r="Q53" i="2"/>
  <c r="J53" i="2"/>
  <c r="F53" i="2"/>
  <c r="A53" i="2"/>
  <c r="U52" i="2"/>
  <c r="Q52" i="2"/>
  <c r="J52" i="2"/>
  <c r="F52" i="2"/>
  <c r="A52" i="2"/>
  <c r="U51" i="2"/>
  <c r="Q51" i="2"/>
  <c r="J51" i="2"/>
  <c r="F51" i="2"/>
  <c r="A51" i="2"/>
  <c r="A66" i="2" s="1"/>
  <c r="A81" i="2" s="1"/>
  <c r="A96" i="2" s="1"/>
  <c r="A111" i="2" s="1"/>
  <c r="A126" i="2" s="1"/>
  <c r="A141" i="2" s="1"/>
  <c r="U50" i="2"/>
  <c r="Q50" i="2"/>
  <c r="J50" i="2"/>
  <c r="F50" i="2"/>
  <c r="A50" i="2"/>
  <c r="A65" i="2" s="1"/>
  <c r="A80" i="2" s="1"/>
  <c r="A95" i="2" s="1"/>
  <c r="A110" i="2" s="1"/>
  <c r="A125" i="2" s="1"/>
  <c r="A140" i="2" s="1"/>
  <c r="U49" i="2"/>
  <c r="Q49" i="2"/>
  <c r="J49" i="2"/>
  <c r="F49" i="2"/>
  <c r="F59" i="2" s="1"/>
  <c r="A49" i="2"/>
  <c r="U48" i="2"/>
  <c r="Q48" i="2"/>
  <c r="J48" i="2"/>
  <c r="F48" i="2"/>
  <c r="A48" i="2"/>
  <c r="A63" i="2" s="1"/>
  <c r="A78" i="2" s="1"/>
  <c r="A93" i="2" s="1"/>
  <c r="A108" i="2" s="1"/>
  <c r="A123" i="2" s="1"/>
  <c r="A138" i="2" s="1"/>
  <c r="F43" i="2"/>
  <c r="F42" i="2"/>
  <c r="F41" i="2"/>
  <c r="F40" i="2"/>
  <c r="F39" i="2"/>
  <c r="F38" i="2"/>
  <c r="F37" i="2"/>
  <c r="F36" i="2"/>
  <c r="F35" i="2"/>
  <c r="F34" i="2"/>
  <c r="F33" i="2"/>
  <c r="J44" i="2"/>
  <c r="F32" i="2"/>
  <c r="F44" i="2" s="1"/>
  <c r="F31" i="2"/>
  <c r="F30" i="2"/>
  <c r="F29" i="2"/>
  <c r="F28" i="2"/>
  <c r="A37" i="2"/>
  <c r="H10" i="2"/>
  <c r="K65" i="1"/>
  <c r="L65" i="1" s="1"/>
  <c r="H65" i="1"/>
  <c r="B65" i="1"/>
  <c r="L64" i="1"/>
  <c r="K64" i="1"/>
  <c r="H64" i="1"/>
  <c r="B64" i="1"/>
  <c r="K63" i="1"/>
  <c r="L63" i="1" s="1"/>
  <c r="H63" i="1"/>
  <c r="B63" i="1"/>
  <c r="K62" i="1"/>
  <c r="L62" i="1" s="1"/>
  <c r="H62" i="1"/>
  <c r="B62" i="1"/>
  <c r="L61" i="1"/>
  <c r="K61" i="1"/>
  <c r="H61" i="1"/>
  <c r="B61" i="1"/>
  <c r="K60" i="1"/>
  <c r="L60" i="1" s="1"/>
  <c r="H60" i="1"/>
  <c r="B60" i="1"/>
  <c r="K59" i="1"/>
  <c r="L59" i="1" s="1"/>
  <c r="H59" i="1"/>
  <c r="B59" i="1"/>
  <c r="L58" i="1"/>
  <c r="K58" i="1"/>
  <c r="H58" i="1"/>
  <c r="B58" i="1"/>
  <c r="K57" i="1"/>
  <c r="L57" i="1" s="1"/>
  <c r="H57" i="1"/>
  <c r="B57" i="1"/>
  <c r="K56" i="1"/>
  <c r="L56" i="1" s="1"/>
  <c r="H56" i="1"/>
  <c r="B56" i="1"/>
  <c r="L55" i="1"/>
  <c r="K55" i="1"/>
  <c r="H55" i="1"/>
  <c r="H66" i="1" s="1"/>
  <c r="B55" i="1"/>
  <c r="F50" i="1"/>
  <c r="L49" i="1"/>
  <c r="L48" i="1"/>
  <c r="G47" i="1"/>
  <c r="L47" i="1" s="1"/>
  <c r="L46" i="1"/>
  <c r="G46" i="1"/>
  <c r="G45" i="1"/>
  <c r="G50" i="1" s="1"/>
  <c r="G52" i="1"/>
  <c r="B40" i="1"/>
  <c r="J39" i="1"/>
  <c r="J38" i="1"/>
  <c r="J37" i="1"/>
  <c r="K36" i="1"/>
  <c r="L36" i="1" s="1"/>
  <c r="J36" i="1"/>
  <c r="J35" i="1"/>
  <c r="J34" i="1"/>
  <c r="J33" i="1"/>
  <c r="K32" i="1"/>
  <c r="L32" i="1" s="1"/>
  <c r="J32" i="1"/>
  <c r="J31" i="1"/>
  <c r="J30" i="1"/>
  <c r="J29" i="1"/>
  <c r="H20" i="1"/>
  <c r="K39" i="1" s="1"/>
  <c r="L39" i="1" s="1"/>
  <c r="A57" i="2" l="1"/>
  <c r="A72" i="2" s="1"/>
  <c r="A87" i="2" s="1"/>
  <c r="A102" i="2" s="1"/>
  <c r="A117" i="2" s="1"/>
  <c r="A132" i="2" s="1"/>
  <c r="A147" i="2" s="1"/>
  <c r="Q74" i="2"/>
  <c r="V74" i="2" s="1"/>
  <c r="E175" i="2" s="1"/>
  <c r="U59" i="2"/>
  <c r="Q59" i="2"/>
  <c r="J59" i="2"/>
  <c r="K59" i="2" s="1"/>
  <c r="V59" i="2"/>
  <c r="K89" i="2"/>
  <c r="J89" i="2"/>
  <c r="J119" i="2"/>
  <c r="K119" i="2" s="1"/>
  <c r="E172" i="2"/>
  <c r="J24" i="2"/>
  <c r="J134" i="2"/>
  <c r="K134" i="2" s="1"/>
  <c r="J161" i="2"/>
  <c r="K161" i="2" s="1"/>
  <c r="E177" i="2" s="1"/>
  <c r="F24" i="2"/>
  <c r="L67" i="1"/>
  <c r="L34" i="1"/>
  <c r="L37" i="1"/>
  <c r="K29" i="1"/>
  <c r="L29" i="1" s="1"/>
  <c r="K33" i="1"/>
  <c r="L33" i="1" s="1"/>
  <c r="K37" i="1"/>
  <c r="L45" i="1"/>
  <c r="L50" i="1" s="1"/>
  <c r="K30" i="1"/>
  <c r="L30" i="1" s="1"/>
  <c r="K34" i="1"/>
  <c r="K38" i="1"/>
  <c r="L38" i="1" s="1"/>
  <c r="K31" i="1"/>
  <c r="L31" i="1" s="1"/>
  <c r="K35" i="1"/>
  <c r="L35" i="1" s="1"/>
  <c r="E174" i="2" l="1"/>
  <c r="K24" i="2"/>
  <c r="L24" i="2" s="1"/>
  <c r="J163" i="2"/>
  <c r="J165" i="2" s="1"/>
  <c r="E173" i="2"/>
  <c r="F163" i="2"/>
  <c r="E171" i="2" l="1"/>
  <c r="F164" i="2"/>
  <c r="K164" i="2" s="1"/>
  <c r="E178" i="2" s="1"/>
  <c r="K163" i="2"/>
  <c r="K165" i="2" l="1"/>
  <c r="E179" i="2"/>
  <c r="F165" i="2"/>
  <c r="E180" i="2" l="1"/>
</calcChain>
</file>

<file path=xl/sharedStrings.xml><?xml version="1.0" encoding="utf-8"?>
<sst xmlns="http://schemas.openxmlformats.org/spreadsheetml/2006/main" count="358" uniqueCount="116">
  <si>
    <t>File Number:</t>
  </si>
  <si>
    <t>EB-2024-0115</t>
  </si>
  <si>
    <t>Exhibit:</t>
  </si>
  <si>
    <t xml:space="preserve">Commodity Expense </t>
  </si>
  <si>
    <t>Tab:</t>
  </si>
  <si>
    <t>Schedule:</t>
  </si>
  <si>
    <t>Attachment:</t>
  </si>
  <si>
    <t>E</t>
  </si>
  <si>
    <t>Date:</t>
  </si>
  <si>
    <t>Step 1:</t>
  </si>
  <si>
    <t>Commodity Pricing</t>
  </si>
  <si>
    <t> </t>
  </si>
  <si>
    <t>Forecasted Commodity Prices</t>
  </si>
  <si>
    <t xml:space="preserve"> Table 1: Average RPP Supply Cost Summary*</t>
  </si>
  <si>
    <t>non-RPP</t>
  </si>
  <si>
    <t>RPP</t>
  </si>
  <si>
    <t>HOEP ($/MWh)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</si>
  <si>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</si>
  <si>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</si>
  <si>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</si>
  <si>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</si>
  <si>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</si>
  <si>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</si>
  <si>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Step 2:</t>
  </si>
  <si>
    <t>Commodity Expense</t>
  </si>
  <si>
    <t>(volumes for the test year is loss adjusted)</t>
  </si>
  <si>
    <t>Commodity</t>
  </si>
  <si>
    <t>2030 Test Year</t>
  </si>
  <si>
    <t>Customer</t>
  </si>
  <si>
    <t>Revenue</t>
  </si>
  <si>
    <t>Expense</t>
  </si>
  <si>
    <t>Class Name</t>
  </si>
  <si>
    <t>UoM</t>
  </si>
  <si>
    <t>USoA #</t>
  </si>
  <si>
    <t>Class A Non-RPP Volume**</t>
  </si>
  <si>
    <t>Class B Non-RPP Volume**</t>
  </si>
  <si>
    <t>Class B RPP Volume**</t>
  </si>
  <si>
    <t>Average HOEP</t>
  </si>
  <si>
    <t>Average RPP Rate</t>
  </si>
  <si>
    <t>Amount</t>
  </si>
  <si>
    <t>RESIDENTIAL</t>
  </si>
  <si>
    <t>kWh</t>
  </si>
  <si>
    <t>GENERAL SERVICE &lt;50KW</t>
  </si>
  <si>
    <t>GENERAL SERVICE 1000-1500KW</t>
  </si>
  <si>
    <t>GENERAL SERVICE 1500-5000 KW</t>
  </si>
  <si>
    <t>LARGE USER</t>
  </si>
  <si>
    <t>STREETLIGHTING</t>
  </si>
  <si>
    <t>SENTINEL LIGHTS</t>
  </si>
  <si>
    <t>UNMETERED SCATTERED LOADS</t>
  </si>
  <si>
    <t>DRYCORE</t>
  </si>
  <si>
    <t>Class A - non-RPP Global Adjustment</t>
  </si>
  <si>
    <t>kWh Volume</t>
  </si>
  <si>
    <t>Hist. Avg GA/kWh ***</t>
  </si>
  <si>
    <t>Class B - non-RPP Global Adjustment</t>
  </si>
  <si>
    <t>Class B Non-RPP Volume</t>
  </si>
  <si>
    <t>GA Rate/kWh</t>
  </si>
  <si>
    <t>Total Volume</t>
  </si>
  <si>
    <t>TOTAL</t>
  </si>
  <si>
    <t>*Regulated Price Plan Prices for the Period November 1, 2023 to October 31, 2024, p. 5</t>
  </si>
  <si>
    <t>** Enter 2024 load forecast data by class based on the most recent 12-month historic Class A and Class B RPP/Non-RPP proportions</t>
  </si>
  <si>
    <t>*** Based on average $ GA per kWh billed to class A customers for most recent 12-month historical year.</t>
  </si>
  <si>
    <t>Cost of Power Calculation</t>
  </si>
  <si>
    <t>All Volume should be loss adjusted with the exception of:</t>
  </si>
  <si>
    <t>1. Volume for Electricity Commodity, Wholesale Market Services, Class A and B should loss adjusted less WMP</t>
  </si>
  <si>
    <t>2. Low Voltage Charges - No loss adjustment for kWh</t>
  </si>
  <si>
    <t>Total</t>
  </si>
  <si>
    <t>Electricity Commodity</t>
  </si>
  <si>
    <t>Units</t>
  </si>
  <si>
    <t>Volume</t>
  </si>
  <si>
    <t>Rate</t>
  </si>
  <si>
    <t xml:space="preserve">$ </t>
  </si>
  <si>
    <t>$</t>
  </si>
  <si>
    <t>Class per Load Forecast</t>
  </si>
  <si>
    <t>SUB-TOTAL</t>
  </si>
  <si>
    <t>Global Adjustment non-RPP</t>
  </si>
  <si>
    <t xml:space="preserve">Class per Load Forecast </t>
  </si>
  <si>
    <t>RESIDENTIAL - Class B</t>
  </si>
  <si>
    <t>GENERAL SERVICE &lt;50KW - Class B</t>
  </si>
  <si>
    <t>GENERAL SERVICE 1000-1500KW - Class B</t>
  </si>
  <si>
    <t>GENERAL SERVICE 1500-5000 KW - Class B</t>
  </si>
  <si>
    <t>LARGE USER - Class B</t>
  </si>
  <si>
    <t>STREETLIGHTING - Class B</t>
  </si>
  <si>
    <t>SENTINEL LIGHTS - Class B</t>
  </si>
  <si>
    <t>UNMETERED SCATTERED LOADS - Class B</t>
  </si>
  <si>
    <t>DRYCORE - Class B</t>
  </si>
  <si>
    <t>GENERAL SERVICE 1000-1500KW - Class A</t>
  </si>
  <si>
    <t>GENERAL SERVICE 1500-5000 KW - Class A</t>
  </si>
  <si>
    <t>LARGE USER - Class A</t>
  </si>
  <si>
    <t>Transmission - Network - IESO</t>
  </si>
  <si>
    <t xml:space="preserve"> Volume</t>
  </si>
  <si>
    <t>Transmission - Network - Hydro One</t>
  </si>
  <si>
    <t>kW</t>
  </si>
  <si>
    <t>Transmission - Connection - IESO</t>
  </si>
  <si>
    <t>Transmission - Connection - Hydro One</t>
  </si>
  <si>
    <t>Wholesale Market Service</t>
  </si>
  <si>
    <t xml:space="preserve">Class A CBR </t>
  </si>
  <si>
    <t xml:space="preserve">Class B CBR </t>
  </si>
  <si>
    <t>RRRP</t>
  </si>
  <si>
    <t>Low Voltage - No TLF adjustment</t>
  </si>
  <si>
    <t>Smart Meter Entity Charge</t>
  </si>
  <si>
    <t>Residential</t>
  </si>
  <si>
    <t># of Customers</t>
  </si>
  <si>
    <t>GS &lt; 50</t>
  </si>
  <si>
    <t>SUB- TOTAL</t>
  </si>
  <si>
    <t>OER CREDIT</t>
  </si>
  <si>
    <t xml:space="preserve">3.The OER Credit will only apply to RPP proportion of the listed components. Impacts on distribution charges are excluded for the purpose of calculating the cost of power. </t>
  </si>
  <si>
    <t>4. Class A CBR: use the average CBR per kWh, similar to how the Class A GA cost is calculated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</si>
  <si>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</si>
  <si>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</si>
  <si>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</si>
  <si>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</si>
  <si>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</si>
  <si>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</si>
  <si>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</si>
  <si>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Misc A/R or A/P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</si>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</sst>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_);&quot;($&quot;#,##0.00\)"/>
    <numFmt numFmtId="165" formatCode="_-* #,##0_-;\-* #,##0_-;_-* &quot;-&quot;??_-;_-@"/>
    <numFmt numFmtId="166" formatCode="_(&quot;$&quot;* #,##0.00000_);_(&quot;$&quot;* \(#,##0.00000\);_(&quot;$&quot;* &quot;-&quot;??_);_(@_)"/>
    <numFmt numFmtId="167" formatCode="\$#,##0"/>
    <numFmt numFmtId="168" formatCode="_(* #,##0_);_(* \(#,##0\);_(* &quot;-&quot;??_);_(@_)"/>
    <numFmt numFmtId="169" formatCode="_(* #,##0.0000_);_(* \(#,##0.0000\);_(* &quot;-&quot;??_);_(@_)"/>
    <numFmt numFmtId="170" formatCode="0.0000"/>
    <numFmt numFmtId="171" formatCode="_-* #,##0_-;\-* #,##0_-;_-* \-??_-;_-@"/>
    <numFmt numFmtId="172" formatCode="_(&quot;$&quot;* #,##0_);_(&quot;$&quot;* \(#,##0\);_(&quot;$&quot;* &quot;-&quot;??_);_(@_)"/>
    <numFmt numFmtId="173" formatCode="_(* #,##0.00_);_(* \(#,##0.00\);_(* &quot;-&quot;??.00_);_(@_)"/>
    <numFmt numFmtId="174" formatCode="_-* #,##0.00_-;\-* #,##0.00_-;_-* &quot;-&quot;??_-;_-@"/>
    <numFmt numFmtId="175" formatCode="0.0%"/>
    <numFmt numFmtId="176" formatCode="_(* #,##0.000000_);_(* \(#,##0.000000\);_(* &quot;-&quot;??_);_(@_)"/>
  </numFmts>
  <fonts count="35" x14ac:knownFonts="1">
    <font>
      <sz val="10"/>
      <color rgb="FF000000"/>
      <name val="Calibri"/>
      <scheme val="minor"/>
    </font>
    <font>
      <sz val="11"/>
      <color theme="1"/>
      <name val="Calibri"/>
    </font>
    <font>
      <i/>
      <sz val="8"/>
      <color rgb="FFC0C0C0"/>
      <name val="Arial"/>
    </font>
    <font>
      <strike/>
      <sz val="11"/>
      <color rgb="FFFF0000"/>
      <name val="Calibri"/>
    </font>
    <font>
      <b/>
      <sz val="10"/>
      <color theme="1"/>
      <name val="Arial"/>
    </font>
    <font>
      <sz val="8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i/>
      <sz val="10"/>
      <color theme="1"/>
      <name val="Arial"/>
    </font>
    <font>
      <b/>
      <i/>
      <sz val="11"/>
      <color theme="1"/>
      <name val="Arial"/>
    </font>
    <font>
      <b/>
      <u/>
      <sz val="12"/>
      <color theme="1"/>
      <name val="Arial"/>
    </font>
    <font>
      <b/>
      <sz val="11"/>
      <color theme="1"/>
      <name val="Arial"/>
    </font>
    <font>
      <b/>
      <u/>
      <sz val="11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sz val="10"/>
      <name val="Arial"/>
    </font>
    <font>
      <i/>
      <sz val="10"/>
      <color rgb="FFFF0000"/>
      <name val="Arial"/>
    </font>
    <font>
      <b/>
      <sz val="12"/>
      <color theme="1"/>
      <name val="Arial"/>
    </font>
    <font>
      <b/>
      <sz val="11"/>
      <color theme="1"/>
      <name val="Calibri"/>
    </font>
    <font>
      <b/>
      <sz val="10"/>
      <color rgb="FF7F7F7F"/>
      <name val="Arial"/>
    </font>
    <font>
      <sz val="10"/>
      <color rgb="FF7F7F7F"/>
      <name val="Arial"/>
    </font>
    <font>
      <sz val="11"/>
      <color rgb="FF7F7F7F"/>
      <name val="Calibri"/>
    </font>
    <font>
      <sz val="10"/>
      <color theme="1"/>
      <name val="Mangal"/>
    </font>
    <font>
      <b/>
      <sz val="16"/>
      <color theme="1"/>
      <name val="Calibri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i/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i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A5A5A5"/>
        <bgColor rgb="FFA5A5A5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B8CCE4"/>
        <bgColor rgb="FFB8CCE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/>
    <xf numFmtId="10" fontId="8" fillId="0" borderId="2" xfId="0" applyNumberFormat="1" applyFont="1" applyBorder="1" applyAlignment="1">
      <alignment horizontal="right"/>
    </xf>
    <xf numFmtId="10" fontId="8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4" fillId="0" borderId="3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0" xfId="0" applyFont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9" xfId="0" applyFont="1" applyBorder="1"/>
    <xf numFmtId="0" fontId="14" fillId="3" borderId="12" xfId="0" applyFont="1" applyFill="1" applyBorder="1" applyAlignment="1">
      <alignment horizontal="center" wrapText="1"/>
    </xf>
    <xf numFmtId="164" fontId="14" fillId="2" borderId="13" xfId="0" applyNumberFormat="1" applyFont="1" applyFill="1" applyBorder="1"/>
    <xf numFmtId="164" fontId="14" fillId="2" borderId="14" xfId="0" applyNumberFormat="1" applyFont="1" applyFill="1" applyBorder="1"/>
    <xf numFmtId="164" fontId="14" fillId="0" borderId="0" xfId="0" applyNumberFormat="1" applyFont="1"/>
    <xf numFmtId="0" fontId="14" fillId="3" borderId="15" xfId="0" applyFont="1" applyFill="1" applyBorder="1" applyAlignment="1">
      <alignment horizontal="center" wrapText="1"/>
    </xf>
    <xf numFmtId="164" fontId="14" fillId="2" borderId="16" xfId="0" applyNumberFormat="1" applyFont="1" applyFill="1" applyBorder="1"/>
    <xf numFmtId="164" fontId="14" fillId="2" borderId="17" xfId="0" applyNumberFormat="1" applyFont="1" applyFill="1" applyBorder="1"/>
    <xf numFmtId="164" fontId="7" fillId="0" borderId="16" xfId="0" applyNumberFormat="1" applyFont="1" applyBorder="1"/>
    <xf numFmtId="164" fontId="7" fillId="0" borderId="0" xfId="0" applyNumberFormat="1" applyFont="1"/>
    <xf numFmtId="0" fontId="4" fillId="0" borderId="9" xfId="0" applyFont="1" applyBorder="1" applyAlignment="1">
      <alignment horizontal="left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18" xfId="0" applyFont="1" applyBorder="1"/>
    <xf numFmtId="1" fontId="4" fillId="4" borderId="11" xfId="0" applyNumberFormat="1" applyFont="1" applyFill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4" fillId="0" borderId="16" xfId="0" applyFont="1" applyBorder="1" applyAlignment="1">
      <alignment horizontal="center" wrapText="1"/>
    </xf>
    <xf numFmtId="0" fontId="14" fillId="2" borderId="16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5" fontId="14" fillId="2" borderId="16" xfId="0" applyNumberFormat="1" applyFont="1" applyFill="1" applyBorder="1" applyAlignment="1">
      <alignment vertical="center"/>
    </xf>
    <xf numFmtId="165" fontId="1" fillId="3" borderId="0" xfId="0" applyNumberFormat="1" applyFont="1" applyFill="1"/>
    <xf numFmtId="166" fontId="14" fillId="0" borderId="16" xfId="0" applyNumberFormat="1" applyFont="1" applyBorder="1" applyAlignment="1">
      <alignment horizontal="right"/>
    </xf>
    <xf numFmtId="167" fontId="1" fillId="0" borderId="16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center"/>
    </xf>
    <xf numFmtId="37" fontId="4" fillId="0" borderId="16" xfId="0" applyNumberFormat="1" applyFont="1" applyBorder="1" applyAlignment="1">
      <alignment horizontal="right"/>
    </xf>
    <xf numFmtId="168" fontId="18" fillId="0" borderId="16" xfId="0" applyNumberFormat="1" applyFont="1" applyBorder="1"/>
    <xf numFmtId="37" fontId="4" fillId="0" borderId="11" xfId="0" applyNumberFormat="1" applyFont="1" applyBorder="1" applyAlignment="1">
      <alignment horizontal="right"/>
    </xf>
    <xf numFmtId="167" fontId="4" fillId="0" borderId="16" xfId="0" applyNumberFormat="1" applyFont="1" applyBorder="1" applyAlignment="1">
      <alignment horizontal="right"/>
    </xf>
    <xf numFmtId="169" fontId="7" fillId="0" borderId="0" xfId="0" applyNumberFormat="1" applyFont="1"/>
    <xf numFmtId="1" fontId="4" fillId="4" borderId="19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4" fillId="0" borderId="18" xfId="0" applyFont="1" applyBorder="1" applyAlignment="1">
      <alignment horizontal="center"/>
    </xf>
    <xf numFmtId="0" fontId="1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20" fillId="3" borderId="0" xfId="0" applyFont="1" applyFill="1" applyAlignment="1">
      <alignment vertical="center"/>
    </xf>
    <xf numFmtId="165" fontId="14" fillId="2" borderId="11" xfId="0" applyNumberFormat="1" applyFont="1" applyFill="1" applyBorder="1" applyAlignment="1">
      <alignment vertical="center"/>
    </xf>
    <xf numFmtId="168" fontId="14" fillId="3" borderId="0" xfId="0" applyNumberFormat="1" applyFont="1" applyFill="1" applyAlignment="1">
      <alignment horizontal="center"/>
    </xf>
    <xf numFmtId="170" fontId="14" fillId="2" borderId="16" xfId="0" applyNumberFormat="1" applyFont="1" applyFill="1" applyBorder="1" applyAlignment="1">
      <alignment vertical="center"/>
    </xf>
    <xf numFmtId="43" fontId="14" fillId="3" borderId="0" xfId="0" applyNumberFormat="1" applyFont="1" applyFill="1" applyAlignment="1">
      <alignment horizontal="center"/>
    </xf>
    <xf numFmtId="168" fontId="21" fillId="3" borderId="0" xfId="0" applyNumberFormat="1" applyFont="1" applyFill="1" applyAlignment="1">
      <alignment horizontal="center"/>
    </xf>
    <xf numFmtId="171" fontId="1" fillId="5" borderId="11" xfId="0" applyNumberFormat="1" applyFont="1" applyFill="1" applyBorder="1" applyAlignment="1">
      <alignment horizontal="center"/>
    </xf>
    <xf numFmtId="171" fontId="1" fillId="3" borderId="0" xfId="0" applyNumberFormat="1" applyFont="1" applyFill="1" applyAlignment="1">
      <alignment horizontal="center"/>
    </xf>
    <xf numFmtId="0" fontId="1" fillId="5" borderId="11" xfId="0" applyFont="1" applyFill="1" applyBorder="1" applyAlignment="1">
      <alignment horizontal="center"/>
    </xf>
    <xf numFmtId="167" fontId="18" fillId="0" borderId="16" xfId="0" applyNumberFormat="1" applyFont="1" applyBorder="1" applyAlignment="1">
      <alignment horizontal="right"/>
    </xf>
    <xf numFmtId="0" fontId="4" fillId="0" borderId="0" xfId="0" applyFont="1"/>
    <xf numFmtId="0" fontId="14" fillId="0" borderId="1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vertical="center"/>
    </xf>
    <xf numFmtId="37" fontId="1" fillId="3" borderId="0" xfId="0" applyNumberFormat="1" applyFont="1" applyFill="1" applyAlignment="1">
      <alignment horizontal="right"/>
    </xf>
    <xf numFmtId="37" fontId="1" fillId="6" borderId="10" xfId="0" applyNumberFormat="1" applyFont="1" applyFill="1" applyBorder="1" applyAlignment="1">
      <alignment horizontal="right"/>
    </xf>
    <xf numFmtId="166" fontId="14" fillId="6" borderId="11" xfId="0" applyNumberFormat="1" applyFont="1" applyFill="1" applyBorder="1" applyAlignment="1">
      <alignment horizontal="right"/>
    </xf>
    <xf numFmtId="37" fontId="1" fillId="0" borderId="16" xfId="0" applyNumberFormat="1" applyFont="1" applyBorder="1" applyAlignment="1">
      <alignment horizontal="right"/>
    </xf>
    <xf numFmtId="37" fontId="18" fillId="6" borderId="16" xfId="0" applyNumberFormat="1" applyFont="1" applyFill="1" applyBorder="1" applyAlignment="1">
      <alignment horizontal="right"/>
    </xf>
    <xf numFmtId="37" fontId="1" fillId="6" borderId="11" xfId="0" applyNumberFormat="1" applyFont="1" applyFill="1" applyBorder="1" applyAlignment="1">
      <alignment horizontal="right"/>
    </xf>
    <xf numFmtId="37" fontId="4" fillId="0" borderId="13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 applyAlignment="1">
      <alignment horizontal="right"/>
    </xf>
    <xf numFmtId="167" fontId="1" fillId="0" borderId="0" xfId="0" applyNumberFormat="1" applyFont="1"/>
    <xf numFmtId="171" fontId="22" fillId="0" borderId="0" xfId="0" applyNumberFormat="1" applyFont="1"/>
    <xf numFmtId="43" fontId="1" fillId="0" borderId="0" xfId="0" applyNumberFormat="1" applyFont="1"/>
    <xf numFmtId="0" fontId="18" fillId="0" borderId="0" xfId="0" applyFont="1" applyAlignment="1">
      <alignment horizontal="center"/>
    </xf>
    <xf numFmtId="0" fontId="1" fillId="0" borderId="20" xfId="0" applyFont="1" applyBorder="1"/>
    <xf numFmtId="172" fontId="1" fillId="0" borderId="0" xfId="0" applyNumberFormat="1" applyFont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16" xfId="0" applyFont="1" applyBorder="1" applyAlignment="1">
      <alignment horizontal="center"/>
    </xf>
    <xf numFmtId="0" fontId="26" fillId="0" borderId="0" xfId="0" applyFont="1"/>
    <xf numFmtId="0" fontId="26" fillId="0" borderId="11" xfId="0" applyFont="1" applyBorder="1" applyAlignment="1">
      <alignment horizontal="center" vertical="center"/>
    </xf>
    <xf numFmtId="0" fontId="28" fillId="0" borderId="16" xfId="0" applyFont="1" applyBorder="1"/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 wrapText="1"/>
    </xf>
    <xf numFmtId="0" fontId="25" fillId="0" borderId="1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6" fillId="0" borderId="16" xfId="0" applyFont="1" applyBorder="1"/>
    <xf numFmtId="0" fontId="25" fillId="0" borderId="15" xfId="0" applyFont="1" applyBorder="1"/>
    <xf numFmtId="37" fontId="25" fillId="0" borderId="16" xfId="0" applyNumberFormat="1" applyFont="1" applyBorder="1"/>
    <xf numFmtId="0" fontId="25" fillId="0" borderId="12" xfId="0" applyFont="1" applyBorder="1"/>
    <xf numFmtId="168" fontId="24" fillId="0" borderId="11" xfId="0" applyNumberFormat="1" applyFont="1" applyBorder="1"/>
    <xf numFmtId="0" fontId="25" fillId="0" borderId="16" xfId="0" applyFont="1" applyBorder="1"/>
    <xf numFmtId="0" fontId="25" fillId="2" borderId="16" xfId="0" applyFont="1" applyFill="1" applyBorder="1"/>
    <xf numFmtId="0" fontId="24" fillId="3" borderId="15" xfId="0" applyFont="1" applyFill="1" applyBorder="1"/>
    <xf numFmtId="0" fontId="25" fillId="3" borderId="15" xfId="0" applyFont="1" applyFill="1" applyBorder="1"/>
    <xf numFmtId="0" fontId="25" fillId="0" borderId="20" xfId="0" applyFont="1" applyBorder="1"/>
    <xf numFmtId="0" fontId="25" fillId="2" borderId="12" xfId="0" applyFont="1" applyFill="1" applyBorder="1"/>
    <xf numFmtId="0" fontId="25" fillId="0" borderId="13" xfId="0" applyFont="1" applyBorder="1"/>
    <xf numFmtId="0" fontId="25" fillId="0" borderId="18" xfId="0" applyFont="1" applyBorder="1"/>
    <xf numFmtId="168" fontId="25" fillId="0" borderId="16" xfId="0" applyNumberFormat="1" applyFont="1" applyBorder="1"/>
    <xf numFmtId="172" fontId="24" fillId="0" borderId="16" xfId="0" applyNumberFormat="1" applyFont="1" applyBorder="1"/>
    <xf numFmtId="0" fontId="25" fillId="0" borderId="21" xfId="0" applyFont="1" applyBorder="1"/>
    <xf numFmtId="0" fontId="25" fillId="3" borderId="0" xfId="0" applyFont="1" applyFill="1"/>
    <xf numFmtId="0" fontId="25" fillId="0" borderId="11" xfId="0" applyFont="1" applyBorder="1"/>
    <xf numFmtId="37" fontId="25" fillId="3" borderId="0" xfId="0" applyNumberFormat="1" applyFont="1" applyFill="1"/>
    <xf numFmtId="0" fontId="25" fillId="0" borderId="9" xfId="0" applyFont="1" applyBorder="1" applyAlignment="1">
      <alignment horizontal="center"/>
    </xf>
    <xf numFmtId="168" fontId="24" fillId="0" borderId="16" xfId="0" applyNumberFormat="1" applyFont="1" applyBorder="1"/>
    <xf numFmtId="0" fontId="25" fillId="0" borderId="20" xfId="0" applyFont="1" applyBorder="1" applyAlignment="1">
      <alignment horizontal="center"/>
    </xf>
    <xf numFmtId="168" fontId="24" fillId="2" borderId="16" xfId="0" applyNumberFormat="1" applyFont="1" applyFill="1" applyBorder="1"/>
    <xf numFmtId="169" fontId="24" fillId="2" borderId="16" xfId="0" applyNumberFormat="1" applyFont="1" applyFill="1" applyBorder="1"/>
    <xf numFmtId="169" fontId="25" fillId="0" borderId="16" xfId="0" applyNumberFormat="1" applyFont="1" applyBorder="1"/>
    <xf numFmtId="0" fontId="25" fillId="0" borderId="9" xfId="0" applyFont="1" applyBorder="1"/>
    <xf numFmtId="0" fontId="25" fillId="0" borderId="23" xfId="0" applyFont="1" applyBorder="1"/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168" fontId="24" fillId="0" borderId="19" xfId="0" applyNumberFormat="1" applyFont="1" applyBorder="1"/>
    <xf numFmtId="168" fontId="24" fillId="0" borderId="12" xfId="0" applyNumberFormat="1" applyFont="1" applyBorder="1"/>
    <xf numFmtId="0" fontId="25" fillId="0" borderId="22" xfId="0" applyFont="1" applyBorder="1"/>
    <xf numFmtId="174" fontId="24" fillId="2" borderId="16" xfId="0" applyNumberFormat="1" applyFont="1" applyFill="1" applyBorder="1"/>
    <xf numFmtId="43" fontId="24" fillId="2" borderId="16" xfId="0" applyNumberFormat="1" applyFont="1" applyFill="1" applyBorder="1"/>
    <xf numFmtId="0" fontId="25" fillId="0" borderId="21" xfId="0" applyFont="1" applyBorder="1" applyAlignment="1">
      <alignment horizontal="center"/>
    </xf>
    <xf numFmtId="175" fontId="25" fillId="2" borderId="9" xfId="0" applyNumberFormat="1" applyFont="1" applyFill="1" applyBorder="1" applyAlignment="1">
      <alignment horizontal="center"/>
    </xf>
    <xf numFmtId="168" fontId="24" fillId="0" borderId="25" xfId="0" applyNumberFormat="1" applyFont="1" applyBorder="1"/>
    <xf numFmtId="10" fontId="26" fillId="0" borderId="16" xfId="0" applyNumberFormat="1" applyFont="1" applyBorder="1"/>
    <xf numFmtId="0" fontId="26" fillId="0" borderId="15" xfId="0" applyFont="1" applyBorder="1"/>
    <xf numFmtId="168" fontId="26" fillId="0" borderId="26" xfId="0" applyNumberFormat="1" applyFont="1" applyBorder="1"/>
    <xf numFmtId="10" fontId="26" fillId="0" borderId="0" xfId="0" applyNumberFormat="1" applyFont="1"/>
    <xf numFmtId="168" fontId="26" fillId="0" borderId="0" xfId="0" applyNumberFormat="1" applyFont="1"/>
    <xf numFmtId="172" fontId="25" fillId="0" borderId="16" xfId="0" applyNumberFormat="1" applyFont="1" applyBorder="1"/>
    <xf numFmtId="172" fontId="26" fillId="0" borderId="16" xfId="0" applyNumberFormat="1" applyFont="1" applyBorder="1"/>
    <xf numFmtId="43" fontId="25" fillId="0" borderId="0" xfId="0" applyNumberFormat="1" applyFont="1"/>
    <xf numFmtId="172" fontId="25" fillId="0" borderId="0" xfId="0" applyNumberFormat="1" applyFont="1"/>
    <xf numFmtId="0" fontId="24" fillId="0" borderId="0" xfId="0" applyFont="1"/>
    <xf numFmtId="0" fontId="32" fillId="7" borderId="16" xfId="0" applyFont="1" applyFill="1" applyBorder="1"/>
    <xf numFmtId="0" fontId="24" fillId="0" borderId="12" xfId="0" applyFont="1" applyBorder="1"/>
    <xf numFmtId="0" fontId="24" fillId="0" borderId="12" xfId="0" applyFont="1" applyBorder="1" applyAlignment="1">
      <alignment horizontal="center"/>
    </xf>
    <xf numFmtId="0" fontId="30" fillId="0" borderId="16" xfId="0" applyFont="1" applyBorder="1"/>
    <xf numFmtId="0" fontId="24" fillId="0" borderId="13" xfId="0" applyFont="1" applyBorder="1"/>
    <xf numFmtId="0" fontId="24" fillId="0" borderId="13" xfId="0" applyFont="1" applyBorder="1" applyAlignment="1">
      <alignment horizontal="center"/>
    </xf>
    <xf numFmtId="0" fontId="24" fillId="0" borderId="16" xfId="0" applyFont="1" applyBorder="1"/>
    <xf numFmtId="0" fontId="24" fillId="2" borderId="16" xfId="0" applyFont="1" applyFill="1" applyBorder="1"/>
    <xf numFmtId="168" fontId="24" fillId="0" borderId="16" xfId="0" applyNumberFormat="1" applyFont="1" applyBorder="1" applyAlignment="1">
      <alignment horizontal="right"/>
    </xf>
    <xf numFmtId="0" fontId="24" fillId="0" borderId="9" xfId="0" applyFont="1" applyBorder="1"/>
    <xf numFmtId="169" fontId="24" fillId="0" borderId="16" xfId="0" applyNumberFormat="1" applyFont="1" applyBorder="1"/>
    <xf numFmtId="173" fontId="24" fillId="0" borderId="11" xfId="0" applyNumberFormat="1" applyFont="1" applyBorder="1"/>
    <xf numFmtId="173" fontId="24" fillId="0" borderId="0" xfId="0" applyNumberFormat="1" applyFont="1"/>
    <xf numFmtId="0" fontId="33" fillId="0" borderId="0" xfId="0" applyFont="1"/>
    <xf numFmtId="168" fontId="30" fillId="0" borderId="16" xfId="0" applyNumberFormat="1" applyFont="1" applyBorder="1"/>
    <xf numFmtId="176" fontId="24" fillId="2" borderId="16" xfId="0" applyNumberFormat="1" applyFont="1" applyFill="1" applyBorder="1"/>
    <xf numFmtId="168" fontId="30" fillId="0" borderId="9" xfId="0" applyNumberFormat="1" applyFont="1" applyBorder="1" applyAlignment="1">
      <alignment horizontal="right"/>
    </xf>
    <xf numFmtId="168" fontId="30" fillId="0" borderId="16" xfId="0" applyNumberFormat="1" applyFont="1" applyBorder="1" applyAlignment="1">
      <alignment horizontal="right"/>
    </xf>
    <xf numFmtId="1" fontId="4" fillId="4" borderId="9" xfId="0" applyNumberFormat="1" applyFont="1" applyFill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/>
    <xf numFmtId="0" fontId="6" fillId="0" borderId="0" xfId="0" applyFont="1" applyAlignment="1">
      <alignment horizontal="center" vertical="top"/>
    </xf>
    <xf numFmtId="0" fontId="0" fillId="0" borderId="0" xfId="0"/>
    <xf numFmtId="0" fontId="1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9" fillId="0" borderId="0" xfId="0" applyFont="1"/>
    <xf numFmtId="0" fontId="26" fillId="8" borderId="9" xfId="0" applyFont="1" applyFill="1" applyBorder="1" applyAlignment="1">
      <alignment horizontal="center"/>
    </xf>
    <xf numFmtId="0" fontId="34" fillId="0" borderId="11" xfId="0" applyFont="1" applyBorder="1"/>
    <xf numFmtId="0" fontId="25" fillId="0" borderId="12" xfId="0" applyFont="1" applyBorder="1" applyAlignment="1">
      <alignment horizontal="center"/>
    </xf>
    <xf numFmtId="0" fontId="27" fillId="0" borderId="15" xfId="0" applyFont="1" applyBorder="1"/>
    <xf numFmtId="0" fontId="27" fillId="0" borderId="13" xfId="0" applyFont="1" applyBorder="1"/>
    <xf numFmtId="0" fontId="25" fillId="0" borderId="23" xfId="0" applyFont="1" applyBorder="1" applyAlignment="1">
      <alignment horizontal="center"/>
    </xf>
    <xf numFmtId="0" fontId="27" fillId="0" borderId="24" xfId="0" applyFont="1" applyBorder="1"/>
    <xf numFmtId="0" fontId="25" fillId="0" borderId="19" xfId="0" applyFont="1" applyBorder="1" applyAlignment="1">
      <alignment horizontal="center"/>
    </xf>
    <xf numFmtId="0" fontId="27" fillId="0" borderId="18" xfId="0" applyFont="1" applyBorder="1"/>
    <xf numFmtId="0" fontId="27" fillId="0" borderId="22" xfId="0" applyFont="1" applyBorder="1"/>
    <xf numFmtId="0" fontId="25" fillId="0" borderId="12" xfId="0" applyFont="1" applyBorder="1" applyAlignment="1">
      <alignment horizontal="center" wrapText="1"/>
    </xf>
    <xf numFmtId="0" fontId="24" fillId="0" borderId="19" xfId="0" applyFont="1" applyBorder="1" applyAlignment="1">
      <alignment horizontal="center"/>
    </xf>
    <xf numFmtId="0" fontId="31" fillId="0" borderId="18" xfId="0" applyFont="1" applyBorder="1"/>
    <xf numFmtId="0" fontId="24" fillId="0" borderId="12" xfId="0" applyFont="1" applyBorder="1" applyAlignment="1">
      <alignment horizontal="center" wrapText="1"/>
    </xf>
    <xf numFmtId="0" fontId="31" fillId="0" borderId="13" xfId="0" applyFont="1" applyBorder="1"/>
    <xf numFmtId="0" fontId="24" fillId="0" borderId="12" xfId="0" applyFont="1" applyBorder="1" applyAlignment="1">
      <alignment horizontal="center"/>
    </xf>
    <xf numFmtId="0" fontId="24" fillId="0" borderId="12" xfId="0" applyFont="1" applyBorder="1"/>
    <xf numFmtId="0" fontId="31" fillId="0" borderId="15" xfId="0" applyFont="1" applyBorder="1"/>
    <xf numFmtId="0" fontId="30" fillId="0" borderId="9" xfId="0" applyFont="1" applyBorder="1" applyAlignment="1">
      <alignment horizontal="center"/>
    </xf>
    <xf numFmtId="0" fontId="31" fillId="0" borderId="11" xfId="0" applyFont="1" applyBorder="1"/>
    <xf numFmtId="0" fontId="25" fillId="0" borderId="20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11" xfId="0" applyFont="1" applyBorder="1"/>
    <xf numFmtId="0" fontId="26" fillId="0" borderId="12" xfId="0" applyFont="1" applyBorder="1" applyAlignment="1">
      <alignment horizontal="center" vertical="center" wrapText="1"/>
    </xf>
    <xf numFmtId="0" fontId="27" fillId="0" borderId="20" xfId="0" applyFont="1" applyBorder="1"/>
  </cellXfs>
  <cellStyles count="1">
    <cellStyle name="Normal" xfId="0" builtinId="0"/>
  </cellStyles>
  <dxfs count="1"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ild/Downloads/Updated_2025_Filing_Requirements_Chapter2_Appendices_1.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A_Fixed Asset Cont_21-25"/>
      <sheetName val="App.2-B_Acctg Instructions"/>
      <sheetName val="App.2-BA_Fixed Asset Cont_26-30"/>
      <sheetName val="Appendix 2-BB Service Life  "/>
      <sheetName val="App.2-C_DepExp_21-25"/>
      <sheetName val="App.2-C_DepExp_26-30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App.2-H_Other_Rev"/>
      <sheetName val="2.1.4_ServiceQuality"/>
      <sheetName val="App.2-IA_Load_Forecast_Instrct"/>
      <sheetName val="App.2-IB_Load_Forecast_Analysis"/>
      <sheetName val="2018 Adjusted SAIDI and SAIFI"/>
      <sheetName val="2019 Adjusted SAIDI and SAIFI"/>
      <sheetName val="2020"/>
      <sheetName val="2.1.4_ServiceQuality old"/>
      <sheetName val="2.1.4 SAIDI SAIFI"/>
      <sheetName val="2.1.7  All Accounts"/>
      <sheetName val="Hidden_Other Revenue"/>
      <sheetName val="Several_Accounts"/>
      <sheetName val="App_2-I LF_CDM"/>
      <sheetName val="lists"/>
      <sheetName val="2.1.2"/>
      <sheetName val="2.1.5.4"/>
      <sheetName val="App.2-JA_OM&amp;A_Summary_Analys"/>
      <sheetName val="App.2-JB_OM&amp;A_Cost _Drivers"/>
      <sheetName val="App.2-JC_OMA Programs"/>
      <sheetName val="Hidden_OM&amp;A Summary"/>
      <sheetName val="OM&amp;A_Expense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OLD App.2-R_Loss Factors"/>
      <sheetName val="NEW App.2-R_Loss Factors"/>
      <sheetName val="App.2-ZA_2026-Com. Exp. Forecas"/>
      <sheetName val="App.2-ZB_2026Cost of Power"/>
      <sheetName val="App.2-ZA_2027-Com. Exp. Forecas"/>
      <sheetName val="App.2-ZB_2027Cost of Power"/>
      <sheetName val="App.2-ZA_2028-Com. Exp. Forecas"/>
      <sheetName val="App.2-ZB_2028Cost of Power"/>
      <sheetName val="App.2-ZA_2029-Com. Exp. Forecas"/>
      <sheetName val="App.2-ZB_2029Cost of Power"/>
      <sheetName val="App.2-ZA_2030-Com. Exp. Forecas"/>
      <sheetName val="App.2-ZB_2030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EB-2024-0115</v>
          </cell>
        </row>
        <row r="24">
          <cell r="E24">
            <v>2026</v>
          </cell>
        </row>
        <row r="26">
          <cell r="E26">
            <v>2024</v>
          </cell>
        </row>
        <row r="28">
          <cell r="E28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8">
          <cell r="B38"/>
        </row>
      </sheetData>
      <sheetData sheetId="65"/>
      <sheetData sheetId="66">
        <row r="38">
          <cell r="K38">
            <v>0.10764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9451-7077-4BF0-9E55-4C803A8283B5}">
  <dimension ref="A1:AA1000"/>
  <sheetViews>
    <sheetView showGridLines="0" tabSelected="1" workbookViewId="0">
      <selection activeCell="A2" sqref="A2"/>
    </sheetView>
  </sheetViews>
  <sheetFormatPr defaultColWidth="12.5546875" defaultRowHeight="15" customHeight="1" outlineLevelRow="1" x14ac:dyDescent="0.3"/>
  <cols>
    <col min="1" max="1" width="9.109375" customWidth="1"/>
    <col min="2" max="2" width="43.109375" customWidth="1"/>
    <col min="3" max="3" width="7.109375" customWidth="1"/>
    <col min="4" max="4" width="10.109375" customWidth="1"/>
    <col min="5" max="5" width="7.5546875" customWidth="1"/>
    <col min="6" max="6" width="20.109375" customWidth="1"/>
    <col min="7" max="7" width="14.5546875" customWidth="1"/>
    <col min="8" max="10" width="17.44140625" customWidth="1"/>
    <col min="11" max="11" width="21.109375" customWidth="1"/>
    <col min="12" max="12" width="16.5546875" customWidth="1"/>
    <col min="13" max="13" width="12.44140625" customWidth="1"/>
    <col min="14" max="14" width="12" customWidth="1"/>
    <col min="15" max="27" width="9.109375" customWidth="1"/>
  </cols>
  <sheetData>
    <row r="1" spans="1:27" ht="14.4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3"/>
      <c r="B2" s="3"/>
      <c r="C2" s="3"/>
      <c r="D2" s="3"/>
      <c r="E2" s="3"/>
      <c r="F2" s="1"/>
      <c r="G2" s="1"/>
      <c r="H2" s="1"/>
      <c r="I2" s="1"/>
      <c r="J2" s="1"/>
      <c r="K2" s="4" t="s">
        <v>0</v>
      </c>
      <c r="L2" s="5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 x14ac:dyDescent="0.3">
      <c r="A3" s="3"/>
      <c r="B3" s="1"/>
      <c r="C3" s="6"/>
      <c r="D3" s="6"/>
      <c r="E3" s="6"/>
      <c r="F3" s="6"/>
      <c r="G3" s="6"/>
      <c r="H3" s="6"/>
      <c r="I3" s="6"/>
      <c r="J3" s="6"/>
      <c r="K3" s="4" t="s">
        <v>2</v>
      </c>
      <c r="L3" s="7">
        <v>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1"/>
      <c r="B4" s="186" t="s">
        <v>3</v>
      </c>
      <c r="C4" s="187"/>
      <c r="D4" s="187"/>
      <c r="E4" s="187"/>
      <c r="F4" s="187"/>
      <c r="G4" s="187"/>
      <c r="H4" s="187"/>
      <c r="I4" s="187"/>
      <c r="J4" s="1"/>
      <c r="K4" s="4" t="s">
        <v>4</v>
      </c>
      <c r="L4" s="7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" customHeight="1" x14ac:dyDescent="0.3">
      <c r="A5" s="1"/>
      <c r="B5" s="187"/>
      <c r="C5" s="187"/>
      <c r="D5" s="187"/>
      <c r="E5" s="187"/>
      <c r="F5" s="187"/>
      <c r="G5" s="187"/>
      <c r="H5" s="187"/>
      <c r="I5" s="187"/>
      <c r="J5" s="6"/>
      <c r="K5" s="4" t="s">
        <v>5</v>
      </c>
      <c r="L5" s="7">
        <v>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3">
      <c r="A6" s="1"/>
      <c r="B6" s="187"/>
      <c r="C6" s="187"/>
      <c r="D6" s="187"/>
      <c r="E6" s="187"/>
      <c r="F6" s="187"/>
      <c r="G6" s="187"/>
      <c r="H6" s="187"/>
      <c r="I6" s="187"/>
      <c r="J6" s="6"/>
      <c r="K6" s="4" t="s">
        <v>6</v>
      </c>
      <c r="L6" s="5" t="s">
        <v>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/>
      <c r="B7" s="8"/>
      <c r="C7" s="1"/>
      <c r="D7" s="1"/>
      <c r="E7" s="1"/>
      <c r="F7" s="1"/>
      <c r="G7" s="1"/>
      <c r="H7" s="1"/>
      <c r="I7" s="1"/>
      <c r="J7" s="1"/>
      <c r="K7" s="4"/>
      <c r="L7" s="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/>
      <c r="B8" s="8"/>
      <c r="C8" s="1"/>
      <c r="D8" s="1"/>
      <c r="E8" s="1"/>
      <c r="F8" s="1"/>
      <c r="G8" s="1"/>
      <c r="H8" s="1"/>
      <c r="I8" s="1"/>
      <c r="J8" s="1"/>
      <c r="K8" s="4" t="s">
        <v>8</v>
      </c>
      <c r="L8" s="5" t="s">
        <v>115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thickBot="1" x14ac:dyDescent="0.35">
      <c r="A10" s="10"/>
      <c r="B10" s="11"/>
      <c r="C10" s="12"/>
      <c r="D10" s="13"/>
      <c r="E10" s="13"/>
      <c r="F10" s="13"/>
      <c r="G10" s="10"/>
      <c r="H10" s="10"/>
      <c r="I10" s="10"/>
      <c r="J10" s="10"/>
      <c r="K10" s="10"/>
      <c r="L10" s="13"/>
      <c r="M10" s="1"/>
      <c r="N10" s="1"/>
      <c r="O10" s="1"/>
      <c r="P10" s="1"/>
      <c r="Q10" s="14"/>
      <c r="R10" s="14"/>
      <c r="S10" s="14"/>
      <c r="T10" s="14"/>
      <c r="U10" s="14"/>
      <c r="V10" s="14"/>
      <c r="W10" s="1"/>
      <c r="X10" s="1"/>
      <c r="Y10" s="15"/>
      <c r="Z10" s="15"/>
      <c r="AA10" s="15"/>
    </row>
    <row r="11" spans="1:27" ht="15.6" x14ac:dyDescent="0.3">
      <c r="A11" s="16"/>
      <c r="B11" s="17"/>
      <c r="C11" s="14"/>
      <c r="D11" s="14"/>
      <c r="E11" s="14"/>
      <c r="F11" s="14"/>
      <c r="G11" s="15"/>
      <c r="H11" s="14"/>
      <c r="I11" s="14"/>
      <c r="J11" s="14"/>
      <c r="K11" s="14"/>
      <c r="L11" s="18"/>
      <c r="M11" s="19"/>
      <c r="N11" s="17"/>
      <c r="O11" s="14"/>
      <c r="P11" s="14"/>
      <c r="Q11" s="14"/>
      <c r="R11" s="14"/>
      <c r="S11" s="14"/>
      <c r="T11" s="14"/>
      <c r="U11" s="14"/>
      <c r="V11" s="14"/>
      <c r="W11" s="1"/>
      <c r="X11" s="1"/>
      <c r="Y11" s="15"/>
      <c r="Z11" s="15"/>
      <c r="AA11" s="15"/>
    </row>
    <row r="12" spans="1:27" ht="15.6" x14ac:dyDescent="0.3">
      <c r="A12" s="18" t="s">
        <v>9</v>
      </c>
      <c r="B12" s="19" t="s">
        <v>10</v>
      </c>
      <c r="C12" s="17"/>
      <c r="D12" s="14"/>
      <c r="E12" s="14"/>
      <c r="F12" s="14"/>
      <c r="G12" s="15"/>
      <c r="H12" s="14"/>
      <c r="I12" s="14"/>
      <c r="J12" s="14"/>
      <c r="K12" s="14"/>
      <c r="L12" s="18"/>
      <c r="M12" s="19"/>
      <c r="N12" s="17"/>
      <c r="O12" s="14"/>
      <c r="P12" s="14"/>
      <c r="Q12" s="14"/>
      <c r="R12" s="14"/>
      <c r="S12" s="14"/>
      <c r="T12" s="14"/>
      <c r="U12" s="14"/>
      <c r="V12" s="14"/>
      <c r="W12" s="1"/>
      <c r="X12" s="1"/>
      <c r="Y12" s="15"/>
      <c r="Z12" s="15"/>
      <c r="AA12" s="15"/>
    </row>
    <row r="13" spans="1:27" ht="16.2" thickBot="1" x14ac:dyDescent="0.35">
      <c r="A13" s="16"/>
      <c r="B13" s="17"/>
      <c r="C13" s="14"/>
      <c r="D13" s="14"/>
      <c r="E13" s="14"/>
      <c r="F13" s="14"/>
      <c r="G13" s="15"/>
      <c r="H13" s="14"/>
      <c r="I13" s="14"/>
      <c r="J13" s="14"/>
      <c r="K13" s="14"/>
      <c r="L13" s="18"/>
      <c r="M13" s="19"/>
      <c r="N13" s="17"/>
      <c r="O13" s="14"/>
      <c r="P13" s="14"/>
      <c r="Q13" s="14"/>
      <c r="R13" s="14"/>
      <c r="S13" s="14"/>
      <c r="T13" s="14"/>
      <c r="U13" s="14"/>
      <c r="V13" s="14"/>
      <c r="W13" s="1"/>
      <c r="X13" s="1"/>
      <c r="Y13" s="15"/>
      <c r="Z13" s="15"/>
      <c r="AA13" s="15"/>
    </row>
    <row r="14" spans="1:27" thickBot="1" x14ac:dyDescent="0.35">
      <c r="A14" s="15"/>
      <c r="B14" s="15" t="s">
        <v>11</v>
      </c>
      <c r="C14" s="15"/>
      <c r="D14" s="15"/>
      <c r="E14" s="15"/>
      <c r="F14" s="15"/>
      <c r="G14" s="20"/>
      <c r="H14" s="21"/>
      <c r="I14" s="1"/>
      <c r="J14" s="22"/>
      <c r="K14" s="22"/>
      <c r="L14" s="1"/>
      <c r="M14" s="1"/>
      <c r="N14" s="23"/>
      <c r="O14" s="23"/>
      <c r="P14" s="1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8"/>
      <c r="B15" s="24" t="s">
        <v>12</v>
      </c>
      <c r="C15" s="15" t="s">
        <v>13</v>
      </c>
      <c r="D15" s="15"/>
      <c r="E15" s="15"/>
      <c r="F15" s="15"/>
      <c r="G15" s="25" t="s">
        <v>14</v>
      </c>
      <c r="H15" s="26" t="s">
        <v>15</v>
      </c>
      <c r="I15" s="1"/>
      <c r="J15" s="27"/>
      <c r="K15" s="27"/>
      <c r="L15" s="1"/>
      <c r="M15" s="1"/>
      <c r="N15" s="23"/>
      <c r="O15" s="23"/>
      <c r="P15" s="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thickBot="1" x14ac:dyDescent="0.35">
      <c r="A16" s="15"/>
      <c r="B16" s="28"/>
      <c r="C16" s="15"/>
      <c r="D16" s="15"/>
      <c r="E16" s="15"/>
      <c r="F16" s="15"/>
      <c r="G16" s="29"/>
      <c r="H16" s="30"/>
      <c r="I16" s="1"/>
      <c r="J16" s="27"/>
      <c r="K16" s="27"/>
      <c r="L16" s="1"/>
      <c r="M16" s="1"/>
      <c r="N16" s="23"/>
      <c r="O16" s="23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9.25" customHeight="1" x14ac:dyDescent="0.3">
      <c r="A17" s="15"/>
      <c r="B17" s="31" t="s">
        <v>16</v>
      </c>
      <c r="C17" s="188" t="s">
        <v>17</v>
      </c>
      <c r="D17" s="184"/>
      <c r="E17" s="185"/>
      <c r="F17" s="32"/>
      <c r="G17" s="33">
        <v>39.56</v>
      </c>
      <c r="H17" s="34">
        <v>39.56</v>
      </c>
      <c r="I17" s="1"/>
      <c r="J17" s="35"/>
      <c r="K17" s="35"/>
      <c r="L17" s="1"/>
      <c r="M17" s="1"/>
      <c r="N17" s="15"/>
      <c r="O17" s="15"/>
      <c r="P17" s="1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2.25" customHeight="1" x14ac:dyDescent="0.3">
      <c r="A18" s="15"/>
      <c r="B18" s="31" t="s">
        <v>18</v>
      </c>
      <c r="C18" s="188" t="s">
        <v>19</v>
      </c>
      <c r="D18" s="184"/>
      <c r="E18" s="185"/>
      <c r="F18" s="36"/>
      <c r="G18" s="37">
        <v>73.94</v>
      </c>
      <c r="H18" s="38">
        <v>73.94</v>
      </c>
      <c r="I18" s="1"/>
      <c r="J18" s="35"/>
      <c r="K18" s="35"/>
      <c r="L18" s="1"/>
      <c r="M18" s="1"/>
      <c r="N18" s="15"/>
      <c r="O18" s="15"/>
      <c r="P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5"/>
      <c r="B19" s="31" t="s">
        <v>20</v>
      </c>
      <c r="C19" s="189"/>
      <c r="D19" s="184"/>
      <c r="E19" s="185"/>
      <c r="F19" s="36"/>
      <c r="G19" s="39"/>
      <c r="H19" s="38">
        <v>1</v>
      </c>
      <c r="I19" s="1"/>
      <c r="J19" s="40"/>
      <c r="K19" s="35"/>
      <c r="L19" s="1"/>
      <c r="M19" s="1"/>
      <c r="N19" s="15"/>
      <c r="O19" s="15"/>
      <c r="P19" s="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0.5" customHeight="1" x14ac:dyDescent="0.3">
      <c r="A20" s="15"/>
      <c r="B20" s="41" t="s">
        <v>21</v>
      </c>
      <c r="C20" s="188" t="s">
        <v>22</v>
      </c>
      <c r="D20" s="184"/>
      <c r="E20" s="185"/>
      <c r="F20" s="36"/>
      <c r="G20" s="42"/>
      <c r="H20" s="43">
        <f>SUM(H17:H19)</f>
        <v>114.5</v>
      </c>
      <c r="I20" s="1"/>
      <c r="J20" s="44"/>
      <c r="K20" s="44"/>
      <c r="L20" s="1"/>
      <c r="M20" s="1"/>
      <c r="N20" s="15"/>
      <c r="O20" s="15"/>
      <c r="P20" s="1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thickBo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5"/>
      <c r="N21" s="15"/>
      <c r="O21" s="15"/>
      <c r="P21" s="1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outlineLevel="1" x14ac:dyDescent="0.3">
      <c r="A23" s="18" t="s">
        <v>23</v>
      </c>
      <c r="B23" s="19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outlineLevel="1" x14ac:dyDescent="0.3">
      <c r="A24" s="15"/>
      <c r="B24" s="45" t="s">
        <v>25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 outlineLevel="1" x14ac:dyDescent="0.3">
      <c r="A25" s="15"/>
      <c r="B25" s="4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outlineLevel="1" x14ac:dyDescent="0.3">
      <c r="A26" s="15"/>
      <c r="B26" s="46" t="s">
        <v>26</v>
      </c>
      <c r="C26" s="1"/>
      <c r="D26" s="1"/>
      <c r="E26" s="47"/>
      <c r="F26" s="48"/>
      <c r="G26" s="183" t="s">
        <v>27</v>
      </c>
      <c r="H26" s="184"/>
      <c r="I26" s="184"/>
      <c r="J26" s="184"/>
      <c r="K26" s="184"/>
      <c r="L26" s="185"/>
      <c r="M26" s="15"/>
      <c r="N26" s="15"/>
      <c r="O26" s="15"/>
      <c r="P26" s="1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 outlineLevel="1" x14ac:dyDescent="0.3">
      <c r="A27" s="15"/>
      <c r="B27" s="49" t="s">
        <v>28</v>
      </c>
      <c r="C27" s="50"/>
      <c r="D27" s="50" t="s">
        <v>29</v>
      </c>
      <c r="E27" s="51" t="s">
        <v>30</v>
      </c>
      <c r="F27" s="50"/>
      <c r="G27" s="50"/>
      <c r="H27" s="50"/>
      <c r="I27" s="50"/>
      <c r="J27" s="50"/>
      <c r="K27" s="50"/>
      <c r="L27" s="50"/>
      <c r="M27" s="15"/>
      <c r="N27" s="15"/>
      <c r="O27" s="15"/>
      <c r="P27" s="1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2.75" customHeight="1" outlineLevel="1" x14ac:dyDescent="0.3">
      <c r="A28" s="15"/>
      <c r="B28" s="52" t="s">
        <v>31</v>
      </c>
      <c r="C28" s="53" t="s">
        <v>32</v>
      </c>
      <c r="D28" s="53" t="s">
        <v>33</v>
      </c>
      <c r="E28" s="54" t="s">
        <v>33</v>
      </c>
      <c r="F28" s="55" t="s">
        <v>34</v>
      </c>
      <c r="G28" s="55"/>
      <c r="H28" s="55" t="s">
        <v>35</v>
      </c>
      <c r="I28" s="55" t="s">
        <v>36</v>
      </c>
      <c r="J28" s="55" t="s">
        <v>37</v>
      </c>
      <c r="K28" s="55" t="s">
        <v>38</v>
      </c>
      <c r="L28" s="53" t="s">
        <v>39</v>
      </c>
      <c r="M28" s="15"/>
      <c r="N28" s="15"/>
      <c r="O28" s="15"/>
      <c r="P28" s="1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outlineLevel="1" x14ac:dyDescent="0.3">
      <c r="A29" s="15"/>
      <c r="B29" s="56" t="s">
        <v>40</v>
      </c>
      <c r="C29" s="57" t="s">
        <v>41</v>
      </c>
      <c r="D29" s="57">
        <v>4006</v>
      </c>
      <c r="E29" s="58">
        <v>4705</v>
      </c>
      <c r="F29" s="59"/>
      <c r="G29" s="60"/>
      <c r="H29" s="59">
        <v>25472498.16</v>
      </c>
      <c r="I29" s="59">
        <v>2778294421.6799998</v>
      </c>
      <c r="J29" s="61">
        <f t="shared" ref="J29:J39" si="0">+$G$17/1000</f>
        <v>3.9560000000000005E-2</v>
      </c>
      <c r="K29" s="61">
        <f t="shared" ref="K29:K39" si="1">+$H$20/1000</f>
        <v>0.1145</v>
      </c>
      <c r="L29" s="62">
        <f t="shared" ref="L29:L39" si="2">(+F29+H29)*J29+(I29*K29)</f>
        <v>319122403.3095696</v>
      </c>
      <c r="M29" s="15"/>
      <c r="N29" s="15"/>
      <c r="O29" s="15"/>
      <c r="P29" s="1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 outlineLevel="1" x14ac:dyDescent="0.3">
      <c r="A30" s="15"/>
      <c r="B30" s="56" t="s">
        <v>42</v>
      </c>
      <c r="C30" s="57" t="s">
        <v>41</v>
      </c>
      <c r="D30" s="57">
        <v>4010</v>
      </c>
      <c r="E30" s="58">
        <v>4705</v>
      </c>
      <c r="F30" s="59"/>
      <c r="G30" s="60"/>
      <c r="H30" s="59">
        <v>108568736.13</v>
      </c>
      <c r="I30" s="59">
        <v>637853001.78999996</v>
      </c>
      <c r="J30" s="61">
        <f t="shared" si="0"/>
        <v>3.9560000000000005E-2</v>
      </c>
      <c r="K30" s="61">
        <f t="shared" si="1"/>
        <v>0.1145</v>
      </c>
      <c r="L30" s="62">
        <f t="shared" si="2"/>
        <v>77329147.906257793</v>
      </c>
      <c r="M30" s="15"/>
      <c r="N30" s="15"/>
      <c r="O30" s="15"/>
      <c r="P30" s="1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 outlineLevel="1" x14ac:dyDescent="0.3">
      <c r="A31" s="15"/>
      <c r="B31" s="56" t="s">
        <v>43</v>
      </c>
      <c r="C31" s="57" t="s">
        <v>41</v>
      </c>
      <c r="D31" s="57">
        <v>4035</v>
      </c>
      <c r="E31" s="58">
        <v>4705</v>
      </c>
      <c r="F31" s="59">
        <v>411684059.44999999</v>
      </c>
      <c r="G31" s="60"/>
      <c r="H31" s="59">
        <v>2128852191.1800001</v>
      </c>
      <c r="I31" s="59">
        <v>336034213.49000001</v>
      </c>
      <c r="J31" s="61">
        <f t="shared" si="0"/>
        <v>3.9560000000000005E-2</v>
      </c>
      <c r="K31" s="61">
        <f t="shared" si="1"/>
        <v>0.1145</v>
      </c>
      <c r="L31" s="62">
        <f t="shared" si="2"/>
        <v>138979531.51952782</v>
      </c>
      <c r="M31" s="15"/>
      <c r="N31" s="15"/>
      <c r="O31" s="15"/>
      <c r="P31" s="1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customHeight="1" outlineLevel="1" x14ac:dyDescent="0.3">
      <c r="A32" s="15"/>
      <c r="B32" s="56" t="s">
        <v>44</v>
      </c>
      <c r="C32" s="57" t="s">
        <v>41</v>
      </c>
      <c r="D32" s="57">
        <v>4010</v>
      </c>
      <c r="E32" s="58">
        <v>4705</v>
      </c>
      <c r="F32" s="59">
        <v>554004440.13999999</v>
      </c>
      <c r="G32" s="60"/>
      <c r="H32" s="59">
        <v>146723323.13999999</v>
      </c>
      <c r="I32" s="59">
        <v>0</v>
      </c>
      <c r="J32" s="61">
        <f t="shared" si="0"/>
        <v>3.9560000000000005E-2</v>
      </c>
      <c r="K32" s="61">
        <f t="shared" si="1"/>
        <v>0.1145</v>
      </c>
      <c r="L32" s="62">
        <f t="shared" si="2"/>
        <v>27720790.315356802</v>
      </c>
      <c r="M32" s="15"/>
      <c r="N32" s="15"/>
      <c r="O32" s="15"/>
      <c r="P32" s="1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 outlineLevel="1" x14ac:dyDescent="0.3">
      <c r="A33" s="15"/>
      <c r="B33" s="56" t="s">
        <v>45</v>
      </c>
      <c r="C33" s="57" t="s">
        <v>41</v>
      </c>
      <c r="D33" s="57">
        <v>4025</v>
      </c>
      <c r="E33" s="58">
        <v>4705</v>
      </c>
      <c r="F33" s="59">
        <v>661117828.12</v>
      </c>
      <c r="G33" s="60"/>
      <c r="H33" s="59">
        <v>63241311.390000001</v>
      </c>
      <c r="I33" s="59">
        <v>0</v>
      </c>
      <c r="J33" s="61">
        <f t="shared" si="0"/>
        <v>3.9560000000000005E-2</v>
      </c>
      <c r="K33" s="61">
        <f t="shared" si="1"/>
        <v>0.1145</v>
      </c>
      <c r="L33" s="62">
        <f t="shared" si="2"/>
        <v>28655647.559015602</v>
      </c>
      <c r="M33" s="15"/>
      <c r="N33" s="15"/>
      <c r="O33" s="15"/>
      <c r="P33" s="1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 outlineLevel="1" x14ac:dyDescent="0.3">
      <c r="A34" s="15"/>
      <c r="B34" s="56" t="s">
        <v>46</v>
      </c>
      <c r="C34" s="57" t="s">
        <v>41</v>
      </c>
      <c r="D34" s="57">
        <v>4025</v>
      </c>
      <c r="E34" s="58">
        <v>4705</v>
      </c>
      <c r="F34" s="59"/>
      <c r="G34" s="60"/>
      <c r="H34" s="59">
        <v>23097019.649999999</v>
      </c>
      <c r="I34" s="59">
        <v>0</v>
      </c>
      <c r="J34" s="61">
        <f t="shared" si="0"/>
        <v>3.9560000000000005E-2</v>
      </c>
      <c r="K34" s="61">
        <f t="shared" si="1"/>
        <v>0.1145</v>
      </c>
      <c r="L34" s="62">
        <f t="shared" si="2"/>
        <v>913718.09735400009</v>
      </c>
      <c r="M34" s="15"/>
      <c r="N34" s="15"/>
      <c r="O34" s="15"/>
      <c r="P34" s="1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 outlineLevel="1" x14ac:dyDescent="0.3">
      <c r="A35" s="15"/>
      <c r="B35" s="56" t="s">
        <v>47</v>
      </c>
      <c r="C35" s="57" t="s">
        <v>41</v>
      </c>
      <c r="D35" s="57">
        <v>4025</v>
      </c>
      <c r="E35" s="58">
        <v>4705</v>
      </c>
      <c r="F35" s="59"/>
      <c r="G35" s="60"/>
      <c r="H35" s="59">
        <v>0</v>
      </c>
      <c r="I35" s="59">
        <v>38943.370000000003</v>
      </c>
      <c r="J35" s="61">
        <f t="shared" si="0"/>
        <v>3.9560000000000005E-2</v>
      </c>
      <c r="K35" s="61">
        <f t="shared" si="1"/>
        <v>0.1145</v>
      </c>
      <c r="L35" s="62">
        <f t="shared" si="2"/>
        <v>4459.0158650000003</v>
      </c>
      <c r="M35" s="15"/>
      <c r="N35" s="15"/>
      <c r="O35" s="15"/>
      <c r="P35" s="1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 outlineLevel="1" x14ac:dyDescent="0.3">
      <c r="A36" s="15"/>
      <c r="B36" s="56" t="s">
        <v>48</v>
      </c>
      <c r="C36" s="57" t="s">
        <v>41</v>
      </c>
      <c r="D36" s="57">
        <v>4025</v>
      </c>
      <c r="E36" s="58">
        <v>4705</v>
      </c>
      <c r="F36" s="59"/>
      <c r="G36" s="60"/>
      <c r="H36" s="59">
        <v>0</v>
      </c>
      <c r="I36" s="59">
        <v>15201535.66</v>
      </c>
      <c r="J36" s="61">
        <f t="shared" si="0"/>
        <v>3.9560000000000005E-2</v>
      </c>
      <c r="K36" s="61">
        <f t="shared" si="1"/>
        <v>0.1145</v>
      </c>
      <c r="L36" s="62">
        <f t="shared" si="2"/>
        <v>1740575.8330700002</v>
      </c>
      <c r="M36" s="15"/>
      <c r="N36" s="15"/>
      <c r="O36" s="15"/>
      <c r="P36" s="1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 outlineLevel="1" x14ac:dyDescent="0.3">
      <c r="A37" s="15"/>
      <c r="B37" s="56" t="s">
        <v>49</v>
      </c>
      <c r="C37" s="57" t="s">
        <v>41</v>
      </c>
      <c r="D37" s="57">
        <v>4025</v>
      </c>
      <c r="E37" s="58">
        <v>4705</v>
      </c>
      <c r="F37" s="59"/>
      <c r="G37" s="60"/>
      <c r="H37" s="59">
        <v>6931149.8799999999</v>
      </c>
      <c r="I37" s="59">
        <v>0</v>
      </c>
      <c r="J37" s="61">
        <f t="shared" si="0"/>
        <v>3.9560000000000005E-2</v>
      </c>
      <c r="K37" s="61">
        <f t="shared" si="1"/>
        <v>0.1145</v>
      </c>
      <c r="L37" s="62">
        <f t="shared" si="2"/>
        <v>274196.28925280005</v>
      </c>
      <c r="M37" s="15"/>
      <c r="N37" s="15"/>
      <c r="O37" s="15"/>
      <c r="P37" s="1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outlineLevel="1" x14ac:dyDescent="0.3">
      <c r="A38" s="15"/>
      <c r="B38" s="56"/>
      <c r="C38" s="57" t="s">
        <v>41</v>
      </c>
      <c r="D38" s="57">
        <v>4025</v>
      </c>
      <c r="E38" s="58">
        <v>4705</v>
      </c>
      <c r="F38" s="59"/>
      <c r="G38" s="60"/>
      <c r="H38" s="59">
        <v>0</v>
      </c>
      <c r="I38" s="59">
        <v>0</v>
      </c>
      <c r="J38" s="61">
        <f t="shared" si="0"/>
        <v>3.9560000000000005E-2</v>
      </c>
      <c r="K38" s="61">
        <f t="shared" si="1"/>
        <v>0.1145</v>
      </c>
      <c r="L38" s="62">
        <f t="shared" si="2"/>
        <v>0</v>
      </c>
      <c r="M38" s="15"/>
      <c r="N38" s="15"/>
      <c r="O38" s="15"/>
      <c r="P38" s="1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 outlineLevel="1" x14ac:dyDescent="0.3">
      <c r="A39" s="15"/>
      <c r="B39" s="52"/>
      <c r="C39" s="57" t="s">
        <v>41</v>
      </c>
      <c r="D39" s="57">
        <v>4025</v>
      </c>
      <c r="E39" s="58">
        <v>4705</v>
      </c>
      <c r="F39" s="59"/>
      <c r="G39" s="60"/>
      <c r="H39" s="59"/>
      <c r="I39" s="59"/>
      <c r="J39" s="61">
        <f t="shared" si="0"/>
        <v>3.9560000000000005E-2</v>
      </c>
      <c r="K39" s="61">
        <f t="shared" si="1"/>
        <v>0.1145</v>
      </c>
      <c r="L39" s="62">
        <f t="shared" si="2"/>
        <v>0</v>
      </c>
      <c r="M39" s="15"/>
      <c r="N39" s="15"/>
      <c r="O39" s="15"/>
      <c r="P39" s="1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 outlineLevel="1" x14ac:dyDescent="0.3">
      <c r="A40" s="15"/>
      <c r="B40" s="52" t="str">
        <f t="shared" ref="B40" si="3">IF(B25="","",B25)</f>
        <v/>
      </c>
      <c r="C40" s="63"/>
      <c r="D40" s="50"/>
      <c r="E40" s="51"/>
      <c r="F40" s="64"/>
      <c r="G40" s="65"/>
      <c r="H40" s="64"/>
      <c r="I40" s="66"/>
      <c r="J40" s="66"/>
      <c r="K40" s="64"/>
      <c r="L40" s="67">
        <f>ROUND(SUM(L29:L39),2)</f>
        <v>594740469.85000002</v>
      </c>
      <c r="M40" s="15"/>
      <c r="N40" s="15"/>
      <c r="O40" s="15"/>
      <c r="P40" s="1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outlineLevel="1" x14ac:dyDescent="0.3">
      <c r="A41" s="15"/>
      <c r="B41" s="4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outlineLevel="1" x14ac:dyDescent="0.3">
      <c r="A42" s="15"/>
      <c r="B42" s="28"/>
      <c r="C42" s="15"/>
      <c r="D42" s="15"/>
      <c r="E42" s="15"/>
      <c r="F42" s="68"/>
      <c r="G42" s="68"/>
      <c r="H42" s="15"/>
      <c r="I42" s="15"/>
      <c r="J42" s="15"/>
      <c r="K42" s="15"/>
      <c r="L42" s="15"/>
      <c r="M42" s="15"/>
      <c r="N42" s="15"/>
      <c r="O42" s="15"/>
      <c r="P42" s="1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outlineLevel="1" x14ac:dyDescent="0.3">
      <c r="A43" s="15"/>
      <c r="B43" s="46" t="s">
        <v>50</v>
      </c>
      <c r="C43" s="1"/>
      <c r="D43" s="1"/>
      <c r="E43" s="47"/>
      <c r="F43" s="69"/>
      <c r="G43" s="183">
        <v>2030</v>
      </c>
      <c r="H43" s="184"/>
      <c r="I43" s="184"/>
      <c r="J43" s="184"/>
      <c r="K43" s="184"/>
      <c r="L43" s="185"/>
      <c r="M43" s="15"/>
      <c r="N43" s="15"/>
      <c r="O43" s="15"/>
      <c r="P43" s="1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outlineLevel="1" x14ac:dyDescent="0.3">
      <c r="A44" s="15"/>
      <c r="B44" s="49" t="s">
        <v>28</v>
      </c>
      <c r="C44" s="53"/>
      <c r="D44" s="50" t="s">
        <v>29</v>
      </c>
      <c r="E44" s="51" t="s">
        <v>30</v>
      </c>
      <c r="F44" s="70"/>
      <c r="G44" s="71" t="s">
        <v>51</v>
      </c>
      <c r="H44" s="72"/>
      <c r="I44" s="72"/>
      <c r="J44" s="73"/>
      <c r="K44" s="74" t="s">
        <v>52</v>
      </c>
      <c r="L44" s="75" t="s">
        <v>39</v>
      </c>
      <c r="M44" s="15"/>
      <c r="N44" s="15"/>
      <c r="O44" s="15"/>
      <c r="P44" s="1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outlineLevel="1" x14ac:dyDescent="0.3">
      <c r="A45" s="15"/>
      <c r="B45" s="56" t="s">
        <v>43</v>
      </c>
      <c r="C45" s="57"/>
      <c r="D45" s="57">
        <v>4035</v>
      </c>
      <c r="E45" s="58">
        <v>4707</v>
      </c>
      <c r="F45" s="76"/>
      <c r="G45" s="77">
        <f t="shared" ref="G45:G47" si="4">F31</f>
        <v>411684059.44999999</v>
      </c>
      <c r="H45" s="72"/>
      <c r="I45" s="72"/>
      <c r="J45" s="78"/>
      <c r="K45" s="79">
        <v>5.91E-2</v>
      </c>
      <c r="L45" s="62">
        <f t="shared" ref="L45:L49" si="5">+K45*G45</f>
        <v>24330527.913495</v>
      </c>
      <c r="M45" s="15"/>
      <c r="N45" s="15"/>
      <c r="O45" s="15"/>
      <c r="P45" s="1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outlineLevel="1" x14ac:dyDescent="0.3">
      <c r="A46" s="15"/>
      <c r="B46" s="56" t="s">
        <v>44</v>
      </c>
      <c r="C46" s="57"/>
      <c r="D46" s="57">
        <v>4010</v>
      </c>
      <c r="E46" s="58">
        <v>4707</v>
      </c>
      <c r="F46" s="76"/>
      <c r="G46" s="77">
        <f t="shared" si="4"/>
        <v>554004440.13999999</v>
      </c>
      <c r="H46" s="72"/>
      <c r="I46" s="72"/>
      <c r="J46" s="78"/>
      <c r="K46" s="56">
        <v>5.91E-2</v>
      </c>
      <c r="L46" s="62">
        <f t="shared" si="5"/>
        <v>32741662.412273999</v>
      </c>
      <c r="M46" s="15"/>
      <c r="N46" s="15"/>
      <c r="O46" s="15"/>
      <c r="P46" s="1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 outlineLevel="1" x14ac:dyDescent="0.3">
      <c r="A47" s="15"/>
      <c r="B47" s="56" t="s">
        <v>45</v>
      </c>
      <c r="C47" s="57"/>
      <c r="D47" s="57">
        <v>4010</v>
      </c>
      <c r="E47" s="58">
        <v>4707</v>
      </c>
      <c r="F47" s="76"/>
      <c r="G47" s="77">
        <f t="shared" si="4"/>
        <v>661117828.12</v>
      </c>
      <c r="H47" s="72"/>
      <c r="I47" s="72"/>
      <c r="J47" s="78"/>
      <c r="K47" s="56">
        <v>5.91E-2</v>
      </c>
      <c r="L47" s="62">
        <f t="shared" si="5"/>
        <v>39072063.641892001</v>
      </c>
      <c r="M47" s="15"/>
      <c r="N47" s="15"/>
      <c r="O47" s="15"/>
      <c r="P47" s="1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customHeight="1" outlineLevel="1" x14ac:dyDescent="0.3">
      <c r="A48" s="15"/>
      <c r="B48" s="56"/>
      <c r="C48" s="57"/>
      <c r="D48" s="57">
        <v>4010</v>
      </c>
      <c r="E48" s="58">
        <v>4707</v>
      </c>
      <c r="F48" s="76"/>
      <c r="G48" s="77"/>
      <c r="H48" s="72"/>
      <c r="I48" s="72"/>
      <c r="J48" s="78"/>
      <c r="K48" s="56"/>
      <c r="L48" s="62">
        <f t="shared" si="5"/>
        <v>0</v>
      </c>
      <c r="M48" s="15"/>
      <c r="N48" s="15"/>
      <c r="O48" s="15"/>
      <c r="P48" s="15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 outlineLevel="1" x14ac:dyDescent="0.3">
      <c r="A49" s="15"/>
      <c r="B49" s="56"/>
      <c r="C49" s="57"/>
      <c r="D49" s="57">
        <v>4010</v>
      </c>
      <c r="E49" s="58">
        <v>4707</v>
      </c>
      <c r="F49" s="76"/>
      <c r="G49" s="77"/>
      <c r="H49" s="72"/>
      <c r="I49" s="72"/>
      <c r="J49" s="80"/>
      <c r="K49" s="56"/>
      <c r="L49" s="62">
        <f t="shared" si="5"/>
        <v>0</v>
      </c>
      <c r="M49" s="15"/>
      <c r="N49" s="15"/>
      <c r="O49" s="15"/>
      <c r="P49" s="1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 outlineLevel="1" x14ac:dyDescent="0.3">
      <c r="A50" s="15"/>
      <c r="B50" s="1"/>
      <c r="C50" s="1"/>
      <c r="D50" s="1"/>
      <c r="E50" s="1"/>
      <c r="F50" s="81">
        <f>+F45+F46</f>
        <v>0</v>
      </c>
      <c r="G50" s="82">
        <f>SUM(G45:G49)</f>
        <v>1626806327.71</v>
      </c>
      <c r="H50" s="72"/>
      <c r="I50" s="72"/>
      <c r="J50" s="83"/>
      <c r="K50" s="84"/>
      <c r="L50" s="85">
        <f>SUM(L45:L49)</f>
        <v>96144253.967660993</v>
      </c>
      <c r="M50" s="15"/>
      <c r="N50" s="15"/>
      <c r="O50" s="15"/>
      <c r="P50" s="15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 outlineLevel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outlineLevel="1" x14ac:dyDescent="0.3">
      <c r="A52" s="1"/>
      <c r="B52" s="46" t="s">
        <v>53</v>
      </c>
      <c r="C52" s="1"/>
      <c r="D52" s="1"/>
      <c r="E52" s="47"/>
      <c r="F52" s="48"/>
      <c r="G52" s="183">
        <f>G43</f>
        <v>2030</v>
      </c>
      <c r="H52" s="184"/>
      <c r="I52" s="184"/>
      <c r="J52" s="184"/>
      <c r="K52" s="184"/>
      <c r="L52" s="18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 outlineLevel="1" x14ac:dyDescent="0.3">
      <c r="A53" s="86"/>
      <c r="B53" s="49" t="s">
        <v>28</v>
      </c>
      <c r="C53" s="50"/>
      <c r="D53" s="50" t="s">
        <v>29</v>
      </c>
      <c r="E53" s="51" t="s">
        <v>30</v>
      </c>
      <c r="F53" s="50"/>
      <c r="G53" s="50"/>
      <c r="H53" s="50"/>
      <c r="I53" s="50"/>
      <c r="J53" s="50"/>
      <c r="K53" s="50"/>
      <c r="L53" s="53" t="s">
        <v>39</v>
      </c>
      <c r="M53" s="86"/>
      <c r="N53" s="86"/>
      <c r="O53" s="86"/>
      <c r="P53" s="86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0.75" customHeight="1" outlineLevel="1" x14ac:dyDescent="0.3">
      <c r="A54" s="1"/>
      <c r="B54" s="52" t="s">
        <v>31</v>
      </c>
      <c r="C54" s="53" t="s">
        <v>32</v>
      </c>
      <c r="D54" s="53" t="s">
        <v>33</v>
      </c>
      <c r="E54" s="53" t="s">
        <v>33</v>
      </c>
      <c r="F54" s="87"/>
      <c r="G54" s="87"/>
      <c r="H54" s="55" t="s">
        <v>54</v>
      </c>
      <c r="I54" s="88"/>
      <c r="J54" s="88"/>
      <c r="K54" s="87" t="s">
        <v>55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 outlineLevel="1" x14ac:dyDescent="0.3">
      <c r="A55" s="1"/>
      <c r="B55" s="89" t="str">
        <f t="shared" ref="B55:B65" si="6">IF(B29=0,"",B29)</f>
        <v>RESIDENTIAL</v>
      </c>
      <c r="C55" s="57" t="s">
        <v>41</v>
      </c>
      <c r="D55" s="57">
        <v>4006</v>
      </c>
      <c r="E55" s="57">
        <v>4707</v>
      </c>
      <c r="F55" s="90"/>
      <c r="G55" s="90"/>
      <c r="H55" s="91">
        <f t="shared" ref="H55:H65" si="7">+H29</f>
        <v>25472498.16</v>
      </c>
      <c r="I55" s="90"/>
      <c r="J55" s="90"/>
      <c r="K55" s="92">
        <f t="shared" ref="K55:K65" si="8">+$G$18/1000</f>
        <v>7.3939999999999992E-2</v>
      </c>
      <c r="L55" s="62">
        <f t="shared" ref="L55:L65" si="9">+K55*H55</f>
        <v>1883436.5139503998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outlineLevel="1" x14ac:dyDescent="0.3">
      <c r="A56" s="1"/>
      <c r="B56" s="89" t="str">
        <f t="shared" si="6"/>
        <v>GENERAL SERVICE &lt;50KW</v>
      </c>
      <c r="C56" s="57" t="s">
        <v>41</v>
      </c>
      <c r="D56" s="57">
        <v>4010</v>
      </c>
      <c r="E56" s="57">
        <v>4707</v>
      </c>
      <c r="F56" s="90"/>
      <c r="G56" s="90"/>
      <c r="H56" s="91">
        <f t="shared" si="7"/>
        <v>108568736.13</v>
      </c>
      <c r="I56" s="90"/>
      <c r="J56" s="90"/>
      <c r="K56" s="92">
        <f t="shared" si="8"/>
        <v>7.3939999999999992E-2</v>
      </c>
      <c r="L56" s="62">
        <f t="shared" si="9"/>
        <v>8027572.3494521985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 outlineLevel="1" x14ac:dyDescent="0.3">
      <c r="A57" s="1"/>
      <c r="B57" s="89" t="str">
        <f t="shared" si="6"/>
        <v>GENERAL SERVICE 1000-1500KW</v>
      </c>
      <c r="C57" s="57" t="s">
        <v>41</v>
      </c>
      <c r="D57" s="57">
        <v>4035</v>
      </c>
      <c r="E57" s="57">
        <v>4707</v>
      </c>
      <c r="F57" s="90"/>
      <c r="G57" s="90"/>
      <c r="H57" s="91">
        <f t="shared" si="7"/>
        <v>2128852191.1800001</v>
      </c>
      <c r="I57" s="90"/>
      <c r="J57" s="90"/>
      <c r="K57" s="92">
        <f t="shared" si="8"/>
        <v>7.3939999999999992E-2</v>
      </c>
      <c r="L57" s="62">
        <f t="shared" si="9"/>
        <v>157407331.01584917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 outlineLevel="1" x14ac:dyDescent="0.3">
      <c r="A58" s="1"/>
      <c r="B58" s="89" t="str">
        <f t="shared" si="6"/>
        <v>GENERAL SERVICE 1500-5000 KW</v>
      </c>
      <c r="C58" s="57" t="s">
        <v>41</v>
      </c>
      <c r="D58" s="57">
        <v>4010</v>
      </c>
      <c r="E58" s="57">
        <v>4707</v>
      </c>
      <c r="F58" s="90"/>
      <c r="G58" s="90"/>
      <c r="H58" s="91">
        <f t="shared" si="7"/>
        <v>146723323.13999999</v>
      </c>
      <c r="I58" s="90"/>
      <c r="J58" s="90"/>
      <c r="K58" s="92">
        <f t="shared" si="8"/>
        <v>7.3939999999999992E-2</v>
      </c>
      <c r="L58" s="62">
        <f t="shared" si="9"/>
        <v>10848722.512971599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 outlineLevel="1" x14ac:dyDescent="0.3">
      <c r="A59" s="1"/>
      <c r="B59" s="89" t="str">
        <f t="shared" si="6"/>
        <v>LARGE USER</v>
      </c>
      <c r="C59" s="57" t="s">
        <v>41</v>
      </c>
      <c r="D59" s="57">
        <v>4025</v>
      </c>
      <c r="E59" s="57">
        <v>4707</v>
      </c>
      <c r="F59" s="90"/>
      <c r="G59" s="90"/>
      <c r="H59" s="91">
        <f t="shared" si="7"/>
        <v>63241311.390000001</v>
      </c>
      <c r="I59" s="90"/>
      <c r="J59" s="90"/>
      <c r="K59" s="92">
        <f t="shared" si="8"/>
        <v>7.3939999999999992E-2</v>
      </c>
      <c r="L59" s="62">
        <f t="shared" si="9"/>
        <v>4676062.5641765995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 outlineLevel="1" x14ac:dyDescent="0.3">
      <c r="A60" s="1"/>
      <c r="B60" s="89" t="str">
        <f t="shared" si="6"/>
        <v>STREETLIGHTING</v>
      </c>
      <c r="C60" s="57" t="s">
        <v>41</v>
      </c>
      <c r="D60" s="57">
        <v>4025</v>
      </c>
      <c r="E60" s="57">
        <v>4707</v>
      </c>
      <c r="F60" s="90"/>
      <c r="G60" s="90"/>
      <c r="H60" s="91">
        <f t="shared" si="7"/>
        <v>23097019.649999999</v>
      </c>
      <c r="I60" s="90"/>
      <c r="J60" s="90"/>
      <c r="K60" s="92">
        <f t="shared" si="8"/>
        <v>7.3939999999999992E-2</v>
      </c>
      <c r="L60" s="62">
        <f t="shared" si="9"/>
        <v>1707793.6329209998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 outlineLevel="1" x14ac:dyDescent="0.3">
      <c r="A61" s="1"/>
      <c r="B61" s="89" t="str">
        <f t="shared" si="6"/>
        <v>SENTINEL LIGHTS</v>
      </c>
      <c r="C61" s="57" t="s">
        <v>41</v>
      </c>
      <c r="D61" s="57">
        <v>4025</v>
      </c>
      <c r="E61" s="57">
        <v>4707</v>
      </c>
      <c r="F61" s="90"/>
      <c r="G61" s="90"/>
      <c r="H61" s="91">
        <f t="shared" si="7"/>
        <v>0</v>
      </c>
      <c r="I61" s="90"/>
      <c r="J61" s="90"/>
      <c r="K61" s="92">
        <f t="shared" si="8"/>
        <v>7.3939999999999992E-2</v>
      </c>
      <c r="L61" s="62">
        <f t="shared" si="9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 outlineLevel="1" x14ac:dyDescent="0.3">
      <c r="A62" s="1"/>
      <c r="B62" s="89" t="str">
        <f t="shared" si="6"/>
        <v>UNMETERED SCATTERED LOADS</v>
      </c>
      <c r="C62" s="57" t="s">
        <v>41</v>
      </c>
      <c r="D62" s="57">
        <v>4025</v>
      </c>
      <c r="E62" s="57">
        <v>4707</v>
      </c>
      <c r="F62" s="90"/>
      <c r="G62" s="90"/>
      <c r="H62" s="91">
        <f t="shared" si="7"/>
        <v>0</v>
      </c>
      <c r="I62" s="90"/>
      <c r="J62" s="90"/>
      <c r="K62" s="92">
        <f t="shared" si="8"/>
        <v>7.3939999999999992E-2</v>
      </c>
      <c r="L62" s="62">
        <f t="shared" si="9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 outlineLevel="1" x14ac:dyDescent="0.3">
      <c r="A63" s="1"/>
      <c r="B63" s="89" t="str">
        <f t="shared" si="6"/>
        <v>DRYCORE</v>
      </c>
      <c r="C63" s="57" t="s">
        <v>41</v>
      </c>
      <c r="D63" s="57">
        <v>4025</v>
      </c>
      <c r="E63" s="57">
        <v>4707</v>
      </c>
      <c r="F63" s="90"/>
      <c r="G63" s="90"/>
      <c r="H63" s="91">
        <f t="shared" si="7"/>
        <v>6931149.8799999999</v>
      </c>
      <c r="I63" s="90"/>
      <c r="J63" s="90"/>
      <c r="K63" s="92">
        <f t="shared" si="8"/>
        <v>7.3939999999999992E-2</v>
      </c>
      <c r="L63" s="62">
        <f t="shared" si="9"/>
        <v>512489.22212719993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 outlineLevel="1" x14ac:dyDescent="0.3">
      <c r="A64" s="1"/>
      <c r="B64" s="89" t="str">
        <f t="shared" si="6"/>
        <v/>
      </c>
      <c r="C64" s="57" t="s">
        <v>41</v>
      </c>
      <c r="D64" s="57">
        <v>4025</v>
      </c>
      <c r="E64" s="57">
        <v>4707</v>
      </c>
      <c r="F64" s="90"/>
      <c r="G64" s="90"/>
      <c r="H64" s="91">
        <f t="shared" si="7"/>
        <v>0</v>
      </c>
      <c r="I64" s="90"/>
      <c r="J64" s="90"/>
      <c r="K64" s="92">
        <f t="shared" si="8"/>
        <v>7.3939999999999992E-2</v>
      </c>
      <c r="L64" s="62">
        <f t="shared" si="9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 outlineLevel="1" x14ac:dyDescent="0.3">
      <c r="A65" s="1"/>
      <c r="B65" s="89" t="str">
        <f t="shared" si="6"/>
        <v/>
      </c>
      <c r="C65" s="57" t="s">
        <v>41</v>
      </c>
      <c r="D65" s="57">
        <v>4025</v>
      </c>
      <c r="E65" s="57">
        <v>4707</v>
      </c>
      <c r="F65" s="90"/>
      <c r="G65" s="90"/>
      <c r="H65" s="91">
        <f t="shared" si="7"/>
        <v>0</v>
      </c>
      <c r="I65" s="90"/>
      <c r="J65" s="90"/>
      <c r="K65" s="92">
        <f t="shared" si="8"/>
        <v>7.3939999999999992E-2</v>
      </c>
      <c r="L65" s="62">
        <f t="shared" si="9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 outlineLevel="1" x14ac:dyDescent="0.3">
      <c r="A66" s="1"/>
      <c r="B66" s="89" t="s">
        <v>56</v>
      </c>
      <c r="C66" s="53"/>
      <c r="D66" s="53"/>
      <c r="E66" s="54"/>
      <c r="F66" s="93"/>
      <c r="G66" s="93"/>
      <c r="H66" s="94">
        <f>SUM(H55:H65)</f>
        <v>2502886229.5300002</v>
      </c>
      <c r="I66" s="93"/>
      <c r="J66" s="93"/>
      <c r="K66" s="95"/>
      <c r="L66" s="6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 outlineLevel="1" x14ac:dyDescent="0.3">
      <c r="A67" s="1"/>
      <c r="B67" s="49" t="s">
        <v>57</v>
      </c>
      <c r="C67" s="63"/>
      <c r="D67" s="50"/>
      <c r="E67" s="51"/>
      <c r="F67" s="96"/>
      <c r="G67" s="96"/>
      <c r="H67" s="96"/>
      <c r="I67" s="96"/>
      <c r="J67" s="96"/>
      <c r="K67" s="64"/>
      <c r="L67" s="85">
        <f>SUM(L55:L65)</f>
        <v>185063407.81144819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 outlineLevel="1" x14ac:dyDescent="0.3">
      <c r="A68" s="1"/>
      <c r="B68" s="86"/>
      <c r="C68" s="97"/>
      <c r="D68" s="98"/>
      <c r="E68" s="98"/>
      <c r="F68" s="99"/>
      <c r="G68" s="99"/>
      <c r="H68" s="99"/>
      <c r="I68" s="99"/>
      <c r="J68" s="99"/>
      <c r="K68" s="99"/>
      <c r="L68" s="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 outlineLevel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0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75">
      <c r="A70" s="1" t="s">
        <v>58</v>
      </c>
      <c r="B70" s="1"/>
      <c r="C70" s="1"/>
      <c r="D70" s="1"/>
      <c r="E70" s="1"/>
      <c r="F70" s="101"/>
      <c r="G70" s="101"/>
      <c r="H70" s="101"/>
      <c r="I70" s="101"/>
      <c r="J70" s="101"/>
      <c r="K70" s="10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">
      <c r="A71" s="1" t="s">
        <v>59</v>
      </c>
      <c r="B71" s="1"/>
      <c r="C71" s="1"/>
      <c r="D71" s="1"/>
      <c r="E71" s="1"/>
      <c r="F71" s="1"/>
      <c r="G71" s="102"/>
      <c r="H71" s="102"/>
      <c r="I71" s="102"/>
      <c r="J71" s="102"/>
      <c r="K71" s="10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">
      <c r="A72" s="1" t="s">
        <v>60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8">
    <mergeCell ref="G43:L43"/>
    <mergeCell ref="G52:L52"/>
    <mergeCell ref="B4:I6"/>
    <mergeCell ref="C17:E17"/>
    <mergeCell ref="C18:E18"/>
    <mergeCell ref="C19:E19"/>
    <mergeCell ref="C20:E20"/>
    <mergeCell ref="G26:L26"/>
  </mergeCells>
  <conditionalFormatting sqref="B1">
    <cfRule type="expression" dxfId="0" priority="1" stopIfTrue="1">
      <formula>LEFT($C1,6)="Macros"</formula>
    </cfRule>
  </conditionalFormatting>
  <pageMargins left="0.7" right="0.7" top="0.75" bottom="0.75" header="0" footer="0"/>
  <pageSetup paperSize="5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E2D4-FE47-42CC-BCD2-9846AB95581A}">
  <dimension ref="A1:Z1000"/>
  <sheetViews>
    <sheetView showGridLines="0" workbookViewId="0">
      <selection activeCell="M15" sqref="M15"/>
    </sheetView>
  </sheetViews>
  <sheetFormatPr defaultColWidth="12.5546875" defaultRowHeight="15" customHeight="1" x14ac:dyDescent="0.3"/>
  <cols>
    <col min="1" max="1" width="37" customWidth="1"/>
    <col min="2" max="2" width="12.109375" customWidth="1"/>
    <col min="3" max="3" width="1.5546875" customWidth="1"/>
    <col min="4" max="4" width="23.109375" customWidth="1"/>
    <col min="5" max="5" width="15.109375" customWidth="1"/>
    <col min="6" max="6" width="12.88671875" customWidth="1"/>
    <col min="7" max="7" width="2.109375" customWidth="1"/>
    <col min="8" max="8" width="19.109375" customWidth="1"/>
    <col min="9" max="9" width="11.109375" customWidth="1"/>
    <col min="10" max="10" width="13.109375" customWidth="1"/>
    <col min="11" max="11" width="16.109375" customWidth="1"/>
    <col min="12" max="12" width="12" customWidth="1"/>
    <col min="13" max="13" width="29.5546875" style="178" customWidth="1"/>
    <col min="14" max="15" width="9.109375" style="178" customWidth="1"/>
    <col min="16" max="16" width="8.109375" style="178" bestFit="1" customWidth="1"/>
    <col min="17" max="17" width="10.6640625" style="178" bestFit="1" customWidth="1"/>
    <col min="18" max="18" width="9.109375" style="178" customWidth="1"/>
    <col min="19" max="19" width="11.6640625" style="178" bestFit="1" customWidth="1"/>
    <col min="20" max="20" width="8.109375" style="178" bestFit="1" customWidth="1"/>
    <col min="21" max="21" width="14.5546875" style="178" bestFit="1" customWidth="1"/>
    <col min="22" max="22" width="10.6640625" style="178" bestFit="1" customWidth="1"/>
    <col min="23" max="26" width="9.109375" customWidth="1"/>
  </cols>
  <sheetData>
    <row r="1" spans="1:26" ht="21" x14ac:dyDescent="0.4">
      <c r="A1" s="214" t="s">
        <v>61</v>
      </c>
      <c r="B1" s="187"/>
      <c r="C1" s="187"/>
      <c r="D1" s="187"/>
      <c r="E1" s="187"/>
      <c r="F1" s="187"/>
      <c r="G1" s="187"/>
      <c r="H1" s="187"/>
      <c r="I1" s="187"/>
      <c r="J1" s="187"/>
      <c r="K1" s="1"/>
      <c r="L1" s="1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"/>
      <c r="X1" s="1"/>
      <c r="Y1" s="1"/>
      <c r="Z1" s="1"/>
    </row>
    <row r="2" spans="1:26" ht="14.4" x14ac:dyDescent="0.3">
      <c r="A2" s="103"/>
      <c r="B2" s="103"/>
      <c r="C2" s="103"/>
      <c r="D2" s="103"/>
      <c r="E2" s="103"/>
      <c r="F2" s="103"/>
      <c r="G2" s="103"/>
      <c r="H2" s="103"/>
      <c r="I2" s="103"/>
      <c r="J2" s="4" t="s">
        <v>0</v>
      </c>
      <c r="K2" s="5" t="s">
        <v>1</v>
      </c>
      <c r="L2" s="1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"/>
      <c r="X2" s="1"/>
      <c r="Y2" s="1"/>
      <c r="Z2" s="1"/>
    </row>
    <row r="3" spans="1:26" ht="14.4" x14ac:dyDescent="0.3">
      <c r="A3" s="103"/>
      <c r="B3" s="103"/>
      <c r="C3" s="103"/>
      <c r="D3" s="103"/>
      <c r="E3" s="103"/>
      <c r="F3" s="103"/>
      <c r="G3" s="103"/>
      <c r="H3" s="103"/>
      <c r="I3" s="103"/>
      <c r="J3" s="4" t="s">
        <v>2</v>
      </c>
      <c r="K3" s="5">
        <v>2</v>
      </c>
      <c r="L3" s="1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"/>
      <c r="X3" s="1"/>
      <c r="Y3" s="1"/>
      <c r="Z3" s="1"/>
    </row>
    <row r="4" spans="1:26" ht="14.4" x14ac:dyDescent="0.3">
      <c r="A4" s="103"/>
      <c r="B4" s="103"/>
      <c r="C4" s="103"/>
      <c r="D4" s="103"/>
      <c r="E4" s="103"/>
      <c r="F4" s="103"/>
      <c r="G4" s="103"/>
      <c r="H4" s="103"/>
      <c r="I4" s="103"/>
      <c r="J4" s="4" t="s">
        <v>4</v>
      </c>
      <c r="K4" s="5">
        <v>3</v>
      </c>
      <c r="L4" s="1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"/>
      <c r="X4" s="1"/>
      <c r="Y4" s="1"/>
      <c r="Z4" s="1"/>
    </row>
    <row r="5" spans="1:26" ht="14.4" x14ac:dyDescent="0.3">
      <c r="A5" s="103"/>
      <c r="B5" s="103"/>
      <c r="C5" s="103"/>
      <c r="D5" s="103"/>
      <c r="E5" s="103"/>
      <c r="F5" s="103"/>
      <c r="G5" s="103"/>
      <c r="H5" s="103"/>
      <c r="I5" s="103"/>
      <c r="J5" s="4" t="s">
        <v>5</v>
      </c>
      <c r="K5" s="5">
        <v>1</v>
      </c>
      <c r="L5" s="1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"/>
      <c r="X5" s="1"/>
      <c r="Y5" s="1"/>
      <c r="Z5" s="1"/>
    </row>
    <row r="6" spans="1:26" ht="14.4" x14ac:dyDescent="0.3">
      <c r="A6" s="103"/>
      <c r="B6" s="103"/>
      <c r="C6" s="103"/>
      <c r="D6" s="103"/>
      <c r="E6" s="103"/>
      <c r="F6" s="103"/>
      <c r="G6" s="103"/>
      <c r="H6" s="103"/>
      <c r="I6" s="103"/>
      <c r="J6" s="4" t="s">
        <v>6</v>
      </c>
      <c r="K6" s="5" t="s">
        <v>7</v>
      </c>
      <c r="L6" s="1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"/>
      <c r="X6" s="1"/>
      <c r="Y6" s="1"/>
      <c r="Z6" s="1"/>
    </row>
    <row r="7" spans="1:26" ht="14.4" x14ac:dyDescent="0.3">
      <c r="A7" s="1" t="s">
        <v>62</v>
      </c>
      <c r="B7" s="1"/>
      <c r="C7" s="1"/>
      <c r="D7" s="1"/>
      <c r="E7" s="1"/>
      <c r="F7" s="1"/>
      <c r="G7" s="1"/>
      <c r="H7" s="1"/>
      <c r="I7" s="1"/>
      <c r="J7" s="4"/>
      <c r="K7" s="9"/>
      <c r="L7" s="1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"/>
      <c r="X7" s="1"/>
      <c r="Y7" s="1"/>
      <c r="Z7" s="1"/>
    </row>
    <row r="8" spans="1:26" ht="14.4" x14ac:dyDescent="0.3">
      <c r="A8" s="1" t="s">
        <v>63</v>
      </c>
      <c r="B8" s="1"/>
      <c r="C8" s="1"/>
      <c r="D8" s="1"/>
      <c r="E8" s="1"/>
      <c r="F8" s="1"/>
      <c r="G8" s="1"/>
      <c r="H8" s="1"/>
      <c r="I8" s="1"/>
      <c r="J8" s="4" t="s">
        <v>8</v>
      </c>
      <c r="K8" s="5" t="s">
        <v>115</v>
      </c>
      <c r="L8" s="1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"/>
      <c r="X8" s="1"/>
      <c r="Y8" s="1"/>
      <c r="Z8" s="1"/>
    </row>
    <row r="9" spans="1:26" ht="14.4" x14ac:dyDescent="0.3">
      <c r="A9" s="1" t="s">
        <v>64</v>
      </c>
      <c r="B9" s="1"/>
      <c r="C9" s="1"/>
      <c r="D9" s="1"/>
      <c r="E9" s="215"/>
      <c r="F9" s="187"/>
      <c r="G9" s="8"/>
      <c r="H9" s="8"/>
      <c r="I9" s="215"/>
      <c r="J9" s="187"/>
      <c r="K9" s="1"/>
      <c r="L9" s="1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"/>
      <c r="X9" s="1"/>
      <c r="Y9" s="1"/>
      <c r="Z9" s="1"/>
    </row>
    <row r="10" spans="1:26" ht="14.4" x14ac:dyDescent="0.3">
      <c r="A10" s="106"/>
      <c r="B10" s="107"/>
      <c r="C10" s="108"/>
      <c r="D10" s="109" t="s">
        <v>27</v>
      </c>
      <c r="E10" s="216" t="s">
        <v>15</v>
      </c>
      <c r="F10" s="217"/>
      <c r="G10" s="110"/>
      <c r="H10" s="109" t="str">
        <f>D10</f>
        <v>2030 Test Year</v>
      </c>
      <c r="I10" s="216" t="s">
        <v>14</v>
      </c>
      <c r="J10" s="217"/>
      <c r="K10" s="111" t="s">
        <v>65</v>
      </c>
      <c r="L10" s="1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"/>
      <c r="X10" s="1"/>
      <c r="Y10" s="1"/>
      <c r="Z10" s="1"/>
    </row>
    <row r="11" spans="1:26" ht="14.4" x14ac:dyDescent="0.3">
      <c r="A11" s="112" t="s">
        <v>66</v>
      </c>
      <c r="B11" s="218" t="s">
        <v>67</v>
      </c>
      <c r="C11" s="113"/>
      <c r="D11" s="114" t="s">
        <v>68</v>
      </c>
      <c r="E11" s="114" t="s">
        <v>69</v>
      </c>
      <c r="F11" s="115" t="s">
        <v>70</v>
      </c>
      <c r="G11" s="116"/>
      <c r="H11" s="114" t="s">
        <v>68</v>
      </c>
      <c r="I11" s="114" t="s">
        <v>69</v>
      </c>
      <c r="J11" s="115" t="s">
        <v>70</v>
      </c>
      <c r="K11" s="117" t="s">
        <v>71</v>
      </c>
      <c r="L11" s="1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"/>
      <c r="X11" s="1"/>
      <c r="Y11" s="1"/>
      <c r="Z11" s="1"/>
    </row>
    <row r="12" spans="1:26" ht="14.4" x14ac:dyDescent="0.3">
      <c r="A12" s="118" t="s">
        <v>72</v>
      </c>
      <c r="B12" s="196"/>
      <c r="C12" s="119"/>
      <c r="D12" s="120"/>
      <c r="E12" s="121"/>
      <c r="F12" s="122"/>
      <c r="G12" s="106"/>
      <c r="H12" s="120"/>
      <c r="I12" s="121"/>
      <c r="J12" s="122"/>
      <c r="K12" s="194"/>
      <c r="L12" s="1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"/>
      <c r="X12" s="1"/>
      <c r="Y12" s="1"/>
      <c r="Z12" s="1"/>
    </row>
    <row r="13" spans="1:26" ht="14.4" x14ac:dyDescent="0.3">
      <c r="A13" s="123" t="s">
        <v>40</v>
      </c>
      <c r="B13" s="124" t="s">
        <v>41</v>
      </c>
      <c r="C13" s="119"/>
      <c r="D13" s="120">
        <f>'App.2-ZA_2030-Com. Exp. Forecas'!I29</f>
        <v>2778294421.6799998</v>
      </c>
      <c r="E13" s="125"/>
      <c r="F13" s="122">
        <f>D13*'App.2-ZA_2030-Com. Exp. Forecas'!K29</f>
        <v>318114711.28236002</v>
      </c>
      <c r="G13" s="106"/>
      <c r="H13" s="120">
        <f>'App.2-ZA_2030-Com. Exp. Forecas'!F29+'App.2-ZA_2030-Com. Exp. Forecas'!H29</f>
        <v>25472498.16</v>
      </c>
      <c r="I13" s="126"/>
      <c r="J13" s="122">
        <f>H13*'App.2-ZA_2030-Com. Exp. Forecas'!J29</f>
        <v>1007692.0272096001</v>
      </c>
      <c r="K13" s="195"/>
      <c r="L13" s="1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"/>
      <c r="X13" s="1"/>
      <c r="Y13" s="1"/>
      <c r="Z13" s="1"/>
    </row>
    <row r="14" spans="1:26" ht="14.4" x14ac:dyDescent="0.3">
      <c r="A14" s="123" t="s">
        <v>42</v>
      </c>
      <c r="B14" s="124" t="s">
        <v>41</v>
      </c>
      <c r="C14" s="119"/>
      <c r="D14" s="120">
        <f>'App.2-ZA_2030-Com. Exp. Forecas'!I30</f>
        <v>637853001.78999996</v>
      </c>
      <c r="E14" s="125"/>
      <c r="F14" s="122">
        <f>D14*'App.2-ZA_2030-Com. Exp. Forecas'!K30</f>
        <v>73034168.704954997</v>
      </c>
      <c r="G14" s="106"/>
      <c r="H14" s="120">
        <f>'App.2-ZA_2030-Com. Exp. Forecas'!F30+'App.2-ZA_2030-Com. Exp. Forecas'!H30</f>
        <v>108568736.13</v>
      </c>
      <c r="I14" s="126"/>
      <c r="J14" s="122">
        <f>H14*'App.2-ZA_2030-Com. Exp. Forecas'!J30</f>
        <v>4294979.2013028003</v>
      </c>
      <c r="K14" s="195"/>
      <c r="L14" s="1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"/>
      <c r="X14" s="1"/>
      <c r="Y14" s="1"/>
      <c r="Z14" s="1"/>
    </row>
    <row r="15" spans="1:26" ht="14.4" x14ac:dyDescent="0.3">
      <c r="A15" s="123" t="s">
        <v>43</v>
      </c>
      <c r="B15" s="124" t="s">
        <v>41</v>
      </c>
      <c r="C15" s="119"/>
      <c r="D15" s="120">
        <f>'App.2-ZA_2030-Com. Exp. Forecas'!I31</f>
        <v>336034213.49000001</v>
      </c>
      <c r="E15" s="125"/>
      <c r="F15" s="122">
        <f>D15*'App.2-ZA_2030-Com. Exp. Forecas'!K31</f>
        <v>38475917.444605</v>
      </c>
      <c r="G15" s="106"/>
      <c r="H15" s="120">
        <f>'App.2-ZA_2030-Com. Exp. Forecas'!F31+'App.2-ZA_2030-Com. Exp. Forecas'!H31</f>
        <v>2540536250.6300001</v>
      </c>
      <c r="I15" s="126"/>
      <c r="J15" s="122">
        <f>H15*'App.2-ZA_2030-Com. Exp. Forecas'!J31</f>
        <v>100503614.07492281</v>
      </c>
      <c r="K15" s="195"/>
      <c r="L15" s="1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"/>
      <c r="X15" s="1"/>
      <c r="Y15" s="1"/>
      <c r="Z15" s="1"/>
    </row>
    <row r="16" spans="1:26" ht="14.4" x14ac:dyDescent="0.3">
      <c r="A16" s="123" t="s">
        <v>44</v>
      </c>
      <c r="B16" s="124" t="s">
        <v>41</v>
      </c>
      <c r="C16" s="119"/>
      <c r="D16" s="120">
        <f>'App.2-ZA_2030-Com. Exp. Forecas'!I32</f>
        <v>0</v>
      </c>
      <c r="E16" s="125"/>
      <c r="F16" s="122">
        <f>D16*'App.2-ZA_2030-Com. Exp. Forecas'!K32</f>
        <v>0</v>
      </c>
      <c r="G16" s="106"/>
      <c r="H16" s="120">
        <f>'App.2-ZA_2030-Com. Exp. Forecas'!F32+'App.2-ZA_2030-Com. Exp. Forecas'!H32</f>
        <v>700727763.27999997</v>
      </c>
      <c r="I16" s="126"/>
      <c r="J16" s="122">
        <f>H16*'App.2-ZA_2030-Com. Exp. Forecas'!J32</f>
        <v>27720790.315356802</v>
      </c>
      <c r="K16" s="195"/>
      <c r="L16" s="1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"/>
      <c r="X16" s="1"/>
      <c r="Y16" s="1"/>
      <c r="Z16" s="1"/>
    </row>
    <row r="17" spans="1:26" ht="14.4" x14ac:dyDescent="0.3">
      <c r="A17" s="123" t="s">
        <v>45</v>
      </c>
      <c r="B17" s="124" t="s">
        <v>41</v>
      </c>
      <c r="C17" s="119"/>
      <c r="D17" s="120">
        <f>'App.2-ZA_2030-Com. Exp. Forecas'!I33</f>
        <v>0</v>
      </c>
      <c r="E17" s="125"/>
      <c r="F17" s="122">
        <f>D17*'App.2-ZA_2030-Com. Exp. Forecas'!K33</f>
        <v>0</v>
      </c>
      <c r="G17" s="106"/>
      <c r="H17" s="120">
        <f>'App.2-ZA_2030-Com. Exp. Forecas'!F33+'App.2-ZA_2030-Com. Exp. Forecas'!H33</f>
        <v>724359139.50999999</v>
      </c>
      <c r="I17" s="126"/>
      <c r="J17" s="122">
        <f>H17*'App.2-ZA_2030-Com. Exp. Forecas'!J33</f>
        <v>28655647.559015602</v>
      </c>
      <c r="K17" s="195"/>
      <c r="L17" s="1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"/>
      <c r="X17" s="1"/>
      <c r="Y17" s="1"/>
      <c r="Z17" s="1"/>
    </row>
    <row r="18" spans="1:26" ht="14.4" x14ac:dyDescent="0.3">
      <c r="A18" s="123" t="s">
        <v>46</v>
      </c>
      <c r="B18" s="124" t="s">
        <v>41</v>
      </c>
      <c r="C18" s="119"/>
      <c r="D18" s="120">
        <f>'App.2-ZA_2030-Com. Exp. Forecas'!I34</f>
        <v>0</v>
      </c>
      <c r="E18" s="125"/>
      <c r="F18" s="122">
        <f>D18*'App.2-ZA_2030-Com. Exp. Forecas'!K34</f>
        <v>0</v>
      </c>
      <c r="G18" s="106"/>
      <c r="H18" s="120">
        <f>'App.2-ZA_2030-Com. Exp. Forecas'!F34+'App.2-ZA_2030-Com. Exp. Forecas'!H34</f>
        <v>23097019.649999999</v>
      </c>
      <c r="I18" s="126"/>
      <c r="J18" s="122">
        <f>H18*'App.2-ZA_2030-Com. Exp. Forecas'!J34</f>
        <v>913718.09735400009</v>
      </c>
      <c r="K18" s="195"/>
      <c r="L18" s="1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"/>
      <c r="X18" s="1"/>
      <c r="Y18" s="1"/>
      <c r="Z18" s="1"/>
    </row>
    <row r="19" spans="1:26" ht="14.4" x14ac:dyDescent="0.3">
      <c r="A19" s="123" t="s">
        <v>47</v>
      </c>
      <c r="B19" s="124" t="s">
        <v>41</v>
      </c>
      <c r="C19" s="119"/>
      <c r="D19" s="120">
        <f>'App.2-ZA_2030-Com. Exp. Forecas'!I35</f>
        <v>38943.370000000003</v>
      </c>
      <c r="E19" s="125"/>
      <c r="F19" s="122">
        <f>D19*'App.2-ZA_2030-Com. Exp. Forecas'!K35</f>
        <v>4459.0158650000003</v>
      </c>
      <c r="G19" s="106"/>
      <c r="H19" s="120"/>
      <c r="I19" s="126"/>
      <c r="J19" s="122">
        <f>H19*'App.2-ZA_2030-Com. Exp. Forecas'!J35</f>
        <v>0</v>
      </c>
      <c r="K19" s="195"/>
      <c r="L19" s="1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"/>
      <c r="X19" s="1"/>
      <c r="Y19" s="1"/>
      <c r="Z19" s="1"/>
    </row>
    <row r="20" spans="1:26" ht="14.4" x14ac:dyDescent="0.3">
      <c r="A20" s="123" t="s">
        <v>48</v>
      </c>
      <c r="B20" s="124" t="s">
        <v>41</v>
      </c>
      <c r="C20" s="119"/>
      <c r="D20" s="120">
        <f>'App.2-ZA_2030-Com. Exp. Forecas'!I36</f>
        <v>15201535.66</v>
      </c>
      <c r="E20" s="125"/>
      <c r="F20" s="122">
        <f>D20*'App.2-ZA_2030-Com. Exp. Forecas'!K36</f>
        <v>1740575.8330700002</v>
      </c>
      <c r="G20" s="106"/>
      <c r="H20" s="120"/>
      <c r="I20" s="126"/>
      <c r="J20" s="122">
        <f>H20*'App.2-ZA_2030-Com. Exp. Forecas'!J36</f>
        <v>0</v>
      </c>
      <c r="K20" s="195"/>
      <c r="L20" s="1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"/>
      <c r="X20" s="1"/>
      <c r="Y20" s="1"/>
      <c r="Z20" s="1"/>
    </row>
    <row r="21" spans="1:26" ht="15.75" customHeight="1" x14ac:dyDescent="0.3">
      <c r="A21" s="123" t="s">
        <v>49</v>
      </c>
      <c r="B21" s="124" t="s">
        <v>41</v>
      </c>
      <c r="C21" s="119"/>
      <c r="D21" s="120"/>
      <c r="E21" s="125"/>
      <c r="F21" s="122">
        <f>D21*'App.2-ZA_2030-Com. Exp. Forecas'!K37</f>
        <v>0</v>
      </c>
      <c r="G21" s="106"/>
      <c r="H21" s="120">
        <f>'App.2-ZA_2030-Com. Exp. Forecas'!F37+'App.2-ZA_2030-Com. Exp. Forecas'!H37</f>
        <v>6931149.8799999999</v>
      </c>
      <c r="I21" s="126"/>
      <c r="J21" s="122">
        <f>H21*'App.2-ZA_2030-Com. Exp. Forecas'!J37</f>
        <v>274196.28925280005</v>
      </c>
      <c r="K21" s="195"/>
      <c r="L21" s="1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"/>
      <c r="X21" s="1"/>
      <c r="Y21" s="1"/>
      <c r="Z21" s="1"/>
    </row>
    <row r="22" spans="1:26" ht="15.75" customHeight="1" x14ac:dyDescent="0.3">
      <c r="A22" s="123"/>
      <c r="B22" s="124"/>
      <c r="C22" s="127"/>
      <c r="D22" s="120"/>
      <c r="E22" s="125"/>
      <c r="F22" s="122"/>
      <c r="G22" s="106"/>
      <c r="H22" s="120"/>
      <c r="I22" s="126"/>
      <c r="J22" s="122"/>
      <c r="K22" s="195"/>
      <c r="L22" s="1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"/>
      <c r="X22" s="1"/>
      <c r="Y22" s="1"/>
      <c r="Z22" s="1"/>
    </row>
    <row r="23" spans="1:26" ht="15.75" customHeight="1" x14ac:dyDescent="0.3">
      <c r="A23" s="123"/>
      <c r="B23" s="128"/>
      <c r="C23" s="119"/>
      <c r="D23" s="120"/>
      <c r="E23" s="125"/>
      <c r="F23" s="122"/>
      <c r="G23" s="106"/>
      <c r="H23" s="120"/>
      <c r="I23" s="126"/>
      <c r="J23" s="122"/>
      <c r="K23" s="196"/>
      <c r="L23" s="1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"/>
      <c r="X23" s="1"/>
      <c r="Y23" s="1"/>
      <c r="Z23" s="1"/>
    </row>
    <row r="24" spans="1:26" ht="15.75" customHeight="1" x14ac:dyDescent="0.3">
      <c r="A24" s="118" t="s">
        <v>73</v>
      </c>
      <c r="B24" s="123"/>
      <c r="C24" s="119"/>
      <c r="D24" s="120"/>
      <c r="E24" s="129"/>
      <c r="F24" s="122">
        <f>SUM(F13:F23)</f>
        <v>431369832.280855</v>
      </c>
      <c r="G24" s="123"/>
      <c r="H24" s="120"/>
      <c r="I24" s="130"/>
      <c r="J24" s="131">
        <f>SUM(J13:J23)</f>
        <v>163370637.56441441</v>
      </c>
      <c r="K24" s="132">
        <f>ROUND(F24+J24,2)</f>
        <v>594740469.85000002</v>
      </c>
      <c r="L24" s="1" t="str">
        <f>IF(K24='App.2-ZA_2030-Com. Exp. Forecas'!L40,"OK", "ERROR")</f>
        <v>OK</v>
      </c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"/>
      <c r="X24" s="1"/>
      <c r="Y24" s="1"/>
      <c r="Z24" s="1"/>
    </row>
    <row r="25" spans="1:26" ht="7.5" customHeight="1" x14ac:dyDescent="0.3">
      <c r="A25" s="106"/>
      <c r="B25" s="106"/>
      <c r="C25" s="106"/>
      <c r="D25" s="133"/>
      <c r="E25" s="106"/>
      <c r="F25" s="106"/>
      <c r="G25" s="106"/>
      <c r="H25" s="106"/>
      <c r="I25" s="190"/>
      <c r="J25" s="201"/>
      <c r="K25" s="106"/>
      <c r="L25" s="1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"/>
      <c r="X25" s="1"/>
      <c r="Y25" s="1"/>
      <c r="Z25" s="1"/>
    </row>
    <row r="26" spans="1:26" ht="15.75" customHeight="1" x14ac:dyDescent="0.3">
      <c r="A26" s="112" t="s">
        <v>74</v>
      </c>
      <c r="B26" s="218" t="s">
        <v>67</v>
      </c>
      <c r="C26" s="113"/>
      <c r="D26" s="194" t="s">
        <v>68</v>
      </c>
      <c r="E26" s="197" t="s">
        <v>69</v>
      </c>
      <c r="F26" s="199" t="s">
        <v>70</v>
      </c>
      <c r="G26" s="116"/>
      <c r="H26" s="202" t="s">
        <v>68</v>
      </c>
      <c r="I26" s="197" t="s">
        <v>69</v>
      </c>
      <c r="J26" s="199" t="s">
        <v>70</v>
      </c>
      <c r="K26" s="194" t="s">
        <v>65</v>
      </c>
      <c r="L26" s="1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"/>
      <c r="X26" s="1"/>
      <c r="Y26" s="1"/>
      <c r="Z26" s="1"/>
    </row>
    <row r="27" spans="1:26" ht="15.75" customHeight="1" x14ac:dyDescent="0.3">
      <c r="A27" s="118" t="s">
        <v>75</v>
      </c>
      <c r="B27" s="196"/>
      <c r="C27" s="113"/>
      <c r="D27" s="195"/>
      <c r="E27" s="219"/>
      <c r="F27" s="200"/>
      <c r="G27" s="116"/>
      <c r="H27" s="195"/>
      <c r="I27" s="219"/>
      <c r="J27" s="200"/>
      <c r="K27" s="196"/>
      <c r="L27" s="1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"/>
      <c r="X27" s="1"/>
      <c r="Y27" s="1"/>
      <c r="Z27" s="1"/>
    </row>
    <row r="28" spans="1:26" ht="15.75" customHeight="1" x14ac:dyDescent="0.3">
      <c r="A28" s="123" t="s">
        <v>76</v>
      </c>
      <c r="B28" s="124" t="s">
        <v>41</v>
      </c>
      <c r="C28" s="119"/>
      <c r="D28" s="134"/>
      <c r="E28" s="134"/>
      <c r="F28" s="135">
        <f t="shared" ref="F28:F43" si="0">D28*E28</f>
        <v>0</v>
      </c>
      <c r="G28" s="106"/>
      <c r="H28" s="136"/>
      <c r="I28" s="134"/>
      <c r="J28" s="122">
        <f>'App.2-ZA_2030-Com. Exp. Forecas'!L55</f>
        <v>1883436.5139503998</v>
      </c>
      <c r="K28" s="194"/>
      <c r="L28" s="1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"/>
      <c r="X28" s="1"/>
      <c r="Y28" s="1"/>
      <c r="Z28" s="1"/>
    </row>
    <row r="29" spans="1:26" ht="15.75" customHeight="1" x14ac:dyDescent="0.3">
      <c r="A29" s="123" t="s">
        <v>77</v>
      </c>
      <c r="B29" s="124" t="s">
        <v>41</v>
      </c>
      <c r="C29" s="119"/>
      <c r="D29" s="134"/>
      <c r="E29" s="134"/>
      <c r="F29" s="135">
        <f t="shared" si="0"/>
        <v>0</v>
      </c>
      <c r="G29" s="106"/>
      <c r="H29" s="136"/>
      <c r="I29" s="134"/>
      <c r="J29" s="122">
        <f>'App.2-ZA_2030-Com. Exp. Forecas'!L56</f>
        <v>8027572.3494521985</v>
      </c>
      <c r="K29" s="195"/>
      <c r="L29" s="1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"/>
      <c r="X29" s="1"/>
      <c r="Y29" s="1"/>
      <c r="Z29" s="1"/>
    </row>
    <row r="30" spans="1:26" ht="15.75" customHeight="1" x14ac:dyDescent="0.3">
      <c r="A30" s="123" t="s">
        <v>78</v>
      </c>
      <c r="B30" s="124" t="s">
        <v>41</v>
      </c>
      <c r="C30" s="119"/>
      <c r="D30" s="134"/>
      <c r="E30" s="134"/>
      <c r="F30" s="135">
        <f t="shared" si="0"/>
        <v>0</v>
      </c>
      <c r="G30" s="106"/>
      <c r="H30" s="136"/>
      <c r="I30" s="134"/>
      <c r="J30" s="122">
        <f>'App.2-ZA_2030-Com. Exp. Forecas'!L57</f>
        <v>157407331.01584917</v>
      </c>
      <c r="K30" s="195"/>
      <c r="L30" s="1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"/>
      <c r="X30" s="1"/>
      <c r="Y30" s="1"/>
      <c r="Z30" s="1"/>
    </row>
    <row r="31" spans="1:26" ht="15.75" customHeight="1" x14ac:dyDescent="0.3">
      <c r="A31" s="123" t="s">
        <v>79</v>
      </c>
      <c r="B31" s="124" t="s">
        <v>41</v>
      </c>
      <c r="C31" s="119"/>
      <c r="D31" s="134"/>
      <c r="E31" s="134"/>
      <c r="F31" s="135">
        <f t="shared" si="0"/>
        <v>0</v>
      </c>
      <c r="G31" s="106"/>
      <c r="H31" s="136"/>
      <c r="I31" s="134"/>
      <c r="J31" s="122">
        <f>'App.2-ZA_2030-Com. Exp. Forecas'!L58</f>
        <v>10848722.512971599</v>
      </c>
      <c r="K31" s="195"/>
      <c r="L31" s="1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"/>
      <c r="X31" s="1"/>
      <c r="Y31" s="1"/>
      <c r="Z31" s="1"/>
    </row>
    <row r="32" spans="1:26" ht="15.75" customHeight="1" x14ac:dyDescent="0.3">
      <c r="A32" s="123" t="s">
        <v>80</v>
      </c>
      <c r="B32" s="124" t="s">
        <v>41</v>
      </c>
      <c r="C32" s="119"/>
      <c r="D32" s="134"/>
      <c r="E32" s="134"/>
      <c r="F32" s="135">
        <f t="shared" si="0"/>
        <v>0</v>
      </c>
      <c r="G32" s="106"/>
      <c r="H32" s="136"/>
      <c r="I32" s="134"/>
      <c r="J32" s="122">
        <f>'App.2-ZA_2030-Com. Exp. Forecas'!L59</f>
        <v>4676062.5641765995</v>
      </c>
      <c r="K32" s="195"/>
      <c r="L32" s="1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"/>
      <c r="X32" s="1"/>
      <c r="Y32" s="1"/>
      <c r="Z32" s="1"/>
    </row>
    <row r="33" spans="1:26" ht="15.75" customHeight="1" x14ac:dyDescent="0.3">
      <c r="A33" s="123" t="s">
        <v>81</v>
      </c>
      <c r="B33" s="124" t="s">
        <v>41</v>
      </c>
      <c r="C33" s="119"/>
      <c r="D33" s="134"/>
      <c r="E33" s="134"/>
      <c r="F33" s="135">
        <f t="shared" si="0"/>
        <v>0</v>
      </c>
      <c r="G33" s="106"/>
      <c r="H33" s="136"/>
      <c r="I33" s="134"/>
      <c r="J33" s="122">
        <f>'App.2-ZA_2030-Com. Exp. Forecas'!L60</f>
        <v>1707793.6329209998</v>
      </c>
      <c r="K33" s="195"/>
      <c r="L33" s="1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"/>
      <c r="X33" s="1"/>
      <c r="Y33" s="1"/>
      <c r="Z33" s="1"/>
    </row>
    <row r="34" spans="1:26" ht="15.75" customHeight="1" x14ac:dyDescent="0.3">
      <c r="A34" s="123" t="s">
        <v>82</v>
      </c>
      <c r="B34" s="124" t="s">
        <v>41</v>
      </c>
      <c r="C34" s="119"/>
      <c r="D34" s="134"/>
      <c r="E34" s="134"/>
      <c r="F34" s="135">
        <f t="shared" si="0"/>
        <v>0</v>
      </c>
      <c r="G34" s="106"/>
      <c r="H34" s="136"/>
      <c r="I34" s="134"/>
      <c r="J34" s="122">
        <f>'App.2-ZA_2030-Com. Exp. Forecas'!L61</f>
        <v>0</v>
      </c>
      <c r="K34" s="195"/>
      <c r="L34" s="1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"/>
      <c r="X34" s="1"/>
      <c r="Y34" s="1"/>
      <c r="Z34" s="1"/>
    </row>
    <row r="35" spans="1:26" ht="15.75" customHeight="1" x14ac:dyDescent="0.3">
      <c r="A35" s="123" t="s">
        <v>83</v>
      </c>
      <c r="B35" s="124" t="s">
        <v>41</v>
      </c>
      <c r="C35" s="119"/>
      <c r="D35" s="134"/>
      <c r="E35" s="134"/>
      <c r="F35" s="135">
        <f t="shared" si="0"/>
        <v>0</v>
      </c>
      <c r="G35" s="106"/>
      <c r="H35" s="136"/>
      <c r="I35" s="134"/>
      <c r="J35" s="122">
        <f>'App.2-ZA_2030-Com. Exp. Forecas'!L62</f>
        <v>0</v>
      </c>
      <c r="K35" s="195"/>
      <c r="L35" s="1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"/>
      <c r="X35" s="1"/>
      <c r="Y35" s="1"/>
      <c r="Z35" s="1"/>
    </row>
    <row r="36" spans="1:26" ht="15.75" customHeight="1" x14ac:dyDescent="0.3">
      <c r="A36" s="123" t="s">
        <v>84</v>
      </c>
      <c r="B36" s="124" t="s">
        <v>41</v>
      </c>
      <c r="C36" s="119"/>
      <c r="D36" s="134"/>
      <c r="E36" s="134"/>
      <c r="F36" s="135">
        <f t="shared" si="0"/>
        <v>0</v>
      </c>
      <c r="G36" s="106"/>
      <c r="H36" s="136"/>
      <c r="I36" s="134"/>
      <c r="J36" s="122">
        <f>'App.2-ZA_2030-Com. Exp. Forecas'!L63</f>
        <v>512489.22212719993</v>
      </c>
      <c r="K36" s="195"/>
      <c r="L36" s="1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"/>
      <c r="X36" s="1"/>
      <c r="Y36" s="1"/>
      <c r="Z36" s="1"/>
    </row>
    <row r="37" spans="1:26" ht="15.75" customHeight="1" x14ac:dyDescent="0.3">
      <c r="A37" s="123" t="str">
        <f t="shared" ref="A37" si="1">IF(A22="","",A22 &amp; " - Class B")</f>
        <v/>
      </c>
      <c r="B37" s="124"/>
      <c r="C37" s="119"/>
      <c r="D37" s="134"/>
      <c r="E37" s="134"/>
      <c r="F37" s="135">
        <f t="shared" si="0"/>
        <v>0</v>
      </c>
      <c r="G37" s="106"/>
      <c r="H37" s="136"/>
      <c r="I37" s="134"/>
      <c r="J37" s="122"/>
      <c r="K37" s="195"/>
      <c r="L37" s="1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"/>
      <c r="X37" s="1"/>
      <c r="Y37" s="1"/>
      <c r="Z37" s="1"/>
    </row>
    <row r="38" spans="1:26" ht="15.75" customHeight="1" x14ac:dyDescent="0.3">
      <c r="A38" s="123"/>
      <c r="B38" s="124"/>
      <c r="C38" s="119"/>
      <c r="D38" s="134"/>
      <c r="E38" s="134"/>
      <c r="F38" s="135">
        <f t="shared" si="0"/>
        <v>0</v>
      </c>
      <c r="G38" s="106"/>
      <c r="H38" s="136"/>
      <c r="I38" s="134"/>
      <c r="J38" s="122"/>
      <c r="K38" s="195"/>
      <c r="L38" s="1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"/>
      <c r="X38" s="1"/>
      <c r="Y38" s="1"/>
      <c r="Z38" s="1"/>
    </row>
    <row r="39" spans="1:26" ht="15.75" customHeight="1" x14ac:dyDescent="0.3">
      <c r="A39" s="123" t="s">
        <v>85</v>
      </c>
      <c r="B39" s="124" t="s">
        <v>41</v>
      </c>
      <c r="C39" s="119"/>
      <c r="D39" s="134"/>
      <c r="E39" s="134"/>
      <c r="F39" s="135">
        <f t="shared" si="0"/>
        <v>0</v>
      </c>
      <c r="G39" s="106"/>
      <c r="H39" s="136"/>
      <c r="I39" s="134"/>
      <c r="J39" s="122">
        <f>'App.2-ZA_2030-Com. Exp. Forecas'!L45</f>
        <v>24330527.913495</v>
      </c>
      <c r="K39" s="195"/>
      <c r="L39" s="1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"/>
      <c r="X39" s="1"/>
      <c r="Y39" s="1"/>
      <c r="Z39" s="1"/>
    </row>
    <row r="40" spans="1:26" ht="15.75" customHeight="1" x14ac:dyDescent="0.3">
      <c r="A40" s="123" t="s">
        <v>86</v>
      </c>
      <c r="B40" s="124" t="s">
        <v>41</v>
      </c>
      <c r="C40" s="119"/>
      <c r="D40" s="134"/>
      <c r="E40" s="134"/>
      <c r="F40" s="135">
        <f t="shared" si="0"/>
        <v>0</v>
      </c>
      <c r="G40" s="106"/>
      <c r="H40" s="136"/>
      <c r="I40" s="134"/>
      <c r="J40" s="122">
        <f>'App.2-ZA_2030-Com. Exp. Forecas'!L46</f>
        <v>32741662.412273999</v>
      </c>
      <c r="K40" s="195"/>
      <c r="L40" s="1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"/>
      <c r="X40" s="1"/>
      <c r="Y40" s="1"/>
      <c r="Z40" s="1"/>
    </row>
    <row r="41" spans="1:26" ht="15.75" customHeight="1" x14ac:dyDescent="0.3">
      <c r="A41" s="123" t="s">
        <v>87</v>
      </c>
      <c r="B41" s="124" t="s">
        <v>41</v>
      </c>
      <c r="C41" s="119"/>
      <c r="D41" s="134"/>
      <c r="E41" s="134"/>
      <c r="F41" s="135">
        <f t="shared" si="0"/>
        <v>0</v>
      </c>
      <c r="G41" s="106"/>
      <c r="H41" s="136"/>
      <c r="I41" s="134"/>
      <c r="J41" s="122">
        <f>'App.2-ZA_2030-Com. Exp. Forecas'!L47</f>
        <v>39072063.641892001</v>
      </c>
      <c r="K41" s="195"/>
      <c r="L41" s="8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"/>
      <c r="X41" s="1"/>
      <c r="Y41" s="1"/>
      <c r="Z41" s="1"/>
    </row>
    <row r="42" spans="1:26" ht="15.75" customHeight="1" x14ac:dyDescent="0.3">
      <c r="A42" s="123"/>
      <c r="B42" s="124"/>
      <c r="C42" s="119"/>
      <c r="D42" s="134"/>
      <c r="E42" s="134"/>
      <c r="F42" s="135">
        <f t="shared" si="0"/>
        <v>0</v>
      </c>
      <c r="G42" s="106"/>
      <c r="H42" s="136"/>
      <c r="I42" s="134"/>
      <c r="J42" s="122"/>
      <c r="K42" s="195"/>
      <c r="L42" s="1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"/>
      <c r="X42" s="1"/>
      <c r="Y42" s="1"/>
      <c r="Z42" s="1"/>
    </row>
    <row r="43" spans="1:26" ht="15.75" customHeight="1" x14ac:dyDescent="0.3">
      <c r="A43" s="123"/>
      <c r="B43" s="124"/>
      <c r="C43" s="119"/>
      <c r="D43" s="134"/>
      <c r="E43" s="134"/>
      <c r="F43" s="135">
        <f t="shared" si="0"/>
        <v>0</v>
      </c>
      <c r="G43" s="106"/>
      <c r="H43" s="136"/>
      <c r="I43" s="134"/>
      <c r="J43" s="122"/>
      <c r="K43" s="196"/>
      <c r="L43" s="1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"/>
      <c r="X43" s="1"/>
      <c r="Y43" s="1"/>
      <c r="Z43" s="1"/>
    </row>
    <row r="44" spans="1:26" ht="15.75" customHeight="1" x14ac:dyDescent="0.3">
      <c r="A44" s="118" t="s">
        <v>73</v>
      </c>
      <c r="B44" s="137"/>
      <c r="C44" s="119"/>
      <c r="D44" s="130"/>
      <c r="E44" s="129"/>
      <c r="F44" s="123">
        <f>SUM(F28:F43)</f>
        <v>0</v>
      </c>
      <c r="G44" s="123"/>
      <c r="H44" s="129"/>
      <c r="I44" s="129"/>
      <c r="J44" s="138">
        <f>SUM(J28:J43)</f>
        <v>281207661.77910918</v>
      </c>
      <c r="K44" s="132">
        <f>F44+J44</f>
        <v>281207661.77910918</v>
      </c>
      <c r="L44" s="105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"/>
      <c r="X44" s="1"/>
      <c r="Y44" s="1"/>
      <c r="Z44" s="1"/>
    </row>
    <row r="45" spans="1:26" ht="14.25" customHeight="1" x14ac:dyDescent="0.3">
      <c r="A45" s="106"/>
      <c r="B45" s="133"/>
      <c r="C45" s="106"/>
      <c r="D45" s="133"/>
      <c r="E45" s="106"/>
      <c r="F45" s="106"/>
      <c r="G45" s="106"/>
      <c r="H45" s="106"/>
      <c r="I45" s="106"/>
      <c r="J45" s="106"/>
      <c r="K45" s="106"/>
      <c r="L45" s="1"/>
      <c r="M45" s="164"/>
      <c r="N45" s="164"/>
      <c r="O45" s="210" t="s">
        <v>15</v>
      </c>
      <c r="P45" s="211"/>
      <c r="Q45" s="164"/>
      <c r="R45" s="164"/>
      <c r="S45" s="210" t="s">
        <v>14</v>
      </c>
      <c r="T45" s="211"/>
      <c r="U45" s="164"/>
      <c r="V45" s="164"/>
      <c r="W45" s="1"/>
      <c r="X45" s="1"/>
      <c r="Y45" s="1"/>
      <c r="Z45" s="1"/>
    </row>
    <row r="46" spans="1:26" ht="15.75" customHeight="1" x14ac:dyDescent="0.3">
      <c r="A46" s="112" t="s">
        <v>88</v>
      </c>
      <c r="B46" s="212"/>
      <c r="C46" s="113"/>
      <c r="D46" s="213" t="s">
        <v>89</v>
      </c>
      <c r="E46" s="194" t="s">
        <v>69</v>
      </c>
      <c r="F46" s="199" t="s">
        <v>70</v>
      </c>
      <c r="G46" s="116"/>
      <c r="H46" s="202" t="s">
        <v>68</v>
      </c>
      <c r="I46" s="194" t="s">
        <v>69</v>
      </c>
      <c r="J46" s="199" t="s">
        <v>70</v>
      </c>
      <c r="K46" s="194" t="s">
        <v>65</v>
      </c>
      <c r="L46" s="1"/>
      <c r="M46" s="165" t="s">
        <v>90</v>
      </c>
      <c r="N46" s="166"/>
      <c r="O46" s="167" t="s">
        <v>68</v>
      </c>
      <c r="P46" s="167" t="s">
        <v>69</v>
      </c>
      <c r="Q46" s="203" t="s">
        <v>70</v>
      </c>
      <c r="R46" s="164"/>
      <c r="S46" s="205" t="s">
        <v>68</v>
      </c>
      <c r="T46" s="207" t="s">
        <v>69</v>
      </c>
      <c r="U46" s="203" t="s">
        <v>70</v>
      </c>
      <c r="V46" s="207" t="s">
        <v>65</v>
      </c>
      <c r="W46" s="1"/>
      <c r="X46" s="1"/>
      <c r="Y46" s="1"/>
      <c r="Z46" s="1"/>
    </row>
    <row r="47" spans="1:26" ht="15.75" customHeight="1" x14ac:dyDescent="0.3">
      <c r="A47" s="118" t="s">
        <v>75</v>
      </c>
      <c r="B47" s="198"/>
      <c r="C47" s="139"/>
      <c r="D47" s="200"/>
      <c r="E47" s="196"/>
      <c r="F47" s="200"/>
      <c r="G47" s="116"/>
      <c r="H47" s="196"/>
      <c r="I47" s="196"/>
      <c r="J47" s="200"/>
      <c r="K47" s="196"/>
      <c r="L47" s="1"/>
      <c r="M47" s="168" t="s">
        <v>72</v>
      </c>
      <c r="N47" s="169"/>
      <c r="O47" s="170"/>
      <c r="P47" s="170"/>
      <c r="Q47" s="204"/>
      <c r="R47" s="164"/>
      <c r="S47" s="206"/>
      <c r="T47" s="206"/>
      <c r="U47" s="204"/>
      <c r="V47" s="206"/>
      <c r="W47" s="1"/>
      <c r="X47" s="1"/>
      <c r="Y47" s="1"/>
      <c r="Z47" s="1"/>
    </row>
    <row r="48" spans="1:26" ht="15.75" customHeight="1" x14ac:dyDescent="0.3">
      <c r="A48" s="123" t="str">
        <f t="shared" ref="A48:A58" si="2">IF(A13="","",A13)</f>
        <v>RESIDENTIAL</v>
      </c>
      <c r="B48" s="124" t="s">
        <v>91</v>
      </c>
      <c r="C48" s="119"/>
      <c r="D48" s="140">
        <v>5820892.5899999999</v>
      </c>
      <c r="E48" s="141">
        <v>7.1477000000000004</v>
      </c>
      <c r="F48" s="138">
        <f t="shared" ref="F48:F58" si="3">D48*E48</f>
        <v>41605993.965543002</v>
      </c>
      <c r="G48" s="106"/>
      <c r="H48" s="140">
        <v>53368.24</v>
      </c>
      <c r="I48" s="141">
        <v>7.1477000000000004</v>
      </c>
      <c r="J48" s="138">
        <f t="shared" ref="J48:J58" si="4">H48*I48</f>
        <v>381460.16904800001</v>
      </c>
      <c r="K48" s="194"/>
      <c r="L48" s="1"/>
      <c r="M48" s="171" t="s">
        <v>40</v>
      </c>
      <c r="N48" s="172" t="s">
        <v>91</v>
      </c>
      <c r="O48" s="140">
        <v>234210.32</v>
      </c>
      <c r="P48" s="141">
        <v>5.9786000000000001</v>
      </c>
      <c r="Q48" s="173">
        <f t="shared" ref="Q48:Q58" si="5">O48*P48</f>
        <v>1400249.8191520001</v>
      </c>
      <c r="R48" s="164"/>
      <c r="S48" s="172">
        <v>2147.33</v>
      </c>
      <c r="T48" s="141">
        <v>5.9786000000000001</v>
      </c>
      <c r="U48" s="141">
        <f t="shared" ref="U48:U58" si="6">S48*T48</f>
        <v>12838.027137999999</v>
      </c>
      <c r="V48" s="208"/>
      <c r="W48" s="1"/>
      <c r="X48" s="1"/>
      <c r="Y48" s="1"/>
      <c r="Z48" s="1"/>
    </row>
    <row r="49" spans="1:26" ht="15.75" customHeight="1" x14ac:dyDescent="0.3">
      <c r="A49" s="123" t="str">
        <f t="shared" si="2"/>
        <v>GENERAL SERVICE &lt;50KW</v>
      </c>
      <c r="B49" s="124" t="s">
        <v>91</v>
      </c>
      <c r="C49" s="127"/>
      <c r="D49" s="140">
        <v>1232521.67</v>
      </c>
      <c r="E49" s="141">
        <v>7.1477000000000004</v>
      </c>
      <c r="F49" s="138">
        <f t="shared" si="3"/>
        <v>8809695.1406590007</v>
      </c>
      <c r="G49" s="106"/>
      <c r="H49" s="140">
        <v>209787.08</v>
      </c>
      <c r="I49" s="141">
        <v>7.1477000000000004</v>
      </c>
      <c r="J49" s="138">
        <f t="shared" si="4"/>
        <v>1499495.1117159999</v>
      </c>
      <c r="K49" s="195"/>
      <c r="L49" s="1"/>
      <c r="M49" s="171" t="s">
        <v>42</v>
      </c>
      <c r="N49" s="172" t="s">
        <v>91</v>
      </c>
      <c r="O49" s="140">
        <v>49591.93</v>
      </c>
      <c r="P49" s="141">
        <v>5.9786000000000001</v>
      </c>
      <c r="Q49" s="173">
        <f t="shared" si="5"/>
        <v>296490.31269799999</v>
      </c>
      <c r="R49" s="164"/>
      <c r="S49" s="172">
        <v>8441.02</v>
      </c>
      <c r="T49" s="141">
        <v>5.9786000000000001</v>
      </c>
      <c r="U49" s="141">
        <f t="shared" si="6"/>
        <v>50465.482172000004</v>
      </c>
      <c r="V49" s="209"/>
      <c r="W49" s="1"/>
      <c r="X49" s="1"/>
      <c r="Y49" s="1"/>
      <c r="Z49" s="1"/>
    </row>
    <row r="50" spans="1:26" ht="15.75" customHeight="1" x14ac:dyDescent="0.3">
      <c r="A50" s="123" t="str">
        <f t="shared" si="2"/>
        <v>GENERAL SERVICE 1000-1500KW</v>
      </c>
      <c r="B50" s="124" t="s">
        <v>91</v>
      </c>
      <c r="C50" s="127"/>
      <c r="D50" s="140">
        <v>590891.69999999995</v>
      </c>
      <c r="E50" s="141">
        <v>7.1477000000000004</v>
      </c>
      <c r="F50" s="138">
        <f t="shared" si="3"/>
        <v>4223516.6040899996</v>
      </c>
      <c r="G50" s="106"/>
      <c r="H50" s="140">
        <v>4467348.05</v>
      </c>
      <c r="I50" s="141">
        <v>7.1477000000000004</v>
      </c>
      <c r="J50" s="138">
        <f t="shared" si="4"/>
        <v>31931263.656985</v>
      </c>
      <c r="K50" s="195"/>
      <c r="L50" s="1"/>
      <c r="M50" s="171" t="s">
        <v>43</v>
      </c>
      <c r="N50" s="172" t="s">
        <v>91</v>
      </c>
      <c r="O50" s="140">
        <v>23775.279999999999</v>
      </c>
      <c r="P50" s="141">
        <v>5.9786000000000001</v>
      </c>
      <c r="Q50" s="173">
        <f t="shared" si="5"/>
        <v>142142.889008</v>
      </c>
      <c r="R50" s="164"/>
      <c r="S50" s="172">
        <v>179749.41</v>
      </c>
      <c r="T50" s="141">
        <v>5.9786000000000001</v>
      </c>
      <c r="U50" s="141">
        <f t="shared" si="6"/>
        <v>1074649.822626</v>
      </c>
      <c r="V50" s="209"/>
      <c r="W50" s="1"/>
      <c r="X50" s="1"/>
      <c r="Y50" s="1"/>
      <c r="Z50" s="1"/>
    </row>
    <row r="51" spans="1:26" ht="15.75" customHeight="1" x14ac:dyDescent="0.3">
      <c r="A51" s="123" t="str">
        <f t="shared" si="2"/>
        <v>GENERAL SERVICE 1500-5000 KW</v>
      </c>
      <c r="B51" s="124" t="s">
        <v>91</v>
      </c>
      <c r="C51" s="127"/>
      <c r="D51" s="140">
        <v>0</v>
      </c>
      <c r="E51" s="141">
        <v>7.1477000000000004</v>
      </c>
      <c r="F51" s="138">
        <f t="shared" si="3"/>
        <v>0</v>
      </c>
      <c r="G51" s="106"/>
      <c r="H51" s="140">
        <v>1140767.1100000001</v>
      </c>
      <c r="I51" s="141">
        <v>7.1477000000000004</v>
      </c>
      <c r="J51" s="138">
        <f t="shared" si="4"/>
        <v>8153861.0721470015</v>
      </c>
      <c r="K51" s="195"/>
      <c r="L51" s="1"/>
      <c r="M51" s="171" t="s">
        <v>44</v>
      </c>
      <c r="N51" s="172" t="s">
        <v>91</v>
      </c>
      <c r="O51" s="140">
        <v>0</v>
      </c>
      <c r="P51" s="141">
        <v>5.9786000000000001</v>
      </c>
      <c r="Q51" s="173">
        <f t="shared" si="5"/>
        <v>0</v>
      </c>
      <c r="R51" s="164"/>
      <c r="S51" s="172">
        <v>45900.08</v>
      </c>
      <c r="T51" s="141">
        <v>5.9786000000000001</v>
      </c>
      <c r="U51" s="141">
        <f t="shared" si="6"/>
        <v>274418.21828800003</v>
      </c>
      <c r="V51" s="209"/>
      <c r="W51" s="1"/>
      <c r="X51" s="1"/>
      <c r="Y51" s="1"/>
      <c r="Z51" s="1"/>
    </row>
    <row r="52" spans="1:26" ht="15.75" customHeight="1" x14ac:dyDescent="0.3">
      <c r="A52" s="123" t="str">
        <f t="shared" si="2"/>
        <v>LARGE USER</v>
      </c>
      <c r="B52" s="124" t="s">
        <v>91</v>
      </c>
      <c r="C52" s="127"/>
      <c r="D52" s="140">
        <v>0</v>
      </c>
      <c r="E52" s="141">
        <v>7.1477000000000004</v>
      </c>
      <c r="F52" s="138">
        <f t="shared" si="3"/>
        <v>0</v>
      </c>
      <c r="G52" s="106"/>
      <c r="H52" s="140">
        <v>873656.86</v>
      </c>
      <c r="I52" s="141">
        <v>7.1477000000000004</v>
      </c>
      <c r="J52" s="138">
        <f t="shared" si="4"/>
        <v>6244637.1382220006</v>
      </c>
      <c r="K52" s="195"/>
      <c r="L52" s="1"/>
      <c r="M52" s="171" t="s">
        <v>45</v>
      </c>
      <c r="N52" s="172" t="s">
        <v>91</v>
      </c>
      <c r="O52" s="140">
        <v>0</v>
      </c>
      <c r="P52" s="141">
        <v>5.9786000000000001</v>
      </c>
      <c r="Q52" s="173">
        <f t="shared" si="5"/>
        <v>0</v>
      </c>
      <c r="R52" s="164"/>
      <c r="S52" s="172">
        <v>35152.589999999997</v>
      </c>
      <c r="T52" s="141">
        <v>5.9786000000000001</v>
      </c>
      <c r="U52" s="141">
        <f t="shared" si="6"/>
        <v>210163.27457399998</v>
      </c>
      <c r="V52" s="209"/>
      <c r="W52" s="1"/>
      <c r="X52" s="1"/>
      <c r="Y52" s="1"/>
      <c r="Z52" s="1"/>
    </row>
    <row r="53" spans="1:26" ht="15.75" customHeight="1" x14ac:dyDescent="0.3">
      <c r="A53" s="123" t="str">
        <f t="shared" si="2"/>
        <v>STREETLIGHTING</v>
      </c>
      <c r="B53" s="124" t="s">
        <v>91</v>
      </c>
      <c r="C53" s="127"/>
      <c r="D53" s="140">
        <v>0</v>
      </c>
      <c r="E53" s="141">
        <v>7.1477000000000004</v>
      </c>
      <c r="F53" s="138">
        <f t="shared" si="3"/>
        <v>0</v>
      </c>
      <c r="G53" s="106"/>
      <c r="H53" s="140">
        <v>23493</v>
      </c>
      <c r="I53" s="141">
        <v>7.1477000000000004</v>
      </c>
      <c r="J53" s="138">
        <f t="shared" si="4"/>
        <v>167920.9161</v>
      </c>
      <c r="K53" s="195"/>
      <c r="L53" s="1"/>
      <c r="M53" s="171" t="s">
        <v>46</v>
      </c>
      <c r="N53" s="172" t="s">
        <v>91</v>
      </c>
      <c r="O53" s="140">
        <v>0</v>
      </c>
      <c r="P53" s="141">
        <v>5.9786000000000001</v>
      </c>
      <c r="Q53" s="173">
        <f t="shared" si="5"/>
        <v>0</v>
      </c>
      <c r="R53" s="164"/>
      <c r="S53" s="172">
        <v>945.27</v>
      </c>
      <c r="T53" s="141">
        <v>5.9786000000000001</v>
      </c>
      <c r="U53" s="141">
        <f t="shared" si="6"/>
        <v>5651.3912220000002</v>
      </c>
      <c r="V53" s="209"/>
      <c r="W53" s="1"/>
      <c r="X53" s="1"/>
      <c r="Y53" s="1"/>
      <c r="Z53" s="1"/>
    </row>
    <row r="54" spans="1:26" ht="15.75" customHeight="1" x14ac:dyDescent="0.3">
      <c r="A54" s="123" t="str">
        <f t="shared" si="2"/>
        <v>SENTINEL LIGHTS</v>
      </c>
      <c r="B54" s="124" t="s">
        <v>91</v>
      </c>
      <c r="C54" s="119"/>
      <c r="D54" s="140">
        <v>43.29</v>
      </c>
      <c r="E54" s="141">
        <v>7.1477000000000004</v>
      </c>
      <c r="F54" s="138">
        <f t="shared" si="3"/>
        <v>309.42393300000003</v>
      </c>
      <c r="G54" s="106"/>
      <c r="H54" s="140">
        <v>0</v>
      </c>
      <c r="I54" s="141">
        <v>7.1477000000000004</v>
      </c>
      <c r="J54" s="138">
        <f t="shared" si="4"/>
        <v>0</v>
      </c>
      <c r="K54" s="195"/>
      <c r="L54" s="1"/>
      <c r="M54" s="171" t="s">
        <v>47</v>
      </c>
      <c r="N54" s="172" t="s">
        <v>91</v>
      </c>
      <c r="O54" s="140">
        <v>1.74</v>
      </c>
      <c r="P54" s="141">
        <v>5.9786000000000001</v>
      </c>
      <c r="Q54" s="173">
        <f t="shared" si="5"/>
        <v>10.402763999999999</v>
      </c>
      <c r="R54" s="164"/>
      <c r="S54" s="172">
        <v>0</v>
      </c>
      <c r="T54" s="141">
        <v>5.9786000000000001</v>
      </c>
      <c r="U54" s="141">
        <f t="shared" si="6"/>
        <v>0</v>
      </c>
      <c r="V54" s="209"/>
      <c r="W54" s="1"/>
      <c r="X54" s="1"/>
      <c r="Y54" s="1"/>
      <c r="Z54" s="1"/>
    </row>
    <row r="55" spans="1:26" ht="15.75" customHeight="1" x14ac:dyDescent="0.3">
      <c r="A55" s="123" t="str">
        <f t="shared" si="2"/>
        <v>UNMETERED SCATTERED LOADS</v>
      </c>
      <c r="B55" s="124" t="s">
        <v>91</v>
      </c>
      <c r="C55" s="119"/>
      <c r="D55" s="140">
        <v>17258.990000000002</v>
      </c>
      <c r="E55" s="141">
        <v>7.1477000000000004</v>
      </c>
      <c r="F55" s="138">
        <f t="shared" si="3"/>
        <v>123362.08282300002</v>
      </c>
      <c r="G55" s="106"/>
      <c r="H55" s="140">
        <v>0</v>
      </c>
      <c r="I55" s="141">
        <v>7.1477000000000004</v>
      </c>
      <c r="J55" s="138">
        <f t="shared" si="4"/>
        <v>0</v>
      </c>
      <c r="K55" s="195"/>
      <c r="L55" s="1"/>
      <c r="M55" s="171" t="s">
        <v>48</v>
      </c>
      <c r="N55" s="172" t="s">
        <v>91</v>
      </c>
      <c r="O55" s="140">
        <v>694.44</v>
      </c>
      <c r="P55" s="141">
        <v>5.9786000000000001</v>
      </c>
      <c r="Q55" s="173">
        <f t="shared" si="5"/>
        <v>4151.7789840000005</v>
      </c>
      <c r="R55" s="164"/>
      <c r="S55" s="172">
        <v>0</v>
      </c>
      <c r="T55" s="141">
        <v>5.9786000000000001</v>
      </c>
      <c r="U55" s="141">
        <f t="shared" si="6"/>
        <v>0</v>
      </c>
      <c r="V55" s="209"/>
      <c r="W55" s="1"/>
      <c r="X55" s="1"/>
      <c r="Y55" s="1"/>
      <c r="Z55" s="1"/>
    </row>
    <row r="56" spans="1:26" ht="15.75" customHeight="1" x14ac:dyDescent="0.3">
      <c r="A56" s="123" t="str">
        <f t="shared" si="2"/>
        <v>DRYCORE</v>
      </c>
      <c r="B56" s="124" t="s">
        <v>91</v>
      </c>
      <c r="C56" s="119"/>
      <c r="D56" s="140">
        <v>0</v>
      </c>
      <c r="E56" s="141">
        <v>7.1477000000000004</v>
      </c>
      <c r="F56" s="138">
        <f t="shared" si="3"/>
        <v>0</v>
      </c>
      <c r="G56" s="106"/>
      <c r="H56" s="140">
        <v>562.79</v>
      </c>
      <c r="I56" s="141">
        <v>7.1477000000000004</v>
      </c>
      <c r="J56" s="138">
        <f t="shared" si="4"/>
        <v>4022.6540829999999</v>
      </c>
      <c r="K56" s="195"/>
      <c r="L56" s="1"/>
      <c r="M56" s="171" t="s">
        <v>49</v>
      </c>
      <c r="N56" s="172" t="s">
        <v>91</v>
      </c>
      <c r="O56" s="140">
        <v>0</v>
      </c>
      <c r="P56" s="141">
        <v>5.9786000000000001</v>
      </c>
      <c r="Q56" s="173">
        <f t="shared" si="5"/>
        <v>0</v>
      </c>
      <c r="R56" s="164"/>
      <c r="S56" s="172">
        <v>22.64</v>
      </c>
      <c r="T56" s="141">
        <v>5.9786000000000001</v>
      </c>
      <c r="U56" s="141">
        <f t="shared" si="6"/>
        <v>135.355504</v>
      </c>
      <c r="V56" s="209"/>
      <c r="W56" s="1"/>
      <c r="X56" s="1"/>
      <c r="Y56" s="1"/>
      <c r="Z56" s="1"/>
    </row>
    <row r="57" spans="1:26" ht="15.75" customHeight="1" x14ac:dyDescent="0.3">
      <c r="A57" s="123" t="str">
        <f t="shared" si="2"/>
        <v/>
      </c>
      <c r="B57" s="124"/>
      <c r="C57" s="119"/>
      <c r="D57" s="140"/>
      <c r="E57" s="141">
        <v>7.1477000000000004</v>
      </c>
      <c r="F57" s="138">
        <f t="shared" si="3"/>
        <v>0</v>
      </c>
      <c r="G57" s="106"/>
      <c r="H57" s="140"/>
      <c r="I57" s="141">
        <v>7.1477000000000004</v>
      </c>
      <c r="J57" s="138">
        <f t="shared" si="4"/>
        <v>0</v>
      </c>
      <c r="K57" s="195"/>
      <c r="L57" s="1"/>
      <c r="M57" s="171"/>
      <c r="N57" s="172"/>
      <c r="O57" s="140"/>
      <c r="P57" s="141">
        <v>5.9786000000000001</v>
      </c>
      <c r="Q57" s="173">
        <f t="shared" si="5"/>
        <v>0</v>
      </c>
      <c r="R57" s="164"/>
      <c r="S57" s="172"/>
      <c r="T57" s="141">
        <v>5.9786000000000001</v>
      </c>
      <c r="U57" s="141">
        <f t="shared" si="6"/>
        <v>0</v>
      </c>
      <c r="V57" s="209"/>
      <c r="W57" s="1"/>
      <c r="X57" s="1"/>
      <c r="Y57" s="1"/>
      <c r="Z57" s="1"/>
    </row>
    <row r="58" spans="1:26" ht="15.75" customHeight="1" x14ac:dyDescent="0.3">
      <c r="A58" s="123" t="str">
        <f t="shared" si="2"/>
        <v/>
      </c>
      <c r="B58" s="124"/>
      <c r="C58" s="119"/>
      <c r="D58" s="140"/>
      <c r="E58" s="141">
        <v>7.1477000000000004</v>
      </c>
      <c r="F58" s="138">
        <f t="shared" si="3"/>
        <v>0</v>
      </c>
      <c r="G58" s="106"/>
      <c r="H58" s="140"/>
      <c r="I58" s="141">
        <v>7.1477000000000004</v>
      </c>
      <c r="J58" s="138">
        <f t="shared" si="4"/>
        <v>0</v>
      </c>
      <c r="K58" s="196"/>
      <c r="L58" s="1"/>
      <c r="M58" s="171"/>
      <c r="N58" s="172"/>
      <c r="O58" s="140"/>
      <c r="P58" s="141">
        <v>5.9786000000000001</v>
      </c>
      <c r="Q58" s="173">
        <f t="shared" si="5"/>
        <v>0</v>
      </c>
      <c r="R58" s="164"/>
      <c r="S58" s="172"/>
      <c r="T58" s="141">
        <v>5.9786000000000001</v>
      </c>
      <c r="U58" s="141">
        <f t="shared" si="6"/>
        <v>0</v>
      </c>
      <c r="V58" s="206"/>
      <c r="W58" s="1"/>
      <c r="X58" s="1"/>
      <c r="Y58" s="1"/>
      <c r="Z58" s="1"/>
    </row>
    <row r="59" spans="1:26" ht="15.75" customHeight="1" x14ac:dyDescent="0.3">
      <c r="A59" s="118" t="s">
        <v>73</v>
      </c>
      <c r="B59" s="137"/>
      <c r="C59" s="119"/>
      <c r="D59" s="138"/>
      <c r="E59" s="142"/>
      <c r="F59" s="179">
        <f>SUM(F48:F58)</f>
        <v>54762877.217048004</v>
      </c>
      <c r="G59" s="123"/>
      <c r="H59" s="120"/>
      <c r="I59" s="123"/>
      <c r="J59" s="179">
        <f>SUM(J48:J58)</f>
        <v>48382660.718301006</v>
      </c>
      <c r="K59" s="179">
        <f>F59+J59</f>
        <v>103145537.93534902</v>
      </c>
      <c r="L59" s="1"/>
      <c r="M59" s="168" t="s">
        <v>73</v>
      </c>
      <c r="N59" s="174"/>
      <c r="O59" s="173">
        <v>298292.27</v>
      </c>
      <c r="P59" s="175"/>
      <c r="Q59" s="181">
        <f>SUM(Q48:Q58)</f>
        <v>1843045.202606</v>
      </c>
      <c r="R59" s="164"/>
      <c r="S59" s="176"/>
      <c r="T59" s="175"/>
      <c r="U59" s="182">
        <f>SUM(U48:U58)</f>
        <v>1628321.571524</v>
      </c>
      <c r="V59" s="182">
        <f>Q59+U59</f>
        <v>3471366.7741299998</v>
      </c>
      <c r="W59" s="1"/>
      <c r="X59" s="1"/>
      <c r="Y59" s="1"/>
      <c r="Z59" s="1"/>
    </row>
    <row r="60" spans="1:26" ht="5.25" customHeight="1" x14ac:dyDescent="0.3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"/>
      <c r="M60" s="164"/>
      <c r="N60" s="164"/>
      <c r="O60" s="164"/>
      <c r="P60" s="164"/>
      <c r="Q60" s="164"/>
      <c r="R60" s="164"/>
      <c r="S60" s="177"/>
      <c r="T60" s="164"/>
      <c r="U60" s="164"/>
      <c r="V60" s="164"/>
      <c r="W60" s="1"/>
      <c r="X60" s="1"/>
      <c r="Y60" s="1"/>
      <c r="Z60" s="1"/>
    </row>
    <row r="61" spans="1:26" ht="15.75" customHeight="1" x14ac:dyDescent="0.3">
      <c r="A61" s="112" t="s">
        <v>92</v>
      </c>
      <c r="B61" s="197"/>
      <c r="C61" s="113"/>
      <c r="D61" s="194"/>
      <c r="E61" s="194"/>
      <c r="F61" s="199"/>
      <c r="G61" s="116"/>
      <c r="H61" s="202"/>
      <c r="I61" s="194"/>
      <c r="J61" s="199" t="s">
        <v>70</v>
      </c>
      <c r="K61" s="194" t="s">
        <v>65</v>
      </c>
      <c r="L61" s="1"/>
      <c r="M61" s="165" t="s">
        <v>93</v>
      </c>
      <c r="N61" s="166"/>
      <c r="O61" s="167" t="s">
        <v>68</v>
      </c>
      <c r="P61" s="167" t="s">
        <v>69</v>
      </c>
      <c r="Q61" s="203" t="s">
        <v>70</v>
      </c>
      <c r="R61" s="164"/>
      <c r="S61" s="205" t="s">
        <v>68</v>
      </c>
      <c r="T61" s="207" t="s">
        <v>69</v>
      </c>
      <c r="U61" s="203" t="s">
        <v>70</v>
      </c>
      <c r="V61" s="207" t="s">
        <v>65</v>
      </c>
      <c r="W61" s="1"/>
      <c r="X61" s="1"/>
      <c r="Y61" s="1"/>
      <c r="Z61" s="1"/>
    </row>
    <row r="62" spans="1:26" ht="15.75" customHeight="1" x14ac:dyDescent="0.3">
      <c r="A62" s="118" t="s">
        <v>75</v>
      </c>
      <c r="B62" s="198"/>
      <c r="C62" s="139"/>
      <c r="D62" s="196"/>
      <c r="E62" s="196"/>
      <c r="F62" s="200"/>
      <c r="G62" s="116"/>
      <c r="H62" s="196"/>
      <c r="I62" s="196"/>
      <c r="J62" s="200"/>
      <c r="K62" s="196"/>
      <c r="L62" s="1"/>
      <c r="M62" s="168" t="s">
        <v>72</v>
      </c>
      <c r="N62" s="169"/>
      <c r="O62" s="170"/>
      <c r="P62" s="170"/>
      <c r="Q62" s="204"/>
      <c r="R62" s="164"/>
      <c r="S62" s="206"/>
      <c r="T62" s="206"/>
      <c r="U62" s="204"/>
      <c r="V62" s="206"/>
      <c r="W62" s="1"/>
      <c r="X62" s="1"/>
      <c r="Y62" s="1"/>
      <c r="Z62" s="1"/>
    </row>
    <row r="63" spans="1:26" ht="15.75" customHeight="1" x14ac:dyDescent="0.3">
      <c r="A63" s="123" t="str">
        <f t="shared" ref="A63:A73" si="7">IF(A48="","",A48)</f>
        <v>RESIDENTIAL</v>
      </c>
      <c r="B63" s="124" t="s">
        <v>91</v>
      </c>
      <c r="C63" s="119"/>
      <c r="D63" s="140">
        <v>10154093.32</v>
      </c>
      <c r="E63" s="141">
        <v>2.2818999999999998</v>
      </c>
      <c r="F63" s="138">
        <f t="shared" ref="F63:F73" si="8">D63*E63</f>
        <v>23170625.546907999</v>
      </c>
      <c r="G63" s="106"/>
      <c r="H63" s="140">
        <v>93096.73</v>
      </c>
      <c r="I63" s="141">
        <v>2.2818999999999998</v>
      </c>
      <c r="J63" s="138">
        <f t="shared" ref="J63:J73" si="9">H63*I63</f>
        <v>212437.42818699998</v>
      </c>
      <c r="K63" s="194"/>
      <c r="L63" s="1"/>
      <c r="M63" s="171" t="s">
        <v>40</v>
      </c>
      <c r="N63" s="172" t="s">
        <v>91</v>
      </c>
      <c r="O63" s="140">
        <v>258177.76</v>
      </c>
      <c r="P63" s="141">
        <v>3.58</v>
      </c>
      <c r="Q63" s="173">
        <f t="shared" ref="Q63:Q73" si="10">O63*P63</f>
        <v>924276.38080000004</v>
      </c>
      <c r="R63" s="164"/>
      <c r="S63" s="172">
        <v>2367.08</v>
      </c>
      <c r="T63" s="141">
        <v>3.58</v>
      </c>
      <c r="U63" s="141">
        <f t="shared" ref="U63:U73" si="11">S63*T63</f>
        <v>8474.1463999999996</v>
      </c>
      <c r="V63" s="208"/>
      <c r="W63" s="1"/>
      <c r="X63" s="1"/>
      <c r="Y63" s="1"/>
      <c r="Z63" s="1"/>
    </row>
    <row r="64" spans="1:26" ht="15.75" customHeight="1" x14ac:dyDescent="0.3">
      <c r="A64" s="123" t="str">
        <f t="shared" si="7"/>
        <v>GENERAL SERVICE &lt;50KW</v>
      </c>
      <c r="B64" s="124" t="s">
        <v>91</v>
      </c>
      <c r="C64" s="119"/>
      <c r="D64" s="140">
        <v>2150037.96</v>
      </c>
      <c r="E64" s="141">
        <v>2.2818999999999998</v>
      </c>
      <c r="F64" s="138">
        <f t="shared" si="8"/>
        <v>4906171.6209239997</v>
      </c>
      <c r="G64" s="106"/>
      <c r="H64" s="140">
        <v>365957.21</v>
      </c>
      <c r="I64" s="141">
        <v>2.2818999999999998</v>
      </c>
      <c r="J64" s="138">
        <f t="shared" si="9"/>
        <v>835077.75749899994</v>
      </c>
      <c r="K64" s="195"/>
      <c r="L64" s="1"/>
      <c r="M64" s="171" t="s">
        <v>42</v>
      </c>
      <c r="N64" s="172" t="s">
        <v>91</v>
      </c>
      <c r="O64" s="140">
        <v>54666.82</v>
      </c>
      <c r="P64" s="141">
        <v>3.58</v>
      </c>
      <c r="Q64" s="173">
        <f t="shared" si="10"/>
        <v>195707.2156</v>
      </c>
      <c r="R64" s="164"/>
      <c r="S64" s="172">
        <v>9304.82</v>
      </c>
      <c r="T64" s="141">
        <v>3.58</v>
      </c>
      <c r="U64" s="141">
        <f t="shared" si="11"/>
        <v>33311.255599999997</v>
      </c>
      <c r="V64" s="209"/>
      <c r="W64" s="1"/>
      <c r="X64" s="1"/>
      <c r="Y64" s="1"/>
      <c r="Z64" s="1"/>
    </row>
    <row r="65" spans="1:26" ht="15.75" customHeight="1" x14ac:dyDescent="0.3">
      <c r="A65" s="123" t="str">
        <f t="shared" si="7"/>
        <v>GENERAL SERVICE 1000-1500KW</v>
      </c>
      <c r="B65" s="124" t="s">
        <v>91</v>
      </c>
      <c r="C65" s="119"/>
      <c r="D65" s="140">
        <v>1030767.45</v>
      </c>
      <c r="E65" s="141">
        <v>2.2818999999999998</v>
      </c>
      <c r="F65" s="138">
        <f t="shared" si="8"/>
        <v>2352108.2441549995</v>
      </c>
      <c r="G65" s="106"/>
      <c r="H65" s="140">
        <v>7792962.6200000001</v>
      </c>
      <c r="I65" s="141">
        <v>2.2818999999999998</v>
      </c>
      <c r="J65" s="138">
        <f t="shared" si="9"/>
        <v>17782761.402578</v>
      </c>
      <c r="K65" s="195"/>
      <c r="L65" s="1"/>
      <c r="M65" s="171" t="s">
        <v>43</v>
      </c>
      <c r="N65" s="172" t="s">
        <v>91</v>
      </c>
      <c r="O65" s="140">
        <v>26208.27</v>
      </c>
      <c r="P65" s="141">
        <v>3.58</v>
      </c>
      <c r="Q65" s="173">
        <f t="shared" si="10"/>
        <v>93825.606599999999</v>
      </c>
      <c r="R65" s="164"/>
      <c r="S65" s="172">
        <v>198143.7</v>
      </c>
      <c r="T65" s="141">
        <v>3.58</v>
      </c>
      <c r="U65" s="141">
        <f t="shared" si="11"/>
        <v>709354.44600000011</v>
      </c>
      <c r="V65" s="209"/>
      <c r="W65" s="1"/>
      <c r="X65" s="1"/>
      <c r="Y65" s="1"/>
      <c r="Z65" s="1"/>
    </row>
    <row r="66" spans="1:26" ht="15.75" customHeight="1" x14ac:dyDescent="0.3">
      <c r="A66" s="123" t="str">
        <f t="shared" si="7"/>
        <v>GENERAL SERVICE 1500-5000 KW</v>
      </c>
      <c r="B66" s="124" t="s">
        <v>91</v>
      </c>
      <c r="C66" s="119"/>
      <c r="D66" s="140">
        <v>0</v>
      </c>
      <c r="E66" s="141">
        <v>2.2818999999999998</v>
      </c>
      <c r="F66" s="138">
        <f t="shared" si="8"/>
        <v>0</v>
      </c>
      <c r="G66" s="106"/>
      <c r="H66" s="140">
        <v>1989979.29</v>
      </c>
      <c r="I66" s="141">
        <v>2.2818999999999998</v>
      </c>
      <c r="J66" s="138">
        <f t="shared" si="9"/>
        <v>4540933.7418510001</v>
      </c>
      <c r="K66" s="195"/>
      <c r="L66" s="1"/>
      <c r="M66" s="171" t="s">
        <v>44</v>
      </c>
      <c r="N66" s="172" t="s">
        <v>91</v>
      </c>
      <c r="O66" s="140">
        <v>0</v>
      </c>
      <c r="P66" s="141">
        <v>3.58</v>
      </c>
      <c r="Q66" s="173">
        <f t="shared" si="10"/>
        <v>0</v>
      </c>
      <c r="R66" s="164"/>
      <c r="S66" s="172">
        <v>50597.17</v>
      </c>
      <c r="T66" s="141">
        <v>3.58</v>
      </c>
      <c r="U66" s="141">
        <f t="shared" si="11"/>
        <v>181137.86859999999</v>
      </c>
      <c r="V66" s="209"/>
      <c r="W66" s="1"/>
      <c r="X66" s="1"/>
      <c r="Y66" s="1"/>
      <c r="Z66" s="1"/>
    </row>
    <row r="67" spans="1:26" ht="15.75" customHeight="1" x14ac:dyDescent="0.3">
      <c r="A67" s="123" t="str">
        <f t="shared" si="7"/>
        <v>LARGE USER</v>
      </c>
      <c r="B67" s="124" t="s">
        <v>91</v>
      </c>
      <c r="C67" s="119"/>
      <c r="D67" s="140">
        <v>0</v>
      </c>
      <c r="E67" s="141">
        <v>2.2818999999999998</v>
      </c>
      <c r="F67" s="138">
        <f t="shared" si="8"/>
        <v>0</v>
      </c>
      <c r="G67" s="106"/>
      <c r="H67" s="140">
        <v>1524026.29</v>
      </c>
      <c r="I67" s="141">
        <v>2.2818999999999998</v>
      </c>
      <c r="J67" s="138">
        <f t="shared" si="9"/>
        <v>3477675.591151</v>
      </c>
      <c r="K67" s="195"/>
      <c r="L67" s="1"/>
      <c r="M67" s="171" t="s">
        <v>45</v>
      </c>
      <c r="N67" s="172" t="s">
        <v>91</v>
      </c>
      <c r="O67" s="140">
        <v>0</v>
      </c>
      <c r="P67" s="141">
        <v>3.58</v>
      </c>
      <c r="Q67" s="173">
        <f t="shared" si="10"/>
        <v>0</v>
      </c>
      <c r="R67" s="164"/>
      <c r="S67" s="172">
        <v>38749.86</v>
      </c>
      <c r="T67" s="141">
        <v>3.58</v>
      </c>
      <c r="U67" s="141">
        <f t="shared" si="11"/>
        <v>138724.4988</v>
      </c>
      <c r="V67" s="209"/>
      <c r="W67" s="1"/>
      <c r="X67" s="1"/>
      <c r="Y67" s="1"/>
      <c r="Z67" s="1"/>
    </row>
    <row r="68" spans="1:26" ht="15.75" customHeight="1" x14ac:dyDescent="0.3">
      <c r="A68" s="123" t="str">
        <f t="shared" si="7"/>
        <v>STREETLIGHTING</v>
      </c>
      <c r="B68" s="124" t="s">
        <v>91</v>
      </c>
      <c r="C68" s="129"/>
      <c r="D68" s="140">
        <v>0</v>
      </c>
      <c r="E68" s="141">
        <v>2.2818999999999998</v>
      </c>
      <c r="F68" s="138">
        <f t="shared" si="8"/>
        <v>0</v>
      </c>
      <c r="G68" s="106"/>
      <c r="H68" s="140">
        <v>40981.71</v>
      </c>
      <c r="I68" s="141">
        <v>2.2818999999999998</v>
      </c>
      <c r="J68" s="138">
        <f t="shared" si="9"/>
        <v>93516.164048999985</v>
      </c>
      <c r="K68" s="195"/>
      <c r="L68" s="1"/>
      <c r="M68" s="171" t="s">
        <v>46</v>
      </c>
      <c r="N68" s="172" t="s">
        <v>91</v>
      </c>
      <c r="O68" s="140">
        <v>0</v>
      </c>
      <c r="P68" s="141">
        <v>3.58</v>
      </c>
      <c r="Q68" s="173">
        <f t="shared" si="10"/>
        <v>0</v>
      </c>
      <c r="R68" s="164"/>
      <c r="S68" s="172">
        <v>1042</v>
      </c>
      <c r="T68" s="141">
        <v>3.58</v>
      </c>
      <c r="U68" s="141">
        <f t="shared" si="11"/>
        <v>3730.36</v>
      </c>
      <c r="V68" s="209"/>
      <c r="W68" s="1"/>
      <c r="X68" s="1"/>
      <c r="Y68" s="1"/>
      <c r="Z68" s="1"/>
    </row>
    <row r="69" spans="1:26" ht="15.75" customHeight="1" x14ac:dyDescent="0.3">
      <c r="A69" s="123" t="str">
        <f t="shared" si="7"/>
        <v>SENTINEL LIGHTS</v>
      </c>
      <c r="B69" s="124" t="s">
        <v>91</v>
      </c>
      <c r="C69" s="143"/>
      <c r="D69" s="140">
        <v>75.52</v>
      </c>
      <c r="E69" s="141">
        <v>2.2818999999999998</v>
      </c>
      <c r="F69" s="138">
        <f t="shared" si="8"/>
        <v>172.32908799999998</v>
      </c>
      <c r="G69" s="106"/>
      <c r="H69" s="140">
        <v>0</v>
      </c>
      <c r="I69" s="141">
        <v>2.2818999999999998</v>
      </c>
      <c r="J69" s="138">
        <f t="shared" si="9"/>
        <v>0</v>
      </c>
      <c r="K69" s="195"/>
      <c r="L69" s="1"/>
      <c r="M69" s="171" t="s">
        <v>47</v>
      </c>
      <c r="N69" s="172" t="s">
        <v>91</v>
      </c>
      <c r="O69" s="140">
        <v>1.92</v>
      </c>
      <c r="P69" s="141">
        <v>3.58</v>
      </c>
      <c r="Q69" s="173">
        <f t="shared" si="10"/>
        <v>6.8735999999999997</v>
      </c>
      <c r="R69" s="164"/>
      <c r="S69" s="172">
        <v>0</v>
      </c>
      <c r="T69" s="141">
        <v>3.58</v>
      </c>
      <c r="U69" s="141">
        <f t="shared" si="11"/>
        <v>0</v>
      </c>
      <c r="V69" s="209"/>
      <c r="W69" s="1"/>
      <c r="X69" s="1"/>
      <c r="Y69" s="1"/>
      <c r="Z69" s="1"/>
    </row>
    <row r="70" spans="1:26" ht="15.75" customHeight="1" x14ac:dyDescent="0.3">
      <c r="A70" s="123" t="str">
        <f t="shared" si="7"/>
        <v>UNMETERED SCATTERED LOADS</v>
      </c>
      <c r="B70" s="124" t="s">
        <v>91</v>
      </c>
      <c r="C70" s="143"/>
      <c r="D70" s="140">
        <v>30106.959999999999</v>
      </c>
      <c r="E70" s="141">
        <v>2.2818999999999998</v>
      </c>
      <c r="F70" s="138">
        <f t="shared" si="8"/>
        <v>68701.072023999994</v>
      </c>
      <c r="G70" s="106"/>
      <c r="H70" s="140">
        <v>0</v>
      </c>
      <c r="I70" s="141">
        <v>2.2818999999999998</v>
      </c>
      <c r="J70" s="138">
        <f t="shared" si="9"/>
        <v>0</v>
      </c>
      <c r="K70" s="195"/>
      <c r="L70" s="1"/>
      <c r="M70" s="171" t="s">
        <v>48</v>
      </c>
      <c r="N70" s="172" t="s">
        <v>91</v>
      </c>
      <c r="O70" s="140">
        <v>765.5</v>
      </c>
      <c r="P70" s="141">
        <v>3.58</v>
      </c>
      <c r="Q70" s="173">
        <f t="shared" si="10"/>
        <v>2740.4900000000002</v>
      </c>
      <c r="R70" s="164"/>
      <c r="S70" s="172">
        <v>0</v>
      </c>
      <c r="T70" s="141">
        <v>3.58</v>
      </c>
      <c r="U70" s="141">
        <f t="shared" si="11"/>
        <v>0</v>
      </c>
      <c r="V70" s="209"/>
      <c r="W70" s="1"/>
      <c r="X70" s="1"/>
      <c r="Y70" s="1"/>
      <c r="Z70" s="1"/>
    </row>
    <row r="71" spans="1:26" ht="15.75" customHeight="1" x14ac:dyDescent="0.3">
      <c r="A71" s="123" t="str">
        <f t="shared" si="7"/>
        <v>DRYCORE</v>
      </c>
      <c r="B71" s="124" t="s">
        <v>91</v>
      </c>
      <c r="C71" s="143"/>
      <c r="D71" s="140">
        <v>0</v>
      </c>
      <c r="E71" s="141">
        <v>2.2818999999999998</v>
      </c>
      <c r="F71" s="138">
        <f t="shared" si="8"/>
        <v>0</v>
      </c>
      <c r="G71" s="106"/>
      <c r="H71" s="140">
        <v>981.75</v>
      </c>
      <c r="I71" s="141">
        <v>2.2818999999999998</v>
      </c>
      <c r="J71" s="138">
        <f t="shared" si="9"/>
        <v>2240.2553249999996</v>
      </c>
      <c r="K71" s="195"/>
      <c r="L71" s="1"/>
      <c r="M71" s="171" t="s">
        <v>49</v>
      </c>
      <c r="N71" s="172" t="s">
        <v>91</v>
      </c>
      <c r="O71" s="140">
        <v>0</v>
      </c>
      <c r="P71" s="141">
        <v>3.58</v>
      </c>
      <c r="Q71" s="173">
        <f t="shared" si="10"/>
        <v>0</v>
      </c>
      <c r="R71" s="164"/>
      <c r="S71" s="172">
        <v>24.96</v>
      </c>
      <c r="T71" s="141">
        <v>3.58</v>
      </c>
      <c r="U71" s="141">
        <f t="shared" si="11"/>
        <v>89.356800000000007</v>
      </c>
      <c r="V71" s="209"/>
      <c r="W71" s="1"/>
      <c r="X71" s="1"/>
      <c r="Y71" s="1"/>
      <c r="Z71" s="1"/>
    </row>
    <row r="72" spans="1:26" ht="15.75" customHeight="1" x14ac:dyDescent="0.3">
      <c r="A72" s="123" t="str">
        <f t="shared" si="7"/>
        <v/>
      </c>
      <c r="B72" s="124"/>
      <c r="C72" s="143"/>
      <c r="D72" s="140"/>
      <c r="E72" s="140"/>
      <c r="F72" s="138">
        <f t="shared" si="8"/>
        <v>0</v>
      </c>
      <c r="G72" s="106"/>
      <c r="H72" s="140"/>
      <c r="I72" s="140"/>
      <c r="J72" s="138">
        <f t="shared" si="9"/>
        <v>0</v>
      </c>
      <c r="K72" s="195"/>
      <c r="L72" s="1"/>
      <c r="M72" s="171"/>
      <c r="N72" s="172"/>
      <c r="O72" s="140"/>
      <c r="P72" s="141"/>
      <c r="Q72" s="173">
        <f t="shared" si="10"/>
        <v>0</v>
      </c>
      <c r="R72" s="164"/>
      <c r="S72" s="172"/>
      <c r="T72" s="140"/>
      <c r="U72" s="141">
        <f t="shared" si="11"/>
        <v>0</v>
      </c>
      <c r="V72" s="209"/>
      <c r="W72" s="1"/>
      <c r="X72" s="1"/>
      <c r="Y72" s="1"/>
      <c r="Z72" s="1"/>
    </row>
    <row r="73" spans="1:26" ht="15.75" customHeight="1" x14ac:dyDescent="0.3">
      <c r="A73" s="123" t="str">
        <f t="shared" si="7"/>
        <v/>
      </c>
      <c r="B73" s="124"/>
      <c r="C73" s="143"/>
      <c r="D73" s="140"/>
      <c r="E73" s="140"/>
      <c r="F73" s="138">
        <f t="shared" si="8"/>
        <v>0</v>
      </c>
      <c r="G73" s="106"/>
      <c r="H73" s="140"/>
      <c r="I73" s="140"/>
      <c r="J73" s="138">
        <f t="shared" si="9"/>
        <v>0</v>
      </c>
      <c r="K73" s="196"/>
      <c r="L73" s="1"/>
      <c r="M73" s="171"/>
      <c r="N73" s="172"/>
      <c r="O73" s="140"/>
      <c r="P73" s="141"/>
      <c r="Q73" s="173">
        <f t="shared" si="10"/>
        <v>0</v>
      </c>
      <c r="R73" s="164"/>
      <c r="S73" s="172"/>
      <c r="T73" s="140"/>
      <c r="U73" s="141">
        <f t="shared" si="11"/>
        <v>0</v>
      </c>
      <c r="V73" s="206"/>
      <c r="W73" s="1"/>
      <c r="X73" s="1"/>
      <c r="Y73" s="1"/>
      <c r="Z73" s="1"/>
    </row>
    <row r="74" spans="1:26" ht="15.75" customHeight="1" x14ac:dyDescent="0.3">
      <c r="A74" s="118" t="s">
        <v>73</v>
      </c>
      <c r="B74" s="137"/>
      <c r="C74" s="144"/>
      <c r="D74" s="138"/>
      <c r="E74" s="123"/>
      <c r="F74" s="179">
        <f>SUM(F63:F73)</f>
        <v>30497778.813098997</v>
      </c>
      <c r="G74" s="123"/>
      <c r="H74" s="123"/>
      <c r="I74" s="123"/>
      <c r="J74" s="179">
        <f>SUM(J63:J73)</f>
        <v>26944642.340639997</v>
      </c>
      <c r="K74" s="179">
        <f>F74+J74</f>
        <v>57442421.15373899</v>
      </c>
      <c r="L74" s="1"/>
      <c r="M74" s="168" t="s">
        <v>73</v>
      </c>
      <c r="N74" s="174"/>
      <c r="O74" s="173"/>
      <c r="P74" s="175"/>
      <c r="Q74" s="181">
        <f>SUM(Q63:Q73)</f>
        <v>1216556.5666000003</v>
      </c>
      <c r="R74" s="164"/>
      <c r="S74" s="176"/>
      <c r="T74" s="175"/>
      <c r="U74" s="182">
        <f>SUM(U63:U73)</f>
        <v>1074821.9322000002</v>
      </c>
      <c r="V74" s="182">
        <f>Q74+U74</f>
        <v>2291378.4988000002</v>
      </c>
      <c r="W74" s="1"/>
      <c r="X74" s="1"/>
      <c r="Y74" s="1"/>
      <c r="Z74" s="1"/>
    </row>
    <row r="75" spans="1:26" ht="7.5" customHeight="1" x14ac:dyDescent="0.3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"/>
      <c r="X75" s="1"/>
      <c r="Y75" s="1"/>
      <c r="Z75" s="1"/>
    </row>
    <row r="76" spans="1:26" ht="15.75" customHeight="1" x14ac:dyDescent="0.3">
      <c r="A76" s="112" t="s">
        <v>94</v>
      </c>
      <c r="B76" s="194"/>
      <c r="C76" s="145"/>
      <c r="D76" s="194"/>
      <c r="E76" s="194"/>
      <c r="F76" s="199"/>
      <c r="G76" s="116"/>
      <c r="H76" s="202"/>
      <c r="I76" s="194"/>
      <c r="J76" s="194" t="s">
        <v>70</v>
      </c>
      <c r="K76" s="194" t="s">
        <v>65</v>
      </c>
      <c r="L76" s="1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"/>
      <c r="X76" s="1"/>
      <c r="Y76" s="1"/>
      <c r="Z76" s="1"/>
    </row>
    <row r="77" spans="1:26" ht="15.75" customHeight="1" x14ac:dyDescent="0.3">
      <c r="A77" s="118" t="s">
        <v>75</v>
      </c>
      <c r="B77" s="196"/>
      <c r="C77" s="116"/>
      <c r="D77" s="196"/>
      <c r="E77" s="196"/>
      <c r="F77" s="200"/>
      <c r="G77" s="116"/>
      <c r="H77" s="196"/>
      <c r="I77" s="196"/>
      <c r="J77" s="196"/>
      <c r="K77" s="196"/>
      <c r="L77" s="1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"/>
      <c r="X77" s="1"/>
      <c r="Y77" s="1"/>
      <c r="Z77" s="1"/>
    </row>
    <row r="78" spans="1:26" ht="15.75" customHeight="1" x14ac:dyDescent="0.3">
      <c r="A78" s="123" t="str">
        <f t="shared" ref="A78:A88" si="12">IF(A63="","",A63)</f>
        <v>RESIDENTIAL</v>
      </c>
      <c r="B78" s="124" t="s">
        <v>41</v>
      </c>
      <c r="C78" s="119"/>
      <c r="D78" s="140">
        <v>2778294421.6799998</v>
      </c>
      <c r="E78" s="141">
        <v>4.5999999999999999E-3</v>
      </c>
      <c r="F78" s="138">
        <f t="shared" ref="F78:F88" si="13">D78*E78</f>
        <v>12780154.339728</v>
      </c>
      <c r="G78" s="106"/>
      <c r="H78" s="140">
        <v>25472498.16</v>
      </c>
      <c r="I78" s="141">
        <f t="shared" ref="I78:I86" si="14">E78</f>
        <v>4.5999999999999999E-3</v>
      </c>
      <c r="J78" s="138">
        <f t="shared" ref="J78:J88" si="15">H78*I78</f>
        <v>117173.491536</v>
      </c>
      <c r="K78" s="194"/>
      <c r="L78" s="1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"/>
      <c r="X78" s="1"/>
      <c r="Y78" s="1"/>
      <c r="Z78" s="1"/>
    </row>
    <row r="79" spans="1:26" ht="15.75" customHeight="1" x14ac:dyDescent="0.3">
      <c r="A79" s="123" t="str">
        <f t="shared" si="12"/>
        <v>GENERAL SERVICE &lt;50KW</v>
      </c>
      <c r="B79" s="124" t="s">
        <v>41</v>
      </c>
      <c r="C79" s="119"/>
      <c r="D79" s="140">
        <v>637853001.78999996</v>
      </c>
      <c r="E79" s="141">
        <v>4.5999999999999999E-3</v>
      </c>
      <c r="F79" s="138">
        <f t="shared" si="13"/>
        <v>2934123.8082339996</v>
      </c>
      <c r="G79" s="106"/>
      <c r="H79" s="140">
        <v>108568736.13</v>
      </c>
      <c r="I79" s="141">
        <f t="shared" si="14"/>
        <v>4.5999999999999999E-3</v>
      </c>
      <c r="J79" s="138">
        <f t="shared" si="15"/>
        <v>499416.18619799998</v>
      </c>
      <c r="K79" s="195"/>
      <c r="L79" s="1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"/>
      <c r="X79" s="1"/>
      <c r="Y79" s="1"/>
      <c r="Z79" s="1"/>
    </row>
    <row r="80" spans="1:26" ht="15.75" customHeight="1" x14ac:dyDescent="0.3">
      <c r="A80" s="123" t="str">
        <f t="shared" si="12"/>
        <v>GENERAL SERVICE 1000-1500KW</v>
      </c>
      <c r="B80" s="124" t="s">
        <v>41</v>
      </c>
      <c r="C80" s="119"/>
      <c r="D80" s="140">
        <v>336034213.49000001</v>
      </c>
      <c r="E80" s="141">
        <v>4.5999999999999999E-3</v>
      </c>
      <c r="F80" s="138">
        <f t="shared" si="13"/>
        <v>1545757.3820539999</v>
      </c>
      <c r="G80" s="106"/>
      <c r="H80" s="140">
        <v>2540536250.6300001</v>
      </c>
      <c r="I80" s="141">
        <f t="shared" si="14"/>
        <v>4.5999999999999999E-3</v>
      </c>
      <c r="J80" s="138">
        <f t="shared" si="15"/>
        <v>11686466.752898</v>
      </c>
      <c r="K80" s="195"/>
      <c r="L80" s="1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"/>
      <c r="X80" s="1"/>
      <c r="Y80" s="1"/>
      <c r="Z80" s="1"/>
    </row>
    <row r="81" spans="1:26" ht="15.75" customHeight="1" x14ac:dyDescent="0.3">
      <c r="A81" s="123" t="str">
        <f t="shared" si="12"/>
        <v>GENERAL SERVICE 1500-5000 KW</v>
      </c>
      <c r="B81" s="124" t="s">
        <v>41</v>
      </c>
      <c r="C81" s="119"/>
      <c r="D81" s="140">
        <v>0</v>
      </c>
      <c r="E81" s="141">
        <v>4.5999999999999999E-3</v>
      </c>
      <c r="F81" s="138">
        <f t="shared" si="13"/>
        <v>0</v>
      </c>
      <c r="G81" s="106"/>
      <c r="H81" s="140">
        <v>700727763.27999997</v>
      </c>
      <c r="I81" s="141">
        <f t="shared" si="14"/>
        <v>4.5999999999999999E-3</v>
      </c>
      <c r="J81" s="138">
        <f t="shared" si="15"/>
        <v>3223347.7110879999</v>
      </c>
      <c r="K81" s="195"/>
      <c r="L81" s="1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"/>
      <c r="X81" s="1"/>
      <c r="Y81" s="1"/>
      <c r="Z81" s="1"/>
    </row>
    <row r="82" spans="1:26" ht="15.75" customHeight="1" x14ac:dyDescent="0.3">
      <c r="A82" s="123" t="str">
        <f t="shared" si="12"/>
        <v>LARGE USER</v>
      </c>
      <c r="B82" s="124" t="s">
        <v>41</v>
      </c>
      <c r="C82" s="119"/>
      <c r="D82" s="140">
        <v>0</v>
      </c>
      <c r="E82" s="141">
        <v>4.5999999999999999E-3</v>
      </c>
      <c r="F82" s="138">
        <f t="shared" si="13"/>
        <v>0</v>
      </c>
      <c r="G82" s="106"/>
      <c r="H82" s="140">
        <v>724359139.50999999</v>
      </c>
      <c r="I82" s="141">
        <f t="shared" si="14"/>
        <v>4.5999999999999999E-3</v>
      </c>
      <c r="J82" s="138">
        <f t="shared" si="15"/>
        <v>3332052.0417459998</v>
      </c>
      <c r="K82" s="195"/>
      <c r="L82" s="1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"/>
      <c r="X82" s="1"/>
      <c r="Y82" s="1"/>
      <c r="Z82" s="1"/>
    </row>
    <row r="83" spans="1:26" ht="15.75" customHeight="1" x14ac:dyDescent="0.3">
      <c r="A83" s="123" t="str">
        <f t="shared" si="12"/>
        <v>STREETLIGHTING</v>
      </c>
      <c r="B83" s="124" t="s">
        <v>41</v>
      </c>
      <c r="C83" s="119"/>
      <c r="D83" s="140">
        <v>0</v>
      </c>
      <c r="E83" s="141">
        <v>4.5999999999999999E-3</v>
      </c>
      <c r="F83" s="138">
        <f t="shared" si="13"/>
        <v>0</v>
      </c>
      <c r="G83" s="106"/>
      <c r="H83" s="140">
        <v>23097019.649999999</v>
      </c>
      <c r="I83" s="141">
        <f t="shared" si="14"/>
        <v>4.5999999999999999E-3</v>
      </c>
      <c r="J83" s="138">
        <f t="shared" si="15"/>
        <v>106246.29038999999</v>
      </c>
      <c r="K83" s="195"/>
      <c r="L83" s="1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"/>
      <c r="X83" s="1"/>
      <c r="Y83" s="1"/>
      <c r="Z83" s="1"/>
    </row>
    <row r="84" spans="1:26" ht="15.75" customHeight="1" x14ac:dyDescent="0.3">
      <c r="A84" s="123" t="str">
        <f t="shared" si="12"/>
        <v>SENTINEL LIGHTS</v>
      </c>
      <c r="B84" s="124" t="s">
        <v>41</v>
      </c>
      <c r="C84" s="119"/>
      <c r="D84" s="140">
        <v>38943.370000000003</v>
      </c>
      <c r="E84" s="141">
        <v>4.5999999999999999E-3</v>
      </c>
      <c r="F84" s="138">
        <f t="shared" si="13"/>
        <v>179.13950200000002</v>
      </c>
      <c r="G84" s="106"/>
      <c r="H84" s="140">
        <v>0</v>
      </c>
      <c r="I84" s="141">
        <f t="shared" si="14"/>
        <v>4.5999999999999999E-3</v>
      </c>
      <c r="J84" s="138">
        <f t="shared" si="15"/>
        <v>0</v>
      </c>
      <c r="K84" s="195"/>
      <c r="L84" s="1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"/>
      <c r="X84" s="1"/>
      <c r="Y84" s="1"/>
      <c r="Z84" s="1"/>
    </row>
    <row r="85" spans="1:26" ht="15.75" customHeight="1" x14ac:dyDescent="0.3">
      <c r="A85" s="123" t="str">
        <f t="shared" si="12"/>
        <v>UNMETERED SCATTERED LOADS</v>
      </c>
      <c r="B85" s="124" t="s">
        <v>41</v>
      </c>
      <c r="C85" s="119"/>
      <c r="D85" s="140">
        <v>15201535.66</v>
      </c>
      <c r="E85" s="141">
        <v>4.5999999999999999E-3</v>
      </c>
      <c r="F85" s="138">
        <f t="shared" si="13"/>
        <v>69927.064035999996</v>
      </c>
      <c r="G85" s="106"/>
      <c r="H85" s="140">
        <v>0</v>
      </c>
      <c r="I85" s="141">
        <f t="shared" si="14"/>
        <v>4.5999999999999999E-3</v>
      </c>
      <c r="J85" s="138">
        <f t="shared" si="15"/>
        <v>0</v>
      </c>
      <c r="K85" s="195"/>
      <c r="L85" s="1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"/>
      <c r="X85" s="1"/>
      <c r="Y85" s="1"/>
      <c r="Z85" s="1"/>
    </row>
    <row r="86" spans="1:26" ht="15.75" customHeight="1" x14ac:dyDescent="0.3">
      <c r="A86" s="123" t="str">
        <f t="shared" si="12"/>
        <v>DRYCORE</v>
      </c>
      <c r="B86" s="124" t="s">
        <v>41</v>
      </c>
      <c r="C86" s="119"/>
      <c r="D86" s="140">
        <v>0</v>
      </c>
      <c r="E86" s="141">
        <v>4.5999999999999999E-3</v>
      </c>
      <c r="F86" s="138">
        <f t="shared" si="13"/>
        <v>0</v>
      </c>
      <c r="G86" s="106"/>
      <c r="H86" s="140">
        <v>6931149.8799999999</v>
      </c>
      <c r="I86" s="141">
        <f t="shared" si="14"/>
        <v>4.5999999999999999E-3</v>
      </c>
      <c r="J86" s="138">
        <f t="shared" si="15"/>
        <v>31883.289448</v>
      </c>
      <c r="K86" s="195"/>
      <c r="L86" s="1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"/>
      <c r="X86" s="1"/>
      <c r="Y86" s="1"/>
      <c r="Z86" s="1"/>
    </row>
    <row r="87" spans="1:26" ht="15.75" customHeight="1" x14ac:dyDescent="0.3">
      <c r="A87" s="123" t="str">
        <f t="shared" si="12"/>
        <v/>
      </c>
      <c r="B87" s="124"/>
      <c r="C87" s="119"/>
      <c r="D87" s="140"/>
      <c r="E87" s="140"/>
      <c r="F87" s="138">
        <f t="shared" si="13"/>
        <v>0</v>
      </c>
      <c r="G87" s="106"/>
      <c r="H87" s="140"/>
      <c r="I87" s="140"/>
      <c r="J87" s="138">
        <f t="shared" si="15"/>
        <v>0</v>
      </c>
      <c r="K87" s="195"/>
      <c r="L87" s="1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"/>
      <c r="X87" s="1"/>
      <c r="Y87" s="1"/>
      <c r="Z87" s="1"/>
    </row>
    <row r="88" spans="1:26" ht="15.75" customHeight="1" x14ac:dyDescent="0.3">
      <c r="A88" s="123" t="str">
        <f t="shared" si="12"/>
        <v/>
      </c>
      <c r="B88" s="124"/>
      <c r="C88" s="119"/>
      <c r="D88" s="140"/>
      <c r="E88" s="140"/>
      <c r="F88" s="138">
        <f t="shared" si="13"/>
        <v>0</v>
      </c>
      <c r="G88" s="106"/>
      <c r="H88" s="140"/>
      <c r="I88" s="140"/>
      <c r="J88" s="138">
        <f t="shared" si="15"/>
        <v>0</v>
      </c>
      <c r="K88" s="196"/>
      <c r="L88" s="1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"/>
      <c r="X88" s="1"/>
      <c r="Y88" s="1"/>
      <c r="Z88" s="1"/>
    </row>
    <row r="89" spans="1:26" ht="15.75" customHeight="1" x14ac:dyDescent="0.3">
      <c r="A89" s="118" t="s">
        <v>73</v>
      </c>
      <c r="B89" s="137"/>
      <c r="C89" s="119"/>
      <c r="D89" s="138"/>
      <c r="E89" s="123"/>
      <c r="F89" s="179">
        <f>SUM(F78:F88)</f>
        <v>17330141.733554002</v>
      </c>
      <c r="G89" s="123"/>
      <c r="H89" s="123"/>
      <c r="I89" s="123"/>
      <c r="J89" s="179">
        <f>SUM(J78:J88)</f>
        <v>18996585.763304003</v>
      </c>
      <c r="K89" s="179">
        <f>F89+J89</f>
        <v>36326727.496858001</v>
      </c>
      <c r="L89" s="1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"/>
      <c r="X89" s="1"/>
      <c r="Y89" s="1"/>
      <c r="Z89" s="1"/>
    </row>
    <row r="90" spans="1:26" ht="6.75" customHeight="1" x14ac:dyDescent="0.3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"/>
      <c r="X90" s="1"/>
      <c r="Y90" s="1"/>
      <c r="Z90" s="1"/>
    </row>
    <row r="91" spans="1:26" ht="15.75" customHeight="1" x14ac:dyDescent="0.3">
      <c r="A91" s="112" t="s">
        <v>95</v>
      </c>
      <c r="B91" s="194"/>
      <c r="C91" s="145"/>
      <c r="D91" s="194"/>
      <c r="E91" s="194"/>
      <c r="F91" s="199"/>
      <c r="G91" s="116"/>
      <c r="H91" s="202"/>
      <c r="I91" s="194"/>
      <c r="J91" s="194" t="s">
        <v>70</v>
      </c>
      <c r="K91" s="194" t="s">
        <v>65</v>
      </c>
      <c r="L91" s="1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"/>
      <c r="X91" s="1"/>
      <c r="Y91" s="1"/>
      <c r="Z91" s="1"/>
    </row>
    <row r="92" spans="1:26" ht="15.75" customHeight="1" x14ac:dyDescent="0.3">
      <c r="A92" s="118" t="s">
        <v>75</v>
      </c>
      <c r="B92" s="196"/>
      <c r="C92" s="116"/>
      <c r="D92" s="196"/>
      <c r="E92" s="196"/>
      <c r="F92" s="200"/>
      <c r="G92" s="116"/>
      <c r="H92" s="196"/>
      <c r="I92" s="196"/>
      <c r="J92" s="196"/>
      <c r="K92" s="196"/>
      <c r="L92" s="1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"/>
      <c r="X92" s="1"/>
      <c r="Y92" s="1"/>
      <c r="Z92" s="1"/>
    </row>
    <row r="93" spans="1:26" ht="15.75" customHeight="1" x14ac:dyDescent="0.3">
      <c r="A93" s="123" t="str">
        <f t="shared" ref="A93:A103" si="16">IF(A78="","",A78)</f>
        <v>RESIDENTIAL</v>
      </c>
      <c r="B93" s="124"/>
      <c r="C93" s="119"/>
      <c r="D93" s="140"/>
      <c r="E93" s="140"/>
      <c r="F93" s="138">
        <f t="shared" ref="F93:F103" si="17">D93*E93</f>
        <v>0</v>
      </c>
      <c r="G93" s="106"/>
      <c r="H93" s="140"/>
      <c r="I93" s="141"/>
      <c r="J93" s="138">
        <f t="shared" ref="J93:J103" si="18">H93*I93</f>
        <v>0</v>
      </c>
      <c r="K93" s="194"/>
      <c r="L93" s="1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"/>
      <c r="X93" s="1"/>
      <c r="Y93" s="1"/>
      <c r="Z93" s="1"/>
    </row>
    <row r="94" spans="1:26" ht="15.75" customHeight="1" x14ac:dyDescent="0.3">
      <c r="A94" s="123" t="str">
        <f t="shared" si="16"/>
        <v>GENERAL SERVICE &lt;50KW</v>
      </c>
      <c r="B94" s="124"/>
      <c r="C94" s="119"/>
      <c r="D94" s="140"/>
      <c r="E94" s="140"/>
      <c r="F94" s="138">
        <f t="shared" si="17"/>
        <v>0</v>
      </c>
      <c r="G94" s="106"/>
      <c r="H94" s="140"/>
      <c r="I94" s="141"/>
      <c r="J94" s="138">
        <f t="shared" si="18"/>
        <v>0</v>
      </c>
      <c r="K94" s="195"/>
      <c r="L94" s="1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"/>
      <c r="X94" s="1"/>
      <c r="Y94" s="1"/>
      <c r="Z94" s="1"/>
    </row>
    <row r="95" spans="1:26" ht="15.75" customHeight="1" x14ac:dyDescent="0.3">
      <c r="A95" s="123" t="str">
        <f t="shared" si="16"/>
        <v>GENERAL SERVICE 1000-1500KW</v>
      </c>
      <c r="B95" s="124" t="s">
        <v>41</v>
      </c>
      <c r="C95" s="119"/>
      <c r="D95" s="140"/>
      <c r="E95" s="140"/>
      <c r="F95" s="138">
        <f t="shared" si="17"/>
        <v>0</v>
      </c>
      <c r="G95" s="106"/>
      <c r="H95" s="140">
        <v>411684059.44999999</v>
      </c>
      <c r="I95" s="141">
        <v>4.0000000000000002E-4</v>
      </c>
      <c r="J95" s="138">
        <f t="shared" si="18"/>
        <v>164673.62377999999</v>
      </c>
      <c r="K95" s="195"/>
      <c r="L95" s="1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"/>
      <c r="X95" s="1"/>
      <c r="Y95" s="1"/>
      <c r="Z95" s="1"/>
    </row>
    <row r="96" spans="1:26" ht="15.75" customHeight="1" x14ac:dyDescent="0.3">
      <c r="A96" s="123" t="str">
        <f t="shared" si="16"/>
        <v>GENERAL SERVICE 1500-5000 KW</v>
      </c>
      <c r="B96" s="124" t="s">
        <v>41</v>
      </c>
      <c r="C96" s="119"/>
      <c r="D96" s="140"/>
      <c r="E96" s="140"/>
      <c r="F96" s="138">
        <f t="shared" si="17"/>
        <v>0</v>
      </c>
      <c r="G96" s="106"/>
      <c r="H96" s="140">
        <v>554004440.13999999</v>
      </c>
      <c r="I96" s="141">
        <v>4.0000000000000002E-4</v>
      </c>
      <c r="J96" s="138">
        <f t="shared" si="18"/>
        <v>221601.776056</v>
      </c>
      <c r="K96" s="195"/>
      <c r="L96" s="1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"/>
      <c r="X96" s="1"/>
      <c r="Y96" s="1"/>
      <c r="Z96" s="1"/>
    </row>
    <row r="97" spans="1:26" ht="15.75" customHeight="1" x14ac:dyDescent="0.3">
      <c r="A97" s="123" t="str">
        <f t="shared" si="16"/>
        <v>LARGE USER</v>
      </c>
      <c r="B97" s="124" t="s">
        <v>41</v>
      </c>
      <c r="C97" s="119"/>
      <c r="D97" s="140"/>
      <c r="E97" s="140"/>
      <c r="F97" s="138">
        <f t="shared" si="17"/>
        <v>0</v>
      </c>
      <c r="G97" s="106"/>
      <c r="H97" s="140">
        <v>661117828.12</v>
      </c>
      <c r="I97" s="141">
        <v>4.0000000000000002E-4</v>
      </c>
      <c r="J97" s="138">
        <f t="shared" si="18"/>
        <v>264447.13124800002</v>
      </c>
      <c r="K97" s="195"/>
      <c r="L97" s="1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"/>
      <c r="X97" s="1"/>
      <c r="Y97" s="1"/>
      <c r="Z97" s="1"/>
    </row>
    <row r="98" spans="1:26" ht="15.75" customHeight="1" x14ac:dyDescent="0.3">
      <c r="A98" s="123" t="str">
        <f t="shared" si="16"/>
        <v>STREETLIGHTING</v>
      </c>
      <c r="B98" s="124"/>
      <c r="C98" s="119"/>
      <c r="D98" s="140"/>
      <c r="E98" s="140"/>
      <c r="F98" s="138">
        <f t="shared" si="17"/>
        <v>0</v>
      </c>
      <c r="G98" s="106"/>
      <c r="H98" s="140"/>
      <c r="I98" s="141"/>
      <c r="J98" s="138">
        <f t="shared" si="18"/>
        <v>0</v>
      </c>
      <c r="K98" s="195"/>
      <c r="L98" s="1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"/>
      <c r="X98" s="1"/>
      <c r="Y98" s="1"/>
      <c r="Z98" s="1"/>
    </row>
    <row r="99" spans="1:26" ht="15.75" customHeight="1" x14ac:dyDescent="0.3">
      <c r="A99" s="123" t="str">
        <f t="shared" si="16"/>
        <v>SENTINEL LIGHTS</v>
      </c>
      <c r="B99" s="124"/>
      <c r="C99" s="119"/>
      <c r="D99" s="140"/>
      <c r="E99" s="140"/>
      <c r="F99" s="138">
        <f t="shared" si="17"/>
        <v>0</v>
      </c>
      <c r="G99" s="106"/>
      <c r="H99" s="140"/>
      <c r="I99" s="141"/>
      <c r="J99" s="138">
        <f t="shared" si="18"/>
        <v>0</v>
      </c>
      <c r="K99" s="195"/>
      <c r="L99" s="1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"/>
      <c r="X99" s="1"/>
      <c r="Y99" s="1"/>
      <c r="Z99" s="1"/>
    </row>
    <row r="100" spans="1:26" ht="15.75" customHeight="1" x14ac:dyDescent="0.3">
      <c r="A100" s="123" t="str">
        <f t="shared" si="16"/>
        <v>UNMETERED SCATTERED LOADS</v>
      </c>
      <c r="B100" s="124"/>
      <c r="C100" s="119"/>
      <c r="D100" s="140"/>
      <c r="E100" s="140"/>
      <c r="F100" s="138">
        <f t="shared" si="17"/>
        <v>0</v>
      </c>
      <c r="G100" s="106"/>
      <c r="H100" s="140"/>
      <c r="I100" s="141"/>
      <c r="J100" s="138">
        <f t="shared" si="18"/>
        <v>0</v>
      </c>
      <c r="K100" s="195"/>
      <c r="L100" s="1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"/>
      <c r="X100" s="1"/>
      <c r="Y100" s="1"/>
      <c r="Z100" s="1"/>
    </row>
    <row r="101" spans="1:26" ht="15.75" customHeight="1" x14ac:dyDescent="0.3">
      <c r="A101" s="123" t="str">
        <f t="shared" si="16"/>
        <v>DRYCORE</v>
      </c>
      <c r="B101" s="124"/>
      <c r="C101" s="119"/>
      <c r="D101" s="140"/>
      <c r="E101" s="140"/>
      <c r="F101" s="138">
        <f t="shared" si="17"/>
        <v>0</v>
      </c>
      <c r="G101" s="106"/>
      <c r="H101" s="140"/>
      <c r="I101" s="140"/>
      <c r="J101" s="138">
        <f t="shared" si="18"/>
        <v>0</v>
      </c>
      <c r="K101" s="195"/>
      <c r="L101" s="1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"/>
      <c r="X101" s="1"/>
      <c r="Y101" s="1"/>
      <c r="Z101" s="1"/>
    </row>
    <row r="102" spans="1:26" ht="15.75" customHeight="1" x14ac:dyDescent="0.3">
      <c r="A102" s="123" t="str">
        <f t="shared" si="16"/>
        <v/>
      </c>
      <c r="B102" s="124"/>
      <c r="C102" s="119"/>
      <c r="D102" s="140"/>
      <c r="E102" s="140"/>
      <c r="F102" s="138">
        <f t="shared" si="17"/>
        <v>0</v>
      </c>
      <c r="G102" s="106"/>
      <c r="H102" s="140"/>
      <c r="I102" s="140"/>
      <c r="J102" s="138">
        <f t="shared" si="18"/>
        <v>0</v>
      </c>
      <c r="K102" s="195"/>
      <c r="L102" s="1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"/>
      <c r="X102" s="1"/>
      <c r="Y102" s="1"/>
      <c r="Z102" s="1"/>
    </row>
    <row r="103" spans="1:26" ht="15.75" customHeight="1" x14ac:dyDescent="0.3">
      <c r="A103" s="123" t="str">
        <f t="shared" si="16"/>
        <v/>
      </c>
      <c r="B103" s="124"/>
      <c r="C103" s="119"/>
      <c r="D103" s="140"/>
      <c r="E103" s="140"/>
      <c r="F103" s="138">
        <f t="shared" si="17"/>
        <v>0</v>
      </c>
      <c r="G103" s="106"/>
      <c r="H103" s="140"/>
      <c r="I103" s="140"/>
      <c r="J103" s="138">
        <f t="shared" si="18"/>
        <v>0</v>
      </c>
      <c r="K103" s="196"/>
      <c r="L103" s="1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"/>
      <c r="X103" s="1"/>
      <c r="Y103" s="1"/>
      <c r="Z103" s="1"/>
    </row>
    <row r="104" spans="1:26" ht="15.75" customHeight="1" x14ac:dyDescent="0.3">
      <c r="A104" s="118" t="s">
        <v>73</v>
      </c>
      <c r="B104" s="137"/>
      <c r="C104" s="119"/>
      <c r="D104" s="138"/>
      <c r="E104" s="123"/>
      <c r="F104" s="138">
        <f>SUM(F93:F103)</f>
        <v>0</v>
      </c>
      <c r="G104" s="123"/>
      <c r="H104" s="123"/>
      <c r="I104" s="123"/>
      <c r="J104" s="179">
        <f>SUM(J93:J103)</f>
        <v>650722.53108400002</v>
      </c>
      <c r="K104" s="179">
        <f>F104+J104</f>
        <v>650722.53108400002</v>
      </c>
      <c r="L104" s="1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"/>
      <c r="X104" s="1"/>
      <c r="Y104" s="1"/>
      <c r="Z104" s="1"/>
    </row>
    <row r="105" spans="1:26" ht="6.75" customHeight="1" x14ac:dyDescent="0.3">
      <c r="A105" s="118"/>
      <c r="B105" s="146"/>
      <c r="C105" s="119"/>
      <c r="D105" s="147"/>
      <c r="E105" s="144"/>
      <c r="F105" s="138"/>
      <c r="G105" s="106"/>
      <c r="H105" s="121"/>
      <c r="I105" s="144"/>
      <c r="J105" s="138"/>
      <c r="K105" s="148"/>
      <c r="L105" s="1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"/>
      <c r="X105" s="1"/>
      <c r="Y105" s="1"/>
      <c r="Z105" s="1"/>
    </row>
    <row r="106" spans="1:26" ht="15.75" customHeight="1" x14ac:dyDescent="0.3">
      <c r="A106" s="112" t="s">
        <v>96</v>
      </c>
      <c r="B106" s="194"/>
      <c r="C106" s="145"/>
      <c r="D106" s="194"/>
      <c r="E106" s="194"/>
      <c r="F106" s="199"/>
      <c r="G106" s="116"/>
      <c r="H106" s="202"/>
      <c r="I106" s="194"/>
      <c r="J106" s="194" t="s">
        <v>70</v>
      </c>
      <c r="K106" s="194" t="s">
        <v>65</v>
      </c>
      <c r="L106" s="1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"/>
      <c r="X106" s="1"/>
      <c r="Y106" s="1"/>
      <c r="Z106" s="1"/>
    </row>
    <row r="107" spans="1:26" ht="15.75" customHeight="1" x14ac:dyDescent="0.3">
      <c r="A107" s="118" t="s">
        <v>75</v>
      </c>
      <c r="B107" s="196"/>
      <c r="C107" s="116"/>
      <c r="D107" s="196"/>
      <c r="E107" s="196"/>
      <c r="F107" s="200"/>
      <c r="G107" s="116"/>
      <c r="H107" s="196"/>
      <c r="I107" s="196"/>
      <c r="J107" s="196"/>
      <c r="K107" s="196"/>
      <c r="L107" s="1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"/>
      <c r="X107" s="1"/>
      <c r="Y107" s="1"/>
      <c r="Z107" s="1"/>
    </row>
    <row r="108" spans="1:26" ht="15.75" customHeight="1" x14ac:dyDescent="0.3">
      <c r="A108" s="123" t="str">
        <f t="shared" ref="A108:A118" si="19">IF(A93="","",A93)</f>
        <v>RESIDENTIAL</v>
      </c>
      <c r="B108" s="124" t="s">
        <v>41</v>
      </c>
      <c r="C108" s="119"/>
      <c r="D108" s="140">
        <v>2778294421.6799998</v>
      </c>
      <c r="E108" s="141">
        <v>4.0000000000000002E-4</v>
      </c>
      <c r="F108" s="138">
        <f t="shared" ref="F108:F118" si="20">D108*E108</f>
        <v>1111317.7686719999</v>
      </c>
      <c r="G108" s="106"/>
      <c r="H108" s="140">
        <v>25472498.16</v>
      </c>
      <c r="I108" s="141">
        <f t="shared" ref="I108:I116" si="21">E108</f>
        <v>4.0000000000000002E-4</v>
      </c>
      <c r="J108" s="138">
        <f t="shared" ref="J108:J118" si="22">H108*I108</f>
        <v>10188.999264</v>
      </c>
      <c r="K108" s="194"/>
      <c r="L108" s="1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"/>
      <c r="X108" s="1"/>
      <c r="Y108" s="1"/>
      <c r="Z108" s="1"/>
    </row>
    <row r="109" spans="1:26" ht="15.75" customHeight="1" x14ac:dyDescent="0.3">
      <c r="A109" s="123" t="str">
        <f t="shared" si="19"/>
        <v>GENERAL SERVICE &lt;50KW</v>
      </c>
      <c r="B109" s="124" t="s">
        <v>41</v>
      </c>
      <c r="C109" s="119"/>
      <c r="D109" s="140">
        <v>637853001.78999996</v>
      </c>
      <c r="E109" s="141">
        <v>4.0000000000000002E-4</v>
      </c>
      <c r="F109" s="138">
        <f t="shared" si="20"/>
        <v>255141.20071599999</v>
      </c>
      <c r="G109" s="106"/>
      <c r="H109" s="140">
        <v>108568736.13</v>
      </c>
      <c r="I109" s="141">
        <f t="shared" si="21"/>
        <v>4.0000000000000002E-4</v>
      </c>
      <c r="J109" s="138">
        <f t="shared" si="22"/>
        <v>43427.494451999999</v>
      </c>
      <c r="K109" s="195"/>
      <c r="L109" s="1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"/>
      <c r="X109" s="1"/>
      <c r="Y109" s="1"/>
      <c r="Z109" s="1"/>
    </row>
    <row r="110" spans="1:26" ht="15.75" customHeight="1" x14ac:dyDescent="0.3">
      <c r="A110" s="123" t="str">
        <f t="shared" si="19"/>
        <v>GENERAL SERVICE 1000-1500KW</v>
      </c>
      <c r="B110" s="124" t="s">
        <v>41</v>
      </c>
      <c r="C110" s="119"/>
      <c r="D110" s="140">
        <v>336034213.49000001</v>
      </c>
      <c r="E110" s="141">
        <v>4.0000000000000002E-4</v>
      </c>
      <c r="F110" s="138">
        <f t="shared" si="20"/>
        <v>134413.68539600002</v>
      </c>
      <c r="G110" s="106"/>
      <c r="H110" s="140">
        <v>2128852191.1800001</v>
      </c>
      <c r="I110" s="141">
        <f t="shared" si="21"/>
        <v>4.0000000000000002E-4</v>
      </c>
      <c r="J110" s="138">
        <f t="shared" si="22"/>
        <v>851540.87647200003</v>
      </c>
      <c r="K110" s="195"/>
      <c r="L110" s="1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"/>
      <c r="X110" s="1"/>
      <c r="Y110" s="1"/>
      <c r="Z110" s="1"/>
    </row>
    <row r="111" spans="1:26" ht="15.75" customHeight="1" x14ac:dyDescent="0.3">
      <c r="A111" s="123" t="str">
        <f t="shared" si="19"/>
        <v>GENERAL SERVICE 1500-5000 KW</v>
      </c>
      <c r="B111" s="124" t="s">
        <v>41</v>
      </c>
      <c r="C111" s="119"/>
      <c r="D111" s="140">
        <v>0</v>
      </c>
      <c r="E111" s="141">
        <v>4.0000000000000002E-4</v>
      </c>
      <c r="F111" s="138">
        <f t="shared" si="20"/>
        <v>0</v>
      </c>
      <c r="G111" s="106"/>
      <c r="H111" s="140">
        <v>146723323.13999999</v>
      </c>
      <c r="I111" s="141">
        <f t="shared" si="21"/>
        <v>4.0000000000000002E-4</v>
      </c>
      <c r="J111" s="138">
        <f t="shared" si="22"/>
        <v>58689.329255999997</v>
      </c>
      <c r="K111" s="195"/>
      <c r="L111" s="1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"/>
      <c r="X111" s="1"/>
      <c r="Y111" s="1"/>
      <c r="Z111" s="1"/>
    </row>
    <row r="112" spans="1:26" ht="15.75" customHeight="1" x14ac:dyDescent="0.3">
      <c r="A112" s="123" t="str">
        <f t="shared" si="19"/>
        <v>LARGE USER</v>
      </c>
      <c r="B112" s="124" t="s">
        <v>41</v>
      </c>
      <c r="C112" s="119"/>
      <c r="D112" s="140">
        <v>0</v>
      </c>
      <c r="E112" s="141">
        <v>4.0000000000000002E-4</v>
      </c>
      <c r="F112" s="138">
        <f t="shared" si="20"/>
        <v>0</v>
      </c>
      <c r="G112" s="106"/>
      <c r="H112" s="140">
        <v>63241311.390000001</v>
      </c>
      <c r="I112" s="141">
        <f t="shared" si="21"/>
        <v>4.0000000000000002E-4</v>
      </c>
      <c r="J112" s="138">
        <f t="shared" si="22"/>
        <v>25296.524556</v>
      </c>
      <c r="K112" s="195"/>
      <c r="L112" s="1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"/>
      <c r="X112" s="1"/>
      <c r="Y112" s="1"/>
      <c r="Z112" s="1"/>
    </row>
    <row r="113" spans="1:26" ht="15.75" customHeight="1" x14ac:dyDescent="0.3">
      <c r="A113" s="123" t="str">
        <f t="shared" si="19"/>
        <v>STREETLIGHTING</v>
      </c>
      <c r="B113" s="124" t="s">
        <v>41</v>
      </c>
      <c r="C113" s="119"/>
      <c r="D113" s="140">
        <v>0</v>
      </c>
      <c r="E113" s="141">
        <v>4.0000000000000002E-4</v>
      </c>
      <c r="F113" s="138">
        <f t="shared" si="20"/>
        <v>0</v>
      </c>
      <c r="G113" s="106"/>
      <c r="H113" s="140">
        <v>23097019.649999999</v>
      </c>
      <c r="I113" s="141">
        <f t="shared" si="21"/>
        <v>4.0000000000000002E-4</v>
      </c>
      <c r="J113" s="138">
        <f t="shared" si="22"/>
        <v>9238.807859999999</v>
      </c>
      <c r="K113" s="195"/>
      <c r="L113" s="1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"/>
      <c r="X113" s="1"/>
      <c r="Y113" s="1"/>
      <c r="Z113" s="1"/>
    </row>
    <row r="114" spans="1:26" ht="15.75" customHeight="1" x14ac:dyDescent="0.3">
      <c r="A114" s="123" t="str">
        <f t="shared" si="19"/>
        <v>SENTINEL LIGHTS</v>
      </c>
      <c r="B114" s="124" t="s">
        <v>41</v>
      </c>
      <c r="C114" s="119"/>
      <c r="D114" s="140">
        <v>38943.370000000003</v>
      </c>
      <c r="E114" s="141">
        <v>4.0000000000000002E-4</v>
      </c>
      <c r="F114" s="138">
        <f t="shared" si="20"/>
        <v>15.577348000000002</v>
      </c>
      <c r="G114" s="106"/>
      <c r="H114" s="140">
        <v>0</v>
      </c>
      <c r="I114" s="141">
        <f t="shared" si="21"/>
        <v>4.0000000000000002E-4</v>
      </c>
      <c r="J114" s="138">
        <f t="shared" si="22"/>
        <v>0</v>
      </c>
      <c r="K114" s="195"/>
      <c r="L114" s="1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"/>
      <c r="X114" s="1"/>
      <c r="Y114" s="1"/>
      <c r="Z114" s="1"/>
    </row>
    <row r="115" spans="1:26" ht="15.75" customHeight="1" x14ac:dyDescent="0.3">
      <c r="A115" s="123" t="str">
        <f t="shared" si="19"/>
        <v>UNMETERED SCATTERED LOADS</v>
      </c>
      <c r="B115" s="124" t="s">
        <v>41</v>
      </c>
      <c r="C115" s="119"/>
      <c r="D115" s="140">
        <v>15201535.66</v>
      </c>
      <c r="E115" s="141">
        <v>4.0000000000000002E-4</v>
      </c>
      <c r="F115" s="138">
        <f t="shared" si="20"/>
        <v>6080.6142640000007</v>
      </c>
      <c r="G115" s="106"/>
      <c r="H115" s="140">
        <v>0</v>
      </c>
      <c r="I115" s="141">
        <f t="shared" si="21"/>
        <v>4.0000000000000002E-4</v>
      </c>
      <c r="J115" s="138">
        <f t="shared" si="22"/>
        <v>0</v>
      </c>
      <c r="K115" s="195"/>
      <c r="L115" s="1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"/>
      <c r="X115" s="1"/>
      <c r="Y115" s="1"/>
      <c r="Z115" s="1"/>
    </row>
    <row r="116" spans="1:26" ht="15.75" customHeight="1" x14ac:dyDescent="0.3">
      <c r="A116" s="123" t="str">
        <f t="shared" si="19"/>
        <v>DRYCORE</v>
      </c>
      <c r="B116" s="124" t="s">
        <v>41</v>
      </c>
      <c r="C116" s="119"/>
      <c r="D116" s="140">
        <v>0</v>
      </c>
      <c r="E116" s="141">
        <v>4.0000000000000002E-4</v>
      </c>
      <c r="F116" s="138">
        <f t="shared" si="20"/>
        <v>0</v>
      </c>
      <c r="G116" s="106"/>
      <c r="H116" s="140">
        <v>6931149.8799999999</v>
      </c>
      <c r="I116" s="141">
        <f t="shared" si="21"/>
        <v>4.0000000000000002E-4</v>
      </c>
      <c r="J116" s="138">
        <f t="shared" si="22"/>
        <v>2772.4599520000002</v>
      </c>
      <c r="K116" s="195"/>
      <c r="L116" s="1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"/>
      <c r="X116" s="1"/>
      <c r="Y116" s="1"/>
      <c r="Z116" s="1"/>
    </row>
    <row r="117" spans="1:26" ht="15.75" customHeight="1" x14ac:dyDescent="0.3">
      <c r="A117" s="123" t="str">
        <f t="shared" si="19"/>
        <v/>
      </c>
      <c r="B117" s="124"/>
      <c r="C117" s="119"/>
      <c r="D117" s="140"/>
      <c r="E117" s="140"/>
      <c r="F117" s="138">
        <f t="shared" si="20"/>
        <v>0</v>
      </c>
      <c r="G117" s="106"/>
      <c r="H117" s="140"/>
      <c r="I117" s="140"/>
      <c r="J117" s="138">
        <f t="shared" si="22"/>
        <v>0</v>
      </c>
      <c r="K117" s="195"/>
      <c r="L117" s="1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"/>
      <c r="X117" s="1"/>
      <c r="Y117" s="1"/>
      <c r="Z117" s="1"/>
    </row>
    <row r="118" spans="1:26" ht="15.75" customHeight="1" x14ac:dyDescent="0.3">
      <c r="A118" s="123" t="str">
        <f t="shared" si="19"/>
        <v/>
      </c>
      <c r="B118" s="124"/>
      <c r="C118" s="119"/>
      <c r="D118" s="140"/>
      <c r="E118" s="140"/>
      <c r="F118" s="138">
        <f t="shared" si="20"/>
        <v>0</v>
      </c>
      <c r="G118" s="106"/>
      <c r="H118" s="140"/>
      <c r="I118" s="140"/>
      <c r="J118" s="138">
        <f t="shared" si="22"/>
        <v>0</v>
      </c>
      <c r="K118" s="196"/>
      <c r="L118" s="1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"/>
      <c r="X118" s="1"/>
      <c r="Y118" s="1"/>
      <c r="Z118" s="1"/>
    </row>
    <row r="119" spans="1:26" ht="15.75" customHeight="1" x14ac:dyDescent="0.3">
      <c r="A119" s="118" t="s">
        <v>73</v>
      </c>
      <c r="B119" s="137"/>
      <c r="C119" s="119"/>
      <c r="D119" s="138"/>
      <c r="E119" s="123"/>
      <c r="F119" s="179">
        <f>SUM(F108:F118)</f>
        <v>1506968.8463959999</v>
      </c>
      <c r="G119" s="123"/>
      <c r="H119" s="123"/>
      <c r="I119" s="123"/>
      <c r="J119" s="179">
        <f>SUM(J108:J118)</f>
        <v>1001154.4918119999</v>
      </c>
      <c r="K119" s="179">
        <f>F119+J119</f>
        <v>2508123.3382079997</v>
      </c>
      <c r="L119" s="1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"/>
      <c r="X119" s="1"/>
      <c r="Y119" s="1"/>
      <c r="Z119" s="1"/>
    </row>
    <row r="120" spans="1:26" ht="6.75" customHeight="1" x14ac:dyDescent="0.3">
      <c r="A120" s="118"/>
      <c r="B120" s="146"/>
      <c r="C120" s="119"/>
      <c r="D120" s="147"/>
      <c r="E120" s="144"/>
      <c r="F120" s="138"/>
      <c r="G120" s="106"/>
      <c r="H120" s="121"/>
      <c r="I120" s="144"/>
      <c r="J120" s="138"/>
      <c r="K120" s="148"/>
      <c r="L120" s="1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"/>
      <c r="X120" s="1"/>
      <c r="Y120" s="1"/>
      <c r="Z120" s="1"/>
    </row>
    <row r="121" spans="1:26" ht="15" customHeight="1" x14ac:dyDescent="0.3">
      <c r="A121" s="112" t="s">
        <v>97</v>
      </c>
      <c r="B121" s="194"/>
      <c r="C121" s="113"/>
      <c r="D121" s="199"/>
      <c r="E121" s="197"/>
      <c r="F121" s="194"/>
      <c r="G121" s="116"/>
      <c r="H121" s="202"/>
      <c r="I121" s="197"/>
      <c r="J121" s="194" t="s">
        <v>70</v>
      </c>
      <c r="K121" s="194" t="s">
        <v>65</v>
      </c>
      <c r="L121" s="1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"/>
      <c r="X121" s="1"/>
      <c r="Y121" s="1"/>
      <c r="Z121" s="1"/>
    </row>
    <row r="122" spans="1:26" ht="15.75" customHeight="1" x14ac:dyDescent="0.3">
      <c r="A122" s="118" t="s">
        <v>75</v>
      </c>
      <c r="B122" s="196"/>
      <c r="C122" s="113"/>
      <c r="D122" s="200"/>
      <c r="E122" s="198"/>
      <c r="F122" s="196"/>
      <c r="G122" s="116"/>
      <c r="H122" s="196"/>
      <c r="I122" s="198"/>
      <c r="J122" s="196"/>
      <c r="K122" s="196"/>
      <c r="L122" s="1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"/>
      <c r="X122" s="1"/>
      <c r="Y122" s="1"/>
      <c r="Z122" s="1"/>
    </row>
    <row r="123" spans="1:26" ht="15.75" customHeight="1" x14ac:dyDescent="0.3">
      <c r="A123" s="123" t="str">
        <f t="shared" ref="A123:A133" si="23">IF(A108="","",A108)</f>
        <v>RESIDENTIAL</v>
      </c>
      <c r="B123" s="124" t="s">
        <v>41</v>
      </c>
      <c r="C123" s="119"/>
      <c r="D123" s="140">
        <v>2778294421.6799998</v>
      </c>
      <c r="E123" s="141">
        <v>1.5E-3</v>
      </c>
      <c r="F123" s="138">
        <f t="shared" ref="F123:F133" si="24">D123*E123</f>
        <v>4167441.63252</v>
      </c>
      <c r="G123" s="106"/>
      <c r="H123" s="140">
        <v>25472498.16</v>
      </c>
      <c r="I123" s="141">
        <f t="shared" ref="I123:I131" si="25">E123</f>
        <v>1.5E-3</v>
      </c>
      <c r="J123" s="138">
        <f t="shared" ref="J123:J133" si="26">H123*I123</f>
        <v>38208.747240000004</v>
      </c>
      <c r="K123" s="194"/>
      <c r="L123" s="1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"/>
      <c r="X123" s="1"/>
      <c r="Y123" s="1"/>
      <c r="Z123" s="1"/>
    </row>
    <row r="124" spans="1:26" ht="15.75" customHeight="1" x14ac:dyDescent="0.3">
      <c r="A124" s="123" t="str">
        <f t="shared" si="23"/>
        <v>GENERAL SERVICE &lt;50KW</v>
      </c>
      <c r="B124" s="124" t="s">
        <v>41</v>
      </c>
      <c r="C124" s="119"/>
      <c r="D124" s="140">
        <v>637853001.78999996</v>
      </c>
      <c r="E124" s="141">
        <v>1.5E-3</v>
      </c>
      <c r="F124" s="138">
        <f t="shared" si="24"/>
        <v>956779.50268499996</v>
      </c>
      <c r="G124" s="106"/>
      <c r="H124" s="140">
        <v>108568736.13</v>
      </c>
      <c r="I124" s="141">
        <f t="shared" si="25"/>
        <v>1.5E-3</v>
      </c>
      <c r="J124" s="138">
        <f t="shared" si="26"/>
        <v>162853.10419499999</v>
      </c>
      <c r="K124" s="195"/>
      <c r="L124" s="1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"/>
      <c r="X124" s="1"/>
      <c r="Y124" s="1"/>
      <c r="Z124" s="1"/>
    </row>
    <row r="125" spans="1:26" ht="15.75" customHeight="1" x14ac:dyDescent="0.3">
      <c r="A125" s="123" t="str">
        <f t="shared" si="23"/>
        <v>GENERAL SERVICE 1000-1500KW</v>
      </c>
      <c r="B125" s="124" t="s">
        <v>41</v>
      </c>
      <c r="C125" s="119"/>
      <c r="D125" s="140">
        <v>336034213.49000001</v>
      </c>
      <c r="E125" s="141">
        <v>1.5E-3</v>
      </c>
      <c r="F125" s="138">
        <f t="shared" si="24"/>
        <v>504051.32023500005</v>
      </c>
      <c r="G125" s="106"/>
      <c r="H125" s="140">
        <v>2540536250.6300001</v>
      </c>
      <c r="I125" s="141">
        <f t="shared" si="25"/>
        <v>1.5E-3</v>
      </c>
      <c r="J125" s="138">
        <f t="shared" si="26"/>
        <v>3810804.3759450004</v>
      </c>
      <c r="K125" s="195"/>
      <c r="L125" s="1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"/>
      <c r="X125" s="1"/>
      <c r="Y125" s="1"/>
      <c r="Z125" s="1"/>
    </row>
    <row r="126" spans="1:26" ht="15.75" customHeight="1" x14ac:dyDescent="0.3">
      <c r="A126" s="123" t="str">
        <f t="shared" si="23"/>
        <v>GENERAL SERVICE 1500-5000 KW</v>
      </c>
      <c r="B126" s="124" t="s">
        <v>41</v>
      </c>
      <c r="C126" s="119"/>
      <c r="D126" s="140">
        <v>0</v>
      </c>
      <c r="E126" s="141">
        <v>1.5E-3</v>
      </c>
      <c r="F126" s="138">
        <f t="shared" si="24"/>
        <v>0</v>
      </c>
      <c r="G126" s="106"/>
      <c r="H126" s="140">
        <v>700727763.27999997</v>
      </c>
      <c r="I126" s="141">
        <f t="shared" si="25"/>
        <v>1.5E-3</v>
      </c>
      <c r="J126" s="138">
        <f t="shared" si="26"/>
        <v>1051091.6449199999</v>
      </c>
      <c r="K126" s="195"/>
      <c r="L126" s="1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"/>
      <c r="X126" s="1"/>
      <c r="Y126" s="1"/>
      <c r="Z126" s="1"/>
    </row>
    <row r="127" spans="1:26" ht="15.75" customHeight="1" x14ac:dyDescent="0.3">
      <c r="A127" s="123" t="str">
        <f t="shared" si="23"/>
        <v>LARGE USER</v>
      </c>
      <c r="B127" s="124" t="s">
        <v>41</v>
      </c>
      <c r="C127" s="119"/>
      <c r="D127" s="140">
        <v>0</v>
      </c>
      <c r="E127" s="141">
        <v>1.5E-3</v>
      </c>
      <c r="F127" s="138">
        <f t="shared" si="24"/>
        <v>0</v>
      </c>
      <c r="G127" s="106"/>
      <c r="H127" s="140">
        <v>724359139.50999999</v>
      </c>
      <c r="I127" s="141">
        <f t="shared" si="25"/>
        <v>1.5E-3</v>
      </c>
      <c r="J127" s="138">
        <f t="shared" si="26"/>
        <v>1086538.709265</v>
      </c>
      <c r="K127" s="195"/>
      <c r="L127" s="1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"/>
      <c r="X127" s="1"/>
      <c r="Y127" s="1"/>
      <c r="Z127" s="1"/>
    </row>
    <row r="128" spans="1:26" ht="15.75" customHeight="1" x14ac:dyDescent="0.3">
      <c r="A128" s="123" t="str">
        <f t="shared" si="23"/>
        <v>STREETLIGHTING</v>
      </c>
      <c r="B128" s="124" t="s">
        <v>41</v>
      </c>
      <c r="C128" s="119"/>
      <c r="D128" s="140">
        <v>0</v>
      </c>
      <c r="E128" s="141">
        <v>1.5E-3</v>
      </c>
      <c r="F128" s="138">
        <f t="shared" si="24"/>
        <v>0</v>
      </c>
      <c r="G128" s="106"/>
      <c r="H128" s="140">
        <v>23097019.649999999</v>
      </c>
      <c r="I128" s="141">
        <f t="shared" si="25"/>
        <v>1.5E-3</v>
      </c>
      <c r="J128" s="138">
        <f t="shared" si="26"/>
        <v>34645.529474999996</v>
      </c>
      <c r="K128" s="195"/>
      <c r="L128" s="1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"/>
      <c r="X128" s="1"/>
      <c r="Y128" s="1"/>
      <c r="Z128" s="1"/>
    </row>
    <row r="129" spans="1:26" ht="15.75" customHeight="1" x14ac:dyDescent="0.3">
      <c r="A129" s="123" t="str">
        <f t="shared" si="23"/>
        <v>SENTINEL LIGHTS</v>
      </c>
      <c r="B129" s="124" t="s">
        <v>41</v>
      </c>
      <c r="C129" s="119"/>
      <c r="D129" s="140">
        <v>38943.370000000003</v>
      </c>
      <c r="E129" s="141">
        <v>1.5E-3</v>
      </c>
      <c r="F129" s="138">
        <f t="shared" si="24"/>
        <v>58.415055000000002</v>
      </c>
      <c r="G129" s="106"/>
      <c r="H129" s="140">
        <v>0</v>
      </c>
      <c r="I129" s="141">
        <f t="shared" si="25"/>
        <v>1.5E-3</v>
      </c>
      <c r="J129" s="138">
        <f t="shared" si="26"/>
        <v>0</v>
      </c>
      <c r="K129" s="195"/>
      <c r="L129" s="1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"/>
      <c r="X129" s="1"/>
      <c r="Y129" s="1"/>
      <c r="Z129" s="1"/>
    </row>
    <row r="130" spans="1:26" ht="15.75" customHeight="1" x14ac:dyDescent="0.3">
      <c r="A130" s="123" t="str">
        <f t="shared" si="23"/>
        <v>UNMETERED SCATTERED LOADS</v>
      </c>
      <c r="B130" s="124" t="s">
        <v>41</v>
      </c>
      <c r="C130" s="119"/>
      <c r="D130" s="140">
        <v>15201535.66</v>
      </c>
      <c r="E130" s="141">
        <v>1.5E-3</v>
      </c>
      <c r="F130" s="138">
        <f t="shared" si="24"/>
        <v>22802.303490000002</v>
      </c>
      <c r="G130" s="106"/>
      <c r="H130" s="140">
        <v>0</v>
      </c>
      <c r="I130" s="141">
        <f t="shared" si="25"/>
        <v>1.5E-3</v>
      </c>
      <c r="J130" s="138">
        <f t="shared" si="26"/>
        <v>0</v>
      </c>
      <c r="K130" s="195"/>
      <c r="L130" s="1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"/>
      <c r="X130" s="1"/>
      <c r="Y130" s="1"/>
      <c r="Z130" s="1"/>
    </row>
    <row r="131" spans="1:26" ht="15.75" customHeight="1" x14ac:dyDescent="0.3">
      <c r="A131" s="123" t="str">
        <f t="shared" si="23"/>
        <v>DRYCORE</v>
      </c>
      <c r="B131" s="124" t="s">
        <v>41</v>
      </c>
      <c r="C131" s="119"/>
      <c r="D131" s="140">
        <v>0</v>
      </c>
      <c r="E131" s="141">
        <v>1.5E-3</v>
      </c>
      <c r="F131" s="138">
        <f t="shared" si="24"/>
        <v>0</v>
      </c>
      <c r="G131" s="106"/>
      <c r="H131" s="140">
        <v>6931149.8799999999</v>
      </c>
      <c r="I131" s="141">
        <f t="shared" si="25"/>
        <v>1.5E-3</v>
      </c>
      <c r="J131" s="138">
        <f t="shared" si="26"/>
        <v>10396.724819999999</v>
      </c>
      <c r="K131" s="195"/>
      <c r="L131" s="1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"/>
      <c r="X131" s="1"/>
      <c r="Y131" s="1"/>
      <c r="Z131" s="1"/>
    </row>
    <row r="132" spans="1:26" ht="15.75" customHeight="1" x14ac:dyDescent="0.3">
      <c r="A132" s="123" t="str">
        <f t="shared" si="23"/>
        <v/>
      </c>
      <c r="B132" s="124"/>
      <c r="C132" s="119"/>
      <c r="D132" s="140"/>
      <c r="E132" s="140"/>
      <c r="F132" s="138">
        <f t="shared" si="24"/>
        <v>0</v>
      </c>
      <c r="G132" s="106"/>
      <c r="H132" s="140"/>
      <c r="I132" s="140"/>
      <c r="J132" s="138">
        <f t="shared" si="26"/>
        <v>0</v>
      </c>
      <c r="K132" s="195"/>
      <c r="L132" s="1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"/>
      <c r="X132" s="1"/>
      <c r="Y132" s="1"/>
      <c r="Z132" s="1"/>
    </row>
    <row r="133" spans="1:26" ht="15.75" customHeight="1" x14ac:dyDescent="0.3">
      <c r="A133" s="123" t="str">
        <f t="shared" si="23"/>
        <v/>
      </c>
      <c r="B133" s="124"/>
      <c r="C133" s="119"/>
      <c r="D133" s="140"/>
      <c r="E133" s="140"/>
      <c r="F133" s="138">
        <f t="shared" si="24"/>
        <v>0</v>
      </c>
      <c r="G133" s="106"/>
      <c r="H133" s="140"/>
      <c r="I133" s="140"/>
      <c r="J133" s="138">
        <f t="shared" si="26"/>
        <v>0</v>
      </c>
      <c r="K133" s="196"/>
      <c r="L133" s="1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"/>
      <c r="X133" s="1"/>
      <c r="Y133" s="1"/>
      <c r="Z133" s="1"/>
    </row>
    <row r="134" spans="1:26" ht="15.75" customHeight="1" x14ac:dyDescent="0.3">
      <c r="A134" s="118" t="s">
        <v>73</v>
      </c>
      <c r="B134" s="137"/>
      <c r="C134" s="127"/>
      <c r="D134" s="138"/>
      <c r="E134" s="123"/>
      <c r="F134" s="179">
        <f>SUM(F123:F133)</f>
        <v>5651133.1739849998</v>
      </c>
      <c r="G134" s="123"/>
      <c r="H134" s="123"/>
      <c r="I134" s="123"/>
      <c r="J134" s="179">
        <f>SUM(J123:J133)</f>
        <v>6194538.8358600009</v>
      </c>
      <c r="K134" s="179">
        <f>F134+J134</f>
        <v>11845672.009845</v>
      </c>
      <c r="L134" s="1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"/>
      <c r="X134" s="1"/>
      <c r="Y134" s="1"/>
      <c r="Z134" s="1"/>
    </row>
    <row r="135" spans="1:26" ht="6.75" customHeight="1" x14ac:dyDescent="0.3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"/>
      <c r="X135" s="1"/>
      <c r="Y135" s="1"/>
      <c r="Z135" s="1"/>
    </row>
    <row r="136" spans="1:26" ht="15.75" customHeight="1" x14ac:dyDescent="0.3">
      <c r="A136" s="112" t="s">
        <v>98</v>
      </c>
      <c r="B136" s="194"/>
      <c r="C136" s="113"/>
      <c r="D136" s="199"/>
      <c r="E136" s="197"/>
      <c r="F136" s="194"/>
      <c r="G136" s="116"/>
      <c r="H136" s="202"/>
      <c r="I136" s="197"/>
      <c r="J136" s="194" t="s">
        <v>70</v>
      </c>
      <c r="K136" s="194" t="s">
        <v>65</v>
      </c>
      <c r="L136" s="1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"/>
      <c r="X136" s="1"/>
      <c r="Y136" s="1"/>
      <c r="Z136" s="1"/>
    </row>
    <row r="137" spans="1:26" ht="15.75" customHeight="1" x14ac:dyDescent="0.3">
      <c r="A137" s="118" t="s">
        <v>75</v>
      </c>
      <c r="B137" s="196"/>
      <c r="C137" s="113"/>
      <c r="D137" s="200"/>
      <c r="E137" s="198"/>
      <c r="F137" s="196"/>
      <c r="G137" s="116"/>
      <c r="H137" s="196"/>
      <c r="I137" s="198"/>
      <c r="J137" s="196"/>
      <c r="K137" s="196"/>
      <c r="L137" s="1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"/>
      <c r="X137" s="1"/>
      <c r="Y137" s="1"/>
      <c r="Z137" s="1"/>
    </row>
    <row r="138" spans="1:26" ht="15.75" customHeight="1" x14ac:dyDescent="0.3">
      <c r="A138" s="123" t="str">
        <f t="shared" ref="A138:A148" si="27">IF(A123="","",A123)</f>
        <v>RESIDENTIAL</v>
      </c>
      <c r="B138" s="124" t="s">
        <v>41</v>
      </c>
      <c r="C138" s="119"/>
      <c r="D138" s="140">
        <v>2689018991.1700001</v>
      </c>
      <c r="E138" s="180">
        <v>6.6680000000000005E-5</v>
      </c>
      <c r="F138" s="138">
        <f t="shared" ref="F138:F148" si="28">D138*E138</f>
        <v>179303.78633121561</v>
      </c>
      <c r="G138" s="106"/>
      <c r="H138" s="140">
        <v>24653985.829999998</v>
      </c>
      <c r="I138" s="180">
        <v>6.6680000000000005E-5</v>
      </c>
      <c r="J138" s="138">
        <f t="shared" ref="J138:J148" si="29">H138*I138</f>
        <v>1643.9277751443999</v>
      </c>
      <c r="K138" s="194"/>
      <c r="L138" s="1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"/>
      <c r="X138" s="1"/>
      <c r="Y138" s="1"/>
      <c r="Z138" s="1"/>
    </row>
    <row r="139" spans="1:26" ht="15.75" customHeight="1" x14ac:dyDescent="0.3">
      <c r="A139" s="123" t="str">
        <f t="shared" si="27"/>
        <v>GENERAL SERVICE &lt;50KW</v>
      </c>
      <c r="B139" s="124" t="s">
        <v>41</v>
      </c>
      <c r="C139" s="119"/>
      <c r="D139" s="140">
        <v>617356757.45000005</v>
      </c>
      <c r="E139" s="180">
        <v>6.6680000000000005E-5</v>
      </c>
      <c r="F139" s="138">
        <f t="shared" si="28"/>
        <v>41165.348586766006</v>
      </c>
      <c r="G139" s="106"/>
      <c r="H139" s="140">
        <v>105080077.55</v>
      </c>
      <c r="I139" s="180">
        <v>6.6680000000000005E-5</v>
      </c>
      <c r="J139" s="138">
        <f t="shared" si="29"/>
        <v>7006.7395710340006</v>
      </c>
      <c r="K139" s="195"/>
      <c r="L139" s="1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"/>
      <c r="X139" s="1"/>
      <c r="Y139" s="1"/>
      <c r="Z139" s="1"/>
    </row>
    <row r="140" spans="1:26" ht="15.75" customHeight="1" x14ac:dyDescent="0.3">
      <c r="A140" s="123" t="str">
        <f t="shared" si="27"/>
        <v>GENERAL SERVICE 1000-1500KW</v>
      </c>
      <c r="B140" s="124" t="s">
        <v>41</v>
      </c>
      <c r="C140" s="119"/>
      <c r="D140" s="140">
        <v>325236366.13</v>
      </c>
      <c r="E140" s="180">
        <v>6.6680000000000005E-5</v>
      </c>
      <c r="F140" s="138">
        <f t="shared" si="28"/>
        <v>21686.760893548402</v>
      </c>
      <c r="G140" s="106"/>
      <c r="H140" s="140">
        <v>2458900745.8699999</v>
      </c>
      <c r="I140" s="180">
        <v>6.6680000000000005E-5</v>
      </c>
      <c r="J140" s="138">
        <f t="shared" si="29"/>
        <v>163959.50173461161</v>
      </c>
      <c r="K140" s="195"/>
      <c r="L140" s="1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"/>
      <c r="X140" s="1"/>
      <c r="Y140" s="1"/>
      <c r="Z140" s="1"/>
    </row>
    <row r="141" spans="1:26" ht="15.75" customHeight="1" x14ac:dyDescent="0.3">
      <c r="A141" s="123" t="str">
        <f t="shared" si="27"/>
        <v>GENERAL SERVICE 1500-5000 KW</v>
      </c>
      <c r="B141" s="124" t="s">
        <v>41</v>
      </c>
      <c r="C141" s="119"/>
      <c r="D141" s="140">
        <v>0</v>
      </c>
      <c r="E141" s="180">
        <v>6.6680000000000005E-5</v>
      </c>
      <c r="F141" s="138">
        <f t="shared" si="28"/>
        <v>0</v>
      </c>
      <c r="G141" s="106"/>
      <c r="H141" s="140">
        <v>678211153</v>
      </c>
      <c r="I141" s="180">
        <v>6.6680000000000005E-5</v>
      </c>
      <c r="J141" s="138">
        <f t="shared" si="29"/>
        <v>45223.11968204</v>
      </c>
      <c r="K141" s="195"/>
      <c r="L141" s="1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"/>
      <c r="X141" s="1"/>
      <c r="Y141" s="1"/>
      <c r="Z141" s="1"/>
    </row>
    <row r="142" spans="1:26" ht="15.75" customHeight="1" x14ac:dyDescent="0.3">
      <c r="A142" s="123" t="str">
        <f t="shared" si="27"/>
        <v>LARGE USER</v>
      </c>
      <c r="B142" s="124" t="s">
        <v>41</v>
      </c>
      <c r="C142" s="119"/>
      <c r="D142" s="140">
        <v>0</v>
      </c>
      <c r="E142" s="180">
        <v>6.6680000000000005E-5</v>
      </c>
      <c r="F142" s="138">
        <f t="shared" si="28"/>
        <v>0</v>
      </c>
      <c r="G142" s="106"/>
      <c r="H142" s="140">
        <v>701083178</v>
      </c>
      <c r="I142" s="180">
        <v>6.6680000000000005E-5</v>
      </c>
      <c r="J142" s="138">
        <f t="shared" si="29"/>
        <v>46748.226309040001</v>
      </c>
      <c r="K142" s="195"/>
      <c r="L142" s="1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"/>
      <c r="X142" s="1"/>
      <c r="Y142" s="1"/>
      <c r="Z142" s="1"/>
    </row>
    <row r="143" spans="1:26" ht="15.75" customHeight="1" x14ac:dyDescent="0.3">
      <c r="A143" s="123" t="str">
        <f t="shared" si="27"/>
        <v>STREETLIGHTING</v>
      </c>
      <c r="B143" s="124" t="s">
        <v>41</v>
      </c>
      <c r="C143" s="119"/>
      <c r="D143" s="140">
        <v>0</v>
      </c>
      <c r="E143" s="180">
        <v>6.6680000000000005E-5</v>
      </c>
      <c r="F143" s="138">
        <f t="shared" si="28"/>
        <v>0</v>
      </c>
      <c r="G143" s="106"/>
      <c r="H143" s="140">
        <v>22354839</v>
      </c>
      <c r="I143" s="180">
        <v>6.6680000000000005E-5</v>
      </c>
      <c r="J143" s="138">
        <f t="shared" si="29"/>
        <v>1490.6206645200002</v>
      </c>
      <c r="K143" s="195"/>
      <c r="L143" s="1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"/>
      <c r="X143" s="1"/>
      <c r="Y143" s="1"/>
      <c r="Z143" s="1"/>
    </row>
    <row r="144" spans="1:26" ht="15.75" customHeight="1" x14ac:dyDescent="0.3">
      <c r="A144" s="123" t="str">
        <f t="shared" si="27"/>
        <v>SENTINEL LIGHTS</v>
      </c>
      <c r="B144" s="124" t="s">
        <v>41</v>
      </c>
      <c r="C144" s="149"/>
      <c r="D144" s="140">
        <v>37692</v>
      </c>
      <c r="E144" s="180">
        <v>6.6680000000000005E-5</v>
      </c>
      <c r="F144" s="138">
        <f t="shared" si="28"/>
        <v>2.5133025600000001</v>
      </c>
      <c r="G144" s="106"/>
      <c r="H144" s="140">
        <v>0</v>
      </c>
      <c r="I144" s="180">
        <v>6.6680000000000005E-5</v>
      </c>
      <c r="J144" s="138">
        <f t="shared" si="29"/>
        <v>0</v>
      </c>
      <c r="K144" s="195"/>
      <c r="L144" s="1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"/>
      <c r="X144" s="1"/>
      <c r="Y144" s="1"/>
      <c r="Z144" s="1"/>
    </row>
    <row r="145" spans="1:26" ht="15.75" customHeight="1" x14ac:dyDescent="0.3">
      <c r="A145" s="123" t="str">
        <f t="shared" si="27"/>
        <v>UNMETERED SCATTERED LOADS</v>
      </c>
      <c r="B145" s="124" t="s">
        <v>41</v>
      </c>
      <c r="C145" s="149"/>
      <c r="D145" s="140">
        <v>14713062</v>
      </c>
      <c r="E145" s="180">
        <v>6.6680000000000005E-5</v>
      </c>
      <c r="F145" s="138">
        <f t="shared" si="28"/>
        <v>981.06697416000009</v>
      </c>
      <c r="G145" s="106"/>
      <c r="H145" s="140">
        <v>0</v>
      </c>
      <c r="I145" s="180">
        <v>6.6680000000000005E-5</v>
      </c>
      <c r="J145" s="138">
        <f t="shared" si="29"/>
        <v>0</v>
      </c>
      <c r="K145" s="195"/>
      <c r="L145" s="1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"/>
      <c r="X145" s="1"/>
      <c r="Y145" s="1"/>
      <c r="Z145" s="1"/>
    </row>
    <row r="146" spans="1:26" ht="15.75" customHeight="1" x14ac:dyDescent="0.3">
      <c r="A146" s="123" t="str">
        <f t="shared" si="27"/>
        <v>DRYCORE</v>
      </c>
      <c r="B146" s="124" t="s">
        <v>41</v>
      </c>
      <c r="C146" s="149"/>
      <c r="D146" s="140">
        <v>0</v>
      </c>
      <c r="E146" s="180">
        <v>6.6680000000000005E-5</v>
      </c>
      <c r="F146" s="138">
        <f t="shared" si="28"/>
        <v>0</v>
      </c>
      <c r="G146" s="106"/>
      <c r="H146" s="140">
        <v>6708430</v>
      </c>
      <c r="I146" s="180">
        <v>6.6680000000000005E-5</v>
      </c>
      <c r="J146" s="138">
        <f t="shared" si="29"/>
        <v>447.31811240000002</v>
      </c>
      <c r="K146" s="195"/>
      <c r="L146" s="1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"/>
      <c r="X146" s="1"/>
      <c r="Y146" s="1"/>
      <c r="Z146" s="1"/>
    </row>
    <row r="147" spans="1:26" ht="14.25" customHeight="1" x14ac:dyDescent="0.3">
      <c r="A147" s="123" t="str">
        <f t="shared" si="27"/>
        <v/>
      </c>
      <c r="B147" s="124"/>
      <c r="C147" s="119"/>
      <c r="D147" s="140">
        <v>0</v>
      </c>
      <c r="E147" s="180"/>
      <c r="F147" s="138">
        <f t="shared" si="28"/>
        <v>0</v>
      </c>
      <c r="G147" s="106"/>
      <c r="H147" s="140"/>
      <c r="I147" s="180"/>
      <c r="J147" s="138">
        <f t="shared" si="29"/>
        <v>0</v>
      </c>
      <c r="K147" s="195"/>
      <c r="L147" s="1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"/>
      <c r="X147" s="1"/>
      <c r="Y147" s="1"/>
      <c r="Z147" s="1"/>
    </row>
    <row r="148" spans="1:26" ht="15.75" customHeight="1" x14ac:dyDescent="0.3">
      <c r="A148" s="123" t="str">
        <f t="shared" si="27"/>
        <v/>
      </c>
      <c r="B148" s="124"/>
      <c r="C148" s="119"/>
      <c r="D148" s="140"/>
      <c r="E148" s="140"/>
      <c r="F148" s="138">
        <f t="shared" si="28"/>
        <v>0</v>
      </c>
      <c r="G148" s="106"/>
      <c r="H148" s="140"/>
      <c r="I148" s="140"/>
      <c r="J148" s="138">
        <f t="shared" si="29"/>
        <v>0</v>
      </c>
      <c r="K148" s="196"/>
      <c r="L148" s="1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"/>
      <c r="X148" s="1"/>
      <c r="Y148" s="1"/>
      <c r="Z148" s="1"/>
    </row>
    <row r="149" spans="1:26" ht="15.75" customHeight="1" x14ac:dyDescent="0.3">
      <c r="A149" s="118" t="s">
        <v>73</v>
      </c>
      <c r="B149" s="137"/>
      <c r="C149" s="119"/>
      <c r="D149" s="138"/>
      <c r="E149" s="123"/>
      <c r="F149" s="179">
        <f>SUM(F138:F148)</f>
        <v>243139.47608825003</v>
      </c>
      <c r="G149" s="123"/>
      <c r="H149" s="123"/>
      <c r="I149" s="123"/>
      <c r="J149" s="179">
        <f>SUM(J138:J148)</f>
        <v>266519.45384879003</v>
      </c>
      <c r="K149" s="179">
        <f>F149+J149</f>
        <v>509658.92993704008</v>
      </c>
      <c r="L149" s="1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"/>
      <c r="X149" s="1"/>
      <c r="Y149" s="1"/>
      <c r="Z149" s="1"/>
    </row>
    <row r="150" spans="1:26" ht="15.75" customHeight="1" x14ac:dyDescent="0.3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"/>
      <c r="X150" s="1"/>
      <c r="Y150" s="1"/>
      <c r="Z150" s="1"/>
    </row>
    <row r="151" spans="1:26" ht="15.75" customHeight="1" x14ac:dyDescent="0.3">
      <c r="A151" s="112" t="s">
        <v>99</v>
      </c>
      <c r="B151" s="197"/>
      <c r="C151" s="113"/>
      <c r="D151" s="199"/>
      <c r="E151" s="197"/>
      <c r="F151" s="194"/>
      <c r="G151" s="116"/>
      <c r="H151" s="194"/>
      <c r="I151" s="197"/>
      <c r="J151" s="194" t="s">
        <v>70</v>
      </c>
      <c r="K151" s="199" t="s">
        <v>65</v>
      </c>
      <c r="L151" s="1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"/>
      <c r="X151" s="1"/>
      <c r="Y151" s="1"/>
      <c r="Z151" s="1"/>
    </row>
    <row r="152" spans="1:26" ht="15.75" customHeight="1" x14ac:dyDescent="0.3">
      <c r="A152" s="118" t="s">
        <v>75</v>
      </c>
      <c r="B152" s="198"/>
      <c r="C152" s="113"/>
      <c r="D152" s="200"/>
      <c r="E152" s="198"/>
      <c r="F152" s="196"/>
      <c r="G152" s="116"/>
      <c r="H152" s="196"/>
      <c r="I152" s="198"/>
      <c r="J152" s="196"/>
      <c r="K152" s="201"/>
      <c r="L152" s="10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"/>
      <c r="X152" s="1"/>
      <c r="Y152" s="1"/>
      <c r="Z152" s="1"/>
    </row>
    <row r="153" spans="1:26" ht="15.75" customHeight="1" x14ac:dyDescent="0.3">
      <c r="A153" s="124" t="s">
        <v>100</v>
      </c>
      <c r="B153" s="137" t="s">
        <v>101</v>
      </c>
      <c r="C153" s="119"/>
      <c r="D153" s="140">
        <v>362676</v>
      </c>
      <c r="E153" s="150">
        <v>0.45</v>
      </c>
      <c r="F153" s="138">
        <f t="shared" ref="F153:F160" si="30">D153*E153*12</f>
        <v>1958450.4000000001</v>
      </c>
      <c r="G153" s="106"/>
      <c r="H153" s="140"/>
      <c r="I153" s="151">
        <f t="shared" ref="I153:I154" si="31">E153</f>
        <v>0.45</v>
      </c>
      <c r="J153" s="138">
        <f t="shared" ref="J153:J160" si="32">H153*I153*12</f>
        <v>0</v>
      </c>
      <c r="K153" s="190"/>
      <c r="L153" s="10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"/>
      <c r="X153" s="1"/>
      <c r="Y153" s="1"/>
      <c r="Z153" s="1"/>
    </row>
    <row r="154" spans="1:26" ht="15.75" customHeight="1" x14ac:dyDescent="0.3">
      <c r="A154" s="128" t="s">
        <v>102</v>
      </c>
      <c r="B154" s="137" t="s">
        <v>101</v>
      </c>
      <c r="C154" s="119"/>
      <c r="D154" s="140">
        <v>26524</v>
      </c>
      <c r="E154" s="150">
        <v>0.45</v>
      </c>
      <c r="F154" s="138">
        <f t="shared" si="30"/>
        <v>143229.6</v>
      </c>
      <c r="G154" s="106"/>
      <c r="H154" s="140"/>
      <c r="I154" s="151">
        <f t="shared" si="31"/>
        <v>0.45</v>
      </c>
      <c r="J154" s="138">
        <f t="shared" si="32"/>
        <v>0</v>
      </c>
      <c r="K154" s="191"/>
      <c r="L154" s="10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"/>
      <c r="X154" s="1"/>
      <c r="Y154" s="1"/>
      <c r="Z154" s="1"/>
    </row>
    <row r="155" spans="1:26" ht="15.75" customHeight="1" x14ac:dyDescent="0.3">
      <c r="A155" s="128"/>
      <c r="B155" s="137"/>
      <c r="C155" s="119"/>
      <c r="D155" s="140"/>
      <c r="E155" s="140"/>
      <c r="F155" s="138">
        <f t="shared" si="30"/>
        <v>0</v>
      </c>
      <c r="G155" s="106"/>
      <c r="H155" s="140"/>
      <c r="I155" s="140"/>
      <c r="J155" s="138">
        <f t="shared" si="32"/>
        <v>0</v>
      </c>
      <c r="K155" s="191"/>
      <c r="L155" s="10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"/>
      <c r="X155" s="1"/>
      <c r="Y155" s="1"/>
      <c r="Z155" s="1"/>
    </row>
    <row r="156" spans="1:26" ht="15.75" customHeight="1" x14ac:dyDescent="0.3">
      <c r="A156" s="128"/>
      <c r="B156" s="137"/>
      <c r="C156" s="119"/>
      <c r="D156" s="140"/>
      <c r="E156" s="140"/>
      <c r="F156" s="138">
        <f t="shared" si="30"/>
        <v>0</v>
      </c>
      <c r="G156" s="106"/>
      <c r="H156" s="140"/>
      <c r="I156" s="140"/>
      <c r="J156" s="138">
        <f t="shared" si="32"/>
        <v>0</v>
      </c>
      <c r="K156" s="191"/>
      <c r="L156" s="10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"/>
      <c r="X156" s="1"/>
      <c r="Y156" s="1"/>
      <c r="Z156" s="1"/>
    </row>
    <row r="157" spans="1:26" ht="15.75" customHeight="1" x14ac:dyDescent="0.3">
      <c r="A157" s="128"/>
      <c r="B157" s="137"/>
      <c r="C157" s="119"/>
      <c r="D157" s="140"/>
      <c r="E157" s="140"/>
      <c r="F157" s="138">
        <f t="shared" si="30"/>
        <v>0</v>
      </c>
      <c r="G157" s="106"/>
      <c r="H157" s="140"/>
      <c r="I157" s="140"/>
      <c r="J157" s="138">
        <f t="shared" si="32"/>
        <v>0</v>
      </c>
      <c r="K157" s="191"/>
      <c r="L157" s="10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"/>
      <c r="X157" s="1"/>
      <c r="Y157" s="1"/>
      <c r="Z157" s="1"/>
    </row>
    <row r="158" spans="1:26" ht="15.75" customHeight="1" x14ac:dyDescent="0.3">
      <c r="A158" s="128"/>
      <c r="B158" s="137"/>
      <c r="C158" s="119"/>
      <c r="D158" s="140"/>
      <c r="E158" s="140"/>
      <c r="F158" s="138">
        <f t="shared" si="30"/>
        <v>0</v>
      </c>
      <c r="G158" s="106"/>
      <c r="H158" s="140"/>
      <c r="I158" s="140"/>
      <c r="J158" s="138">
        <f t="shared" si="32"/>
        <v>0</v>
      </c>
      <c r="K158" s="191"/>
      <c r="L158" s="10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"/>
      <c r="X158" s="1"/>
      <c r="Y158" s="1"/>
      <c r="Z158" s="1"/>
    </row>
    <row r="159" spans="1:26" ht="15.75" customHeight="1" x14ac:dyDescent="0.3">
      <c r="A159" s="128"/>
      <c r="B159" s="137"/>
      <c r="C159" s="119"/>
      <c r="D159" s="140"/>
      <c r="E159" s="140"/>
      <c r="F159" s="138">
        <f t="shared" si="30"/>
        <v>0</v>
      </c>
      <c r="G159" s="106"/>
      <c r="H159" s="140"/>
      <c r="I159" s="140"/>
      <c r="J159" s="138">
        <f t="shared" si="32"/>
        <v>0</v>
      </c>
      <c r="K159" s="191"/>
      <c r="L159" s="10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"/>
      <c r="X159" s="1"/>
      <c r="Y159" s="1"/>
      <c r="Z159" s="1"/>
    </row>
    <row r="160" spans="1:26" ht="15.75" customHeight="1" x14ac:dyDescent="0.3">
      <c r="A160" s="128"/>
      <c r="B160" s="137"/>
      <c r="C160" s="119"/>
      <c r="D160" s="140"/>
      <c r="E160" s="140"/>
      <c r="F160" s="138">
        <f t="shared" si="30"/>
        <v>0</v>
      </c>
      <c r="G160" s="106"/>
      <c r="H160" s="140"/>
      <c r="I160" s="140"/>
      <c r="J160" s="138">
        <f t="shared" si="32"/>
        <v>0</v>
      </c>
      <c r="K160" s="152"/>
      <c r="L160" s="10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"/>
      <c r="X160" s="1"/>
      <c r="Y160" s="1"/>
      <c r="Z160" s="1"/>
    </row>
    <row r="161" spans="1:26" ht="15.75" customHeight="1" x14ac:dyDescent="0.3">
      <c r="A161" s="118" t="s">
        <v>73</v>
      </c>
      <c r="B161" s="137"/>
      <c r="C161" s="119"/>
      <c r="D161" s="123"/>
      <c r="E161" s="123"/>
      <c r="F161" s="179">
        <f>SUM(F153:F160)</f>
        <v>2101680</v>
      </c>
      <c r="G161" s="123"/>
      <c r="H161" s="123"/>
      <c r="I161" s="123"/>
      <c r="J161" s="138">
        <f>SUM(J153:J160)</f>
        <v>0</v>
      </c>
      <c r="K161" s="179">
        <f>F161+J161</f>
        <v>2101680</v>
      </c>
      <c r="L161" s="1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"/>
      <c r="X161" s="1"/>
      <c r="Y161" s="1"/>
      <c r="Z161" s="1"/>
    </row>
    <row r="162" spans="1:26" ht="15.75" customHeight="1" x14ac:dyDescent="0.3">
      <c r="A162" s="123"/>
      <c r="B162" s="123"/>
      <c r="C162" s="119"/>
      <c r="D162" s="123"/>
      <c r="E162" s="123"/>
      <c r="F162" s="123"/>
      <c r="G162" s="123"/>
      <c r="H162" s="123"/>
      <c r="I162" s="123"/>
      <c r="J162" s="123"/>
      <c r="K162" s="106"/>
      <c r="L162" s="1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"/>
      <c r="X162" s="1"/>
      <c r="Y162" s="1"/>
      <c r="Z162" s="1"/>
    </row>
    <row r="163" spans="1:26" ht="15.75" customHeight="1" x14ac:dyDescent="0.3">
      <c r="A163" s="118" t="s">
        <v>103</v>
      </c>
      <c r="B163" s="123"/>
      <c r="C163" s="119"/>
      <c r="D163" s="123"/>
      <c r="E163" s="123"/>
      <c r="F163" s="138">
        <f>SUM(F24+F59+F74+F89+F134+F149+F161+F119)+Q59+Q74</f>
        <v>546523153.31023121</v>
      </c>
      <c r="G163" s="123"/>
      <c r="H163" s="123"/>
      <c r="I163" s="123"/>
      <c r="J163" s="138">
        <f>J24+J44+J59+J74+J89+J104+J119+J134+J149+J161+U59+U74</f>
        <v>549718266.98209739</v>
      </c>
      <c r="K163" s="131">
        <f t="shared" ref="K163:K164" si="33">+F163+J163</f>
        <v>1096241420.2923286</v>
      </c>
      <c r="L163" s="1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"/>
      <c r="X163" s="1"/>
      <c r="Y163" s="1"/>
      <c r="Z163" s="1"/>
    </row>
    <row r="164" spans="1:26" ht="15.75" customHeight="1" thickBot="1" x14ac:dyDescent="0.35">
      <c r="A164" s="118" t="s">
        <v>104</v>
      </c>
      <c r="B164" s="153">
        <v>0.13100000000000001</v>
      </c>
      <c r="C164" s="119"/>
      <c r="D164" s="140"/>
      <c r="E164" s="140"/>
      <c r="F164" s="154">
        <f>-F163*B164</f>
        <v>-71594533.083640292</v>
      </c>
      <c r="G164" s="123"/>
      <c r="H164" s="140"/>
      <c r="I164" s="140"/>
      <c r="J164" s="123">
        <v>0</v>
      </c>
      <c r="K164" s="131">
        <f t="shared" si="33"/>
        <v>-71594533.083640292</v>
      </c>
      <c r="L164" s="1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"/>
      <c r="X164" s="1"/>
      <c r="Y164" s="1"/>
      <c r="Z164" s="1"/>
    </row>
    <row r="165" spans="1:26" ht="15.75" customHeight="1" thickBot="1" x14ac:dyDescent="0.35">
      <c r="A165" s="118" t="s">
        <v>57</v>
      </c>
      <c r="B165" s="155"/>
      <c r="C165" s="156"/>
      <c r="D165" s="118"/>
      <c r="E165" s="118"/>
      <c r="F165" s="157">
        <f>+F163+F164</f>
        <v>474928620.22659093</v>
      </c>
      <c r="G165" s="118"/>
      <c r="H165" s="118"/>
      <c r="I165" s="118"/>
      <c r="J165" s="157">
        <f t="shared" ref="J165:K165" si="34">+J163+J164</f>
        <v>549718266.98209739</v>
      </c>
      <c r="K165" s="157">
        <f t="shared" si="34"/>
        <v>1024646887.2086883</v>
      </c>
      <c r="L165" s="1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"/>
      <c r="X165" s="1"/>
      <c r="Y165" s="1"/>
      <c r="Z165" s="1"/>
    </row>
    <row r="166" spans="1:26" ht="15.75" customHeight="1" thickTop="1" x14ac:dyDescent="0.3">
      <c r="A166" s="156"/>
      <c r="B166" s="158"/>
      <c r="C166" s="110"/>
      <c r="D166" s="110"/>
      <c r="E166" s="110"/>
      <c r="F166" s="159"/>
      <c r="G166" s="110"/>
      <c r="H166" s="110"/>
      <c r="I166" s="110"/>
      <c r="J166" s="159"/>
      <c r="K166" s="159"/>
      <c r="L166" s="1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"/>
      <c r="X166" s="1"/>
      <c r="Y166" s="1"/>
      <c r="Z166" s="1"/>
    </row>
    <row r="167" spans="1:26" ht="15.75" customHeight="1" x14ac:dyDescent="0.3">
      <c r="A167" s="119" t="s">
        <v>105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"/>
      <c r="X167" s="1"/>
      <c r="Y167" s="1"/>
      <c r="Z167" s="1"/>
    </row>
    <row r="168" spans="1:26" ht="15.75" customHeight="1" x14ac:dyDescent="0.3">
      <c r="A168" s="119" t="s">
        <v>106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"/>
      <c r="X168" s="1"/>
      <c r="Y168" s="1"/>
      <c r="Z168" s="1"/>
    </row>
    <row r="169" spans="1:26" ht="15.75" customHeight="1" x14ac:dyDescent="0.3">
      <c r="A169" s="110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"/>
      <c r="X169" s="1"/>
      <c r="Y169" s="1"/>
      <c r="Z169" s="1"/>
    </row>
    <row r="170" spans="1:26" ht="15.75" customHeight="1" x14ac:dyDescent="0.3">
      <c r="A170" s="106"/>
      <c r="B170" s="106"/>
      <c r="C170" s="106"/>
      <c r="D170" s="192" t="str">
        <f>D10 &amp; " - Cop"</f>
        <v>2030 Test Year - Cop</v>
      </c>
      <c r="E170" s="193"/>
      <c r="F170" s="106"/>
      <c r="G170" s="106"/>
      <c r="H170" s="106"/>
      <c r="I170" s="106"/>
      <c r="J170" s="106"/>
      <c r="K170" s="106"/>
      <c r="L170" s="1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"/>
      <c r="X170" s="1"/>
      <c r="Y170" s="1"/>
      <c r="Z170" s="1"/>
    </row>
    <row r="171" spans="1:26" ht="15.75" customHeight="1" x14ac:dyDescent="0.3">
      <c r="A171" s="106"/>
      <c r="B171" s="106"/>
      <c r="C171" s="106"/>
      <c r="D171" s="123" t="s">
        <v>107</v>
      </c>
      <c r="E171" s="160">
        <f>K24</f>
        <v>594740469.85000002</v>
      </c>
      <c r="F171" s="106"/>
      <c r="G171" s="106"/>
      <c r="H171" s="106"/>
      <c r="I171" s="106"/>
      <c r="J171" s="106"/>
      <c r="K171" s="106"/>
      <c r="L171" s="1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"/>
      <c r="X171" s="1"/>
      <c r="Y171" s="1"/>
      <c r="Z171" s="1"/>
    </row>
    <row r="172" spans="1:26" ht="15.75" customHeight="1" x14ac:dyDescent="0.3">
      <c r="A172" s="106"/>
      <c r="B172" s="106"/>
      <c r="C172" s="106"/>
      <c r="D172" s="123" t="s">
        <v>108</v>
      </c>
      <c r="E172" s="132">
        <f>K44</f>
        <v>281207661.77910918</v>
      </c>
      <c r="F172" s="106"/>
      <c r="G172" s="106"/>
      <c r="H172" s="106"/>
      <c r="I172" s="106"/>
      <c r="J172" s="106"/>
      <c r="K172" s="106"/>
      <c r="L172" s="1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"/>
      <c r="X172" s="1"/>
      <c r="Y172" s="1"/>
      <c r="Z172" s="1"/>
    </row>
    <row r="173" spans="1:26" ht="15.75" customHeight="1" x14ac:dyDescent="0.3">
      <c r="A173" s="106"/>
      <c r="B173" s="106"/>
      <c r="C173" s="106"/>
      <c r="D173" s="123" t="s">
        <v>109</v>
      </c>
      <c r="E173" s="132">
        <f>(K89+K104+K119+K134)</f>
        <v>51331245.375994995</v>
      </c>
      <c r="F173" s="106"/>
      <c r="G173" s="106"/>
      <c r="H173" s="106"/>
      <c r="I173" s="106"/>
      <c r="J173" s="106"/>
      <c r="K173" s="106"/>
      <c r="L173" s="1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"/>
      <c r="X173" s="1"/>
      <c r="Y173" s="1"/>
      <c r="Z173" s="1"/>
    </row>
    <row r="174" spans="1:26" ht="15.75" customHeight="1" x14ac:dyDescent="0.3">
      <c r="A174" s="106"/>
      <c r="B174" s="106"/>
      <c r="C174" s="106"/>
      <c r="D174" s="123" t="s">
        <v>110</v>
      </c>
      <c r="E174" s="132">
        <f>K59+V59</f>
        <v>106616904.70947902</v>
      </c>
      <c r="F174" s="106"/>
      <c r="G174" s="106"/>
      <c r="H174" s="106"/>
      <c r="I174" s="106"/>
      <c r="J174" s="106"/>
      <c r="K174" s="106"/>
      <c r="L174" s="1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"/>
      <c r="X174" s="1"/>
      <c r="Y174" s="1"/>
      <c r="Z174" s="1"/>
    </row>
    <row r="175" spans="1:26" ht="15.75" customHeight="1" x14ac:dyDescent="0.3">
      <c r="A175" s="106"/>
      <c r="B175" s="106"/>
      <c r="C175" s="106"/>
      <c r="D175" s="123" t="s">
        <v>111</v>
      </c>
      <c r="E175" s="132">
        <f>K74+V74</f>
        <v>59733799.652538992</v>
      </c>
      <c r="F175" s="106"/>
      <c r="G175" s="106"/>
      <c r="H175" s="106"/>
      <c r="I175" s="106"/>
      <c r="J175" s="106"/>
      <c r="K175" s="106"/>
      <c r="L175" s="1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"/>
      <c r="X175" s="1"/>
      <c r="Y175" s="1"/>
      <c r="Z175" s="1"/>
    </row>
    <row r="176" spans="1:26" ht="15.75" customHeight="1" x14ac:dyDescent="0.3">
      <c r="A176" s="106"/>
      <c r="B176" s="106"/>
      <c r="C176" s="106"/>
      <c r="D176" s="123" t="s">
        <v>112</v>
      </c>
      <c r="E176" s="132">
        <f>K149</f>
        <v>509658.92993704008</v>
      </c>
      <c r="F176" s="106"/>
      <c r="G176" s="106"/>
      <c r="H176" s="106"/>
      <c r="I176" s="106"/>
      <c r="J176" s="106"/>
      <c r="K176" s="106"/>
      <c r="L176" s="1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"/>
      <c r="X176" s="1"/>
      <c r="Y176" s="1"/>
      <c r="Z176" s="1"/>
    </row>
    <row r="177" spans="1:26" ht="15.75" customHeight="1" x14ac:dyDescent="0.3">
      <c r="A177" s="106"/>
      <c r="B177" s="106"/>
      <c r="C177" s="106"/>
      <c r="D177" s="123" t="s">
        <v>113</v>
      </c>
      <c r="E177" s="132">
        <f>K161</f>
        <v>2101680</v>
      </c>
      <c r="F177" s="106"/>
      <c r="G177" s="106"/>
      <c r="H177" s="106"/>
      <c r="I177" s="106"/>
      <c r="J177" s="106"/>
      <c r="K177" s="106"/>
      <c r="L177" s="1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"/>
      <c r="X177" s="1"/>
      <c r="Y177" s="1"/>
      <c r="Z177" s="1"/>
    </row>
    <row r="178" spans="1:26" ht="15.75" customHeight="1" x14ac:dyDescent="0.3">
      <c r="A178" s="106"/>
      <c r="B178" s="106"/>
      <c r="C178" s="106"/>
      <c r="D178" s="123" t="s">
        <v>114</v>
      </c>
      <c r="E178" s="132">
        <f>+K164</f>
        <v>-71594533.083640292</v>
      </c>
      <c r="F178" s="106"/>
      <c r="G178" s="106"/>
      <c r="H178" s="106"/>
      <c r="I178" s="106"/>
      <c r="J178" s="106"/>
      <c r="K178" s="106"/>
      <c r="L178" s="1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"/>
      <c r="X178" s="1"/>
      <c r="Y178" s="1"/>
      <c r="Z178" s="1"/>
    </row>
    <row r="179" spans="1:26" ht="15.75" customHeight="1" x14ac:dyDescent="0.3">
      <c r="A179" s="106"/>
      <c r="B179" s="106"/>
      <c r="C179" s="106"/>
      <c r="D179" s="118" t="s">
        <v>57</v>
      </c>
      <c r="E179" s="161">
        <f>SUM(E171:E178)</f>
        <v>1024646887.213419</v>
      </c>
      <c r="F179" s="106"/>
      <c r="G179" s="106"/>
      <c r="H179" s="106"/>
      <c r="I179" s="106"/>
      <c r="J179" s="106"/>
      <c r="K179" s="106"/>
      <c r="L179" s="1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"/>
      <c r="X179" s="1"/>
      <c r="Y179" s="1"/>
      <c r="Z179" s="1"/>
    </row>
    <row r="180" spans="1:26" ht="15.75" customHeight="1" x14ac:dyDescent="0.3">
      <c r="A180" s="106"/>
      <c r="B180" s="106"/>
      <c r="C180" s="106"/>
      <c r="D180" s="106"/>
      <c r="E180" s="162">
        <f>+E179-K165</f>
        <v>4.7307014465332031E-3</v>
      </c>
      <c r="F180" s="163"/>
      <c r="G180" s="106"/>
      <c r="H180" s="106"/>
      <c r="I180" s="106"/>
      <c r="J180" s="106"/>
      <c r="K180" s="106"/>
      <c r="L180" s="1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"/>
      <c r="X1000" s="1"/>
      <c r="Y1000" s="1"/>
      <c r="Z1000" s="1"/>
    </row>
  </sheetData>
  <mergeCells count="104">
    <mergeCell ref="A1:J1"/>
    <mergeCell ref="E9:F9"/>
    <mergeCell ref="I9:J9"/>
    <mergeCell ref="E10:F10"/>
    <mergeCell ref="I10:J10"/>
    <mergeCell ref="B11:B12"/>
    <mergeCell ref="K12:K23"/>
    <mergeCell ref="I25:J25"/>
    <mergeCell ref="B26:B27"/>
    <mergeCell ref="D26:D27"/>
    <mergeCell ref="E26:E27"/>
    <mergeCell ref="F26:F27"/>
    <mergeCell ref="H26:H27"/>
    <mergeCell ref="I26:I27"/>
    <mergeCell ref="J26:J27"/>
    <mergeCell ref="K26:K27"/>
    <mergeCell ref="Q46:Q47"/>
    <mergeCell ref="S46:S47"/>
    <mergeCell ref="T46:T47"/>
    <mergeCell ref="U46:U47"/>
    <mergeCell ref="V46:V47"/>
    <mergeCell ref="K28:K43"/>
    <mergeCell ref="O45:P45"/>
    <mergeCell ref="S45:T45"/>
    <mergeCell ref="B46:B47"/>
    <mergeCell ref="D46:D47"/>
    <mergeCell ref="E46:E47"/>
    <mergeCell ref="F46:F47"/>
    <mergeCell ref="H46:H47"/>
    <mergeCell ref="I46:I47"/>
    <mergeCell ref="J46:J47"/>
    <mergeCell ref="B61:B62"/>
    <mergeCell ref="D61:D62"/>
    <mergeCell ref="E61:E62"/>
    <mergeCell ref="F61:F62"/>
    <mergeCell ref="H61:H62"/>
    <mergeCell ref="I61:I62"/>
    <mergeCell ref="J61:J62"/>
    <mergeCell ref="K61:K62"/>
    <mergeCell ref="K46:K47"/>
    <mergeCell ref="Q61:Q62"/>
    <mergeCell ref="S61:S62"/>
    <mergeCell ref="T61:T62"/>
    <mergeCell ref="U61:U62"/>
    <mergeCell ref="V61:V62"/>
    <mergeCell ref="K63:K73"/>
    <mergeCell ref="V63:V73"/>
    <mergeCell ref="K48:K58"/>
    <mergeCell ref="V48:V58"/>
    <mergeCell ref="J76:J77"/>
    <mergeCell ref="K76:K77"/>
    <mergeCell ref="K78:K88"/>
    <mergeCell ref="B91:B92"/>
    <mergeCell ref="D91:D92"/>
    <mergeCell ref="E91:E92"/>
    <mergeCell ref="F91:F92"/>
    <mergeCell ref="H91:H92"/>
    <mergeCell ref="I91:I92"/>
    <mergeCell ref="J91:J92"/>
    <mergeCell ref="B76:B77"/>
    <mergeCell ref="D76:D77"/>
    <mergeCell ref="E76:E77"/>
    <mergeCell ref="F76:F77"/>
    <mergeCell ref="H76:H77"/>
    <mergeCell ref="I76:I77"/>
    <mergeCell ref="K91:K92"/>
    <mergeCell ref="K93:K103"/>
    <mergeCell ref="B106:B107"/>
    <mergeCell ref="D106:D107"/>
    <mergeCell ref="E106:E107"/>
    <mergeCell ref="F106:F107"/>
    <mergeCell ref="H106:H107"/>
    <mergeCell ref="I106:I107"/>
    <mergeCell ref="J106:J107"/>
    <mergeCell ref="K106:K107"/>
    <mergeCell ref="K108:K118"/>
    <mergeCell ref="B121:B122"/>
    <mergeCell ref="D121:D122"/>
    <mergeCell ref="E121:E122"/>
    <mergeCell ref="F121:F122"/>
    <mergeCell ref="H121:H122"/>
    <mergeCell ref="I121:I122"/>
    <mergeCell ref="J121:J122"/>
    <mergeCell ref="K121:K122"/>
    <mergeCell ref="K123:K133"/>
    <mergeCell ref="B136:B137"/>
    <mergeCell ref="D136:D137"/>
    <mergeCell ref="E136:E137"/>
    <mergeCell ref="F136:F137"/>
    <mergeCell ref="H136:H137"/>
    <mergeCell ref="I136:I137"/>
    <mergeCell ref="J136:J137"/>
    <mergeCell ref="K136:K137"/>
    <mergeCell ref="K153:K159"/>
    <mergeCell ref="D170:E170"/>
    <mergeCell ref="K138:K148"/>
    <mergeCell ref="B151:B152"/>
    <mergeCell ref="D151:D152"/>
    <mergeCell ref="E151:E152"/>
    <mergeCell ref="F151:F152"/>
    <mergeCell ref="H151:H152"/>
    <mergeCell ref="I151:I152"/>
    <mergeCell ref="J151:J152"/>
    <mergeCell ref="K151:K15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App.2-ZA_2030-Com. Exp. Forecas</vt:lpstr>
      <vt:lpstr>App.2-ZB_2030Cost of 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Beingessner, Ted</cp:lastModifiedBy>
  <dcterms:created xsi:type="dcterms:W3CDTF">2025-03-28T01:10:02Z</dcterms:created>
  <dcterms:modified xsi:type="dcterms:W3CDTF">2025-04-15T20:04:04Z</dcterms:modified>
</cp:coreProperties>
</file>