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/>
  <mc:AlternateContent xmlns:mc="http://schemas.openxmlformats.org/markup-compatibility/2006">
    <mc:Choice Requires="x15">
      <x15ac:absPath xmlns:x15ac="http://schemas.microsoft.com/office/spreadsheetml/2010/11/ac" url="R:\Applications\2026 Cost of Service\1 - Final for Filing\Models_Attachments\"/>
    </mc:Choice>
  </mc:AlternateContent>
  <xr:revisionPtr revIDLastSave="0" documentId="13_ncr:1_{351E7AD9-C7FE-40DB-8F27-0D69BC3152E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odel Inputs" sheetId="4" r:id="rId1"/>
    <sheet name="Model Input back-up" sheetId="6" r:id="rId2"/>
    <sheet name="Benchmarking Calculations" sheetId="1" r:id="rId3"/>
    <sheet name="Results" sheetId="5" r:id="rId4"/>
    <sheet name="Table for Application" sheetId="7" r:id="rId5"/>
  </sheets>
  <definedNames>
    <definedName name="_Parse_Out" localSheetId="2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" l="1"/>
  <c r="C40" i="6"/>
  <c r="D40" i="6"/>
  <c r="D34" i="6"/>
  <c r="J15" i="4" l="1"/>
  <c r="F246" i="1" l="1"/>
  <c r="H17" i="4" l="1"/>
  <c r="G87" i="1"/>
  <c r="I87" i="1"/>
  <c r="H87" i="1"/>
  <c r="I80" i="1"/>
  <c r="H80" i="1"/>
  <c r="G80" i="1"/>
  <c r="I78" i="1"/>
  <c r="H78" i="1"/>
  <c r="G78" i="1"/>
  <c r="I75" i="1"/>
  <c r="H75" i="1"/>
  <c r="H81" i="1" s="1"/>
  <c r="H89" i="1" s="1"/>
  <c r="G75" i="1"/>
  <c r="I57" i="1"/>
  <c r="H57" i="1"/>
  <c r="G57" i="1"/>
  <c r="I52" i="1"/>
  <c r="H52" i="1"/>
  <c r="G52" i="1"/>
  <c r="I44" i="1"/>
  <c r="I81" i="1" s="1"/>
  <c r="H44" i="1"/>
  <c r="G44" i="1"/>
  <c r="I30" i="1"/>
  <c r="H30" i="1"/>
  <c r="G30" i="1"/>
  <c r="E51" i="6"/>
  <c r="J35" i="4" s="1"/>
  <c r="D51" i="6"/>
  <c r="I35" i="4" s="1"/>
  <c r="C51" i="6"/>
  <c r="H35" i="4" s="1"/>
  <c r="G81" i="1" l="1"/>
  <c r="G89" i="1" s="1"/>
  <c r="I89" i="1"/>
  <c r="B51" i="6"/>
  <c r="C39" i="6"/>
  <c r="G35" i="4" l="1"/>
  <c r="B53" i="6"/>
  <c r="B39" i="6"/>
  <c r="C22" i="6" l="1"/>
  <c r="B18" i="6"/>
  <c r="B17" i="6" l="1"/>
  <c r="B15" i="6"/>
  <c r="B14" i="6"/>
  <c r="B13" i="6"/>
  <c r="F247" i="1" l="1"/>
  <c r="C86" i="1"/>
  <c r="C85" i="1"/>
  <c r="C84" i="1"/>
  <c r="F80" i="1"/>
  <c r="F78" i="1" l="1"/>
  <c r="F57" i="1"/>
  <c r="F87" i="1"/>
  <c r="F44" i="1"/>
  <c r="F75" i="1"/>
  <c r="F30" i="1"/>
  <c r="F52" i="1"/>
  <c r="F81" i="1" l="1"/>
  <c r="F89" i="1" l="1"/>
  <c r="F107" i="1" s="1"/>
  <c r="F121" i="1" s="1"/>
  <c r="I13" i="4"/>
  <c r="C24" i="6"/>
  <c r="I17" i="4" s="1"/>
  <c r="J13" i="4" l="1"/>
  <c r="C25" i="6"/>
  <c r="J17" i="4" s="1"/>
  <c r="H13" i="4" l="1"/>
  <c r="C23" i="6"/>
  <c r="B21" i="6"/>
  <c r="B20" i="6"/>
  <c r="B19" i="6"/>
  <c r="C8" i="6" l="1"/>
  <c r="H14" i="4" s="1"/>
  <c r="D8" i="6"/>
  <c r="I14" i="4" s="1"/>
  <c r="E8" i="6"/>
  <c r="J14" i="4" s="1"/>
  <c r="B8" i="6"/>
  <c r="C52" i="6" l="1"/>
  <c r="E52" i="6" l="1"/>
  <c r="D52" i="6"/>
  <c r="H20" i="4" l="1"/>
  <c r="G34" i="6"/>
  <c r="F34" i="6"/>
  <c r="C30" i="6" l="1"/>
  <c r="C31" i="6"/>
  <c r="C32" i="6" s="1"/>
  <c r="C33" i="6" s="1"/>
  <c r="F35" i="6"/>
  <c r="I20" i="4"/>
  <c r="A17" i="6"/>
  <c r="A18" i="6" s="1"/>
  <c r="A19" i="6" s="1"/>
  <c r="A20" i="6" s="1"/>
  <c r="A21" i="6" s="1"/>
  <c r="A22" i="6" s="1"/>
  <c r="A23" i="6" s="1"/>
  <c r="A24" i="6" s="1"/>
  <c r="A25" i="6" s="1"/>
  <c r="C34" i="6" l="1"/>
  <c r="J20" i="4"/>
  <c r="B30" i="6" l="1"/>
  <c r="B31" i="6" s="1"/>
  <c r="B32" i="6" s="1"/>
  <c r="B33" i="6" s="1"/>
  <c r="M93" i="1"/>
  <c r="M115" i="1" s="1"/>
  <c r="N121" i="4"/>
  <c r="N120" i="4"/>
  <c r="N119" i="4"/>
  <c r="N118" i="4"/>
  <c r="N114" i="4"/>
  <c r="N112" i="4"/>
  <c r="N109" i="4"/>
  <c r="N91" i="4"/>
  <c r="N86" i="4"/>
  <c r="N78" i="4"/>
  <c r="N64" i="4"/>
  <c r="N27" i="4"/>
  <c r="B34" i="6" l="1"/>
  <c r="K6" i="4"/>
  <c r="L6" i="4" s="1"/>
  <c r="M6" i="4" s="1"/>
  <c r="N6" i="4" s="1"/>
  <c r="H6" i="5"/>
  <c r="I6" i="5" s="1"/>
  <c r="J6" i="5" s="1"/>
  <c r="K6" i="5" s="1"/>
  <c r="L6" i="5" s="1"/>
  <c r="M6" i="5" s="1"/>
  <c r="G5" i="1"/>
  <c r="H5" i="1" s="1"/>
  <c r="I5" i="1" s="1"/>
  <c r="J5" i="1" s="1"/>
  <c r="K5" i="1" s="1"/>
  <c r="L5" i="1" l="1"/>
  <c r="M5" i="1" s="1"/>
  <c r="K27" i="4" l="1"/>
  <c r="L27" i="4"/>
  <c r="M27" i="4"/>
  <c r="C3" i="4" l="1"/>
  <c r="E3" i="1" l="1"/>
  <c r="C3" i="5" l="1"/>
  <c r="M114" i="4"/>
  <c r="M118" i="4"/>
  <c r="M119" i="4"/>
  <c r="M120" i="4"/>
  <c r="M121" i="4"/>
  <c r="M112" i="4"/>
  <c r="M109" i="4"/>
  <c r="M91" i="4"/>
  <c r="M86" i="4"/>
  <c r="M78" i="4"/>
  <c r="M64" i="4"/>
  <c r="L111" i="1"/>
  <c r="M111" i="1" s="1"/>
  <c r="L93" i="1"/>
  <c r="L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49" i="4" l="1"/>
  <c r="G17" i="4" l="1"/>
  <c r="L17" i="4" s="1"/>
  <c r="M17" i="4" s="1"/>
  <c r="F256" i="1"/>
  <c r="F278" i="1" l="1"/>
  <c r="F277" i="1"/>
  <c r="N17" i="4"/>
  <c r="G145" i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L22" i="4" s="1"/>
  <c r="M22" i="4" s="1"/>
  <c r="L21" i="4"/>
  <c r="M21" i="4" s="1"/>
  <c r="N21" i="4" s="1"/>
  <c r="L20" i="4"/>
  <c r="M20" i="4" s="1"/>
  <c r="N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H115" i="4" s="1"/>
  <c r="G44" i="4"/>
  <c r="G14" i="4"/>
  <c r="L14" i="4" s="1"/>
  <c r="M14" i="4" s="1"/>
  <c r="G15" i="4"/>
  <c r="L15" i="4" s="1"/>
  <c r="M15" i="4" s="1"/>
  <c r="G16" i="4"/>
  <c r="G13" i="4"/>
  <c r="G10" i="4"/>
  <c r="G9" i="4"/>
  <c r="L9" i="4" s="1"/>
  <c r="M9" i="4" s="1"/>
  <c r="H10" i="5"/>
  <c r="C3" i="7" s="1"/>
  <c r="H16" i="4" l="1"/>
  <c r="I16" i="4" s="1"/>
  <c r="J16" i="4" s="1"/>
  <c r="L16" i="4" s="1"/>
  <c r="M16" i="4" s="1"/>
  <c r="N16" i="4" s="1"/>
  <c r="L13" i="4"/>
  <c r="M13" i="4" s="1"/>
  <c r="M99" i="1"/>
  <c r="L98" i="1"/>
  <c r="N15" i="4"/>
  <c r="M98" i="1" s="1"/>
  <c r="L97" i="1"/>
  <c r="N14" i="4"/>
  <c r="M97" i="1" s="1"/>
  <c r="L92" i="1"/>
  <c r="L114" i="1" s="1"/>
  <c r="N9" i="4"/>
  <c r="M92" i="1" s="1"/>
  <c r="M114" i="1" s="1"/>
  <c r="L110" i="1"/>
  <c r="N22" i="4"/>
  <c r="M110" i="1" s="1"/>
  <c r="L96" i="1"/>
  <c r="N13" i="4"/>
  <c r="M96" i="1" s="1"/>
  <c r="I115" i="4"/>
  <c r="G29" i="4"/>
  <c r="L99" i="1"/>
  <c r="G135" i="1"/>
  <c r="G37" i="4"/>
  <c r="G27" i="4" s="1"/>
  <c r="H145" i="1"/>
  <c r="G98" i="1"/>
  <c r="G93" i="1"/>
  <c r="G115" i="1" s="1"/>
  <c r="G97" i="1"/>
  <c r="G155" i="1" s="1"/>
  <c r="G96" i="1"/>
  <c r="G128" i="1" s="1"/>
  <c r="G110" i="1"/>
  <c r="G142" i="1"/>
  <c r="G143" i="1" s="1"/>
  <c r="G99" i="1"/>
  <c r="G92" i="1"/>
  <c r="G114" i="1" s="1"/>
  <c r="G199" i="1"/>
  <c r="H199" i="1" s="1"/>
  <c r="I199" i="1" s="1"/>
  <c r="G198" i="1"/>
  <c r="H198" i="1" s="1"/>
  <c r="I198" i="1" s="1"/>
  <c r="G197" i="1"/>
  <c r="H197" i="1" s="1"/>
  <c r="I197" i="1" s="1"/>
  <c r="G196" i="1"/>
  <c r="H196" i="1" s="1"/>
  <c r="I196" i="1" s="1"/>
  <c r="G195" i="1"/>
  <c r="H195" i="1" s="1"/>
  <c r="I195" i="1" s="1"/>
  <c r="G194" i="1"/>
  <c r="H194" i="1" s="1"/>
  <c r="I194" i="1" s="1"/>
  <c r="G193" i="1"/>
  <c r="H193" i="1" s="1"/>
  <c r="I193" i="1" s="1"/>
  <c r="G192" i="1"/>
  <c r="H192" i="1" s="1"/>
  <c r="I192" i="1" s="1"/>
  <c r="G191" i="1"/>
  <c r="H191" i="1" s="1"/>
  <c r="I191" i="1" s="1"/>
  <c r="G190" i="1"/>
  <c r="H190" i="1" s="1"/>
  <c r="I190" i="1" s="1"/>
  <c r="G189" i="1"/>
  <c r="H189" i="1" s="1"/>
  <c r="I189" i="1" s="1"/>
  <c r="G188" i="1"/>
  <c r="H188" i="1" s="1"/>
  <c r="I188" i="1" s="1"/>
  <c r="G187" i="1"/>
  <c r="H187" i="1" s="1"/>
  <c r="I187" i="1" s="1"/>
  <c r="G186" i="1"/>
  <c r="H186" i="1" s="1"/>
  <c r="I186" i="1" s="1"/>
  <c r="G185" i="1"/>
  <c r="H185" i="1" s="1"/>
  <c r="I185" i="1" s="1"/>
  <c r="G184" i="1"/>
  <c r="H184" i="1" s="1"/>
  <c r="I184" i="1" s="1"/>
  <c r="G183" i="1"/>
  <c r="H183" i="1" s="1"/>
  <c r="I183" i="1" s="1"/>
  <c r="I158" i="1"/>
  <c r="I222" i="1" s="1"/>
  <c r="H158" i="1"/>
  <c r="H222" i="1" s="1"/>
  <c r="G158" i="1"/>
  <c r="G222" i="1" s="1"/>
  <c r="G151" i="1"/>
  <c r="H151" i="1" s="1"/>
  <c r="I151" i="1" s="1"/>
  <c r="H29" i="4" l="1"/>
  <c r="J115" i="4"/>
  <c r="I29" i="4"/>
  <c r="H135" i="1"/>
  <c r="I135" i="1" s="1"/>
  <c r="I145" i="1"/>
  <c r="H110" i="1"/>
  <c r="H93" i="1"/>
  <c r="H115" i="1" s="1"/>
  <c r="H98" i="1"/>
  <c r="H99" i="1"/>
  <c r="H142" i="1"/>
  <c r="H143" i="1" s="1"/>
  <c r="H96" i="1"/>
  <c r="H92" i="1"/>
  <c r="H114" i="1" s="1"/>
  <c r="H97" i="1"/>
  <c r="G209" i="1"/>
  <c r="G213" i="1" s="1"/>
  <c r="G130" i="1"/>
  <c r="G129" i="1"/>
  <c r="K115" i="4" l="1"/>
  <c r="J29" i="4"/>
  <c r="I96" i="1"/>
  <c r="I98" i="1"/>
  <c r="I92" i="1"/>
  <c r="I114" i="1" s="1"/>
  <c r="I97" i="1"/>
  <c r="I99" i="1"/>
  <c r="I142" i="1"/>
  <c r="I143" i="1" s="1"/>
  <c r="I93" i="1"/>
  <c r="I115" i="1" s="1"/>
  <c r="G31" i="4"/>
  <c r="G117" i="1"/>
  <c r="H155" i="1"/>
  <c r="H209" i="1" s="1"/>
  <c r="H213" i="1" s="1"/>
  <c r="H129" i="1"/>
  <c r="G131" i="1"/>
  <c r="G153" i="1"/>
  <c r="G207" i="1" s="1"/>
  <c r="G157" i="1"/>
  <c r="G221" i="1" s="1"/>
  <c r="H130" i="1"/>
  <c r="L115" i="4" l="1"/>
  <c r="K29" i="4"/>
  <c r="J97" i="1"/>
  <c r="J96" i="1"/>
  <c r="J99" i="1"/>
  <c r="J92" i="1"/>
  <c r="J114" i="1" s="1"/>
  <c r="J98" i="1"/>
  <c r="J93" i="1"/>
  <c r="J115" i="1" s="1"/>
  <c r="J110" i="1"/>
  <c r="I155" i="1"/>
  <c r="I209" i="1" s="1"/>
  <c r="I213" i="1" s="1"/>
  <c r="I129" i="1"/>
  <c r="I130" i="1"/>
  <c r="H153" i="1"/>
  <c r="H207" i="1" s="1"/>
  <c r="H128" i="1"/>
  <c r="H157" i="1" s="1"/>
  <c r="H221" i="1" s="1"/>
  <c r="G156" i="1"/>
  <c r="G220" i="1" s="1"/>
  <c r="H131" i="1"/>
  <c r="G154" i="1"/>
  <c r="G208" i="1" s="1"/>
  <c r="G218" i="1"/>
  <c r="G211" i="1"/>
  <c r="M115" i="4" l="1"/>
  <c r="L29" i="4"/>
  <c r="K110" i="1"/>
  <c r="K98" i="1"/>
  <c r="K97" i="1"/>
  <c r="K93" i="1"/>
  <c r="K115" i="1" s="1"/>
  <c r="K92" i="1"/>
  <c r="K114" i="1" s="1"/>
  <c r="K96" i="1"/>
  <c r="K99" i="1"/>
  <c r="G212" i="1"/>
  <c r="G219" i="1"/>
  <c r="H156" i="1"/>
  <c r="H220" i="1" s="1"/>
  <c r="I153" i="1"/>
  <c r="I207" i="1" s="1"/>
  <c r="I128" i="1"/>
  <c r="I157" i="1" s="1"/>
  <c r="I221" i="1" s="1"/>
  <c r="H154" i="1"/>
  <c r="H208" i="1" s="1"/>
  <c r="I131" i="1"/>
  <c r="H211" i="1"/>
  <c r="H218" i="1"/>
  <c r="G217" i="1"/>
  <c r="M29" i="4" l="1"/>
  <c r="M31" i="4" s="1"/>
  <c r="L89" i="1" s="1"/>
  <c r="N115" i="4"/>
  <c r="N29" i="4" s="1"/>
  <c r="N31" i="4" s="1"/>
  <c r="M89" i="1" s="1"/>
  <c r="I211" i="1"/>
  <c r="I218" i="1"/>
  <c r="H212" i="1"/>
  <c r="H219" i="1"/>
  <c r="I156" i="1"/>
  <c r="I220" i="1" s="1"/>
  <c r="I154" i="1"/>
  <c r="I208" i="1" s="1"/>
  <c r="H217" i="1"/>
  <c r="K31" i="4" l="1"/>
  <c r="J89" i="1" s="1"/>
  <c r="J107" i="1" s="1"/>
  <c r="L31" i="4"/>
  <c r="K89" i="1" s="1"/>
  <c r="K107" i="1" s="1"/>
  <c r="I212" i="1"/>
  <c r="I219" i="1"/>
  <c r="I217" i="1"/>
  <c r="F257" i="1" l="1"/>
  <c r="F261" i="1" s="1"/>
  <c r="G178" i="1"/>
  <c r="H178" i="1" s="1"/>
  <c r="G168" i="1"/>
  <c r="G164" i="1"/>
  <c r="G228" i="1" s="1"/>
  <c r="G174" i="1"/>
  <c r="G165" i="1"/>
  <c r="G229" i="1" s="1"/>
  <c r="G177" i="1"/>
  <c r="G169" i="1"/>
  <c r="G233" i="1" s="1"/>
  <c r="G171" i="1"/>
  <c r="G167" i="1"/>
  <c r="G170" i="1"/>
  <c r="H170" i="1" s="1"/>
  <c r="G173" i="1"/>
  <c r="G163" i="1"/>
  <c r="G176" i="1"/>
  <c r="G175" i="1"/>
  <c r="G166" i="1"/>
  <c r="G172" i="1"/>
  <c r="G162" i="1"/>
  <c r="G179" i="1"/>
  <c r="F258" i="1" l="1"/>
  <c r="F259" i="1" s="1"/>
  <c r="H12" i="5"/>
  <c r="H173" i="1"/>
  <c r="H167" i="1"/>
  <c r="I167" i="1" s="1"/>
  <c r="H171" i="1"/>
  <c r="G243" i="1"/>
  <c r="H179" i="1"/>
  <c r="G226" i="1"/>
  <c r="H162" i="1"/>
  <c r="G230" i="1"/>
  <c r="H166" i="1"/>
  <c r="H163" i="1"/>
  <c r="H174" i="1"/>
  <c r="G238" i="1"/>
  <c r="H242" i="1"/>
  <c r="I178" i="1"/>
  <c r="H172" i="1"/>
  <c r="G239" i="1"/>
  <c r="H175" i="1"/>
  <c r="H234" i="1"/>
  <c r="I170" i="1"/>
  <c r="G241" i="1"/>
  <c r="H177" i="1"/>
  <c r="G240" i="1"/>
  <c r="H176" i="1"/>
  <c r="G232" i="1"/>
  <c r="H168" i="1"/>
  <c r="G242" i="1"/>
  <c r="G234" i="1"/>
  <c r="H169" i="1"/>
  <c r="H165" i="1"/>
  <c r="H164" i="1"/>
  <c r="H16" i="5" l="1"/>
  <c r="C4" i="7"/>
  <c r="M261" i="1"/>
  <c r="H14" i="5"/>
  <c r="I173" i="1"/>
  <c r="I165" i="1"/>
  <c r="H229" i="1"/>
  <c r="I242" i="1"/>
  <c r="H226" i="1"/>
  <c r="I162" i="1"/>
  <c r="H233" i="1"/>
  <c r="I169" i="1"/>
  <c r="I168" i="1"/>
  <c r="H232" i="1"/>
  <c r="H240" i="1"/>
  <c r="I176" i="1"/>
  <c r="I234" i="1"/>
  <c r="I172" i="1"/>
  <c r="H230" i="1"/>
  <c r="I166" i="1"/>
  <c r="I179" i="1"/>
  <c r="H243" i="1"/>
  <c r="H228" i="1"/>
  <c r="I164" i="1"/>
  <c r="I174" i="1"/>
  <c r="H238" i="1"/>
  <c r="H241" i="1"/>
  <c r="I177" i="1"/>
  <c r="H239" i="1"/>
  <c r="I175" i="1"/>
  <c r="I163" i="1"/>
  <c r="I171" i="1"/>
  <c r="H18" i="5" l="1"/>
  <c r="H24" i="5" s="1"/>
  <c r="H22" i="5"/>
  <c r="C7" i="7"/>
  <c r="C9" i="7" s="1"/>
  <c r="C5" i="7"/>
  <c r="C6" i="7"/>
  <c r="C8" i="7" s="1"/>
  <c r="I238" i="1"/>
  <c r="I228" i="1"/>
  <c r="I233" i="1"/>
  <c r="I239" i="1"/>
  <c r="I240" i="1"/>
  <c r="I226" i="1"/>
  <c r="I243" i="1"/>
  <c r="I241" i="1"/>
  <c r="I230" i="1"/>
  <c r="I232" i="1"/>
  <c r="I229" i="1"/>
  <c r="J261" i="1" l="1"/>
  <c r="L12" i="5"/>
  <c r="K261" i="1" l="1"/>
  <c r="M12" i="5"/>
  <c r="L10" i="5"/>
  <c r="L14" i="5" s="1"/>
  <c r="L16" i="5" s="1"/>
  <c r="L261" i="1" l="1"/>
  <c r="L18" i="5"/>
  <c r="L24" i="5" s="1"/>
  <c r="L22" i="5"/>
  <c r="M10" i="5"/>
  <c r="M14" i="5" s="1"/>
  <c r="M16" i="5" s="1"/>
  <c r="M18" i="5" l="1"/>
  <c r="M24" i="5" s="1"/>
  <c r="M22" i="5"/>
  <c r="E34" i="6" l="1"/>
  <c r="E35" i="6" s="1"/>
  <c r="D35" i="6" l="1"/>
  <c r="H21" i="4"/>
  <c r="G112" i="1" l="1"/>
  <c r="G113" i="1" s="1"/>
  <c r="G134" i="1"/>
  <c r="G136" i="1" s="1"/>
  <c r="G116" i="1"/>
  <c r="G118" i="1" s="1"/>
  <c r="G139" i="1" l="1"/>
  <c r="G137" i="1"/>
  <c r="G152" i="1" s="1"/>
  <c r="G119" i="1"/>
  <c r="H117" i="1"/>
  <c r="G206" i="1" l="1"/>
  <c r="G247" i="1"/>
  <c r="G216" i="1" l="1"/>
  <c r="G237" i="1" s="1"/>
  <c r="G214" i="1"/>
  <c r="G235" i="1" s="1"/>
  <c r="G210" i="1"/>
  <c r="G231" i="1" s="1"/>
  <c r="G227" i="1"/>
  <c r="G215" i="1"/>
  <c r="G236" i="1" s="1"/>
  <c r="G245" i="1" l="1"/>
  <c r="G246" i="1" l="1"/>
  <c r="G248" i="1" s="1"/>
  <c r="G257" i="1" s="1"/>
  <c r="I12" i="5" s="1"/>
  <c r="D4" i="7" s="1"/>
  <c r="I110" i="1" l="1"/>
  <c r="H27" i="4" l="1"/>
  <c r="H31" i="4" s="1"/>
  <c r="G107" i="1" s="1"/>
  <c r="G121" i="1" s="1"/>
  <c r="G256" i="1" l="1"/>
  <c r="I10" i="5"/>
  <c r="G261" i="1" l="1"/>
  <c r="G278" i="1"/>
  <c r="G277" i="1"/>
  <c r="D3" i="7"/>
  <c r="D6" i="7" s="1"/>
  <c r="I16" i="5"/>
  <c r="I14" i="5"/>
  <c r="G258" i="1"/>
  <c r="G259" i="1" s="1"/>
  <c r="I18" i="5" l="1"/>
  <c r="I22" i="5"/>
  <c r="D5" i="7"/>
  <c r="I24" i="5" l="1"/>
  <c r="D7" i="7"/>
  <c r="D8" i="7"/>
  <c r="I27" i="4" l="1"/>
  <c r="I31" i="4" s="1"/>
  <c r="H107" i="1" s="1"/>
  <c r="J27" i="4"/>
  <c r="J31" i="4" s="1"/>
  <c r="I107" i="1" s="1"/>
  <c r="D9" i="7" l="1"/>
  <c r="C35" i="6" l="1"/>
  <c r="I21" i="4" s="1"/>
  <c r="H112" i="1" l="1"/>
  <c r="H134" i="1"/>
  <c r="B35" i="6"/>
  <c r="J21" i="4" s="1"/>
  <c r="H113" i="1" l="1"/>
  <c r="H116" i="1"/>
  <c r="H118" i="1" s="1"/>
  <c r="I117" i="1" s="1"/>
  <c r="I112" i="1"/>
  <c r="I113" i="1" s="1"/>
  <c r="H136" i="1"/>
  <c r="H137" i="1" s="1"/>
  <c r="I134" i="1"/>
  <c r="I136" i="1" s="1"/>
  <c r="I139" i="1" l="1"/>
  <c r="H247" i="1"/>
  <c r="I137" i="1"/>
  <c r="I247" i="1" s="1"/>
  <c r="J112" i="1"/>
  <c r="I116" i="1"/>
  <c r="I118" i="1" s="1"/>
  <c r="I119" i="1" s="1"/>
  <c r="I121" i="1" s="1"/>
  <c r="I256" i="1" s="1"/>
  <c r="H139" i="1"/>
  <c r="H119" i="1"/>
  <c r="H121" i="1" s="1"/>
  <c r="H152" i="1"/>
  <c r="H206" i="1" s="1"/>
  <c r="J113" i="1" l="1"/>
  <c r="K112" i="1"/>
  <c r="J116" i="1"/>
  <c r="I152" i="1"/>
  <c r="I206" i="1" s="1"/>
  <c r="J117" i="1"/>
  <c r="J118" i="1"/>
  <c r="H215" i="1"/>
  <c r="H236" i="1" s="1"/>
  <c r="H227" i="1"/>
  <c r="H214" i="1"/>
  <c r="H235" i="1" s="1"/>
  <c r="H210" i="1"/>
  <c r="H231" i="1" s="1"/>
  <c r="H216" i="1"/>
  <c r="H237" i="1" s="1"/>
  <c r="H256" i="1"/>
  <c r="J10" i="5"/>
  <c r="E3" i="7" l="1"/>
  <c r="K113" i="1"/>
  <c r="K116" i="1"/>
  <c r="L112" i="1"/>
  <c r="J119" i="1"/>
  <c r="J121" i="1" s="1"/>
  <c r="H245" i="1"/>
  <c r="H246" i="1" s="1"/>
  <c r="H248" i="1" s="1"/>
  <c r="H257" i="1" s="1"/>
  <c r="J12" i="5" s="1"/>
  <c r="E4" i="7" s="1"/>
  <c r="K117" i="1"/>
  <c r="I215" i="1"/>
  <c r="I236" i="1" s="1"/>
  <c r="I216" i="1"/>
  <c r="I237" i="1" s="1"/>
  <c r="I210" i="1"/>
  <c r="I231" i="1" s="1"/>
  <c r="I227" i="1"/>
  <c r="I214" i="1"/>
  <c r="I235" i="1" s="1"/>
  <c r="I245" i="1" l="1"/>
  <c r="I246" i="1" s="1"/>
  <c r="I248" i="1" s="1"/>
  <c r="I257" i="1" s="1"/>
  <c r="I258" i="1" s="1"/>
  <c r="I259" i="1" s="1"/>
  <c r="K118" i="1"/>
  <c r="L117" i="1" s="1"/>
  <c r="J16" i="5"/>
  <c r="J14" i="5"/>
  <c r="H261" i="1"/>
  <c r="L113" i="1"/>
  <c r="M112" i="1"/>
  <c r="M116" i="1" s="1"/>
  <c r="L116" i="1"/>
  <c r="L118" i="1" s="1"/>
  <c r="M117" i="1" s="1"/>
  <c r="M118" i="1" s="1"/>
  <c r="H258" i="1"/>
  <c r="H259" i="1" s="1"/>
  <c r="E6" i="7"/>
  <c r="E7" i="7" s="1"/>
  <c r="E5" i="7"/>
  <c r="I261" i="1" l="1"/>
  <c r="K12" i="5"/>
  <c r="K10" i="5" s="1"/>
  <c r="F3" i="7" s="1"/>
  <c r="K119" i="1"/>
  <c r="K121" i="1" s="1"/>
  <c r="M113" i="1"/>
  <c r="M119" i="1" s="1"/>
  <c r="M121" i="1" s="1"/>
  <c r="E9" i="7"/>
  <c r="E8" i="7"/>
  <c r="J18" i="5"/>
  <c r="J24" i="5" s="1"/>
  <c r="J22" i="5"/>
  <c r="L119" i="1"/>
  <c r="L121" i="1" s="1"/>
  <c r="F4" i="7" l="1"/>
  <c r="K14" i="5"/>
  <c r="K16" i="5" s="1"/>
  <c r="F6" i="7" l="1"/>
  <c r="F7" i="7" s="1"/>
  <c r="F9" i="7" s="1"/>
  <c r="F5" i="7"/>
  <c r="K18" i="5"/>
  <c r="K24" i="5" s="1"/>
  <c r="K22" i="5"/>
  <c r="F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Sally Blackwell</author>
  </authors>
  <commentList>
    <comment ref="F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Sally Blackwell:</t>
        </r>
        <r>
          <rPr>
            <sz val="9"/>
            <color indexed="81"/>
            <rFont val="Tahoma"/>
            <family val="2"/>
          </rPr>
          <t xml:space="preserve">
use PEG model values</t>
        </r>
      </text>
    </comment>
    <comment ref="G2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Sally Blackwell:</t>
        </r>
        <r>
          <rPr>
            <sz val="9"/>
            <color indexed="81"/>
            <rFont val="Tahoma"/>
            <family val="2"/>
          </rPr>
          <t xml:space="preserve">
use PEG model values</t>
        </r>
      </text>
    </comment>
  </commentList>
</comments>
</file>

<file path=xl/sharedStrings.xml><?xml version="1.0" encoding="utf-8"?>
<sst xmlns="http://schemas.openxmlformats.org/spreadsheetml/2006/main" count="515" uniqueCount="264">
  <si>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</si>
  <si>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</si>
  <si>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</si>
  <si>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</si>
  <si>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</si>
  <si>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</si>
  <si>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</si>
  <si>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</si>
  <si>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</si>
  <si>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</si>
  <si>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</si>
  <si>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</si>
  <si>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</si>
  <si>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</si>
  <si>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</si>
  <si>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</si>
  <si>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</si>
  <si>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</si>
  <si>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</si>
  <si>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</si>
  <si>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</si>
  <si>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</si>
  <si>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</si>
  <si>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</si>
  <si>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</si>
  <si>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</si>
  <si>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</si>
  <si>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</si>
  <si>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</si>
  <si>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</si>
  <si>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</si>
  <si>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</si>
  <si>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</si>
  <si>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</si>
  <si>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</si>
  <si>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</si>
  <si>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</si>
  <si>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</si>
  <si>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</si>
  <si>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</si>
  <si>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</si>
  <si>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</si>
  <si>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</si>
  <si>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</si>
  <si>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</si>
  <si>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</si>
  <si>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</si>
  <si>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</si>
  <si>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</si>
  <si>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</si>
  <si>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</si>
  <si>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</si>
  <si>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</si>
  <si>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</si>
  <si>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</si>
  <si>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</si>
  <si>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</si>
  <si>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</si>
  <si>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</si>
  <si>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</si>
  <si>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</si>
  <si>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</si>
  <si>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</si>
  <si>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</si>
  <si>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</si>
  <si>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</si>
  <si>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</si>
  <si>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</si>
  <si>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</si>
  <si>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</si>
  <si>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</si>
  <si>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</si>
  <si>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</si>
  <si>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</si>
  <si>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</si>
  <si>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</si>
  <si>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</si>
  <si>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</si>
  <si>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</si>
  <si>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</si>
  <si>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</si>
  <si>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</si>
  <si>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</si>
  <si>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</si>
  <si>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</si>
  <si>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</si>
  <si>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</si>
  <si>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</si>
  <si>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</si>
  <si>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</si>
  <si>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</si>
  <si>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</si>
  <si>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</si>
  <si>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</si>
  <si>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</si>
  <si>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</si>
  <si>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</si>
  <si>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</si>
  <si>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</si>
  <si>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</si>
  <si>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</si>
  <si>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</si>
  <si>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</si>
  <si>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</si>
  <si>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</si>
  <si>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</si>
  <si>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</si>
  <si>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</si>
  <si>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</si>
  <si>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</si>
  <si>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</si>
  <si>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</si>
  <si>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</si>
  <si>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</si>
  <si>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</si>
  <si>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Business Conditions</t>
  </si>
  <si>
    <t>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</si>
  <si>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</si>
  <si>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</si>
  <si>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</si>
  <si>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</si>
  <si>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</si>
  <si>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</si>
  <si>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</si>
  <si>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</si>
  <si>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</si>
  <si>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</si>
  <si>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</si>
  <si>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</si>
  <si>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</si>
  <si>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</si>
  <si>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</si>
  <si>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</si>
  <si>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</si>
  <si>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</si>
  <si>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</si>
  <si>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</si>
  <si>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</si>
  <si>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</si>
  <si>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</si>
  <si>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</si>
  <si>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</si>
  <si>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</si>
  <si>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</si>
  <si>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</si>
  <si>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</si>
  <si>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</si>
  <si>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</si>
  <si>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</si>
  <si>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</si>
  <si>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</si>
  <si>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</si>
  <si>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</si>
  <si>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</si>
  <si>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</si>
  <si>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</si>
  <si>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</si>
  <si>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</si>
  <si>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</si>
  <si>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</si>
  <si>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</si>
  <si>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</si>
  <si>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</si>
  <si>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</si>
  <si>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</si>
  <si>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</si>
  <si>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</si>
  <si>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</si>
  <si>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</si>
  <si>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</si>
  <si>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</si>
  <si>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</si>
  <si>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</si>
  <si>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</si>
  <si>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</si>
  <si>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</si>
  <si>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</si>
  <si>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</si>
  <si>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</si>
  <si>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</si>
  <si>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</si>
  <si>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</si>
  <si>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</si>
  <si>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</si>
  <si>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</si>
  <si>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</si>
  <si>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</si>
  <si>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</si>
  <si>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</si>
  <si>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</si>
  <si>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</si>
  <si>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</si>
  <si>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</si>
  <si>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</si>
  <si>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</si>
  <si>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</si>
  <si>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</si>
  <si>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</si>
  <si>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Burlington Hydro Inc.</t>
  </si>
  <si>
    <t>Average Hourly Earnings  [70% Weight]</t>
  </si>
  <si>
    <t>GDP IPI</t>
  </si>
  <si>
    <t>#</t>
  </si>
  <si>
    <t>Growth</t>
  </si>
  <si>
    <t>Ten Year Customer Growth</t>
  </si>
  <si>
    <t>Year</t>
  </si>
  <si>
    <t>Model Input Back-up</t>
  </si>
  <si>
    <t>GDP IPI (Final Domestic Demand)</t>
  </si>
  <si>
    <t>Q1</t>
  </si>
  <si>
    <t>Q2</t>
  </si>
  <si>
    <t>Q3</t>
  </si>
  <si>
    <t>Q4</t>
  </si>
  <si>
    <t>Average</t>
  </si>
  <si>
    <t>See Model Input Data Back-up</t>
  </si>
  <si>
    <t>Average Hourly Earnings</t>
  </si>
  <si>
    <t>Description</t>
  </si>
  <si>
    <t>Actual Cost Greater Than/(Less Than) Predicted Cost</t>
  </si>
  <si>
    <t>Stretch Factor Cohort - Annual</t>
  </si>
  <si>
    <t>Stretch Factor Cohort - Annual (Three Year Average)</t>
  </si>
  <si>
    <t>estimate</t>
  </si>
  <si>
    <t>Community Relations</t>
  </si>
  <si>
    <t xml:space="preserve">  Total</t>
  </si>
  <si>
    <t xml:space="preserve">  Total - PEG</t>
  </si>
  <si>
    <t xml:space="preserve">  Total per PEG Report</t>
  </si>
  <si>
    <t>n/a</t>
  </si>
  <si>
    <t>FA Continuties</t>
  </si>
  <si>
    <t>Rate Class</t>
  </si>
  <si>
    <t>Total</t>
  </si>
  <si>
    <t>Residential</t>
  </si>
  <si>
    <t>GS&lt;50</t>
  </si>
  <si>
    <t>GS&gt;50</t>
  </si>
  <si>
    <t>VERSION FEB 07</t>
  </si>
  <si>
    <t>2023 Actuals</t>
  </si>
  <si>
    <t>2024 Actuals</t>
  </si>
  <si>
    <t>2025 Bridge Year</t>
  </si>
  <si>
    <t>2026 Test Year</t>
  </si>
  <si>
    <t>raw kWh (Table 3B - Demand and Revenue (3) for Actuals; Load Forecast 2025/2026)</t>
  </si>
  <si>
    <t>Asset Price Index</t>
  </si>
  <si>
    <t>2002-2023 Average Line km</t>
  </si>
  <si>
    <t>based on yearbook</t>
  </si>
  <si>
    <t>RRR data</t>
  </si>
  <si>
    <t>PEG Report</t>
  </si>
  <si>
    <t>2023 data (from 2024 PEG Model)</t>
  </si>
  <si>
    <t>2022 data (from 2023 PEG model)</t>
  </si>
  <si>
    <t>https://www150.statcan.gc.ca/t1/tbl1/en/tv.action?pid=3610010601&amp;pickMembers%5B0%5D=2.1&amp;cubeTimeFrame.startMonth=01&amp;cubeTimeFrame.startYear=2023&amp;cubeTimeFrame.endMonth=07&amp;cubeTimeFrame.endYear=2024&amp;referencePeriods=20230101%2C20240701</t>
  </si>
  <si>
    <t>https://www150.statcan.gc.ca/t1/tbl1/en/tv.action?pid=1410020401</t>
  </si>
  <si>
    <t>Operation</t>
  </si>
  <si>
    <t>Maintenance</t>
  </si>
  <si>
    <t xml:space="preserve">Billing and Collection </t>
  </si>
  <si>
    <t>Administrative and General Expenses</t>
  </si>
  <si>
    <t>Insurance Expense</t>
  </si>
  <si>
    <t>Advertising Expenses</t>
  </si>
  <si>
    <t>2024-2026 - average of last 10 years - see Model Input Data Back-up</t>
  </si>
  <si>
    <t>Annual Wage Growth</t>
  </si>
  <si>
    <t>2023 Values Logged and Mean Scaled (where applicable)</t>
  </si>
  <si>
    <t>Product of Parameter and 2023 Values</t>
  </si>
  <si>
    <t>(Fcst)</t>
  </si>
  <si>
    <t>2024 RRRs/ 2025/2026 load forecast (Residential, GS&lt;50, GS&gt;50)</t>
  </si>
  <si>
    <t>2024 RRRs/2025/2026  load forecast (Residential, GS&lt;50, GS&gt;50); includes mFIT customers</t>
  </si>
  <si>
    <t>2024 = Jun 2024 peak; 2025-26 = 5 year average (2020-2024)</t>
  </si>
  <si>
    <t>Total Cost per Customer</t>
  </si>
  <si>
    <t>Total Cost per Km of Line</t>
  </si>
  <si>
    <t>2024-2026 = 2023 RRR</t>
  </si>
  <si>
    <t>Actual</t>
  </si>
  <si>
    <t xml:space="preserve">As per OEB Cost of Capital Parameters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</si>
</sst>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00%"/>
    <numFmt numFmtId="170" formatCode="0.0000"/>
    <numFmt numFmtId="171" formatCode="_(* #,##0.000_);_(* \(#,##0.000\);_(* &quot;-&quot;??_);_(@_)"/>
    <numFmt numFmtId="172" formatCode="_(* #,##0.0000_);_(* \(#,##0.0000\);_(* &quot;-&quot;??_);_(@_)"/>
    <numFmt numFmtId="173" formatCode="0.0%"/>
    <numFmt numFmtId="174" formatCode="&quot;$&quot;#,##0"/>
    <numFmt numFmtId="175" formatCode="&quot;$&quot;#,##0_);[Red]\(&quot;$&quot;#,##0\)"/>
    <numFmt numFmtId="176" formatCode="_-* #,##0_-;\-* #,##0_-;_-* &quot;-&quot;??_-;_-@_-"/>
    <numFmt numFmtId="177" formatCode="0.0000000"/>
  </numFmts>
  <fonts count="3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MS Sans Serif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0" fontId="1" fillId="0" borderId="0"/>
    <xf numFmtId="0" fontId="35" fillId="0" borderId="0"/>
  </cellStyleXfs>
  <cellXfs count="211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6" fontId="0" fillId="0" borderId="0" xfId="1" applyNumberFormat="1" applyFont="1" applyFill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9" fillId="0" borderId="0" xfId="3" applyFont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0" fontId="10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8" fillId="0" borderId="2" xfId="0" applyFont="1" applyBorder="1"/>
    <xf numFmtId="3" fontId="0" fillId="0" borderId="0" xfId="0" applyNumberFormat="1"/>
    <xf numFmtId="169" fontId="0" fillId="0" borderId="0" xfId="2" applyNumberFormat="1" applyFont="1" applyFill="1"/>
    <xf numFmtId="165" fontId="0" fillId="2" borderId="0" xfId="0" applyNumberFormat="1" applyFill="1"/>
    <xf numFmtId="170" fontId="0" fillId="0" borderId="0" xfId="0" applyNumberFormat="1"/>
    <xf numFmtId="167" fontId="0" fillId="0" borderId="0" xfId="0" applyNumberFormat="1"/>
    <xf numFmtId="171" fontId="0" fillId="0" borderId="0" xfId="1" applyNumberFormat="1" applyFont="1" applyFill="1" applyBorder="1"/>
    <xf numFmtId="172" fontId="0" fillId="0" borderId="0" xfId="1" applyNumberFormat="1" applyFont="1"/>
    <xf numFmtId="172" fontId="0" fillId="0" borderId="0" xfId="1" applyNumberFormat="1" applyFont="1" applyFill="1"/>
    <xf numFmtId="172" fontId="0" fillId="0" borderId="0" xfId="0" applyNumberFormat="1"/>
    <xf numFmtId="171" fontId="0" fillId="0" borderId="0" xfId="1" applyNumberFormat="1" applyFont="1" applyFill="1"/>
    <xf numFmtId="166" fontId="0" fillId="0" borderId="0" xfId="1" applyNumberFormat="1" applyFont="1" applyFill="1" applyBorder="1"/>
    <xf numFmtId="173" fontId="0" fillId="0" borderId="0" xfId="2" applyNumberFormat="1" applyFont="1" applyFill="1"/>
    <xf numFmtId="173" fontId="0" fillId="0" borderId="0" xfId="2" applyNumberFormat="1" applyFont="1" applyFill="1" applyBorder="1"/>
    <xf numFmtId="0" fontId="11" fillId="0" borderId="0" xfId="0" applyFont="1"/>
    <xf numFmtId="166" fontId="0" fillId="0" borderId="0" xfId="1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7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5" xfId="0" applyBorder="1"/>
    <xf numFmtId="10" fontId="0" fillId="0" borderId="7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4" xfId="0" applyBorder="1"/>
    <xf numFmtId="166" fontId="8" fillId="0" borderId="0" xfId="1" applyNumberFormat="1" applyFont="1" applyFill="1" applyBorder="1"/>
    <xf numFmtId="166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/>
    <xf numFmtId="10" fontId="0" fillId="0" borderId="0" xfId="2" applyNumberFormat="1" applyFont="1" applyBorder="1"/>
    <xf numFmtId="0" fontId="5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4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166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6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6" fontId="0" fillId="0" borderId="2" xfId="1" applyNumberFormat="1" applyFont="1" applyFill="1" applyBorder="1" applyAlignment="1">
      <alignment horizontal="center"/>
    </xf>
    <xf numFmtId="166" fontId="0" fillId="2" borderId="4" xfId="0" applyNumberFormat="1" applyFill="1" applyBorder="1"/>
    <xf numFmtId="0" fontId="15" fillId="0" borderId="0" xfId="0" applyFont="1" applyAlignment="1">
      <alignment horizontal="center"/>
    </xf>
    <xf numFmtId="0" fontId="14" fillId="0" borderId="0" xfId="0" applyFont="1"/>
    <xf numFmtId="10" fontId="0" fillId="2" borderId="4" xfId="2" applyNumberFormat="1" applyFont="1" applyFill="1" applyBorder="1" applyAlignment="1">
      <alignment horizontal="center"/>
    </xf>
    <xf numFmtId="166" fontId="0" fillId="2" borderId="4" xfId="1" applyNumberFormat="1" applyFont="1" applyFill="1" applyBorder="1"/>
    <xf numFmtId="164" fontId="0" fillId="0" borderId="0" xfId="0" applyNumberFormat="1"/>
    <xf numFmtId="166" fontId="0" fillId="2" borderId="4" xfId="1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6" fontId="0" fillId="0" borderId="3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8" xfId="0" applyFont="1" applyBorder="1"/>
    <xf numFmtId="0" fontId="0" fillId="0" borderId="10" xfId="0" applyBorder="1" applyAlignment="1">
      <alignment horizontal="left"/>
    </xf>
    <xf numFmtId="0" fontId="8" fillId="0" borderId="11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166" fontId="0" fillId="0" borderId="14" xfId="1" applyNumberFormat="1" applyFont="1" applyFill="1" applyBorder="1"/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166" fontId="0" fillId="0" borderId="14" xfId="1" applyNumberFormat="1" applyFont="1" applyBorder="1" applyAlignment="1">
      <alignment horizontal="center"/>
    </xf>
    <xf numFmtId="166" fontId="0" fillId="0" borderId="14" xfId="1" applyNumberFormat="1" applyFont="1" applyFill="1" applyBorder="1" applyAlignment="1">
      <alignment horizontal="center"/>
    </xf>
    <xf numFmtId="166" fontId="0" fillId="0" borderId="14" xfId="0" applyNumberFormat="1" applyBorder="1"/>
    <xf numFmtId="173" fontId="0" fillId="0" borderId="0" xfId="2" applyNumberFormat="1" applyFont="1" applyBorder="1"/>
    <xf numFmtId="173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8" fillId="0" borderId="12" xfId="0" applyFont="1" applyBorder="1" applyAlignment="1">
      <alignment horizontal="left"/>
    </xf>
    <xf numFmtId="166" fontId="8" fillId="2" borderId="4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66" fontId="0" fillId="2" borderId="5" xfId="1" applyNumberFormat="1" applyFont="1" applyFill="1" applyBorder="1"/>
    <xf numFmtId="166" fontId="0" fillId="2" borderId="6" xfId="1" applyNumberFormat="1" applyFont="1" applyFill="1" applyBorder="1"/>
    <xf numFmtId="166" fontId="0" fillId="2" borderId="7" xfId="1" applyNumberFormat="1" applyFont="1" applyFill="1" applyBorder="1"/>
    <xf numFmtId="10" fontId="0" fillId="2" borderId="5" xfId="2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6" fontId="0" fillId="2" borderId="8" xfId="1" applyNumberFormat="1" applyFont="1" applyFill="1" applyBorder="1"/>
    <xf numFmtId="166" fontId="0" fillId="2" borderId="9" xfId="1" applyNumberFormat="1" applyFont="1" applyFill="1" applyBorder="1"/>
    <xf numFmtId="166" fontId="0" fillId="2" borderId="10" xfId="1" applyNumberFormat="1" applyFont="1" applyFill="1" applyBorder="1"/>
    <xf numFmtId="166" fontId="0" fillId="2" borderId="13" xfId="1" applyNumberFormat="1" applyFont="1" applyFill="1" applyBorder="1"/>
    <xf numFmtId="166" fontId="0" fillId="2" borderId="14" xfId="1" applyNumberFormat="1" applyFont="1" applyFill="1" applyBorder="1"/>
    <xf numFmtId="166" fontId="0" fillId="2" borderId="15" xfId="1" applyNumberFormat="1" applyFont="1" applyFill="1" applyBorder="1"/>
    <xf numFmtId="168" fontId="0" fillId="2" borderId="6" xfId="0" applyNumberFormat="1" applyFill="1" applyBorder="1"/>
    <xf numFmtId="168" fontId="0" fillId="2" borderId="7" xfId="0" applyNumberFormat="1" applyFill="1" applyBorder="1"/>
    <xf numFmtId="0" fontId="9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wrapText="1"/>
    </xf>
    <xf numFmtId="10" fontId="8" fillId="0" borderId="5" xfId="2" applyNumberFormat="1" applyFont="1" applyFill="1" applyBorder="1"/>
    <xf numFmtId="10" fontId="8" fillId="0" borderId="6" xfId="2" applyNumberFormat="1" applyFont="1" applyFill="1" applyBorder="1"/>
    <xf numFmtId="10" fontId="0" fillId="0" borderId="0" xfId="2" applyNumberFormat="1" applyFont="1"/>
    <xf numFmtId="173" fontId="0" fillId="2" borderId="4" xfId="2" applyNumberFormat="1" applyFont="1" applyFill="1" applyBorder="1"/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10" fontId="0" fillId="2" borderId="4" xfId="2" applyNumberFormat="1" applyFont="1" applyFill="1" applyBorder="1"/>
    <xf numFmtId="0" fontId="6" fillId="0" borderId="0" xfId="0" applyFont="1"/>
    <xf numFmtId="0" fontId="17" fillId="0" borderId="0" xfId="0" applyFont="1"/>
    <xf numFmtId="0" fontId="18" fillId="0" borderId="4" xfId="0" applyFont="1" applyBorder="1" applyAlignment="1">
      <alignment horizontal="center"/>
    </xf>
    <xf numFmtId="10" fontId="18" fillId="0" borderId="4" xfId="0" applyNumberFormat="1" applyFont="1" applyBorder="1" applyAlignment="1">
      <alignment horizontal="center"/>
    </xf>
    <xf numFmtId="0" fontId="21" fillId="7" borderId="4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4" xfId="0" applyFont="1" applyBorder="1"/>
    <xf numFmtId="174" fontId="23" fillId="0" borderId="4" xfId="0" applyNumberFormat="1" applyFont="1" applyBorder="1"/>
    <xf numFmtId="0" fontId="24" fillId="0" borderId="4" xfId="0" applyFont="1" applyBorder="1"/>
    <xf numFmtId="37" fontId="22" fillId="0" borderId="4" xfId="1" applyNumberFormat="1" applyFont="1" applyBorder="1" applyAlignment="1">
      <alignment horizontal="center"/>
    </xf>
    <xf numFmtId="173" fontId="24" fillId="0" borderId="4" xfId="0" applyNumberFormat="1" applyFont="1" applyBorder="1" applyAlignment="1">
      <alignment horizontal="center"/>
    </xf>
    <xf numFmtId="173" fontId="23" fillId="0" borderId="4" xfId="0" applyNumberFormat="1" applyFont="1" applyBorder="1" applyAlignment="1">
      <alignment horizontal="center"/>
    </xf>
    <xf numFmtId="37" fontId="22" fillId="4" borderId="4" xfId="1" applyNumberFormat="1" applyFont="1" applyFill="1" applyBorder="1" applyAlignment="1">
      <alignment horizontal="center"/>
    </xf>
    <xf numFmtId="176" fontId="0" fillId="2" borderId="4" xfId="1" applyNumberFormat="1" applyFont="1" applyFill="1" applyBorder="1"/>
    <xf numFmtId="0" fontId="27" fillId="0" borderId="0" xfId="0" applyFont="1"/>
    <xf numFmtId="0" fontId="28" fillId="4" borderId="0" xfId="0" applyFont="1" applyFill="1" applyAlignment="1">
      <alignment horizontal="center"/>
    </xf>
    <xf numFmtId="0" fontId="28" fillId="0" borderId="0" xfId="0" applyFont="1"/>
    <xf numFmtId="0" fontId="30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166" fontId="28" fillId="0" borderId="4" xfId="1" applyNumberFormat="1" applyFont="1" applyBorder="1"/>
    <xf numFmtId="166" fontId="30" fillId="0" borderId="4" xfId="1" applyNumberFormat="1" applyFont="1" applyBorder="1"/>
    <xf numFmtId="0" fontId="28" fillId="5" borderId="4" xfId="0" applyFont="1" applyFill="1" applyBorder="1"/>
    <xf numFmtId="10" fontId="28" fillId="0" borderId="4" xfId="0" applyNumberFormat="1" applyFont="1" applyBorder="1"/>
    <xf numFmtId="0" fontId="29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/>
    <xf numFmtId="2" fontId="17" fillId="4" borderId="4" xfId="0" applyNumberFormat="1" applyFont="1" applyFill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168" fontId="17" fillId="6" borderId="4" xfId="0" applyNumberFormat="1" applyFont="1" applyFill="1" applyBorder="1" applyAlignment="1">
      <alignment horizontal="center"/>
    </xf>
    <xf numFmtId="2" fontId="17" fillId="6" borderId="4" xfId="0" applyNumberFormat="1" applyFont="1" applyFill="1" applyBorder="1" applyAlignment="1">
      <alignment horizontal="center"/>
    </xf>
    <xf numFmtId="0" fontId="18" fillId="0" borderId="4" xfId="0" applyFont="1" applyBorder="1"/>
    <xf numFmtId="2" fontId="18" fillId="6" borderId="4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10" fontId="30" fillId="0" borderId="4" xfId="0" applyNumberFormat="1" applyFont="1" applyBorder="1" applyAlignment="1">
      <alignment horizontal="center"/>
    </xf>
    <xf numFmtId="0" fontId="31" fillId="0" borderId="0" xfId="4" applyFont="1"/>
    <xf numFmtId="0" fontId="29" fillId="3" borderId="4" xfId="0" applyFont="1" applyFill="1" applyBorder="1" applyAlignment="1">
      <alignment horizontal="center"/>
    </xf>
    <xf numFmtId="0" fontId="28" fillId="0" borderId="4" xfId="0" applyFont="1" applyBorder="1"/>
    <xf numFmtId="2" fontId="28" fillId="0" borderId="4" xfId="0" applyNumberFormat="1" applyFont="1" applyBorder="1" applyAlignment="1">
      <alignment horizontal="center"/>
    </xf>
    <xf numFmtId="0" fontId="30" fillId="0" borderId="4" xfId="0" applyFont="1" applyBorder="1"/>
    <xf numFmtId="10" fontId="28" fillId="0" borderId="4" xfId="0" applyNumberFormat="1" applyFont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175" fontId="28" fillId="0" borderId="4" xfId="0" applyNumberFormat="1" applyFont="1" applyBorder="1"/>
    <xf numFmtId="0" fontId="32" fillId="0" borderId="4" xfId="0" applyFont="1" applyBorder="1"/>
    <xf numFmtId="175" fontId="32" fillId="0" borderId="4" xfId="0" applyNumberFormat="1" applyFont="1" applyBorder="1"/>
    <xf numFmtId="174" fontId="33" fillId="0" borderId="4" xfId="0" applyNumberFormat="1" applyFont="1" applyBorder="1"/>
    <xf numFmtId="174" fontId="33" fillId="0" borderId="4" xfId="0" applyNumberFormat="1" applyFont="1" applyBorder="1" applyAlignment="1">
      <alignment horizontal="right"/>
    </xf>
    <xf numFmtId="177" fontId="0" fillId="0" borderId="0" xfId="0" applyNumberFormat="1"/>
    <xf numFmtId="0" fontId="12" fillId="0" borderId="16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166" fontId="28" fillId="0" borderId="0" xfId="1" applyNumberFormat="1" applyFont="1" applyBorder="1"/>
    <xf numFmtId="10" fontId="28" fillId="0" borderId="0" xfId="0" applyNumberFormat="1" applyFont="1"/>
    <xf numFmtId="166" fontId="34" fillId="0" borderId="0" xfId="1" applyNumberFormat="1" applyFont="1" applyFill="1" applyAlignment="1">
      <alignment horizontal="center"/>
    </xf>
    <xf numFmtId="0" fontId="25" fillId="0" borderId="0" xfId="4"/>
    <xf numFmtId="175" fontId="28" fillId="0" borderId="0" xfId="0" applyNumberFormat="1" applyFont="1"/>
    <xf numFmtId="2" fontId="28" fillId="4" borderId="4" xfId="0" applyNumberFormat="1" applyFont="1" applyFill="1" applyBorder="1" applyAlignment="1">
      <alignment horizontal="center"/>
    </xf>
    <xf numFmtId="37" fontId="23" fillId="4" borderId="4" xfId="1" applyNumberFormat="1" applyFont="1" applyFill="1" applyBorder="1" applyAlignment="1">
      <alignment horizontal="center"/>
    </xf>
    <xf numFmtId="10" fontId="24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66" fontId="28" fillId="4" borderId="4" xfId="1" applyNumberFormat="1" applyFont="1" applyFill="1" applyBorder="1"/>
    <xf numFmtId="0" fontId="26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</cellXfs>
  <cellStyles count="7">
    <cellStyle name="Comma" xfId="1" builtinId="3"/>
    <cellStyle name="Hyperlink" xfId="4" builtinId="8"/>
    <cellStyle name="Normal" xfId="0" builtinId="0"/>
    <cellStyle name="Normal 30" xfId="3" xr:uid="{00000000-0005-0000-0000-000003000000}"/>
    <cellStyle name="Normal 46" xfId="5" xr:uid="{F6A549D4-5627-4335-B168-6ACE38C5122D}"/>
    <cellStyle name="Normal 83" xfId="6" xr:uid="{7492FE98-0987-4ACE-9133-8F01A75DE28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3"/>
  <sheetViews>
    <sheetView tabSelected="1" zoomScale="90" zoomScaleNormal="90" workbookViewId="0">
      <selection activeCell="P24" sqref="P2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5" max="5" width="10.7109375" customWidth="1"/>
    <col min="6" max="6" width="48.28515625" customWidth="1"/>
    <col min="7" max="10" width="14.140625" customWidth="1"/>
    <col min="11" max="14" width="14.140625" hidden="1" customWidth="1"/>
    <col min="15" max="15" width="59" style="9" bestFit="1" customWidth="1"/>
    <col min="16" max="16" width="24.28515625" customWidth="1"/>
  </cols>
  <sheetData>
    <row r="1" spans="2:16" x14ac:dyDescent="0.2">
      <c r="H1" s="200" t="s">
        <v>230</v>
      </c>
      <c r="I1" s="200"/>
    </row>
    <row r="2" spans="2:16" ht="23.25" x14ac:dyDescent="0.35">
      <c r="C2" s="202" t="s">
        <v>185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2:16" ht="19.5" customHeight="1" x14ac:dyDescent="0.25">
      <c r="C3" s="203" t="str">
        <f>IF(F5="Click to Choose an LDC","",F5)</f>
        <v>Burlington Hydro Inc.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2:16" ht="19.5" customHeight="1" thickBot="1" x14ac:dyDescent="0.3"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3"/>
    </row>
    <row r="5" spans="2:16" ht="43.5" customHeight="1" thickBot="1" x14ac:dyDescent="0.25">
      <c r="B5" s="78" t="s">
        <v>183</v>
      </c>
      <c r="E5" s="9"/>
      <c r="F5" s="79" t="s">
        <v>198</v>
      </c>
      <c r="G5" s="2" t="s">
        <v>170</v>
      </c>
      <c r="H5" s="134" t="s">
        <v>262</v>
      </c>
      <c r="I5" s="132" t="s">
        <v>171</v>
      </c>
      <c r="J5" s="2" t="s">
        <v>169</v>
      </c>
      <c r="K5" s="204" t="s">
        <v>172</v>
      </c>
      <c r="L5" s="204"/>
      <c r="M5" s="204"/>
      <c r="N5" s="204"/>
      <c r="P5" s="4"/>
    </row>
    <row r="6" spans="2:16" ht="36" customHeight="1" x14ac:dyDescent="0.35">
      <c r="B6" s="4" t="s">
        <v>175</v>
      </c>
      <c r="C6" s="58"/>
      <c r="G6" s="2">
        <v>2023</v>
      </c>
      <c r="H6" s="2">
        <v>2024</v>
      </c>
      <c r="I6" s="2">
        <v>2025</v>
      </c>
      <c r="J6" s="2">
        <v>2026</v>
      </c>
      <c r="K6" s="2">
        <f t="shared" ref="K6:N6" si="0">J6+1</f>
        <v>2027</v>
      </c>
      <c r="L6" s="2">
        <f t="shared" si="0"/>
        <v>2028</v>
      </c>
      <c r="M6" s="2">
        <f t="shared" si="0"/>
        <v>2029</v>
      </c>
      <c r="N6" s="2">
        <f t="shared" si="0"/>
        <v>2030</v>
      </c>
      <c r="O6" s="84"/>
      <c r="P6" s="2"/>
    </row>
    <row r="8" spans="2:16" x14ac:dyDescent="0.2">
      <c r="C8" s="8" t="s">
        <v>85</v>
      </c>
      <c r="D8" s="8"/>
      <c r="E8" s="2"/>
      <c r="H8" s="204"/>
      <c r="I8" s="204"/>
      <c r="J8" s="204"/>
      <c r="K8" s="204"/>
      <c r="L8" s="204"/>
      <c r="M8" s="204"/>
      <c r="N8" s="2"/>
    </row>
    <row r="9" spans="2:16" x14ac:dyDescent="0.2">
      <c r="B9" s="2">
        <v>1</v>
      </c>
      <c r="D9" s="9" t="s">
        <v>86</v>
      </c>
      <c r="G9" s="54">
        <f>'Benchmarking Calculations'!F92</f>
        <v>32206316.489999998</v>
      </c>
      <c r="H9" s="73">
        <v>25638261.519999996</v>
      </c>
      <c r="I9" s="73">
        <v>33972897</v>
      </c>
      <c r="J9" s="73">
        <v>44980146</v>
      </c>
      <c r="K9" s="73"/>
      <c r="L9" s="73">
        <f t="shared" ref="L9:N9" si="1">K9</f>
        <v>0</v>
      </c>
      <c r="M9" s="73">
        <f t="shared" si="1"/>
        <v>0</v>
      </c>
      <c r="N9" s="73">
        <f t="shared" si="1"/>
        <v>0</v>
      </c>
      <c r="O9" s="135" t="s">
        <v>224</v>
      </c>
      <c r="P9" s="55"/>
    </row>
    <row r="10" spans="2:16" x14ac:dyDescent="0.2">
      <c r="B10" s="2">
        <v>2</v>
      </c>
      <c r="D10" s="9" t="s">
        <v>87</v>
      </c>
      <c r="G10" s="54">
        <f>'Benchmarking Calculations'!F93</f>
        <v>0</v>
      </c>
      <c r="H10" s="73"/>
      <c r="I10" s="73"/>
      <c r="J10" s="73"/>
      <c r="K10" s="73"/>
      <c r="L10" s="73"/>
      <c r="M10" s="73"/>
      <c r="N10" s="73"/>
      <c r="O10" s="135"/>
      <c r="P10" s="55"/>
    </row>
    <row r="11" spans="2:16" x14ac:dyDescent="0.2">
      <c r="E11" s="2"/>
      <c r="G11" s="54"/>
      <c r="P11" s="55"/>
    </row>
    <row r="12" spans="2:16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N12" s="3"/>
      <c r="P12" s="55"/>
    </row>
    <row r="13" spans="2:16" x14ac:dyDescent="0.2">
      <c r="B13" s="2">
        <v>3</v>
      </c>
      <c r="D13" t="s">
        <v>89</v>
      </c>
      <c r="G13" s="54">
        <f>'Benchmarking Calculations'!F96</f>
        <v>69171</v>
      </c>
      <c r="H13" s="73">
        <f>'Model Input back-up'!B23</f>
        <v>69561</v>
      </c>
      <c r="I13" s="73">
        <f>'Model Input back-up'!B24</f>
        <v>69784.927325205033</v>
      </c>
      <c r="J13" s="73">
        <f>'Model Input back-up'!B25</f>
        <v>70112.46373661721</v>
      </c>
      <c r="K13" s="73"/>
      <c r="L13" s="73">
        <f t="shared" ref="I13:N16" si="2">K13</f>
        <v>0</v>
      </c>
      <c r="M13" s="73">
        <f t="shared" si="2"/>
        <v>0</v>
      </c>
      <c r="N13" s="73">
        <f t="shared" si="2"/>
        <v>0</v>
      </c>
      <c r="O13" s="135" t="s">
        <v>257</v>
      </c>
      <c r="P13" s="55"/>
    </row>
    <row r="14" spans="2:16" x14ac:dyDescent="0.2">
      <c r="B14" s="2">
        <v>4</v>
      </c>
      <c r="D14" t="s">
        <v>90</v>
      </c>
      <c r="F14" s="137"/>
      <c r="G14" s="54">
        <f>'Benchmarking Calculations'!F97</f>
        <v>1475693036</v>
      </c>
      <c r="H14" s="73">
        <f>'Model Input back-up'!C8</f>
        <v>1502712382</v>
      </c>
      <c r="I14" s="73">
        <f>'Model Input back-up'!D8</f>
        <v>1483524037.1417174</v>
      </c>
      <c r="J14" s="73">
        <f>'Model Input back-up'!E8</f>
        <v>1480105771.831955</v>
      </c>
      <c r="K14" s="73"/>
      <c r="L14" s="73">
        <f t="shared" si="2"/>
        <v>0</v>
      </c>
      <c r="M14" s="73">
        <f t="shared" si="2"/>
        <v>0</v>
      </c>
      <c r="N14" s="73">
        <f t="shared" si="2"/>
        <v>0</v>
      </c>
      <c r="O14" s="135" t="s">
        <v>256</v>
      </c>
      <c r="P14" s="55"/>
    </row>
    <row r="15" spans="2:16" x14ac:dyDescent="0.2">
      <c r="B15" s="2">
        <v>5</v>
      </c>
      <c r="D15" t="s">
        <v>91</v>
      </c>
      <c r="F15" s="137"/>
      <c r="G15" s="54">
        <f>'Benchmarking Calculations'!F98</f>
        <v>337024</v>
      </c>
      <c r="H15" s="73">
        <v>340324.8</v>
      </c>
      <c r="I15" s="73">
        <v>343283.89799999999</v>
      </c>
      <c r="J15" s="151">
        <f>I15</f>
        <v>343283.89799999999</v>
      </c>
      <c r="K15" s="73"/>
      <c r="L15" s="73">
        <f t="shared" si="2"/>
        <v>0</v>
      </c>
      <c r="M15" s="73">
        <f t="shared" si="2"/>
        <v>0</v>
      </c>
      <c r="N15" s="73">
        <f t="shared" si="2"/>
        <v>0</v>
      </c>
      <c r="O15" s="135" t="s">
        <v>258</v>
      </c>
      <c r="P15" s="55"/>
    </row>
    <row r="16" spans="2:16" x14ac:dyDescent="0.2">
      <c r="B16" s="2">
        <v>6</v>
      </c>
      <c r="D16" s="9" t="s">
        <v>186</v>
      </c>
      <c r="F16" s="137"/>
      <c r="G16" s="54">
        <f>'Benchmarking Calculations'!F99</f>
        <v>1516</v>
      </c>
      <c r="H16" s="73">
        <f>G16</f>
        <v>1516</v>
      </c>
      <c r="I16" s="73">
        <f t="shared" si="2"/>
        <v>1516</v>
      </c>
      <c r="J16" s="73">
        <f t="shared" si="2"/>
        <v>1516</v>
      </c>
      <c r="K16" s="73"/>
      <c r="L16" s="73">
        <f t="shared" si="2"/>
        <v>0</v>
      </c>
      <c r="M16" s="73">
        <f t="shared" si="2"/>
        <v>0</v>
      </c>
      <c r="N16" s="73">
        <f t="shared" si="2"/>
        <v>0</v>
      </c>
      <c r="O16" s="135" t="s">
        <v>261</v>
      </c>
      <c r="P16" s="55"/>
    </row>
    <row r="17" spans="2:16" x14ac:dyDescent="0.2">
      <c r="B17" s="2">
        <v>7</v>
      </c>
      <c r="C17" s="2"/>
      <c r="D17" t="s">
        <v>118</v>
      </c>
      <c r="F17" s="9"/>
      <c r="G17" s="57">
        <f>'Benchmarking Calculations'!F145</f>
        <v>3.6984288798272966E-2</v>
      </c>
      <c r="H17" s="136">
        <f>'Model Input back-up'!C23</f>
        <v>4.8142120965554591E-2</v>
      </c>
      <c r="I17" s="136">
        <f>'Model Input back-up'!C24</f>
        <v>4.6941420505356435E-2</v>
      </c>
      <c r="J17" s="136">
        <f>'Model Input back-up'!C25</f>
        <v>4.921081851755682E-2</v>
      </c>
      <c r="K17" s="129"/>
      <c r="L17" s="129">
        <f t="shared" ref="L17:N17" si="3">K17</f>
        <v>0</v>
      </c>
      <c r="M17" s="129">
        <f t="shared" si="3"/>
        <v>0</v>
      </c>
      <c r="N17" s="129">
        <f t="shared" si="3"/>
        <v>0</v>
      </c>
      <c r="O17" s="135" t="s">
        <v>251</v>
      </c>
      <c r="P17" s="55"/>
    </row>
    <row r="18" spans="2:16" x14ac:dyDescent="0.2">
      <c r="C18" s="2"/>
      <c r="F18" s="9"/>
      <c r="G18" s="34"/>
      <c r="H18" s="53"/>
      <c r="I18" s="38"/>
    </row>
    <row r="19" spans="2:16" x14ac:dyDescent="0.2">
      <c r="C19" s="8" t="s">
        <v>160</v>
      </c>
      <c r="F19" s="9"/>
      <c r="G19" s="34"/>
      <c r="H19" s="204"/>
      <c r="I19" s="204"/>
      <c r="J19" s="204"/>
      <c r="K19" s="204"/>
      <c r="L19" s="204"/>
      <c r="M19" s="204"/>
      <c r="N19" s="2"/>
    </row>
    <row r="20" spans="2:16" x14ac:dyDescent="0.2">
      <c r="B20" s="2">
        <v>8</v>
      </c>
      <c r="C20" s="2"/>
      <c r="D20" t="s">
        <v>252</v>
      </c>
      <c r="F20" s="9"/>
      <c r="G20" s="57">
        <v>3.3329106197923807E-2</v>
      </c>
      <c r="H20" s="72">
        <f>+'Model Input back-up'!D40</f>
        <v>4.4985947631224599E-2</v>
      </c>
      <c r="I20" s="72">
        <f>+'Model Input back-up'!C40</f>
        <v>4.4985947631224599E-2</v>
      </c>
      <c r="J20" s="72">
        <f>+'Model Input back-up'!B40</f>
        <v>4.4985947631224599E-2</v>
      </c>
      <c r="K20" s="72"/>
      <c r="L20" s="72">
        <f t="shared" ref="L20:N20" si="4">K20</f>
        <v>0</v>
      </c>
      <c r="M20" s="72">
        <f t="shared" si="4"/>
        <v>0</v>
      </c>
      <c r="N20" s="72">
        <f t="shared" si="4"/>
        <v>0</v>
      </c>
      <c r="O20" s="135" t="s">
        <v>212</v>
      </c>
    </row>
    <row r="21" spans="2:16" ht="14.25" customHeight="1" x14ac:dyDescent="0.2">
      <c r="B21" s="2">
        <v>9</v>
      </c>
      <c r="C21" s="2"/>
      <c r="D21" t="s">
        <v>162</v>
      </c>
      <c r="F21" s="135" t="s">
        <v>200</v>
      </c>
      <c r="G21" s="57">
        <v>4.1405222738299059E-2</v>
      </c>
      <c r="H21" s="72">
        <f>'Model Input back-up'!D35</f>
        <v>2.9737425458421399E-2</v>
      </c>
      <c r="I21" s="72">
        <f>'Model Input back-up'!C35</f>
        <v>1.8829499213267202E-2</v>
      </c>
      <c r="J21" s="72">
        <f>'Model Input back-up'!B35</f>
        <v>1.1865841602700395E-2</v>
      </c>
      <c r="K21" s="72"/>
      <c r="L21" s="72">
        <f t="shared" ref="L21:N22" si="5">K21</f>
        <v>0</v>
      </c>
      <c r="M21" s="72">
        <f t="shared" si="5"/>
        <v>0</v>
      </c>
      <c r="N21" s="72">
        <f t="shared" si="5"/>
        <v>0</v>
      </c>
      <c r="O21" s="135" t="s">
        <v>212</v>
      </c>
    </row>
    <row r="22" spans="2:16" x14ac:dyDescent="0.2">
      <c r="B22" s="2">
        <v>10</v>
      </c>
      <c r="C22" s="2"/>
      <c r="D22" t="s">
        <v>168</v>
      </c>
      <c r="F22" s="9"/>
      <c r="G22" s="57">
        <f>'Benchmarking Calculations'!F110</f>
        <v>6.6684000000000007E-2</v>
      </c>
      <c r="H22" s="72">
        <v>6.5000000000000002E-2</v>
      </c>
      <c r="I22" s="72">
        <v>6.5100000000000005E-2</v>
      </c>
      <c r="J22" s="72">
        <v>6.2799999999999995E-2</v>
      </c>
      <c r="K22" s="72"/>
      <c r="L22" s="72">
        <f t="shared" si="5"/>
        <v>0</v>
      </c>
      <c r="M22" s="72">
        <f t="shared" si="5"/>
        <v>0</v>
      </c>
      <c r="N22" s="72">
        <f t="shared" si="5"/>
        <v>0</v>
      </c>
      <c r="O22" s="135" t="s">
        <v>263</v>
      </c>
    </row>
    <row r="23" spans="2:16" x14ac:dyDescent="0.2">
      <c r="C23" s="2"/>
      <c r="F23" s="9"/>
      <c r="G23" s="57"/>
      <c r="H23" s="59"/>
      <c r="I23" s="59"/>
      <c r="J23" s="59"/>
      <c r="K23" s="59"/>
      <c r="L23" s="59"/>
      <c r="M23" s="59"/>
      <c r="N23" s="59"/>
    </row>
    <row r="24" spans="2:16" x14ac:dyDescent="0.2">
      <c r="C24" s="2"/>
      <c r="F24" s="9"/>
      <c r="G24" s="57"/>
      <c r="H24" s="59"/>
      <c r="I24" s="59"/>
      <c r="J24" s="59"/>
      <c r="K24" s="59"/>
      <c r="L24" s="59"/>
      <c r="M24" s="59"/>
      <c r="N24" s="59"/>
    </row>
    <row r="25" spans="2:16" x14ac:dyDescent="0.2">
      <c r="C25" s="8" t="s">
        <v>187</v>
      </c>
      <c r="F25" s="9"/>
      <c r="G25" s="57"/>
      <c r="H25" s="59"/>
      <c r="I25" s="59"/>
      <c r="J25" s="59"/>
      <c r="K25" s="59"/>
      <c r="L25" s="59"/>
      <c r="M25" s="59"/>
      <c r="N25" s="59"/>
    </row>
    <row r="26" spans="2:16" ht="13.5" thickBot="1" x14ac:dyDescent="0.25">
      <c r="C26" s="2"/>
      <c r="E26" s="2"/>
      <c r="F26" s="9"/>
      <c r="G26" s="34"/>
      <c r="H26" s="53"/>
      <c r="I26" s="38"/>
    </row>
    <row r="27" spans="2:16" ht="13.5" thickBot="1" x14ac:dyDescent="0.25">
      <c r="E27" s="77" t="s">
        <v>164</v>
      </c>
      <c r="F27" s="8" t="s">
        <v>192</v>
      </c>
      <c r="G27" s="34">
        <f>G35-G36+G37</f>
        <v>23087139.302600004</v>
      </c>
      <c r="H27" s="34">
        <f t="shared" ref="H27:M27" si="6">H35-H36+H37</f>
        <v>23834654.571102832</v>
      </c>
      <c r="I27" s="34">
        <f t="shared" si="6"/>
        <v>26759971.426580161</v>
      </c>
      <c r="J27" s="34">
        <f>J35-J36+J37</f>
        <v>30040101.235283904</v>
      </c>
      <c r="K27" s="34">
        <f t="shared" si="6"/>
        <v>0</v>
      </c>
      <c r="L27" s="34">
        <f t="shared" si="6"/>
        <v>0</v>
      </c>
      <c r="M27" s="34">
        <f t="shared" si="6"/>
        <v>0</v>
      </c>
      <c r="N27" s="34">
        <f t="shared" ref="N27" si="7">N35-N36+N37</f>
        <v>0</v>
      </c>
      <c r="O27" s="9" t="s">
        <v>29</v>
      </c>
    </row>
    <row r="28" spans="2:16" ht="13.5" thickBot="1" x14ac:dyDescent="0.25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  <c r="N28" s="34"/>
    </row>
    <row r="29" spans="2:16" ht="13.5" thickBot="1" x14ac:dyDescent="0.25">
      <c r="E29" s="77" t="s">
        <v>165</v>
      </c>
      <c r="F29" s="8" t="s">
        <v>196</v>
      </c>
      <c r="G29" s="34">
        <f>G115-G121+G122</f>
        <v>23087139.302600004</v>
      </c>
      <c r="H29" s="34">
        <f t="shared" ref="H29:M29" si="8">H115-H121+H122</f>
        <v>23087139.302600004</v>
      </c>
      <c r="I29" s="34">
        <f t="shared" si="8"/>
        <v>23087139.302600004</v>
      </c>
      <c r="J29" s="34">
        <f t="shared" si="8"/>
        <v>23087139.302600004</v>
      </c>
      <c r="K29" s="34">
        <f t="shared" si="8"/>
        <v>23087139.302600004</v>
      </c>
      <c r="L29" s="34">
        <f t="shared" si="8"/>
        <v>23087139.302600004</v>
      </c>
      <c r="M29" s="34">
        <f t="shared" si="8"/>
        <v>23087139.302600004</v>
      </c>
      <c r="N29" s="34">
        <f t="shared" ref="N29" si="9">N115-N121+N122</f>
        <v>23087139.302600004</v>
      </c>
      <c r="O29" s="9" t="s">
        <v>29</v>
      </c>
    </row>
    <row r="30" spans="2:16" x14ac:dyDescent="0.2">
      <c r="C30" s="48"/>
      <c r="F30" s="9"/>
      <c r="G30" s="34"/>
      <c r="H30" s="53"/>
      <c r="I30" s="38"/>
    </row>
    <row r="31" spans="2:16" x14ac:dyDescent="0.2">
      <c r="B31" s="2">
        <v>11</v>
      </c>
      <c r="E31" s="13" t="s">
        <v>166</v>
      </c>
      <c r="F31" s="9"/>
      <c r="G31" s="34">
        <f t="shared" ref="G31:M31" si="10">IF($E$27="Y",G27,IF($E$29="Y",G29,"Error: Please enter Y for one method"))</f>
        <v>23087139.302600004</v>
      </c>
      <c r="H31" s="34">
        <f t="shared" si="10"/>
        <v>23834654.571102832</v>
      </c>
      <c r="I31" s="34">
        <f t="shared" si="10"/>
        <v>26759971.426580161</v>
      </c>
      <c r="J31" s="34">
        <f t="shared" si="10"/>
        <v>30040101.235283904</v>
      </c>
      <c r="K31" s="34">
        <f t="shared" si="10"/>
        <v>0</v>
      </c>
      <c r="L31" s="34">
        <f t="shared" si="10"/>
        <v>0</v>
      </c>
      <c r="M31" s="34">
        <f t="shared" si="10"/>
        <v>0</v>
      </c>
      <c r="N31" s="34">
        <f t="shared" ref="N31" si="11">IF($E$27="Y",N27,IF($E$29="Y",N29,"Error: Please enter Y for one method"))</f>
        <v>0</v>
      </c>
      <c r="O31" s="9" t="s">
        <v>29</v>
      </c>
    </row>
    <row r="32" spans="2:16" ht="13.5" thickBot="1" x14ac:dyDescent="0.25">
      <c r="C32" s="8"/>
    </row>
    <row r="33" spans="3:15" x14ac:dyDescent="0.2">
      <c r="C33" s="8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86"/>
    </row>
    <row r="34" spans="3:15" x14ac:dyDescent="0.2">
      <c r="C34" s="87"/>
      <c r="D34" s="8" t="s">
        <v>174</v>
      </c>
      <c r="G34" s="54"/>
      <c r="H34" s="201" t="s">
        <v>178</v>
      </c>
      <c r="I34" s="201"/>
      <c r="J34" s="201"/>
      <c r="K34" s="201"/>
      <c r="L34" s="201"/>
      <c r="M34" s="201"/>
      <c r="N34" s="2"/>
      <c r="O34" s="88"/>
    </row>
    <row r="35" spans="3:15" x14ac:dyDescent="0.2">
      <c r="C35" s="87"/>
      <c r="D35" s="101" t="s">
        <v>189</v>
      </c>
      <c r="E35" t="s">
        <v>197</v>
      </c>
      <c r="G35" s="17">
        <f>'Model Input back-up'!B51</f>
        <v>23087139.302600004</v>
      </c>
      <c r="H35" s="73">
        <f>'Model Input back-up'!C51</f>
        <v>23834654.571102832</v>
      </c>
      <c r="I35" s="73">
        <f>'Model Input back-up'!D51</f>
        <v>26759971.426580161</v>
      </c>
      <c r="J35" s="73">
        <f>'Model Input back-up'!E51</f>
        <v>30040101.235283904</v>
      </c>
      <c r="K35" s="73"/>
      <c r="L35" s="73"/>
      <c r="M35" s="73"/>
      <c r="N35" s="73"/>
      <c r="O35" s="135" t="s">
        <v>212</v>
      </c>
    </row>
    <row r="36" spans="3:15" x14ac:dyDescent="0.2">
      <c r="C36" s="87"/>
      <c r="D36" s="101" t="s">
        <v>190</v>
      </c>
      <c r="E36" t="s">
        <v>188</v>
      </c>
      <c r="G36" s="34">
        <f>G121</f>
        <v>0</v>
      </c>
      <c r="H36" s="73"/>
      <c r="I36" s="73"/>
      <c r="J36" s="69"/>
      <c r="K36" s="69"/>
      <c r="L36" s="69"/>
      <c r="M36" s="69"/>
      <c r="N36" s="69"/>
      <c r="O36" s="88" t="s">
        <v>167</v>
      </c>
    </row>
    <row r="37" spans="3:15" x14ac:dyDescent="0.2">
      <c r="C37" s="87"/>
      <c r="D37" s="101" t="s">
        <v>191</v>
      </c>
      <c r="E37" t="s">
        <v>83</v>
      </c>
      <c r="G37" s="34">
        <f>G122</f>
        <v>0</v>
      </c>
      <c r="H37" s="73"/>
      <c r="I37" s="73"/>
      <c r="J37" s="69"/>
      <c r="K37" s="69"/>
      <c r="L37" s="69"/>
      <c r="M37" s="69"/>
      <c r="N37" s="69"/>
      <c r="O37" s="88" t="s">
        <v>167</v>
      </c>
    </row>
    <row r="38" spans="3:15" ht="13.5" thickBot="1" x14ac:dyDescent="0.25">
      <c r="C38" s="89"/>
      <c r="D38" s="51"/>
      <c r="E38" s="51"/>
      <c r="F38" s="51"/>
      <c r="G38" s="90"/>
      <c r="H38" s="97"/>
      <c r="I38" s="97"/>
      <c r="J38" s="97"/>
      <c r="K38" s="97"/>
      <c r="L38" s="97"/>
      <c r="M38" s="97"/>
      <c r="N38" s="97"/>
      <c r="O38" s="91"/>
    </row>
    <row r="39" spans="3:15" ht="13.5" thickBot="1" x14ac:dyDescent="0.25">
      <c r="C39" s="8"/>
      <c r="G39" s="34"/>
      <c r="H39" s="17"/>
      <c r="I39" s="17"/>
      <c r="J39" s="17"/>
      <c r="K39" s="17"/>
      <c r="L39" s="17"/>
      <c r="M39" s="17"/>
      <c r="N39" s="17"/>
    </row>
    <row r="40" spans="3:15" x14ac:dyDescent="0.2">
      <c r="C40" s="8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86"/>
    </row>
    <row r="41" spans="3:15" x14ac:dyDescent="0.2">
      <c r="C41" s="87"/>
      <c r="D41" s="8" t="s">
        <v>173</v>
      </c>
      <c r="O41" s="88"/>
    </row>
    <row r="42" spans="3:15" x14ac:dyDescent="0.2">
      <c r="C42" s="50"/>
      <c r="O42" s="88"/>
    </row>
    <row r="43" spans="3:15" x14ac:dyDescent="0.2">
      <c r="C43" s="92"/>
      <c r="D43" s="8" t="s">
        <v>159</v>
      </c>
      <c r="E43" s="8"/>
      <c r="F43" s="2"/>
      <c r="O43" s="88"/>
    </row>
    <row r="44" spans="3:15" x14ac:dyDescent="0.2">
      <c r="C44" s="92"/>
      <c r="E44" s="9">
        <v>5005</v>
      </c>
      <c r="F44" s="84" t="s">
        <v>8</v>
      </c>
      <c r="G44" s="38">
        <f>'Benchmarking Calculations'!F10</f>
        <v>0</v>
      </c>
      <c r="H44" s="75"/>
      <c r="I44" s="75"/>
      <c r="J44" s="76"/>
      <c r="K44" s="76"/>
      <c r="L44" s="76"/>
      <c r="M44" s="76"/>
      <c r="N44" s="76"/>
      <c r="O44" s="88" t="s">
        <v>167</v>
      </c>
    </row>
    <row r="45" spans="3:15" x14ac:dyDescent="0.2">
      <c r="C45" s="92"/>
      <c r="E45" s="9">
        <v>5010</v>
      </c>
      <c r="F45" s="84" t="s">
        <v>9</v>
      </c>
      <c r="G45" s="38">
        <f>'Benchmarking Calculations'!F11</f>
        <v>1546336.446</v>
      </c>
      <c r="H45" s="75"/>
      <c r="I45" s="75"/>
      <c r="J45" s="76"/>
      <c r="K45" s="76"/>
      <c r="L45" s="76"/>
      <c r="M45" s="76"/>
      <c r="N45" s="76"/>
      <c r="O45" s="88" t="s">
        <v>167</v>
      </c>
    </row>
    <row r="46" spans="3:15" x14ac:dyDescent="0.2">
      <c r="C46" s="92"/>
      <c r="E46" s="9">
        <v>5012</v>
      </c>
      <c r="F46" s="84" t="s">
        <v>10</v>
      </c>
      <c r="G46" s="38">
        <f>'Benchmarking Calculations'!F12</f>
        <v>113803.47</v>
      </c>
      <c r="H46" s="75"/>
      <c r="I46" s="75"/>
      <c r="J46" s="76"/>
      <c r="K46" s="76"/>
      <c r="L46" s="76"/>
      <c r="M46" s="76"/>
      <c r="N46" s="76"/>
      <c r="O46" s="88" t="s">
        <v>167</v>
      </c>
    </row>
    <row r="47" spans="3:15" x14ac:dyDescent="0.2">
      <c r="C47" s="92"/>
      <c r="E47" s="9">
        <v>5014</v>
      </c>
      <c r="F47" s="84" t="s">
        <v>11</v>
      </c>
      <c r="G47" s="38">
        <f>'Benchmarking Calculations'!F13</f>
        <v>0</v>
      </c>
      <c r="H47" s="75"/>
      <c r="I47" s="75"/>
      <c r="J47" s="76"/>
      <c r="K47" s="76"/>
      <c r="L47" s="76"/>
      <c r="M47" s="76"/>
      <c r="N47" s="76"/>
      <c r="O47" s="88" t="s">
        <v>167</v>
      </c>
    </row>
    <row r="48" spans="3:15" ht="25.5" x14ac:dyDescent="0.2">
      <c r="C48" s="92"/>
      <c r="E48" s="9">
        <v>5015</v>
      </c>
      <c r="F48" s="84" t="s">
        <v>12</v>
      </c>
      <c r="G48" s="38">
        <f>'Benchmarking Calculations'!F14</f>
        <v>0</v>
      </c>
      <c r="H48" s="75"/>
      <c r="I48" s="75"/>
      <c r="J48" s="76"/>
      <c r="K48" s="76"/>
      <c r="L48" s="76"/>
      <c r="M48" s="76"/>
      <c r="N48" s="76"/>
      <c r="O48" s="88" t="s">
        <v>167</v>
      </c>
    </row>
    <row r="49" spans="3:15" x14ac:dyDescent="0.2">
      <c r="C49" s="92"/>
      <c r="E49" s="9">
        <v>5016</v>
      </c>
      <c r="F49" s="84" t="s">
        <v>13</v>
      </c>
      <c r="G49" s="38">
        <f>'Benchmarking Calculations'!F15</f>
        <v>296060.95</v>
      </c>
      <c r="H49" s="75"/>
      <c r="I49" s="75"/>
      <c r="J49" s="76"/>
      <c r="K49" s="76"/>
      <c r="L49" s="76"/>
      <c r="M49" s="76"/>
      <c r="N49" s="76"/>
      <c r="O49" s="88" t="s">
        <v>167</v>
      </c>
    </row>
    <row r="50" spans="3:15" ht="25.5" x14ac:dyDescent="0.2">
      <c r="C50" s="92"/>
      <c r="E50" s="9">
        <v>5017</v>
      </c>
      <c r="F50" s="84" t="s">
        <v>14</v>
      </c>
      <c r="G50" s="38">
        <f>'Benchmarking Calculations'!F16</f>
        <v>601216.86</v>
      </c>
      <c r="H50" s="75"/>
      <c r="I50" s="75"/>
      <c r="J50" s="76"/>
      <c r="K50" s="76"/>
      <c r="L50" s="76"/>
      <c r="M50" s="76"/>
      <c r="N50" s="76"/>
      <c r="O50" s="88" t="s">
        <v>167</v>
      </c>
    </row>
    <row r="51" spans="3:15" ht="25.5" x14ac:dyDescent="0.2">
      <c r="C51" s="92"/>
      <c r="E51" s="9">
        <v>5020</v>
      </c>
      <c r="F51" s="84" t="s">
        <v>15</v>
      </c>
      <c r="G51" s="38">
        <f>'Benchmarking Calculations'!F17</f>
        <v>341868.1</v>
      </c>
      <c r="H51" s="75"/>
      <c r="I51" s="75"/>
      <c r="J51" s="76"/>
      <c r="K51" s="76"/>
      <c r="L51" s="76"/>
      <c r="M51" s="76"/>
      <c r="N51" s="76"/>
      <c r="O51" s="88" t="s">
        <v>167</v>
      </c>
    </row>
    <row r="52" spans="3:15" ht="25.5" x14ac:dyDescent="0.2">
      <c r="C52" s="92"/>
      <c r="E52" s="9">
        <v>5025</v>
      </c>
      <c r="F52" s="84" t="s">
        <v>16</v>
      </c>
      <c r="G52" s="38">
        <f>'Benchmarking Calculations'!F18</f>
        <v>588793.80000000005</v>
      </c>
      <c r="H52" s="75"/>
      <c r="I52" s="75"/>
      <c r="J52" s="76"/>
      <c r="K52" s="76"/>
      <c r="L52" s="76"/>
      <c r="M52" s="76"/>
      <c r="N52" s="76"/>
      <c r="O52" s="88" t="s">
        <v>167</v>
      </c>
    </row>
    <row r="53" spans="3:15" x14ac:dyDescent="0.2">
      <c r="C53" s="92"/>
      <c r="E53" s="9">
        <v>5035</v>
      </c>
      <c r="F53" s="84" t="s">
        <v>17</v>
      </c>
      <c r="G53" s="38">
        <f>'Benchmarking Calculations'!F19</f>
        <v>16573.169999999998</v>
      </c>
      <c r="H53" s="75"/>
      <c r="I53" s="75"/>
      <c r="J53" s="76"/>
      <c r="K53" s="76"/>
      <c r="L53" s="76"/>
      <c r="M53" s="76"/>
      <c r="N53" s="76"/>
      <c r="O53" s="88" t="s">
        <v>167</v>
      </c>
    </row>
    <row r="54" spans="3:15" ht="25.5" x14ac:dyDescent="0.2">
      <c r="C54" s="92"/>
      <c r="E54" s="9">
        <v>5040</v>
      </c>
      <c r="F54" s="84" t="s">
        <v>18</v>
      </c>
      <c r="G54" s="38">
        <f>'Benchmarking Calculations'!F20</f>
        <v>52373.599999999999</v>
      </c>
      <c r="H54" s="75"/>
      <c r="I54" s="75"/>
      <c r="J54" s="76"/>
      <c r="K54" s="76"/>
      <c r="L54" s="76"/>
      <c r="M54" s="76"/>
      <c r="N54" s="76"/>
      <c r="O54" s="88" t="s">
        <v>167</v>
      </c>
    </row>
    <row r="55" spans="3:15" ht="25.5" x14ac:dyDescent="0.2">
      <c r="C55" s="92"/>
      <c r="E55" s="9">
        <v>5045</v>
      </c>
      <c r="F55" s="84" t="s">
        <v>19</v>
      </c>
      <c r="G55" s="38">
        <f>'Benchmarking Calculations'!F21</f>
        <v>487089.5</v>
      </c>
      <c r="H55" s="75"/>
      <c r="I55" s="75"/>
      <c r="J55" s="76"/>
      <c r="K55" s="76"/>
      <c r="L55" s="76"/>
      <c r="M55" s="76"/>
      <c r="N55" s="76"/>
      <c r="O55" s="88" t="s">
        <v>167</v>
      </c>
    </row>
    <row r="56" spans="3:15" x14ac:dyDescent="0.2">
      <c r="C56" s="92"/>
      <c r="E56" s="9">
        <v>5055</v>
      </c>
      <c r="F56" s="84" t="s">
        <v>20</v>
      </c>
      <c r="G56" s="38">
        <f>'Benchmarking Calculations'!F22</f>
        <v>8776.7800000000007</v>
      </c>
      <c r="H56" s="75"/>
      <c r="I56" s="75"/>
      <c r="J56" s="76"/>
      <c r="K56" s="76"/>
      <c r="L56" s="76"/>
      <c r="M56" s="76"/>
      <c r="N56" s="76"/>
      <c r="O56" s="88" t="s">
        <v>167</v>
      </c>
    </row>
    <row r="57" spans="3:15" x14ac:dyDescent="0.2">
      <c r="C57" s="92"/>
      <c r="E57" s="9">
        <v>5065</v>
      </c>
      <c r="F57" s="84" t="s">
        <v>21</v>
      </c>
      <c r="G57" s="38">
        <f>'Benchmarking Calculations'!F23</f>
        <v>498354.56</v>
      </c>
      <c r="H57" s="75"/>
      <c r="I57" s="75"/>
      <c r="J57" s="76"/>
      <c r="K57" s="76"/>
      <c r="L57" s="76"/>
      <c r="M57" s="76"/>
      <c r="N57" s="76"/>
      <c r="O57" s="88" t="s">
        <v>167</v>
      </c>
    </row>
    <row r="58" spans="3:15" x14ac:dyDescent="0.2">
      <c r="C58" s="92"/>
      <c r="E58" s="9">
        <v>5070</v>
      </c>
      <c r="F58" s="84" t="s">
        <v>22</v>
      </c>
      <c r="G58" s="38">
        <f>'Benchmarking Calculations'!F24</f>
        <v>308944.13</v>
      </c>
      <c r="H58" s="75"/>
      <c r="I58" s="75"/>
      <c r="J58" s="76"/>
      <c r="K58" s="76"/>
      <c r="L58" s="76"/>
      <c r="M58" s="76"/>
      <c r="N58" s="76"/>
      <c r="O58" s="88" t="s">
        <v>167</v>
      </c>
    </row>
    <row r="59" spans="3:15" ht="25.5" x14ac:dyDescent="0.2">
      <c r="C59" s="92"/>
      <c r="E59" s="9">
        <v>5075</v>
      </c>
      <c r="F59" s="84" t="s">
        <v>23</v>
      </c>
      <c r="G59" s="38">
        <f>'Benchmarking Calculations'!F25</f>
        <v>108250.84</v>
      </c>
      <c r="H59" s="75"/>
      <c r="I59" s="75"/>
      <c r="J59" s="76"/>
      <c r="K59" s="76"/>
      <c r="L59" s="76"/>
      <c r="M59" s="76"/>
      <c r="N59" s="76"/>
      <c r="O59" s="88" t="s">
        <v>167</v>
      </c>
    </row>
    <row r="60" spans="3:15" x14ac:dyDescent="0.2">
      <c r="C60" s="92"/>
      <c r="E60" s="9">
        <v>5085</v>
      </c>
      <c r="F60" s="84" t="s">
        <v>24</v>
      </c>
      <c r="G60" s="38">
        <f>'Benchmarking Calculations'!F26</f>
        <v>0</v>
      </c>
      <c r="H60" s="75"/>
      <c r="I60" s="75"/>
      <c r="J60" s="76"/>
      <c r="K60" s="76"/>
      <c r="L60" s="76"/>
      <c r="M60" s="76"/>
      <c r="N60" s="76"/>
      <c r="O60" s="88" t="s">
        <v>167</v>
      </c>
    </row>
    <row r="61" spans="3:15" ht="25.5" x14ac:dyDescent="0.2">
      <c r="C61" s="92"/>
      <c r="E61" s="9">
        <v>5090</v>
      </c>
      <c r="F61" s="84" t="s">
        <v>25</v>
      </c>
      <c r="G61" s="38">
        <f>'Benchmarking Calculations'!F27</f>
        <v>0</v>
      </c>
      <c r="H61" s="75"/>
      <c r="I61" s="75"/>
      <c r="J61" s="76"/>
      <c r="K61" s="76"/>
      <c r="L61" s="76"/>
      <c r="M61" s="76"/>
      <c r="N61" s="76"/>
      <c r="O61" s="88" t="s">
        <v>167</v>
      </c>
    </row>
    <row r="62" spans="3:15" ht="25.5" x14ac:dyDescent="0.2">
      <c r="C62" s="92"/>
      <c r="E62" s="9">
        <v>5095</v>
      </c>
      <c r="F62" s="84" t="s">
        <v>26</v>
      </c>
      <c r="G62" s="38">
        <f>'Benchmarking Calculations'!F28</f>
        <v>0</v>
      </c>
      <c r="H62" s="75"/>
      <c r="I62" s="75"/>
      <c r="J62" s="76"/>
      <c r="K62" s="76"/>
      <c r="L62" s="76"/>
      <c r="M62" s="76"/>
      <c r="N62" s="76"/>
      <c r="O62" s="88" t="s">
        <v>167</v>
      </c>
    </row>
    <row r="63" spans="3:15" x14ac:dyDescent="0.2">
      <c r="C63" s="92"/>
      <c r="E63" s="67">
        <v>5096</v>
      </c>
      <c r="F63" s="100" t="s">
        <v>27</v>
      </c>
      <c r="G63" s="68">
        <f>'Benchmarking Calculations'!F29</f>
        <v>0</v>
      </c>
      <c r="H63" s="75"/>
      <c r="I63" s="75"/>
      <c r="J63" s="76"/>
      <c r="K63" s="76"/>
      <c r="L63" s="76"/>
      <c r="M63" s="76"/>
      <c r="N63" s="76"/>
      <c r="O63" s="88" t="s">
        <v>167</v>
      </c>
    </row>
    <row r="64" spans="3:15" x14ac:dyDescent="0.2">
      <c r="C64" s="92"/>
      <c r="E64" s="12"/>
      <c r="F64" s="13" t="s">
        <v>28</v>
      </c>
      <c r="G64" s="66">
        <f>'Benchmarking Calculations'!F30</f>
        <v>4968442.2059999993</v>
      </c>
      <c r="H64" s="52">
        <f>SUM(H44:H63)</f>
        <v>0</v>
      </c>
      <c r="I64" s="52">
        <f t="shared" ref="I64:M64" si="12">SUM(I44:I63)</f>
        <v>0</v>
      </c>
      <c r="J64" s="52">
        <f t="shared" si="12"/>
        <v>0</v>
      </c>
      <c r="K64" s="52">
        <f t="shared" si="12"/>
        <v>0</v>
      </c>
      <c r="L64" s="52">
        <f t="shared" si="12"/>
        <v>0</v>
      </c>
      <c r="M64" s="52">
        <f t="shared" si="12"/>
        <v>0</v>
      </c>
      <c r="N64" s="52">
        <f t="shared" ref="N64" si="13">SUM(N44:N63)</f>
        <v>0</v>
      </c>
      <c r="O64" s="88" t="s">
        <v>29</v>
      </c>
    </row>
    <row r="65" spans="3:15" x14ac:dyDescent="0.2">
      <c r="C65" s="92"/>
      <c r="E65" s="9">
        <v>5105</v>
      </c>
      <c r="F65" s="84" t="s">
        <v>30</v>
      </c>
      <c r="G65" s="38">
        <f>'Benchmarking Calculations'!F31</f>
        <v>0</v>
      </c>
      <c r="H65" s="75"/>
      <c r="I65" s="75"/>
      <c r="J65" s="76"/>
      <c r="K65" s="76"/>
      <c r="L65" s="76"/>
      <c r="M65" s="76"/>
      <c r="N65" s="76"/>
      <c r="O65" s="88" t="s">
        <v>167</v>
      </c>
    </row>
    <row r="66" spans="3:15" x14ac:dyDescent="0.2">
      <c r="C66" s="92"/>
      <c r="E66" s="9">
        <v>5110</v>
      </c>
      <c r="F66" s="84" t="s">
        <v>31</v>
      </c>
      <c r="G66" s="38">
        <f>'Benchmarking Calculations'!F32</f>
        <v>387812.45</v>
      </c>
      <c r="H66" s="75"/>
      <c r="I66" s="75"/>
      <c r="J66" s="76"/>
      <c r="K66" s="76"/>
      <c r="L66" s="76"/>
      <c r="M66" s="76"/>
      <c r="N66" s="76"/>
      <c r="O66" s="88" t="s">
        <v>167</v>
      </c>
    </row>
    <row r="67" spans="3:15" x14ac:dyDescent="0.2">
      <c r="C67" s="92"/>
      <c r="E67" s="9">
        <v>5112</v>
      </c>
      <c r="F67" s="84" t="s">
        <v>32</v>
      </c>
      <c r="G67" s="38">
        <f>'Benchmarking Calculations'!F33</f>
        <v>0</v>
      </c>
      <c r="H67" s="75"/>
      <c r="I67" s="75"/>
      <c r="J67" s="76"/>
      <c r="K67" s="76"/>
      <c r="L67" s="76"/>
      <c r="M67" s="76"/>
      <c r="N67" s="76"/>
      <c r="O67" s="88" t="s">
        <v>167</v>
      </c>
    </row>
    <row r="68" spans="3:15" x14ac:dyDescent="0.2">
      <c r="C68" s="92"/>
      <c r="E68" s="9">
        <v>5114</v>
      </c>
      <c r="F68" s="84" t="s">
        <v>33</v>
      </c>
      <c r="G68" s="38">
        <f>'Benchmarking Calculations'!F34</f>
        <v>731120.8</v>
      </c>
      <c r="H68" s="75"/>
      <c r="I68" s="75"/>
      <c r="J68" s="76"/>
      <c r="K68" s="76"/>
      <c r="L68" s="76"/>
      <c r="M68" s="76"/>
      <c r="N68" s="76"/>
      <c r="O68" s="88" t="s">
        <v>167</v>
      </c>
    </row>
    <row r="69" spans="3:15" x14ac:dyDescent="0.2">
      <c r="C69" s="92"/>
      <c r="E69" s="9">
        <v>5120</v>
      </c>
      <c r="F69" s="84" t="s">
        <v>34</v>
      </c>
      <c r="G69" s="38">
        <f>'Benchmarking Calculations'!F35</f>
        <v>25352.82</v>
      </c>
      <c r="H69" s="75"/>
      <c r="I69" s="75"/>
      <c r="J69" s="76"/>
      <c r="K69" s="76"/>
      <c r="L69" s="76"/>
      <c r="M69" s="76"/>
      <c r="N69" s="76"/>
      <c r="O69" s="88" t="s">
        <v>167</v>
      </c>
    </row>
    <row r="70" spans="3:15" x14ac:dyDescent="0.2">
      <c r="C70" s="92"/>
      <c r="E70" s="9">
        <v>5125</v>
      </c>
      <c r="F70" s="84" t="s">
        <v>35</v>
      </c>
      <c r="G70" s="38">
        <f>'Benchmarking Calculations'!F36</f>
        <v>2523824.7599999998</v>
      </c>
      <c r="H70" s="75"/>
      <c r="I70" s="75"/>
      <c r="J70" s="76"/>
      <c r="K70" s="76"/>
      <c r="L70" s="76"/>
      <c r="M70" s="76"/>
      <c r="N70" s="76"/>
      <c r="O70" s="88" t="s">
        <v>167</v>
      </c>
    </row>
    <row r="71" spans="3:15" x14ac:dyDescent="0.2">
      <c r="C71" s="92"/>
      <c r="E71" s="9">
        <v>5130</v>
      </c>
      <c r="F71" s="84" t="s">
        <v>36</v>
      </c>
      <c r="G71" s="38">
        <f>'Benchmarking Calculations'!F37</f>
        <v>646557.32999999996</v>
      </c>
      <c r="H71" s="75"/>
      <c r="I71" s="75"/>
      <c r="J71" s="76"/>
      <c r="K71" s="76"/>
      <c r="L71" s="76"/>
      <c r="M71" s="76"/>
      <c r="N71" s="76"/>
      <c r="O71" s="88" t="s">
        <v>167</v>
      </c>
    </row>
    <row r="72" spans="3:15" ht="25.5" x14ac:dyDescent="0.2">
      <c r="C72" s="92"/>
      <c r="E72" s="9">
        <v>5135</v>
      </c>
      <c r="F72" s="84" t="s">
        <v>37</v>
      </c>
      <c r="G72" s="38">
        <f>'Benchmarking Calculations'!F38</f>
        <v>1322833.8799999999</v>
      </c>
      <c r="H72" s="75"/>
      <c r="I72" s="75"/>
      <c r="J72" s="76"/>
      <c r="K72" s="76"/>
      <c r="L72" s="76"/>
      <c r="M72" s="76"/>
      <c r="N72" s="76"/>
      <c r="O72" s="88" t="s">
        <v>167</v>
      </c>
    </row>
    <row r="73" spans="3:15" x14ac:dyDescent="0.2">
      <c r="C73" s="92"/>
      <c r="E73" s="9">
        <v>5145</v>
      </c>
      <c r="F73" s="84" t="s">
        <v>38</v>
      </c>
      <c r="G73" s="38">
        <f>'Benchmarking Calculations'!F39</f>
        <v>2750.16</v>
      </c>
      <c r="H73" s="75"/>
      <c r="I73" s="75"/>
      <c r="J73" s="76"/>
      <c r="K73" s="76"/>
      <c r="L73" s="76"/>
      <c r="M73" s="76"/>
      <c r="N73" s="76"/>
      <c r="O73" s="88" t="s">
        <v>167</v>
      </c>
    </row>
    <row r="74" spans="3:15" ht="25.5" x14ac:dyDescent="0.2">
      <c r="C74" s="92"/>
      <c r="E74" s="9">
        <v>5150</v>
      </c>
      <c r="F74" s="84" t="s">
        <v>39</v>
      </c>
      <c r="G74" s="38">
        <f>'Benchmarking Calculations'!F40</f>
        <v>364944.75</v>
      </c>
      <c r="H74" s="75"/>
      <c r="I74" s="75"/>
      <c r="J74" s="76"/>
      <c r="K74" s="76"/>
      <c r="L74" s="76"/>
      <c r="M74" s="76"/>
      <c r="N74" s="76"/>
      <c r="O74" s="88" t="s">
        <v>167</v>
      </c>
    </row>
    <row r="75" spans="3:15" x14ac:dyDescent="0.2">
      <c r="C75" s="92"/>
      <c r="E75" s="9">
        <v>5155</v>
      </c>
      <c r="F75" s="84" t="s">
        <v>40</v>
      </c>
      <c r="G75" s="38">
        <f>'Benchmarking Calculations'!F41</f>
        <v>637095.82999999996</v>
      </c>
      <c r="H75" s="75"/>
      <c r="I75" s="75"/>
      <c r="J75" s="76"/>
      <c r="K75" s="76"/>
      <c r="L75" s="76"/>
      <c r="M75" s="76"/>
      <c r="N75" s="76"/>
      <c r="O75" s="88" t="s">
        <v>167</v>
      </c>
    </row>
    <row r="76" spans="3:15" x14ac:dyDescent="0.2">
      <c r="C76" s="92"/>
      <c r="E76" s="9">
        <v>5160</v>
      </c>
      <c r="F76" s="84" t="s">
        <v>41</v>
      </c>
      <c r="G76" s="38">
        <f>'Benchmarking Calculations'!F42</f>
        <v>79462.52</v>
      </c>
      <c r="H76" s="75"/>
      <c r="I76" s="75"/>
      <c r="J76" s="76"/>
      <c r="K76" s="76"/>
      <c r="L76" s="76"/>
      <c r="M76" s="76"/>
      <c r="N76" s="76"/>
      <c r="O76" s="88" t="s">
        <v>167</v>
      </c>
    </row>
    <row r="77" spans="3:15" x14ac:dyDescent="0.2">
      <c r="C77" s="92"/>
      <c r="E77" s="67">
        <v>5175</v>
      </c>
      <c r="F77" s="100" t="s">
        <v>42</v>
      </c>
      <c r="G77" s="68">
        <f>'Benchmarking Calculations'!F43</f>
        <v>217896.04</v>
      </c>
      <c r="H77" s="75"/>
      <c r="I77" s="75"/>
      <c r="J77" s="76"/>
      <c r="K77" s="76"/>
      <c r="L77" s="76"/>
      <c r="M77" s="76"/>
      <c r="N77" s="76"/>
      <c r="O77" s="88" t="s">
        <v>167</v>
      </c>
    </row>
    <row r="78" spans="3:15" x14ac:dyDescent="0.2">
      <c r="C78" s="92"/>
      <c r="E78" s="12"/>
      <c r="F78" s="13" t="s">
        <v>43</v>
      </c>
      <c r="G78" s="66">
        <f>'Benchmarking Calculations'!F44</f>
        <v>6939651.3399999999</v>
      </c>
      <c r="H78" s="52">
        <f>SUM(H65:H77)</f>
        <v>0</v>
      </c>
      <c r="I78" s="52">
        <f t="shared" ref="I78:M78" si="14">SUM(I65:I77)</f>
        <v>0</v>
      </c>
      <c r="J78" s="52">
        <f t="shared" si="14"/>
        <v>0</v>
      </c>
      <c r="K78" s="52">
        <f t="shared" si="14"/>
        <v>0</v>
      </c>
      <c r="L78" s="52">
        <f t="shared" si="14"/>
        <v>0</v>
      </c>
      <c r="M78" s="52">
        <f t="shared" si="14"/>
        <v>0</v>
      </c>
      <c r="N78" s="52">
        <f t="shared" ref="N78" si="15">SUM(N65:N77)</f>
        <v>0</v>
      </c>
      <c r="O78" s="88" t="s">
        <v>29</v>
      </c>
    </row>
    <row r="79" spans="3:15" x14ac:dyDescent="0.2">
      <c r="C79" s="92"/>
      <c r="E79" s="9">
        <v>5305</v>
      </c>
      <c r="F79" s="9" t="s">
        <v>44</v>
      </c>
      <c r="G79" s="38">
        <f>'Benchmarking Calculations'!F45</f>
        <v>0</v>
      </c>
      <c r="H79" s="75"/>
      <c r="I79" s="75"/>
      <c r="J79" s="76"/>
      <c r="K79" s="76"/>
      <c r="L79" s="76"/>
      <c r="M79" s="76"/>
      <c r="N79" s="76"/>
      <c r="O79" s="88" t="s">
        <v>167</v>
      </c>
    </row>
    <row r="80" spans="3:15" x14ac:dyDescent="0.2">
      <c r="C80" s="92"/>
      <c r="E80" s="9">
        <v>5310</v>
      </c>
      <c r="F80" s="9" t="s">
        <v>45</v>
      </c>
      <c r="G80" s="38">
        <f>'Benchmarking Calculations'!F46</f>
        <v>261678.97</v>
      </c>
      <c r="H80" s="75"/>
      <c r="I80" s="75"/>
      <c r="J80" s="76"/>
      <c r="K80" s="76"/>
      <c r="L80" s="76"/>
      <c r="M80" s="76"/>
      <c r="N80" s="76"/>
      <c r="O80" s="88" t="s">
        <v>167</v>
      </c>
    </row>
    <row r="81" spans="3:15" x14ac:dyDescent="0.2">
      <c r="C81" s="92"/>
      <c r="E81" s="9">
        <v>5315</v>
      </c>
      <c r="F81" s="9" t="s">
        <v>46</v>
      </c>
      <c r="G81" s="38">
        <f>'Benchmarking Calculations'!F47</f>
        <v>1244845.5900000001</v>
      </c>
      <c r="H81" s="75"/>
      <c r="I81" s="75"/>
      <c r="J81" s="76"/>
      <c r="K81" s="76"/>
      <c r="L81" s="76"/>
      <c r="M81" s="76"/>
      <c r="N81" s="76"/>
      <c r="O81" s="88" t="s">
        <v>167</v>
      </c>
    </row>
    <row r="82" spans="3:15" x14ac:dyDescent="0.2">
      <c r="C82" s="92"/>
      <c r="E82" s="9">
        <v>5320</v>
      </c>
      <c r="F82" s="9" t="s">
        <v>47</v>
      </c>
      <c r="G82" s="38">
        <f>'Benchmarking Calculations'!F48</f>
        <v>238482.63</v>
      </c>
      <c r="H82" s="75"/>
      <c r="I82" s="75"/>
      <c r="J82" s="76"/>
      <c r="K82" s="76"/>
      <c r="L82" s="76"/>
      <c r="M82" s="76"/>
      <c r="N82" s="76"/>
      <c r="O82" s="88" t="s">
        <v>167</v>
      </c>
    </row>
    <row r="83" spans="3:15" x14ac:dyDescent="0.2">
      <c r="C83" s="92"/>
      <c r="E83" s="9">
        <v>5325</v>
      </c>
      <c r="F83" s="9" t="s">
        <v>48</v>
      </c>
      <c r="G83" s="38">
        <f>'Benchmarking Calculations'!F49</f>
        <v>0</v>
      </c>
      <c r="H83" s="75"/>
      <c r="I83" s="75"/>
      <c r="J83" s="76"/>
      <c r="K83" s="76"/>
      <c r="L83" s="76"/>
      <c r="M83" s="76"/>
      <c r="N83" s="76"/>
      <c r="O83" s="88" t="s">
        <v>167</v>
      </c>
    </row>
    <row r="84" spans="3:15" x14ac:dyDescent="0.2">
      <c r="C84" s="92"/>
      <c r="E84" s="9">
        <v>5330</v>
      </c>
      <c r="F84" s="9" t="s">
        <v>49</v>
      </c>
      <c r="G84" s="38">
        <f>'Benchmarking Calculations'!F50</f>
        <v>188249.44</v>
      </c>
      <c r="H84" s="75"/>
      <c r="I84" s="75"/>
      <c r="J84" s="76"/>
      <c r="K84" s="76"/>
      <c r="L84" s="76"/>
      <c r="M84" s="76"/>
      <c r="N84" s="76"/>
      <c r="O84" s="88" t="s">
        <v>167</v>
      </c>
    </row>
    <row r="85" spans="3:15" x14ac:dyDescent="0.2">
      <c r="C85" s="92"/>
      <c r="E85" s="67">
        <v>5340</v>
      </c>
      <c r="F85" s="67" t="s">
        <v>50</v>
      </c>
      <c r="G85" s="68">
        <f>'Benchmarking Calculations'!F51</f>
        <v>669276.68999999994</v>
      </c>
      <c r="H85" s="75"/>
      <c r="I85" s="75"/>
      <c r="J85" s="76"/>
      <c r="K85" s="76"/>
      <c r="L85" s="76"/>
      <c r="M85" s="76"/>
      <c r="N85" s="76"/>
      <c r="O85" s="88" t="s">
        <v>167</v>
      </c>
    </row>
    <row r="86" spans="3:15" x14ac:dyDescent="0.2">
      <c r="C86" s="92"/>
      <c r="E86" s="12"/>
      <c r="F86" s="13" t="s">
        <v>51</v>
      </c>
      <c r="G86" s="66">
        <f>'Benchmarking Calculations'!F52</f>
        <v>2602533.3199999998</v>
      </c>
      <c r="H86" s="52">
        <f>SUM(H79:H85)</f>
        <v>0</v>
      </c>
      <c r="I86" s="52">
        <f t="shared" ref="I86:M86" si="16">SUM(I79:I85)</f>
        <v>0</v>
      </c>
      <c r="J86" s="52">
        <f t="shared" si="16"/>
        <v>0</v>
      </c>
      <c r="K86" s="52">
        <f t="shared" si="16"/>
        <v>0</v>
      </c>
      <c r="L86" s="52">
        <f t="shared" si="16"/>
        <v>0</v>
      </c>
      <c r="M86" s="52">
        <f t="shared" si="16"/>
        <v>0</v>
      </c>
      <c r="N86" s="52">
        <f t="shared" ref="N86" si="17">SUM(N79:N85)</f>
        <v>0</v>
      </c>
      <c r="O86" s="88" t="s">
        <v>29</v>
      </c>
    </row>
    <row r="87" spans="3:15" x14ac:dyDescent="0.2">
      <c r="C87" s="92"/>
      <c r="E87" s="9">
        <v>5405</v>
      </c>
      <c r="F87" s="9" t="s">
        <v>52</v>
      </c>
      <c r="G87" s="38">
        <f>'Benchmarking Calculations'!F53</f>
        <v>0</v>
      </c>
      <c r="H87" s="75"/>
      <c r="I87" s="75"/>
      <c r="J87" s="76"/>
      <c r="K87" s="76"/>
      <c r="L87" s="76"/>
      <c r="M87" s="76"/>
      <c r="N87" s="76"/>
      <c r="O87" s="88" t="s">
        <v>167</v>
      </c>
    </row>
    <row r="88" spans="3:15" x14ac:dyDescent="0.2">
      <c r="C88" s="92"/>
      <c r="E88" s="9">
        <v>5410</v>
      </c>
      <c r="F88" s="9" t="s">
        <v>53</v>
      </c>
      <c r="G88" s="38">
        <f>'Benchmarking Calculations'!F54</f>
        <v>0</v>
      </c>
      <c r="H88" s="75"/>
      <c r="I88" s="75"/>
      <c r="J88" s="76"/>
      <c r="K88" s="76"/>
      <c r="L88" s="76"/>
      <c r="M88" s="76"/>
      <c r="N88" s="76"/>
      <c r="O88" s="88" t="s">
        <v>167</v>
      </c>
    </row>
    <row r="89" spans="3:15" x14ac:dyDescent="0.2">
      <c r="C89" s="92"/>
      <c r="E89" s="9">
        <v>5420</v>
      </c>
      <c r="F89" s="9" t="s">
        <v>54</v>
      </c>
      <c r="G89" s="38">
        <f>'Benchmarking Calculations'!F55</f>
        <v>14392</v>
      </c>
      <c r="H89" s="75"/>
      <c r="I89" s="75"/>
      <c r="J89" s="76"/>
      <c r="K89" s="76"/>
      <c r="L89" s="76"/>
      <c r="M89" s="76"/>
      <c r="N89" s="76"/>
      <c r="O89" s="88" t="s">
        <v>167</v>
      </c>
    </row>
    <row r="90" spans="3:15" x14ac:dyDescent="0.2">
      <c r="C90" s="92"/>
      <c r="E90" s="67">
        <v>5425</v>
      </c>
      <c r="F90" s="67" t="s">
        <v>55</v>
      </c>
      <c r="G90" s="68">
        <f>'Benchmarking Calculations'!F56</f>
        <v>0</v>
      </c>
      <c r="H90" s="75"/>
      <c r="I90" s="75"/>
      <c r="J90" s="76"/>
      <c r="K90" s="76"/>
      <c r="L90" s="76"/>
      <c r="M90" s="76"/>
      <c r="N90" s="76"/>
      <c r="O90" s="88" t="s">
        <v>167</v>
      </c>
    </row>
    <row r="91" spans="3:15" x14ac:dyDescent="0.2">
      <c r="C91" s="92"/>
      <c r="E91" s="12"/>
      <c r="F91" s="13" t="s">
        <v>56</v>
      </c>
      <c r="G91" s="66">
        <f>'Benchmarking Calculations'!F57</f>
        <v>14392</v>
      </c>
      <c r="H91" s="52">
        <f>SUM(H87:H90)</f>
        <v>0</v>
      </c>
      <c r="I91" s="52">
        <f t="shared" ref="I91:M91" si="18">SUM(I87:I90)</f>
        <v>0</v>
      </c>
      <c r="J91" s="52">
        <f t="shared" si="18"/>
        <v>0</v>
      </c>
      <c r="K91" s="52">
        <f t="shared" si="18"/>
        <v>0</v>
      </c>
      <c r="L91" s="52">
        <f t="shared" si="18"/>
        <v>0</v>
      </c>
      <c r="M91" s="52">
        <f t="shared" si="18"/>
        <v>0</v>
      </c>
      <c r="N91" s="52">
        <f t="shared" ref="N91" si="19">SUM(N87:N90)</f>
        <v>0</v>
      </c>
      <c r="O91" s="88" t="s">
        <v>29</v>
      </c>
    </row>
    <row r="92" spans="3:15" x14ac:dyDescent="0.2">
      <c r="C92" s="92"/>
      <c r="E92" s="9">
        <v>5605</v>
      </c>
      <c r="F92" s="9" t="s">
        <v>57</v>
      </c>
      <c r="G92" s="38">
        <f>'Benchmarking Calculations'!F58</f>
        <v>2508624.08</v>
      </c>
      <c r="H92" s="75"/>
      <c r="I92" s="75"/>
      <c r="J92" s="76"/>
      <c r="K92" s="76"/>
      <c r="L92" s="76"/>
      <c r="M92" s="76"/>
      <c r="N92" s="76"/>
      <c r="O92" s="88" t="s">
        <v>167</v>
      </c>
    </row>
    <row r="93" spans="3:15" x14ac:dyDescent="0.2">
      <c r="C93" s="92"/>
      <c r="E93" s="9">
        <v>5610</v>
      </c>
      <c r="F93" s="9" t="s">
        <v>58</v>
      </c>
      <c r="G93" s="38">
        <f>'Benchmarking Calculations'!F59</f>
        <v>94511.64</v>
      </c>
      <c r="H93" s="75"/>
      <c r="I93" s="75"/>
      <c r="J93" s="76"/>
      <c r="K93" s="76"/>
      <c r="L93" s="76"/>
      <c r="M93" s="76"/>
      <c r="N93" s="76"/>
      <c r="O93" s="88" t="s">
        <v>167</v>
      </c>
    </row>
    <row r="94" spans="3:15" x14ac:dyDescent="0.2">
      <c r="C94" s="92"/>
      <c r="E94" s="9">
        <v>5615</v>
      </c>
      <c r="F94" s="9" t="s">
        <v>59</v>
      </c>
      <c r="G94" s="38">
        <f>'Benchmarking Calculations'!F60</f>
        <v>2743634.02</v>
      </c>
      <c r="H94" s="75"/>
      <c r="I94" s="75"/>
      <c r="J94" s="76"/>
      <c r="K94" s="76"/>
      <c r="L94" s="76"/>
      <c r="M94" s="76"/>
      <c r="N94" s="76"/>
      <c r="O94" s="88" t="s">
        <v>167</v>
      </c>
    </row>
    <row r="95" spans="3:15" x14ac:dyDescent="0.2">
      <c r="C95" s="92"/>
      <c r="E95" s="9">
        <v>5620</v>
      </c>
      <c r="F95" s="9" t="s">
        <v>60</v>
      </c>
      <c r="G95" s="38">
        <f>'Benchmarking Calculations'!F61</f>
        <v>670757.61</v>
      </c>
      <c r="H95" s="75"/>
      <c r="I95" s="75"/>
      <c r="J95" s="76"/>
      <c r="K95" s="76"/>
      <c r="L95" s="76"/>
      <c r="M95" s="76"/>
      <c r="N95" s="76"/>
      <c r="O95" s="88" t="s">
        <v>167</v>
      </c>
    </row>
    <row r="96" spans="3:15" x14ac:dyDescent="0.2">
      <c r="C96" s="92"/>
      <c r="E96" s="9">
        <v>5625</v>
      </c>
      <c r="F96" s="9" t="s">
        <v>61</v>
      </c>
      <c r="G96" s="38">
        <f>'Benchmarking Calculations'!F62</f>
        <v>-325515.59539999999</v>
      </c>
      <c r="H96" s="75"/>
      <c r="I96" s="75"/>
      <c r="J96" s="76"/>
      <c r="K96" s="76"/>
      <c r="L96" s="76"/>
      <c r="M96" s="76"/>
      <c r="N96" s="76"/>
      <c r="O96" s="88" t="s">
        <v>167</v>
      </c>
    </row>
    <row r="97" spans="3:15" x14ac:dyDescent="0.2">
      <c r="C97" s="92"/>
      <c r="E97" s="9">
        <v>5630</v>
      </c>
      <c r="F97" s="9" t="s">
        <v>62</v>
      </c>
      <c r="G97" s="38">
        <f>'Benchmarking Calculations'!F63</f>
        <v>727324.37</v>
      </c>
      <c r="H97" s="75"/>
      <c r="I97" s="75"/>
      <c r="J97" s="76"/>
      <c r="K97" s="76"/>
      <c r="L97" s="76"/>
      <c r="M97" s="76"/>
      <c r="N97" s="76"/>
      <c r="O97" s="88" t="s">
        <v>167</v>
      </c>
    </row>
    <row r="98" spans="3:15" x14ac:dyDescent="0.2">
      <c r="C98" s="92"/>
      <c r="E98" s="9">
        <v>5640</v>
      </c>
      <c r="F98" s="9" t="s">
        <v>63</v>
      </c>
      <c r="G98" s="38">
        <f>'Benchmarking Calculations'!F64</f>
        <v>169329.22</v>
      </c>
      <c r="H98" s="75"/>
      <c r="I98" s="75"/>
      <c r="J98" s="76"/>
      <c r="K98" s="76"/>
      <c r="L98" s="76"/>
      <c r="M98" s="76"/>
      <c r="N98" s="76"/>
      <c r="O98" s="88" t="s">
        <v>167</v>
      </c>
    </row>
    <row r="99" spans="3:15" x14ac:dyDescent="0.2">
      <c r="C99" s="92"/>
      <c r="E99" s="9">
        <v>5645</v>
      </c>
      <c r="F99" s="9" t="s">
        <v>64</v>
      </c>
      <c r="G99" s="38">
        <f>'Benchmarking Calculations'!F65</f>
        <v>301666</v>
      </c>
      <c r="H99" s="75"/>
      <c r="I99" s="75"/>
      <c r="J99" s="76"/>
      <c r="K99" s="76"/>
      <c r="L99" s="76"/>
      <c r="M99" s="76"/>
      <c r="N99" s="76"/>
      <c r="O99" s="88" t="s">
        <v>167</v>
      </c>
    </row>
    <row r="100" spans="3:15" x14ac:dyDescent="0.2">
      <c r="C100" s="92"/>
      <c r="E100" s="9">
        <v>5646</v>
      </c>
      <c r="F100" s="9" t="s">
        <v>65</v>
      </c>
      <c r="G100" s="38">
        <f>'Benchmarking Calculations'!F66</f>
        <v>0</v>
      </c>
      <c r="H100" s="75"/>
      <c r="I100" s="75"/>
      <c r="J100" s="76"/>
      <c r="K100" s="76"/>
      <c r="L100" s="76"/>
      <c r="M100" s="76"/>
      <c r="N100" s="76"/>
      <c r="O100" s="88" t="s">
        <v>167</v>
      </c>
    </row>
    <row r="101" spans="3:15" x14ac:dyDescent="0.2">
      <c r="C101" s="92"/>
      <c r="E101" s="9">
        <v>5647</v>
      </c>
      <c r="F101" s="9" t="s">
        <v>66</v>
      </c>
      <c r="G101" s="38">
        <f>'Benchmarking Calculations'!F67</f>
        <v>0</v>
      </c>
      <c r="H101" s="75"/>
      <c r="I101" s="75"/>
      <c r="J101" s="76"/>
      <c r="K101" s="76"/>
      <c r="L101" s="76"/>
      <c r="M101" s="76"/>
      <c r="N101" s="76"/>
      <c r="O101" s="88" t="s">
        <v>167</v>
      </c>
    </row>
    <row r="102" spans="3:15" x14ac:dyDescent="0.2">
      <c r="C102" s="92"/>
      <c r="E102" s="9">
        <v>5650</v>
      </c>
      <c r="F102" s="9" t="s">
        <v>67</v>
      </c>
      <c r="G102" s="38">
        <f>'Benchmarking Calculations'!F68</f>
        <v>0</v>
      </c>
      <c r="H102" s="75"/>
      <c r="I102" s="75"/>
      <c r="J102" s="76"/>
      <c r="K102" s="76"/>
      <c r="L102" s="76"/>
      <c r="M102" s="76"/>
      <c r="N102" s="76"/>
      <c r="O102" s="88" t="s">
        <v>167</v>
      </c>
    </row>
    <row r="103" spans="3:15" x14ac:dyDescent="0.2">
      <c r="C103" s="92"/>
      <c r="E103" s="9">
        <v>5655</v>
      </c>
      <c r="F103" s="9" t="s">
        <v>68</v>
      </c>
      <c r="G103" s="38">
        <f>'Benchmarking Calculations'!F69</f>
        <v>482807.63199999998</v>
      </c>
      <c r="H103" s="75"/>
      <c r="I103" s="75"/>
      <c r="J103" s="76"/>
      <c r="K103" s="76"/>
      <c r="L103" s="76"/>
      <c r="M103" s="76"/>
      <c r="N103" s="76"/>
      <c r="O103" s="88" t="s">
        <v>167</v>
      </c>
    </row>
    <row r="104" spans="3:15" x14ac:dyDescent="0.2">
      <c r="C104" s="92"/>
      <c r="E104" s="9">
        <v>5665</v>
      </c>
      <c r="F104" s="9" t="s">
        <v>69</v>
      </c>
      <c r="G104" s="38">
        <f>'Benchmarking Calculations'!F70</f>
        <v>877641.07</v>
      </c>
      <c r="H104" s="75"/>
      <c r="I104" s="75"/>
      <c r="J104" s="76"/>
      <c r="K104" s="76"/>
      <c r="L104" s="76"/>
      <c r="M104" s="76"/>
      <c r="N104" s="76"/>
      <c r="O104" s="88" t="s">
        <v>167</v>
      </c>
    </row>
    <row r="105" spans="3:15" x14ac:dyDescent="0.2">
      <c r="C105" s="92"/>
      <c r="E105" s="9">
        <v>5670</v>
      </c>
      <c r="F105" s="9" t="s">
        <v>70</v>
      </c>
      <c r="G105" s="38">
        <f>'Benchmarking Calculations'!F71</f>
        <v>0</v>
      </c>
      <c r="H105" s="75"/>
      <c r="I105" s="75"/>
      <c r="J105" s="76"/>
      <c r="K105" s="76"/>
      <c r="L105" s="76"/>
      <c r="M105" s="76"/>
      <c r="N105" s="76"/>
      <c r="O105" s="88" t="s">
        <v>167</v>
      </c>
    </row>
    <row r="106" spans="3:15" x14ac:dyDescent="0.2">
      <c r="C106" s="92"/>
      <c r="E106" s="9">
        <v>5672</v>
      </c>
      <c r="F106" s="9" t="s">
        <v>71</v>
      </c>
      <c r="G106" s="38">
        <f>'Benchmarking Calculations'!F72</f>
        <v>0</v>
      </c>
      <c r="H106" s="75"/>
      <c r="I106" s="75"/>
      <c r="J106" s="76"/>
      <c r="K106" s="76"/>
      <c r="L106" s="76"/>
      <c r="M106" s="76"/>
      <c r="N106" s="76"/>
      <c r="O106" s="88" t="s">
        <v>167</v>
      </c>
    </row>
    <row r="107" spans="3:15" x14ac:dyDescent="0.2">
      <c r="C107" s="92"/>
      <c r="E107" s="9">
        <v>5675</v>
      </c>
      <c r="F107" s="9" t="s">
        <v>72</v>
      </c>
      <c r="G107" s="38">
        <f>'Benchmarking Calculations'!F73</f>
        <v>281794.63</v>
      </c>
      <c r="H107" s="75"/>
      <c r="I107" s="75"/>
      <c r="J107" s="76"/>
      <c r="K107" s="76"/>
      <c r="L107" s="76"/>
      <c r="M107" s="76"/>
      <c r="N107" s="76"/>
      <c r="O107" s="88" t="s">
        <v>167</v>
      </c>
    </row>
    <row r="108" spans="3:15" x14ac:dyDescent="0.2">
      <c r="C108" s="92"/>
      <c r="E108" s="67">
        <v>5680</v>
      </c>
      <c r="F108" s="67" t="s">
        <v>73</v>
      </c>
      <c r="G108" s="68">
        <f>'Benchmarking Calculations'!F74</f>
        <v>0</v>
      </c>
      <c r="H108" s="75"/>
      <c r="I108" s="75"/>
      <c r="J108" s="76"/>
      <c r="K108" s="76"/>
      <c r="L108" s="76"/>
      <c r="M108" s="76"/>
      <c r="N108" s="76"/>
      <c r="O108" s="88" t="s">
        <v>167</v>
      </c>
    </row>
    <row r="109" spans="3:15" x14ac:dyDescent="0.2">
      <c r="C109" s="92"/>
      <c r="E109" s="10"/>
      <c r="F109" s="13" t="s">
        <v>74</v>
      </c>
      <c r="G109" s="66">
        <f>'Benchmarking Calculations'!F75</f>
        <v>8532574.6766000018</v>
      </c>
      <c r="H109" s="52">
        <f>SUM(H92:H108)</f>
        <v>0</v>
      </c>
      <c r="I109" s="52">
        <f t="shared" ref="I109:M109" si="20">SUM(I92:I108)</f>
        <v>0</v>
      </c>
      <c r="J109" s="52">
        <f t="shared" si="20"/>
        <v>0</v>
      </c>
      <c r="K109" s="52">
        <f t="shared" si="20"/>
        <v>0</v>
      </c>
      <c r="L109" s="52">
        <f t="shared" si="20"/>
        <v>0</v>
      </c>
      <c r="M109" s="52">
        <f t="shared" si="20"/>
        <v>0</v>
      </c>
      <c r="N109" s="52">
        <f t="shared" ref="N109" si="21">SUM(N92:N108)</f>
        <v>0</v>
      </c>
      <c r="O109" s="88" t="s">
        <v>29</v>
      </c>
    </row>
    <row r="110" spans="3:15" x14ac:dyDescent="0.2">
      <c r="C110" s="92"/>
      <c r="E110" s="9">
        <v>5635</v>
      </c>
      <c r="F110" s="9" t="s">
        <v>75</v>
      </c>
      <c r="G110" s="38">
        <f>'Benchmarking Calculations'!F76</f>
        <v>29545.759999999998</v>
      </c>
      <c r="H110" s="75"/>
      <c r="I110" s="75"/>
      <c r="J110" s="76"/>
      <c r="K110" s="76"/>
      <c r="L110" s="76"/>
      <c r="M110" s="76"/>
      <c r="N110" s="76"/>
      <c r="O110" s="88" t="s">
        <v>167</v>
      </c>
    </row>
    <row r="111" spans="3:15" x14ac:dyDescent="0.2">
      <c r="C111" s="92"/>
      <c r="E111" s="67">
        <v>6210</v>
      </c>
      <c r="F111" s="67" t="s">
        <v>76</v>
      </c>
      <c r="G111" s="68">
        <f>'Benchmarking Calculations'!F77</f>
        <v>0</v>
      </c>
      <c r="H111" s="75"/>
      <c r="I111" s="75"/>
      <c r="J111" s="76"/>
      <c r="K111" s="76"/>
      <c r="L111" s="76"/>
      <c r="M111" s="76"/>
      <c r="N111" s="76"/>
      <c r="O111" s="88" t="s">
        <v>167</v>
      </c>
    </row>
    <row r="112" spans="3:15" x14ac:dyDescent="0.2">
      <c r="C112" s="92"/>
      <c r="F112" s="13" t="s">
        <v>77</v>
      </c>
      <c r="G112" s="66">
        <f>'Benchmarking Calculations'!F78</f>
        <v>29545.759999999998</v>
      </c>
      <c r="H112" s="52">
        <f>H110+H111</f>
        <v>0</v>
      </c>
      <c r="I112" s="52">
        <f t="shared" ref="I112:M112" si="22">I110+I111</f>
        <v>0</v>
      </c>
      <c r="J112" s="52">
        <f t="shared" si="22"/>
        <v>0</v>
      </c>
      <c r="K112" s="52">
        <f t="shared" si="22"/>
        <v>0</v>
      </c>
      <c r="L112" s="52">
        <f t="shared" si="22"/>
        <v>0</v>
      </c>
      <c r="M112" s="52">
        <f t="shared" si="22"/>
        <v>0</v>
      </c>
      <c r="N112" s="52">
        <f t="shared" ref="N112" si="23">N110+N111</f>
        <v>0</v>
      </c>
      <c r="O112" s="88" t="s">
        <v>29</v>
      </c>
    </row>
    <row r="113" spans="3:15" x14ac:dyDescent="0.2">
      <c r="C113" s="92"/>
      <c r="E113" s="67">
        <v>5515</v>
      </c>
      <c r="F113" s="67" t="s">
        <v>78</v>
      </c>
      <c r="G113" s="68">
        <f>'Benchmarking Calculations'!F79</f>
        <v>0</v>
      </c>
      <c r="H113" s="75"/>
      <c r="I113" s="75"/>
      <c r="J113" s="76"/>
      <c r="K113" s="76"/>
      <c r="L113" s="76"/>
      <c r="M113" s="76"/>
      <c r="N113" s="76"/>
      <c r="O113" s="88" t="s">
        <v>167</v>
      </c>
    </row>
    <row r="114" spans="3:15" x14ac:dyDescent="0.2">
      <c r="C114" s="92"/>
      <c r="E114" s="12"/>
      <c r="F114" s="13" t="s">
        <v>79</v>
      </c>
      <c r="G114" s="66">
        <f>'Benchmarking Calculations'!F80</f>
        <v>0</v>
      </c>
      <c r="H114" s="52">
        <f>H113</f>
        <v>0</v>
      </c>
      <c r="I114" s="52">
        <f t="shared" ref="I114:M114" si="24">I113</f>
        <v>0</v>
      </c>
      <c r="J114" s="52">
        <f t="shared" si="24"/>
        <v>0</v>
      </c>
      <c r="K114" s="52">
        <f t="shared" si="24"/>
        <v>0</v>
      </c>
      <c r="L114" s="52">
        <f t="shared" si="24"/>
        <v>0</v>
      </c>
      <c r="M114" s="52">
        <f t="shared" si="24"/>
        <v>0</v>
      </c>
      <c r="N114" s="52">
        <f t="shared" ref="N114" si="25">N113</f>
        <v>0</v>
      </c>
      <c r="O114" s="88" t="s">
        <v>29</v>
      </c>
    </row>
    <row r="115" spans="3:15" x14ac:dyDescent="0.2">
      <c r="C115" s="92"/>
      <c r="E115" s="102" t="s">
        <v>193</v>
      </c>
      <c r="F115" s="13" t="s">
        <v>80</v>
      </c>
      <c r="G115" s="38">
        <f>'Benchmarking Calculations'!F81</f>
        <v>23087139.302600004</v>
      </c>
      <c r="H115" s="52">
        <f>G115</f>
        <v>23087139.302600004</v>
      </c>
      <c r="I115" s="52">
        <f t="shared" ref="I115:N115" si="26">H115</f>
        <v>23087139.302600004</v>
      </c>
      <c r="J115" s="52">
        <f t="shared" si="26"/>
        <v>23087139.302600004</v>
      </c>
      <c r="K115" s="52">
        <f t="shared" si="26"/>
        <v>23087139.302600004</v>
      </c>
      <c r="L115" s="52">
        <f t="shared" si="26"/>
        <v>23087139.302600004</v>
      </c>
      <c r="M115" s="52">
        <f t="shared" si="26"/>
        <v>23087139.302600004</v>
      </c>
      <c r="N115" s="52">
        <f t="shared" si="26"/>
        <v>23087139.302600004</v>
      </c>
      <c r="O115" s="88" t="s">
        <v>29</v>
      </c>
    </row>
    <row r="116" spans="3:15" x14ac:dyDescent="0.2">
      <c r="C116" s="92"/>
      <c r="F116" s="13"/>
      <c r="G116" s="38"/>
      <c r="H116" s="53"/>
      <c r="I116" s="15"/>
      <c r="O116" s="88"/>
    </row>
    <row r="117" spans="3:15" x14ac:dyDescent="0.2">
      <c r="C117" s="92"/>
      <c r="D117" s="8" t="s">
        <v>81</v>
      </c>
      <c r="F117" s="2"/>
      <c r="G117" s="38"/>
      <c r="H117" s="53"/>
      <c r="O117" s="88"/>
    </row>
    <row r="118" spans="3:15" x14ac:dyDescent="0.2">
      <c r="C118" s="92"/>
      <c r="F118" s="9">
        <v>5014</v>
      </c>
      <c r="G118" s="38">
        <f>G47</f>
        <v>0</v>
      </c>
      <c r="H118" s="38">
        <f t="shared" ref="H118:L118" si="27">H47</f>
        <v>0</v>
      </c>
      <c r="I118" s="38">
        <f t="shared" si="27"/>
        <v>0</v>
      </c>
      <c r="J118" s="38">
        <f t="shared" si="27"/>
        <v>0</v>
      </c>
      <c r="K118" s="38">
        <f t="shared" si="27"/>
        <v>0</v>
      </c>
      <c r="L118" s="38">
        <f t="shared" si="27"/>
        <v>0</v>
      </c>
      <c r="M118" s="38">
        <f t="shared" ref="M118:N118" si="28">M47</f>
        <v>0</v>
      </c>
      <c r="N118" s="38">
        <f t="shared" si="28"/>
        <v>0</v>
      </c>
      <c r="O118" s="88" t="s">
        <v>29</v>
      </c>
    </row>
    <row r="119" spans="3:15" x14ac:dyDescent="0.2">
      <c r="C119" s="92"/>
      <c r="F119" s="9">
        <v>5015</v>
      </c>
      <c r="G119" s="38">
        <f>G48</f>
        <v>0</v>
      </c>
      <c r="H119" s="38">
        <f t="shared" ref="H119:L119" si="29">H48</f>
        <v>0</v>
      </c>
      <c r="I119" s="38">
        <f t="shared" si="29"/>
        <v>0</v>
      </c>
      <c r="J119" s="38">
        <f t="shared" si="29"/>
        <v>0</v>
      </c>
      <c r="K119" s="38">
        <f t="shared" si="29"/>
        <v>0</v>
      </c>
      <c r="L119" s="38">
        <f t="shared" si="29"/>
        <v>0</v>
      </c>
      <c r="M119" s="38">
        <f t="shared" ref="M119:N119" si="30">M48</f>
        <v>0</v>
      </c>
      <c r="N119" s="38">
        <f t="shared" si="30"/>
        <v>0</v>
      </c>
      <c r="O119" s="88" t="s">
        <v>29</v>
      </c>
    </row>
    <row r="120" spans="3:15" x14ac:dyDescent="0.2">
      <c r="C120" s="92"/>
      <c r="F120" s="9">
        <v>5112</v>
      </c>
      <c r="G120" s="38">
        <f>G67</f>
        <v>0</v>
      </c>
      <c r="H120" s="38">
        <f t="shared" ref="H120:L120" si="31">H67</f>
        <v>0</v>
      </c>
      <c r="I120" s="38">
        <f t="shared" si="31"/>
        <v>0</v>
      </c>
      <c r="J120" s="38">
        <f t="shared" si="31"/>
        <v>0</v>
      </c>
      <c r="K120" s="38">
        <f t="shared" si="31"/>
        <v>0</v>
      </c>
      <c r="L120" s="38">
        <f t="shared" si="31"/>
        <v>0</v>
      </c>
      <c r="M120" s="38">
        <f t="shared" ref="M120:N120" si="32">M67</f>
        <v>0</v>
      </c>
      <c r="N120" s="38">
        <f t="shared" si="32"/>
        <v>0</v>
      </c>
      <c r="O120" s="88" t="s">
        <v>29</v>
      </c>
    </row>
    <row r="121" spans="3:15" x14ac:dyDescent="0.2">
      <c r="C121" s="92"/>
      <c r="E121" s="102" t="s">
        <v>194</v>
      </c>
      <c r="F121" s="13" t="s">
        <v>82</v>
      </c>
      <c r="G121" s="66">
        <f>'Benchmarking Calculations'!F87</f>
        <v>0</v>
      </c>
      <c r="H121" s="66">
        <f>H47+H48+H67</f>
        <v>0</v>
      </c>
      <c r="I121" s="66">
        <f t="shared" ref="I121:L121" si="33">I47+I48+I67</f>
        <v>0</v>
      </c>
      <c r="J121" s="66">
        <f t="shared" si="33"/>
        <v>0</v>
      </c>
      <c r="K121" s="66">
        <f t="shared" si="33"/>
        <v>0</v>
      </c>
      <c r="L121" s="66">
        <f t="shared" si="33"/>
        <v>0</v>
      </c>
      <c r="M121" s="66">
        <f t="shared" ref="M121:N121" si="34">M47+M48+M67</f>
        <v>0</v>
      </c>
      <c r="N121" s="66">
        <f t="shared" si="34"/>
        <v>0</v>
      </c>
      <c r="O121" s="103" t="s">
        <v>29</v>
      </c>
    </row>
    <row r="122" spans="3:15" x14ac:dyDescent="0.2">
      <c r="C122" s="92"/>
      <c r="E122" s="102" t="s">
        <v>195</v>
      </c>
      <c r="F122" s="13" t="s">
        <v>83</v>
      </c>
      <c r="G122" s="66">
        <f>'Benchmarking Calculations'!F88</f>
        <v>0</v>
      </c>
      <c r="H122" s="104"/>
      <c r="I122" s="104"/>
      <c r="J122" s="104"/>
      <c r="K122" s="104"/>
      <c r="L122" s="104"/>
      <c r="M122" s="104"/>
      <c r="N122" s="104"/>
      <c r="O122" s="103" t="s">
        <v>167</v>
      </c>
    </row>
    <row r="123" spans="3:15" ht="13.5" thickBot="1" x14ac:dyDescent="0.25">
      <c r="C123" s="93"/>
      <c r="D123" s="51"/>
      <c r="E123" s="51"/>
      <c r="F123" s="94"/>
      <c r="G123" s="90"/>
      <c r="H123" s="95"/>
      <c r="I123" s="96"/>
      <c r="J123" s="51"/>
      <c r="K123" s="51"/>
      <c r="L123" s="51"/>
      <c r="M123" s="51"/>
      <c r="N123" s="51"/>
      <c r="O123" s="91"/>
    </row>
  </sheetData>
  <mergeCells count="7">
    <mergeCell ref="H1:I1"/>
    <mergeCell ref="H34:M34"/>
    <mergeCell ref="C2:O2"/>
    <mergeCell ref="C3:O3"/>
    <mergeCell ref="H8:M8"/>
    <mergeCell ref="H19:M19"/>
    <mergeCell ref="K5:N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Calculations'!#REF!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workbookViewId="0">
      <selection activeCell="I13" sqref="I13"/>
    </sheetView>
  </sheetViews>
  <sheetFormatPr defaultColWidth="9.140625" defaultRowHeight="12.75" x14ac:dyDescent="0.2"/>
  <cols>
    <col min="1" max="1" width="35.42578125" style="154" bestFit="1" customWidth="1"/>
    <col min="2" max="5" width="16" style="154" bestFit="1" customWidth="1"/>
    <col min="6" max="7" width="12.7109375" style="154" customWidth="1"/>
    <col min="8" max="16384" width="9.140625" style="154"/>
  </cols>
  <sheetData>
    <row r="1" spans="1:5" ht="15.75" x14ac:dyDescent="0.25">
      <c r="A1" s="152" t="s">
        <v>205</v>
      </c>
      <c r="B1" s="153" t="s">
        <v>218</v>
      </c>
    </row>
    <row r="3" spans="1:5" x14ac:dyDescent="0.2">
      <c r="A3" s="205" t="s">
        <v>235</v>
      </c>
      <c r="B3" s="205"/>
      <c r="C3" s="205"/>
      <c r="D3" s="205"/>
      <c r="E3" s="205"/>
    </row>
    <row r="4" spans="1:5" x14ac:dyDescent="0.2">
      <c r="A4" s="155" t="s">
        <v>225</v>
      </c>
      <c r="B4" s="155">
        <v>2023</v>
      </c>
      <c r="C4" s="155">
        <v>2024</v>
      </c>
      <c r="D4" s="155">
        <v>2025</v>
      </c>
      <c r="E4" s="155">
        <v>2026</v>
      </c>
    </row>
    <row r="5" spans="1:5" x14ac:dyDescent="0.2">
      <c r="A5" s="156" t="s">
        <v>227</v>
      </c>
      <c r="B5" s="157">
        <v>520495249</v>
      </c>
      <c r="C5" s="157">
        <v>538122225</v>
      </c>
      <c r="D5" s="199">
        <v>551459827.7427696</v>
      </c>
      <c r="E5" s="199">
        <v>556998472.61889982</v>
      </c>
    </row>
    <row r="6" spans="1:5" x14ac:dyDescent="0.2">
      <c r="A6" s="156" t="s">
        <v>228</v>
      </c>
      <c r="B6" s="157">
        <v>169521839</v>
      </c>
      <c r="C6" s="157">
        <v>168945809</v>
      </c>
      <c r="D6" s="199">
        <v>169765570.42542037</v>
      </c>
      <c r="E6" s="199">
        <v>172548368.89067316</v>
      </c>
    </row>
    <row r="7" spans="1:5" x14ac:dyDescent="0.2">
      <c r="A7" s="156" t="s">
        <v>229</v>
      </c>
      <c r="B7" s="157">
        <v>785675948</v>
      </c>
      <c r="C7" s="157">
        <v>795644348</v>
      </c>
      <c r="D7" s="199">
        <v>762298638.97352743</v>
      </c>
      <c r="E7" s="199">
        <v>750558930.32238185</v>
      </c>
    </row>
    <row r="8" spans="1:5" x14ac:dyDescent="0.2">
      <c r="A8" s="155" t="s">
        <v>226</v>
      </c>
      <c r="B8" s="158">
        <f>SUM(B5:B7)</f>
        <v>1475693036</v>
      </c>
      <c r="C8" s="158">
        <f t="shared" ref="C8:E8" si="0">SUM(C5:C7)</f>
        <v>1502712382</v>
      </c>
      <c r="D8" s="158">
        <f t="shared" si="0"/>
        <v>1483524037.1417174</v>
      </c>
      <c r="E8" s="158">
        <f t="shared" si="0"/>
        <v>1480105771.831955</v>
      </c>
    </row>
    <row r="10" spans="1:5" x14ac:dyDescent="0.2">
      <c r="A10" s="205" t="s">
        <v>203</v>
      </c>
      <c r="B10" s="205"/>
      <c r="C10" s="205"/>
    </row>
    <row r="11" spans="1:5" x14ac:dyDescent="0.2">
      <c r="A11" s="155" t="s">
        <v>204</v>
      </c>
      <c r="B11" s="155" t="s">
        <v>201</v>
      </c>
      <c r="C11" s="155" t="s">
        <v>202</v>
      </c>
    </row>
    <row r="12" spans="1:5" x14ac:dyDescent="0.2">
      <c r="A12" s="156">
        <v>2013</v>
      </c>
      <c r="B12" s="157">
        <v>66704</v>
      </c>
      <c r="C12" s="159"/>
      <c r="D12" s="154" t="s">
        <v>240</v>
      </c>
    </row>
    <row r="13" spans="1:5" x14ac:dyDescent="0.2">
      <c r="A13" s="156">
        <v>2014</v>
      </c>
      <c r="B13" s="157">
        <f>60095+5244+1027</f>
        <v>66366</v>
      </c>
      <c r="C13" s="159"/>
      <c r="D13" s="154" t="s">
        <v>238</v>
      </c>
    </row>
    <row r="14" spans="1:5" x14ac:dyDescent="0.2">
      <c r="A14" s="156">
        <v>2015</v>
      </c>
      <c r="B14" s="157">
        <f>60366+5259+1031</f>
        <v>66656</v>
      </c>
      <c r="C14" s="159"/>
      <c r="D14" s="154" t="s">
        <v>238</v>
      </c>
    </row>
    <row r="15" spans="1:5" x14ac:dyDescent="0.2">
      <c r="A15" s="156">
        <v>2016</v>
      </c>
      <c r="B15" s="157">
        <f>60468+5323+1033</f>
        <v>66824</v>
      </c>
      <c r="C15" s="159"/>
      <c r="D15" s="154" t="s">
        <v>238</v>
      </c>
    </row>
    <row r="16" spans="1:5" x14ac:dyDescent="0.2">
      <c r="A16" s="156">
        <v>2017</v>
      </c>
      <c r="B16" s="157">
        <v>67122</v>
      </c>
      <c r="C16" s="159"/>
      <c r="D16" s="154" t="s">
        <v>238</v>
      </c>
    </row>
    <row r="17" spans="1:7" x14ac:dyDescent="0.2">
      <c r="A17" s="156">
        <f t="shared" ref="A17:A25" si="1">+A16+1</f>
        <v>2018</v>
      </c>
      <c r="B17" s="157">
        <f>61252+5703+985</f>
        <v>67940</v>
      </c>
      <c r="C17" s="159"/>
      <c r="D17" s="154" t="s">
        <v>238</v>
      </c>
    </row>
    <row r="18" spans="1:7" x14ac:dyDescent="0.2">
      <c r="A18" s="156">
        <f t="shared" si="1"/>
        <v>2019</v>
      </c>
      <c r="B18" s="157">
        <f>61502+5681+1022</f>
        <v>68205</v>
      </c>
      <c r="C18" s="159"/>
      <c r="D18" s="154" t="s">
        <v>239</v>
      </c>
    </row>
    <row r="19" spans="1:7" x14ac:dyDescent="0.2">
      <c r="A19" s="156">
        <f t="shared" si="1"/>
        <v>2020</v>
      </c>
      <c r="B19" s="157">
        <f>61803+5776+989</f>
        <v>68568</v>
      </c>
      <c r="C19" s="159"/>
      <c r="D19" s="154" t="s">
        <v>239</v>
      </c>
    </row>
    <row r="20" spans="1:7" x14ac:dyDescent="0.2">
      <c r="A20" s="156">
        <f t="shared" si="1"/>
        <v>2021</v>
      </c>
      <c r="B20" s="157">
        <f>61915+5842+985</f>
        <v>68742</v>
      </c>
      <c r="C20" s="159"/>
      <c r="D20" s="154" t="s">
        <v>239</v>
      </c>
    </row>
    <row r="21" spans="1:7" x14ac:dyDescent="0.2">
      <c r="A21" s="156">
        <f t="shared" si="1"/>
        <v>2022</v>
      </c>
      <c r="B21" s="157">
        <f>62027+5909+943</f>
        <v>68879</v>
      </c>
      <c r="C21" s="159"/>
      <c r="D21" s="154" t="s">
        <v>239</v>
      </c>
    </row>
    <row r="22" spans="1:7" x14ac:dyDescent="0.2">
      <c r="A22" s="156">
        <f t="shared" si="1"/>
        <v>2023</v>
      </c>
      <c r="B22" s="157">
        <v>69171</v>
      </c>
      <c r="C22" s="160">
        <f>+B22/B12-1</f>
        <v>3.698428879827298E-2</v>
      </c>
    </row>
    <row r="23" spans="1:7" x14ac:dyDescent="0.2">
      <c r="A23" s="156">
        <f t="shared" si="1"/>
        <v>2024</v>
      </c>
      <c r="B23" s="157">
        <v>69561</v>
      </c>
      <c r="C23" s="160">
        <f>+B23/B13-1</f>
        <v>4.8142120965554591E-2</v>
      </c>
    </row>
    <row r="24" spans="1:7" x14ac:dyDescent="0.2">
      <c r="A24" s="156">
        <f t="shared" si="1"/>
        <v>2025</v>
      </c>
      <c r="B24" s="157">
        <v>69784.927325205033</v>
      </c>
      <c r="C24" s="160">
        <f>+B24/B14-1</f>
        <v>4.6941420505356435E-2</v>
      </c>
    </row>
    <row r="25" spans="1:7" x14ac:dyDescent="0.2">
      <c r="A25" s="156">
        <f t="shared" si="1"/>
        <v>2026</v>
      </c>
      <c r="B25" s="157">
        <v>70112.46373661721</v>
      </c>
      <c r="C25" s="160">
        <f>+B25/B15-1</f>
        <v>4.921081851755682E-2</v>
      </c>
    </row>
    <row r="26" spans="1:7" x14ac:dyDescent="0.2">
      <c r="A26" s="188"/>
      <c r="B26" s="189"/>
      <c r="C26" s="190"/>
    </row>
    <row r="28" spans="1:7" x14ac:dyDescent="0.2">
      <c r="B28" s="138"/>
      <c r="D28" s="138"/>
      <c r="E28" s="138"/>
      <c r="F28" s="138"/>
      <c r="G28" s="138"/>
    </row>
    <row r="29" spans="1:7" ht="38.25" x14ac:dyDescent="0.2">
      <c r="A29" s="161" t="s">
        <v>206</v>
      </c>
      <c r="B29" s="162">
        <v>2026</v>
      </c>
      <c r="C29" s="162">
        <v>2025</v>
      </c>
      <c r="D29" s="162">
        <v>2024</v>
      </c>
      <c r="E29" s="163">
        <v>2023</v>
      </c>
      <c r="F29" s="163" t="s">
        <v>241</v>
      </c>
      <c r="G29" s="163" t="s">
        <v>242</v>
      </c>
    </row>
    <row r="30" spans="1:7" x14ac:dyDescent="0.2">
      <c r="A30" s="164" t="s">
        <v>207</v>
      </c>
      <c r="B30" s="165">
        <f>(1+(+$C$34/$D$34-1)/4)*C34</f>
        <v>127.5461374426979</v>
      </c>
      <c r="C30" s="165">
        <f>(1+(+$D$34/$F$34-1)/4)*D34</f>
        <v>125.5150428984908</v>
      </c>
      <c r="D30" s="166">
        <v>122.9</v>
      </c>
      <c r="E30" s="166">
        <v>118.7</v>
      </c>
      <c r="F30" s="167">
        <v>119.1</v>
      </c>
      <c r="G30" s="168">
        <v>123.6</v>
      </c>
    </row>
    <row r="31" spans="1:7" x14ac:dyDescent="0.2">
      <c r="A31" s="164" t="s">
        <v>208</v>
      </c>
      <c r="B31" s="165">
        <f>(1+(+$C$34/$D$34-1)/4)*B30</f>
        <v>128.15223324910909</v>
      </c>
      <c r="C31" s="165">
        <f>(1+(+$D$34/$F$34-1)/4)*C30</f>
        <v>126.46217936030493</v>
      </c>
      <c r="D31" s="166">
        <v>124.4</v>
      </c>
      <c r="E31" s="166">
        <v>120.1</v>
      </c>
      <c r="F31" s="167">
        <v>120.4</v>
      </c>
      <c r="G31" s="168">
        <v>125.3</v>
      </c>
    </row>
    <row r="32" spans="1:7" x14ac:dyDescent="0.2">
      <c r="A32" s="164" t="s">
        <v>209</v>
      </c>
      <c r="B32" s="165">
        <f>(1+(+$C$34/$D$34-1)/4)*B31</f>
        <v>128.76120920645167</v>
      </c>
      <c r="C32" s="165">
        <f>(1+(+$D$34/$F$34-1)/4)*C31</f>
        <v>127.41646291346828</v>
      </c>
      <c r="D32" s="166">
        <v>125</v>
      </c>
      <c r="E32" s="166">
        <v>121.1</v>
      </c>
      <c r="F32" s="167">
        <v>121.4</v>
      </c>
      <c r="G32" s="168">
        <v>126.2</v>
      </c>
    </row>
    <row r="33" spans="1:7" x14ac:dyDescent="0.2">
      <c r="A33" s="164" t="s">
        <v>210</v>
      </c>
      <c r="B33" s="165">
        <f>(1+(+$C$34/$D$34-1)/4)*B32</f>
        <v>129.37307900112521</v>
      </c>
      <c r="C33" s="165">
        <f>(1+(+$D$34/$F$34-1)/4)*C32</f>
        <v>128.37794748992923</v>
      </c>
      <c r="D33" s="166">
        <v>126</v>
      </c>
      <c r="E33" s="166">
        <v>122.5</v>
      </c>
      <c r="F33" s="166">
        <v>122.8</v>
      </c>
      <c r="G33" s="166">
        <v>127.5</v>
      </c>
    </row>
    <row r="34" spans="1:7" x14ac:dyDescent="0.2">
      <c r="A34" s="169" t="s">
        <v>211</v>
      </c>
      <c r="B34" s="170">
        <f>AVERAGE(B30:B33)</f>
        <v>128.45816472484597</v>
      </c>
      <c r="C34" s="170">
        <f>AVERAGE(C30:C33)</f>
        <v>126.9429081655483</v>
      </c>
      <c r="D34" s="170">
        <f>AVERAGE(D30:D33)</f>
        <v>124.575</v>
      </c>
      <c r="E34" s="170">
        <f t="shared" ref="E34" si="2">AVERAGE(E30:E33)</f>
        <v>120.6</v>
      </c>
      <c r="F34" s="170">
        <f>AVERAGE(F30:F33)</f>
        <v>120.925</v>
      </c>
      <c r="G34" s="170">
        <f>AVERAGE(G30:G33)</f>
        <v>125.64999999999999</v>
      </c>
    </row>
    <row r="35" spans="1:7" x14ac:dyDescent="0.2">
      <c r="A35" s="171" t="s">
        <v>202</v>
      </c>
      <c r="B35" s="172">
        <f>LN(B34/C34)</f>
        <v>1.1865841602700395E-2</v>
      </c>
      <c r="C35" s="172">
        <f>LN(C34/D34)</f>
        <v>1.8829499213267202E-2</v>
      </c>
      <c r="D35" s="172">
        <f>LN(D34/F34)</f>
        <v>2.9737425458421399E-2</v>
      </c>
      <c r="E35" s="172">
        <f>E34/G34-1</f>
        <v>-4.0191006764822901E-2</v>
      </c>
      <c r="F35" s="140">
        <f>+F34/G34-1</f>
        <v>-3.7604456824512522E-2</v>
      </c>
      <c r="G35" s="139"/>
    </row>
    <row r="36" spans="1:7" ht="15" x14ac:dyDescent="0.25">
      <c r="A36" s="192" t="s">
        <v>243</v>
      </c>
    </row>
    <row r="38" spans="1:7" x14ac:dyDescent="0.2">
      <c r="A38" s="174" t="s">
        <v>161</v>
      </c>
      <c r="B38" s="162">
        <v>2026</v>
      </c>
      <c r="C38" s="162">
        <v>2025</v>
      </c>
      <c r="D38" s="162">
        <v>2024</v>
      </c>
      <c r="E38" s="163">
        <v>2023</v>
      </c>
      <c r="F38" s="163">
        <v>2022</v>
      </c>
    </row>
    <row r="39" spans="1:7" x14ac:dyDescent="0.2">
      <c r="A39" s="175" t="s">
        <v>213</v>
      </c>
      <c r="B39" s="194">
        <f>+C39/D39*C39</f>
        <v>1379.2116886545209</v>
      </c>
      <c r="C39" s="194">
        <f>+D39/E39*D39</f>
        <v>1318.5414297687312</v>
      </c>
      <c r="D39" s="176">
        <v>1260.54</v>
      </c>
      <c r="E39" s="176">
        <v>1205.0899999999999</v>
      </c>
      <c r="F39" s="176">
        <v>1165.33</v>
      </c>
    </row>
    <row r="40" spans="1:7" x14ac:dyDescent="0.2">
      <c r="A40" s="177" t="s">
        <v>202</v>
      </c>
      <c r="B40" s="172">
        <f>LN(B39/C39)</f>
        <v>4.4985947631224599E-2</v>
      </c>
      <c r="C40" s="172">
        <f>LN(C39/D39)</f>
        <v>4.4985947631224599E-2</v>
      </c>
      <c r="D40" s="172">
        <f>LN(D39/E39)</f>
        <v>4.4985947631224599E-2</v>
      </c>
      <c r="E40" s="178"/>
      <c r="F40" s="178"/>
    </row>
    <row r="41" spans="1:7" ht="14.25" x14ac:dyDescent="0.2">
      <c r="A41" s="173" t="s">
        <v>244</v>
      </c>
    </row>
    <row r="43" spans="1:7" ht="15" x14ac:dyDescent="0.25">
      <c r="A43" s="179" t="s">
        <v>95</v>
      </c>
      <c r="B43" s="180">
        <v>2023</v>
      </c>
      <c r="C43" s="180">
        <v>2024</v>
      </c>
      <c r="D43" s="180">
        <v>2025</v>
      </c>
      <c r="E43" s="180">
        <v>2026</v>
      </c>
    </row>
    <row r="44" spans="1:7" x14ac:dyDescent="0.2">
      <c r="A44" s="175" t="s">
        <v>245</v>
      </c>
      <c r="B44" s="181">
        <v>4968442.2059999993</v>
      </c>
      <c r="C44" s="181">
        <v>5043595.4207337368</v>
      </c>
      <c r="D44" s="181">
        <v>5385843.8197341571</v>
      </c>
      <c r="E44" s="181">
        <v>5859812.4788568188</v>
      </c>
    </row>
    <row r="45" spans="1:7" x14ac:dyDescent="0.2">
      <c r="A45" s="175" t="s">
        <v>246</v>
      </c>
      <c r="B45" s="181">
        <v>6939651.3399999999</v>
      </c>
      <c r="C45" s="181">
        <v>6298065.3000000017</v>
      </c>
      <c r="D45" s="181">
        <v>7368773.8587289145</v>
      </c>
      <c r="E45" s="181">
        <v>8043724.5881587472</v>
      </c>
    </row>
    <row r="46" spans="1:7" x14ac:dyDescent="0.2">
      <c r="A46" s="175" t="s">
        <v>247</v>
      </c>
      <c r="B46" s="181">
        <v>2602533.3199999998</v>
      </c>
      <c r="C46" s="181">
        <v>2865186.5681337095</v>
      </c>
      <c r="D46" s="181">
        <v>3195522.2252876675</v>
      </c>
      <c r="E46" s="181">
        <v>3363904.0321541666</v>
      </c>
    </row>
    <row r="47" spans="1:7" x14ac:dyDescent="0.2">
      <c r="A47" s="175" t="s">
        <v>219</v>
      </c>
      <c r="B47" s="181">
        <v>14392</v>
      </c>
      <c r="C47" s="181">
        <v>23910.94</v>
      </c>
      <c r="D47" s="181">
        <v>21000</v>
      </c>
      <c r="E47" s="181">
        <v>31300</v>
      </c>
    </row>
    <row r="48" spans="1:7" x14ac:dyDescent="0.2">
      <c r="A48" s="175" t="s">
        <v>248</v>
      </c>
      <c r="B48" s="181">
        <v>8532574.6766000018</v>
      </c>
      <c r="C48" s="181">
        <v>9603896.3422353826</v>
      </c>
      <c r="D48" s="181">
        <v>10788831.522829423</v>
      </c>
      <c r="E48" s="181">
        <v>12741360.136114173</v>
      </c>
    </row>
    <row r="49" spans="1:5" x14ac:dyDescent="0.2">
      <c r="A49" s="175" t="s">
        <v>249</v>
      </c>
      <c r="B49" s="181">
        <v>29545.759999999998</v>
      </c>
      <c r="C49" s="181"/>
      <c r="D49" s="181"/>
      <c r="E49" s="181"/>
    </row>
    <row r="50" spans="1:5" x14ac:dyDescent="0.2">
      <c r="A50" s="175" t="s">
        <v>250</v>
      </c>
      <c r="B50" s="181">
        <v>0</v>
      </c>
      <c r="C50" s="181"/>
      <c r="D50" s="181"/>
      <c r="E50" s="181"/>
    </row>
    <row r="51" spans="1:5" ht="15" x14ac:dyDescent="0.25">
      <c r="A51" s="182" t="s">
        <v>220</v>
      </c>
      <c r="B51" s="183">
        <f>SUM(B44:B50)</f>
        <v>23087139.302600004</v>
      </c>
      <c r="C51" s="183">
        <f t="shared" ref="C51:E51" si="3">SUM(C44:C50)</f>
        <v>23834654.571102832</v>
      </c>
      <c r="D51" s="183">
        <f t="shared" si="3"/>
        <v>26759971.426580161</v>
      </c>
      <c r="E51" s="183">
        <f t="shared" si="3"/>
        <v>30040101.235283904</v>
      </c>
    </row>
    <row r="52" spans="1:5" ht="15" x14ac:dyDescent="0.25">
      <c r="A52" s="182" t="s">
        <v>221</v>
      </c>
      <c r="B52" s="183">
        <v>23087139.302600004</v>
      </c>
      <c r="C52" s="183">
        <f>SUM(C51:C51)</f>
        <v>23834654.571102832</v>
      </c>
      <c r="D52" s="183">
        <f>SUM(D51:D51)</f>
        <v>26759971.426580161</v>
      </c>
      <c r="E52" s="183">
        <f>SUM(E51:E51)</f>
        <v>30040101.235283904</v>
      </c>
    </row>
    <row r="53" spans="1:5" x14ac:dyDescent="0.2">
      <c r="A53" s="184" t="s">
        <v>222</v>
      </c>
      <c r="B53" s="184">
        <f>B51-B52</f>
        <v>0</v>
      </c>
      <c r="C53" s="185" t="s">
        <v>223</v>
      </c>
      <c r="D53" s="185" t="s">
        <v>223</v>
      </c>
      <c r="E53" s="185" t="s">
        <v>223</v>
      </c>
    </row>
    <row r="55" spans="1:5" x14ac:dyDescent="0.2">
      <c r="B55" s="193"/>
    </row>
  </sheetData>
  <mergeCells count="2">
    <mergeCell ref="A10:C10"/>
    <mergeCell ref="A3:E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8"/>
  <sheetViews>
    <sheetView zoomScale="98" zoomScaleNormal="98" workbookViewId="0">
      <pane ySplit="5" topLeftCell="A258" activePane="bottomLeft" state="frozen"/>
      <selection activeCell="G33" sqref="G33"/>
      <selection pane="bottomLeft" activeCell="P284" sqref="P28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71.28515625" style="2" bestFit="1" customWidth="1"/>
    <col min="6" max="6" width="17.42578125" customWidth="1"/>
    <col min="7" max="9" width="16" customWidth="1"/>
    <col min="10" max="10" width="16" hidden="1" customWidth="1"/>
    <col min="11" max="11" width="16.28515625" hidden="1" customWidth="1"/>
    <col min="12" max="13" width="16.7109375" hidden="1" customWidth="1"/>
    <col min="14" max="14" width="9.140625" customWidth="1"/>
  </cols>
  <sheetData>
    <row r="1" spans="1:13" ht="23.25" x14ac:dyDescent="0.3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3" ht="20.25" thickBot="1" x14ac:dyDescent="0.4">
      <c r="A2" s="1"/>
      <c r="B2" s="1"/>
    </row>
    <row r="3" spans="1:13" s="105" customFormat="1" ht="75.75" customHeight="1" thickBot="1" x14ac:dyDescent="0.25">
      <c r="B3" s="208" t="s">
        <v>1</v>
      </c>
      <c r="C3" s="208"/>
      <c r="D3" s="124"/>
      <c r="E3" s="63" t="str">
        <f>'Model Inputs'!F5</f>
        <v>Burlington Hydro Inc.</v>
      </c>
      <c r="F3" s="125"/>
    </row>
    <row r="4" spans="1:13" s="130" customFormat="1" ht="101.25" customHeight="1" x14ac:dyDescent="0.25">
      <c r="E4" s="131"/>
      <c r="F4" s="187"/>
      <c r="G4" s="197" t="s">
        <v>262</v>
      </c>
      <c r="H4" s="209" t="s">
        <v>2</v>
      </c>
      <c r="I4" s="210"/>
      <c r="J4" s="198"/>
      <c r="K4" s="198"/>
      <c r="L4" s="198"/>
      <c r="M4" s="198"/>
    </row>
    <row r="5" spans="1:13" ht="38.25" x14ac:dyDescent="0.2">
      <c r="B5" s="4" t="s">
        <v>3</v>
      </c>
      <c r="D5" t="s">
        <v>4</v>
      </c>
      <c r="E5" s="2" t="s">
        <v>5</v>
      </c>
      <c r="F5" s="5">
        <v>2023</v>
      </c>
      <c r="G5" s="133">
        <f>F5+1</f>
        <v>2024</v>
      </c>
      <c r="H5" s="133">
        <f t="shared" ref="H5:M5" si="0">G5+1</f>
        <v>2025</v>
      </c>
      <c r="I5" s="133">
        <f t="shared" si="0"/>
        <v>2026</v>
      </c>
      <c r="J5" s="133">
        <f t="shared" si="0"/>
        <v>2027</v>
      </c>
      <c r="K5" s="133">
        <f t="shared" si="0"/>
        <v>2028</v>
      </c>
      <c r="L5" s="133">
        <f t="shared" si="0"/>
        <v>2029</v>
      </c>
      <c r="M5" s="133">
        <f t="shared" si="0"/>
        <v>2030</v>
      </c>
    </row>
    <row r="6" spans="1:13" x14ac:dyDescent="0.2">
      <c r="B6" s="4"/>
      <c r="F6" s="5"/>
      <c r="G6" s="5"/>
      <c r="H6" s="5"/>
      <c r="I6" s="5"/>
      <c r="J6" s="5"/>
    </row>
    <row r="7" spans="1:13" ht="13.5" thickBot="1" x14ac:dyDescent="0.25">
      <c r="A7" s="206" t="s">
        <v>6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80"/>
      <c r="M7" s="80"/>
    </row>
    <row r="8" spans="1:13" ht="25.5" customHeight="1" thickTop="1" x14ac:dyDescent="0.2">
      <c r="A8" s="7"/>
    </row>
    <row r="9" spans="1:13" x14ac:dyDescent="0.2">
      <c r="A9" s="7"/>
      <c r="B9" s="2">
        <v>1</v>
      </c>
      <c r="C9" s="8" t="s">
        <v>7</v>
      </c>
      <c r="D9" s="8"/>
    </row>
    <row r="10" spans="1:13" outlineLevel="1" x14ac:dyDescent="0.2">
      <c r="A10" s="7"/>
      <c r="B10" s="2">
        <v>2</v>
      </c>
      <c r="C10" s="9">
        <v>5005</v>
      </c>
      <c r="D10" s="123">
        <v>2</v>
      </c>
      <c r="E10" s="9" t="s">
        <v>8</v>
      </c>
      <c r="F10" s="64">
        <v>0</v>
      </c>
      <c r="G10" s="60"/>
      <c r="H10" s="60"/>
      <c r="I10" s="60"/>
      <c r="J10" s="60"/>
      <c r="K10" s="60"/>
      <c r="L10" s="60"/>
      <c r="M10" s="60"/>
    </row>
    <row r="11" spans="1:13" outlineLevel="1" x14ac:dyDescent="0.2">
      <c r="A11" s="7"/>
      <c r="B11" s="2">
        <v>3</v>
      </c>
      <c r="C11" s="9">
        <v>5010</v>
      </c>
      <c r="D11" s="123">
        <v>3</v>
      </c>
      <c r="E11" s="9" t="s">
        <v>9</v>
      </c>
      <c r="F11" s="64">
        <v>1546336.446</v>
      </c>
      <c r="G11" s="11"/>
      <c r="H11" s="11"/>
      <c r="I11" s="11"/>
      <c r="J11" s="11"/>
      <c r="K11" s="11"/>
      <c r="L11" s="11"/>
      <c r="M11" s="11"/>
    </row>
    <row r="12" spans="1:13" outlineLevel="1" x14ac:dyDescent="0.2">
      <c r="A12" s="7"/>
      <c r="B12" s="2">
        <v>4</v>
      </c>
      <c r="C12" s="9">
        <v>5012</v>
      </c>
      <c r="D12" s="123">
        <v>4</v>
      </c>
      <c r="E12" s="9" t="s">
        <v>10</v>
      </c>
      <c r="F12" s="64">
        <v>113803.47</v>
      </c>
      <c r="G12" s="11"/>
      <c r="H12" s="11"/>
      <c r="I12" s="11"/>
      <c r="J12" s="11"/>
      <c r="K12" s="11"/>
      <c r="L12" s="11"/>
      <c r="M12" s="11"/>
    </row>
    <row r="13" spans="1:13" outlineLevel="1" x14ac:dyDescent="0.2">
      <c r="A13" s="7"/>
      <c r="B13" s="2">
        <v>5</v>
      </c>
      <c r="C13" s="9">
        <v>5014</v>
      </c>
      <c r="D13" s="123">
        <v>5</v>
      </c>
      <c r="E13" s="9" t="s">
        <v>11</v>
      </c>
      <c r="F13" s="64">
        <v>0</v>
      </c>
      <c r="G13" s="11"/>
      <c r="H13" s="60"/>
      <c r="I13" s="60"/>
      <c r="J13" s="60"/>
      <c r="K13" s="60"/>
      <c r="L13" s="60"/>
      <c r="M13" s="60"/>
    </row>
    <row r="14" spans="1:13" outlineLevel="1" x14ac:dyDescent="0.2">
      <c r="A14" s="7"/>
      <c r="B14" s="2">
        <v>6</v>
      </c>
      <c r="C14" s="9">
        <v>5015</v>
      </c>
      <c r="D14" s="123">
        <v>6</v>
      </c>
      <c r="E14" s="9" t="s">
        <v>12</v>
      </c>
      <c r="F14" s="64">
        <v>0</v>
      </c>
      <c r="G14" s="11"/>
      <c r="H14" s="60"/>
      <c r="I14" s="60"/>
      <c r="J14" s="60"/>
      <c r="K14" s="60"/>
      <c r="L14" s="60"/>
      <c r="M14" s="60"/>
    </row>
    <row r="15" spans="1:13" ht="19.5" outlineLevel="1" x14ac:dyDescent="0.35">
      <c r="A15" s="7"/>
      <c r="B15" s="2">
        <v>7</v>
      </c>
      <c r="C15" s="9">
        <v>5016</v>
      </c>
      <c r="D15" s="123">
        <v>7</v>
      </c>
      <c r="E15" s="9" t="s">
        <v>13</v>
      </c>
      <c r="F15" s="64">
        <v>296060.95</v>
      </c>
      <c r="G15" s="11"/>
      <c r="H15" s="61"/>
      <c r="I15" s="60"/>
      <c r="J15" s="60"/>
      <c r="K15" s="60"/>
      <c r="L15" s="60"/>
      <c r="M15" s="60"/>
    </row>
    <row r="16" spans="1:13" outlineLevel="1" x14ac:dyDescent="0.2">
      <c r="A16" s="7"/>
      <c r="B16" s="2">
        <v>8</v>
      </c>
      <c r="C16" s="9">
        <v>5017</v>
      </c>
      <c r="D16" s="123">
        <v>8</v>
      </c>
      <c r="E16" s="9" t="s">
        <v>14</v>
      </c>
      <c r="F16" s="64">
        <v>601216.86</v>
      </c>
      <c r="G16" s="11"/>
      <c r="H16" s="60"/>
      <c r="I16" s="60"/>
      <c r="J16" s="60"/>
      <c r="K16" s="60"/>
      <c r="L16" s="60"/>
      <c r="M16" s="60"/>
    </row>
    <row r="17" spans="1:15" outlineLevel="1" x14ac:dyDescent="0.2">
      <c r="A17" s="7"/>
      <c r="B17" s="2">
        <v>9</v>
      </c>
      <c r="C17" s="9">
        <v>5020</v>
      </c>
      <c r="D17" s="123">
        <v>9</v>
      </c>
      <c r="E17" s="9" t="s">
        <v>15</v>
      </c>
      <c r="F17" s="64">
        <v>341868.1</v>
      </c>
      <c r="G17" s="11"/>
      <c r="H17" s="60"/>
      <c r="I17" s="60"/>
      <c r="J17" s="60"/>
      <c r="K17" s="60"/>
      <c r="L17" s="60"/>
      <c r="M17" s="60"/>
    </row>
    <row r="18" spans="1:15" outlineLevel="1" x14ac:dyDescent="0.2">
      <c r="A18" s="7"/>
      <c r="B18" s="2">
        <v>10</v>
      </c>
      <c r="C18" s="9">
        <v>5025</v>
      </c>
      <c r="D18" s="123">
        <v>10</v>
      </c>
      <c r="E18" s="9" t="s">
        <v>16</v>
      </c>
      <c r="F18" s="64">
        <v>588793.80000000005</v>
      </c>
      <c r="G18" s="11"/>
      <c r="H18" s="60"/>
      <c r="I18" s="60"/>
      <c r="J18" s="60"/>
      <c r="K18" s="60"/>
      <c r="L18" s="60"/>
      <c r="M18" s="60"/>
    </row>
    <row r="19" spans="1:15" outlineLevel="1" x14ac:dyDescent="0.2">
      <c r="A19" s="7"/>
      <c r="B19" s="2">
        <v>11</v>
      </c>
      <c r="C19" s="9">
        <v>5035</v>
      </c>
      <c r="D19" s="123">
        <v>11</v>
      </c>
      <c r="E19" s="9" t="s">
        <v>17</v>
      </c>
      <c r="F19" s="64">
        <v>16573.169999999998</v>
      </c>
      <c r="G19" s="11"/>
      <c r="H19" s="60"/>
      <c r="I19" s="60"/>
      <c r="J19" s="60"/>
      <c r="K19" s="60"/>
      <c r="L19" s="60"/>
      <c r="M19" s="60"/>
    </row>
    <row r="20" spans="1:15" outlineLevel="1" x14ac:dyDescent="0.2">
      <c r="A20" s="7"/>
      <c r="B20" s="2">
        <v>12</v>
      </c>
      <c r="C20" s="9">
        <v>5040</v>
      </c>
      <c r="D20" s="123">
        <v>12</v>
      </c>
      <c r="E20" s="9" t="s">
        <v>18</v>
      </c>
      <c r="F20" s="64">
        <v>52373.599999999999</v>
      </c>
      <c r="G20" s="11"/>
      <c r="H20" s="60"/>
      <c r="I20" s="60"/>
      <c r="J20" s="60"/>
      <c r="K20" s="60"/>
      <c r="L20" s="60"/>
      <c r="M20" s="60"/>
    </row>
    <row r="21" spans="1:15" ht="15.75" outlineLevel="1" x14ac:dyDescent="0.25">
      <c r="A21" s="7"/>
      <c r="B21" s="2">
        <v>13</v>
      </c>
      <c r="C21" s="9">
        <v>5045</v>
      </c>
      <c r="D21" s="123">
        <v>13</v>
      </c>
      <c r="E21" s="9" t="s">
        <v>19</v>
      </c>
      <c r="F21" s="64">
        <v>487089.5</v>
      </c>
      <c r="G21" s="11"/>
      <c r="H21" s="62"/>
      <c r="I21" s="60"/>
      <c r="J21" s="60"/>
      <c r="K21" s="60"/>
      <c r="L21" s="60"/>
      <c r="M21" s="60"/>
    </row>
    <row r="22" spans="1:15" outlineLevel="1" x14ac:dyDescent="0.2">
      <c r="A22" s="7"/>
      <c r="B22" s="2">
        <v>14</v>
      </c>
      <c r="C22" s="9">
        <v>5055</v>
      </c>
      <c r="D22" s="123">
        <v>14</v>
      </c>
      <c r="E22" s="9" t="s">
        <v>20</v>
      </c>
      <c r="F22" s="64">
        <v>8776.7800000000007</v>
      </c>
      <c r="G22" s="11"/>
      <c r="H22" s="60"/>
      <c r="I22" s="60"/>
      <c r="J22" s="60"/>
      <c r="K22" s="60"/>
      <c r="L22" s="60"/>
      <c r="M22" s="60"/>
    </row>
    <row r="23" spans="1:15" outlineLevel="1" x14ac:dyDescent="0.2">
      <c r="A23" s="7"/>
      <c r="B23" s="2">
        <v>15</v>
      </c>
      <c r="C23" s="9">
        <v>5065</v>
      </c>
      <c r="D23" s="123">
        <v>15</v>
      </c>
      <c r="E23" s="9" t="s">
        <v>21</v>
      </c>
      <c r="F23" s="64">
        <v>498354.56</v>
      </c>
      <c r="G23" s="11"/>
      <c r="H23" s="60"/>
      <c r="I23" s="60"/>
      <c r="J23" s="60"/>
      <c r="K23" s="60"/>
      <c r="L23" s="60"/>
      <c r="M23" s="60"/>
    </row>
    <row r="24" spans="1:15" outlineLevel="1" x14ac:dyDescent="0.2">
      <c r="A24" s="7"/>
      <c r="B24" s="2">
        <v>16</v>
      </c>
      <c r="C24" s="9">
        <v>5070</v>
      </c>
      <c r="D24" s="123">
        <v>16</v>
      </c>
      <c r="E24" s="9" t="s">
        <v>22</v>
      </c>
      <c r="F24" s="64">
        <v>308944.13</v>
      </c>
      <c r="G24" s="11"/>
      <c r="H24" s="11"/>
      <c r="I24" s="11"/>
      <c r="J24" s="11"/>
      <c r="K24" s="11"/>
      <c r="L24" s="11"/>
      <c r="M24" s="11"/>
      <c r="O24" s="17"/>
    </row>
    <row r="25" spans="1:15" outlineLevel="1" x14ac:dyDescent="0.2">
      <c r="A25" s="7"/>
      <c r="B25" s="2">
        <v>17</v>
      </c>
      <c r="C25" s="9">
        <v>5075</v>
      </c>
      <c r="D25" s="123">
        <v>17</v>
      </c>
      <c r="E25" s="9" t="s">
        <v>23</v>
      </c>
      <c r="F25" s="64">
        <v>108250.84</v>
      </c>
      <c r="G25" s="11"/>
      <c r="H25" s="11"/>
      <c r="I25" s="11"/>
      <c r="J25" s="11"/>
      <c r="K25" s="11"/>
      <c r="L25" s="11"/>
      <c r="M25" s="11"/>
    </row>
    <row r="26" spans="1:15" outlineLevel="1" x14ac:dyDescent="0.2">
      <c r="A26" s="7"/>
      <c r="B26" s="2">
        <v>18</v>
      </c>
      <c r="C26" s="9">
        <v>5085</v>
      </c>
      <c r="D26" s="123">
        <v>18</v>
      </c>
      <c r="E26" s="9" t="s">
        <v>24</v>
      </c>
      <c r="F26" s="64">
        <v>0</v>
      </c>
      <c r="G26" s="11"/>
      <c r="H26" s="11"/>
      <c r="I26" s="11"/>
      <c r="J26" s="11"/>
      <c r="K26" s="11"/>
      <c r="L26" s="11"/>
      <c r="M26" s="11"/>
    </row>
    <row r="27" spans="1:15" outlineLevel="1" x14ac:dyDescent="0.2">
      <c r="A27" s="7"/>
      <c r="B27" s="2">
        <v>19</v>
      </c>
      <c r="C27" s="9">
        <v>5090</v>
      </c>
      <c r="D27" s="123">
        <v>19</v>
      </c>
      <c r="E27" s="9" t="s">
        <v>25</v>
      </c>
      <c r="F27" s="64">
        <v>0</v>
      </c>
      <c r="G27" s="11"/>
      <c r="H27" s="11"/>
      <c r="I27" s="11"/>
      <c r="J27" s="11"/>
      <c r="K27" s="11"/>
      <c r="L27" s="11"/>
      <c r="M27" s="11"/>
    </row>
    <row r="28" spans="1:15" outlineLevel="1" x14ac:dyDescent="0.2">
      <c r="A28" s="7"/>
      <c r="B28" s="2">
        <v>20</v>
      </c>
      <c r="C28" s="9">
        <v>5095</v>
      </c>
      <c r="D28" s="123">
        <v>20</v>
      </c>
      <c r="E28" s="9" t="s">
        <v>26</v>
      </c>
      <c r="F28" s="64">
        <v>0</v>
      </c>
      <c r="G28" s="11"/>
      <c r="H28" s="11"/>
      <c r="I28" s="11"/>
      <c r="J28" s="11"/>
      <c r="K28" s="11"/>
      <c r="L28" s="11"/>
      <c r="M28" s="11"/>
    </row>
    <row r="29" spans="1:15" outlineLevel="1" x14ac:dyDescent="0.2">
      <c r="A29" s="7"/>
      <c r="B29" s="2">
        <v>21</v>
      </c>
      <c r="C29" s="9">
        <v>5096</v>
      </c>
      <c r="D29" s="123">
        <v>21</v>
      </c>
      <c r="E29" s="9" t="s">
        <v>27</v>
      </c>
      <c r="F29" s="64">
        <v>0</v>
      </c>
      <c r="G29" s="11"/>
      <c r="H29" s="11"/>
      <c r="I29" s="11"/>
      <c r="J29" s="11"/>
      <c r="K29" s="11"/>
      <c r="L29" s="11"/>
      <c r="M29" s="11"/>
    </row>
    <row r="30" spans="1:15" x14ac:dyDescent="0.2">
      <c r="A30" s="7"/>
      <c r="B30" s="2">
        <v>22</v>
      </c>
      <c r="C30" s="12"/>
      <c r="D30" s="123"/>
      <c r="E30" s="13" t="s">
        <v>28</v>
      </c>
      <c r="F30" s="191">
        <f>SUM(F10:F29)</f>
        <v>4968442.2059999993</v>
      </c>
      <c r="G30" s="11">
        <f>'Model Input back-up'!C44</f>
        <v>5043595.4207337368</v>
      </c>
      <c r="H30" s="11">
        <f>'Model Input back-up'!D44</f>
        <v>5385843.8197341571</v>
      </c>
      <c r="I30" s="11">
        <f>'Model Input back-up'!E44</f>
        <v>5859812.4788568188</v>
      </c>
      <c r="J30" s="14"/>
      <c r="K30" s="14"/>
      <c r="L30" s="14"/>
      <c r="M30" s="14"/>
    </row>
    <row r="31" spans="1:15" outlineLevel="1" x14ac:dyDescent="0.2">
      <c r="A31" s="7"/>
      <c r="B31" s="2">
        <v>23</v>
      </c>
      <c r="C31" s="9">
        <v>5105</v>
      </c>
      <c r="D31" s="123">
        <v>22</v>
      </c>
      <c r="E31" s="9" t="s">
        <v>30</v>
      </c>
      <c r="F31" s="64">
        <v>0</v>
      </c>
      <c r="G31" s="11"/>
      <c r="H31" s="11"/>
      <c r="I31" s="11"/>
      <c r="J31" s="11"/>
      <c r="K31" s="11"/>
      <c r="L31" s="11"/>
      <c r="M31" s="11"/>
    </row>
    <row r="32" spans="1:15" outlineLevel="1" x14ac:dyDescent="0.2">
      <c r="A32" s="7"/>
      <c r="B32" s="2">
        <v>24</v>
      </c>
      <c r="C32" s="9">
        <v>5110</v>
      </c>
      <c r="D32" s="123">
        <v>23</v>
      </c>
      <c r="E32" s="9" t="s">
        <v>31</v>
      </c>
      <c r="F32" s="64">
        <v>387812.45</v>
      </c>
      <c r="G32" s="11"/>
      <c r="H32" s="11"/>
      <c r="I32" s="11"/>
      <c r="J32" s="11"/>
      <c r="K32" s="11"/>
      <c r="L32" s="11"/>
      <c r="M32" s="11"/>
    </row>
    <row r="33" spans="2:13" outlineLevel="1" x14ac:dyDescent="0.2">
      <c r="B33" s="2">
        <v>25</v>
      </c>
      <c r="C33" s="9">
        <v>5112</v>
      </c>
      <c r="D33" s="123">
        <v>24</v>
      </c>
      <c r="E33" s="9" t="s">
        <v>32</v>
      </c>
      <c r="F33" s="64">
        <v>0</v>
      </c>
      <c r="G33" s="11"/>
      <c r="H33" s="11"/>
      <c r="I33" s="11"/>
      <c r="J33" s="11"/>
      <c r="K33" s="11"/>
      <c r="L33" s="11"/>
      <c r="M33" s="11"/>
    </row>
    <row r="34" spans="2:13" outlineLevel="1" x14ac:dyDescent="0.2">
      <c r="B34" s="2">
        <v>26</v>
      </c>
      <c r="C34" s="9">
        <v>5114</v>
      </c>
      <c r="D34" s="123">
        <v>25</v>
      </c>
      <c r="E34" s="9" t="s">
        <v>33</v>
      </c>
      <c r="F34" s="64">
        <v>731120.8</v>
      </c>
      <c r="G34" s="11"/>
      <c r="H34" s="11"/>
      <c r="I34" s="11"/>
      <c r="J34" s="11"/>
      <c r="K34" s="11"/>
      <c r="L34" s="11"/>
      <c r="M34" s="11"/>
    </row>
    <row r="35" spans="2:13" outlineLevel="1" x14ac:dyDescent="0.2">
      <c r="B35" s="2">
        <v>27</v>
      </c>
      <c r="C35" s="9">
        <v>5120</v>
      </c>
      <c r="D35" s="123">
        <v>26</v>
      </c>
      <c r="E35" s="9" t="s">
        <v>34</v>
      </c>
      <c r="F35" s="64">
        <v>25352.82</v>
      </c>
      <c r="G35" s="11"/>
      <c r="H35" s="11"/>
      <c r="I35" s="11"/>
      <c r="J35" s="11"/>
      <c r="K35" s="11"/>
      <c r="L35" s="11"/>
      <c r="M35" s="11"/>
    </row>
    <row r="36" spans="2:13" outlineLevel="1" x14ac:dyDescent="0.2">
      <c r="B36" s="2">
        <v>28</v>
      </c>
      <c r="C36" s="9">
        <v>5125</v>
      </c>
      <c r="D36" s="123">
        <v>27</v>
      </c>
      <c r="E36" s="9" t="s">
        <v>35</v>
      </c>
      <c r="F36" s="64">
        <v>2523824.7599999998</v>
      </c>
      <c r="G36" s="11"/>
      <c r="H36" s="11"/>
      <c r="I36" s="11"/>
      <c r="J36" s="11"/>
      <c r="K36" s="11"/>
      <c r="L36" s="11"/>
      <c r="M36" s="11"/>
    </row>
    <row r="37" spans="2:13" outlineLevel="1" x14ac:dyDescent="0.2">
      <c r="B37" s="2">
        <v>29</v>
      </c>
      <c r="C37" s="9">
        <v>5130</v>
      </c>
      <c r="D37" s="123">
        <v>28</v>
      </c>
      <c r="E37" s="9" t="s">
        <v>36</v>
      </c>
      <c r="F37" s="64">
        <v>646557.32999999996</v>
      </c>
      <c r="G37" s="11"/>
      <c r="H37" s="11"/>
      <c r="I37" s="11"/>
      <c r="J37" s="11"/>
      <c r="K37" s="11"/>
      <c r="L37" s="11"/>
      <c r="M37" s="11"/>
    </row>
    <row r="38" spans="2:13" outlineLevel="1" x14ac:dyDescent="0.2">
      <c r="B38" s="2">
        <v>30</v>
      </c>
      <c r="C38" s="9">
        <v>5135</v>
      </c>
      <c r="D38" s="123">
        <v>29</v>
      </c>
      <c r="E38" s="9" t="s">
        <v>37</v>
      </c>
      <c r="F38" s="64">
        <v>1322833.8799999999</v>
      </c>
      <c r="G38" s="11"/>
      <c r="H38" s="11"/>
      <c r="I38" s="11"/>
      <c r="J38" s="11"/>
      <c r="K38" s="11"/>
      <c r="L38" s="11"/>
      <c r="M38" s="11"/>
    </row>
    <row r="39" spans="2:13" outlineLevel="1" x14ac:dyDescent="0.2">
      <c r="B39" s="2">
        <v>31</v>
      </c>
      <c r="C39" s="9">
        <v>5145</v>
      </c>
      <c r="D39" s="123">
        <v>30</v>
      </c>
      <c r="E39" s="9" t="s">
        <v>38</v>
      </c>
      <c r="F39" s="64">
        <v>2750.16</v>
      </c>
      <c r="G39" s="11"/>
      <c r="H39" s="11"/>
      <c r="I39" s="11"/>
      <c r="J39" s="11"/>
      <c r="K39" s="11"/>
      <c r="L39" s="11"/>
      <c r="M39" s="11"/>
    </row>
    <row r="40" spans="2:13" outlineLevel="1" x14ac:dyDescent="0.2">
      <c r="B40" s="2">
        <v>32</v>
      </c>
      <c r="C40" s="9">
        <v>5150</v>
      </c>
      <c r="D40" s="123">
        <v>31</v>
      </c>
      <c r="E40" s="9" t="s">
        <v>39</v>
      </c>
      <c r="F40" s="64">
        <v>364944.75</v>
      </c>
      <c r="G40" s="11"/>
      <c r="H40" s="11"/>
      <c r="I40" s="11"/>
      <c r="J40" s="11"/>
      <c r="K40" s="11"/>
      <c r="L40" s="11"/>
      <c r="M40" s="11"/>
    </row>
    <row r="41" spans="2:13" outlineLevel="1" x14ac:dyDescent="0.2">
      <c r="B41" s="2">
        <v>33</v>
      </c>
      <c r="C41" s="9">
        <v>5155</v>
      </c>
      <c r="D41" s="123">
        <v>32</v>
      </c>
      <c r="E41" s="9" t="s">
        <v>40</v>
      </c>
      <c r="F41" s="64">
        <v>637095.82999999996</v>
      </c>
      <c r="G41" s="11"/>
      <c r="H41" s="11"/>
      <c r="I41" s="11"/>
      <c r="J41" s="11"/>
      <c r="K41" s="11"/>
      <c r="L41" s="11"/>
      <c r="M41" s="11"/>
    </row>
    <row r="42" spans="2:13" outlineLevel="1" x14ac:dyDescent="0.2">
      <c r="B42" s="2">
        <v>34</v>
      </c>
      <c r="C42" s="9">
        <v>5160</v>
      </c>
      <c r="D42" s="123">
        <v>33</v>
      </c>
      <c r="E42" s="9" t="s">
        <v>41</v>
      </c>
      <c r="F42" s="64">
        <v>79462.52</v>
      </c>
      <c r="G42" s="11"/>
      <c r="H42" s="11"/>
      <c r="I42" s="11"/>
      <c r="J42" s="11"/>
      <c r="K42" s="11"/>
      <c r="L42" s="11"/>
      <c r="M42" s="11"/>
    </row>
    <row r="43" spans="2:13" outlineLevel="1" x14ac:dyDescent="0.2">
      <c r="B43" s="2">
        <v>35</v>
      </c>
      <c r="C43" s="9">
        <v>5175</v>
      </c>
      <c r="D43" s="123">
        <v>34</v>
      </c>
      <c r="E43" s="9" t="s">
        <v>42</v>
      </c>
      <c r="F43" s="64">
        <v>217896.04</v>
      </c>
      <c r="G43" s="11"/>
      <c r="H43" s="11"/>
      <c r="I43" s="11"/>
      <c r="J43" s="11"/>
      <c r="K43" s="11"/>
      <c r="L43" s="11"/>
      <c r="M43" s="11"/>
    </row>
    <row r="44" spans="2:13" x14ac:dyDescent="0.2">
      <c r="B44" s="2">
        <v>36</v>
      </c>
      <c r="C44" s="12"/>
      <c r="D44" s="123"/>
      <c r="E44" s="13" t="s">
        <v>43</v>
      </c>
      <c r="F44" s="191">
        <f>SUM(F31:F43)</f>
        <v>6939651.3399999999</v>
      </c>
      <c r="G44" s="11">
        <f>'Model Input back-up'!C45</f>
        <v>6298065.3000000017</v>
      </c>
      <c r="H44" s="11">
        <f>'Model Input back-up'!D45</f>
        <v>7368773.8587289145</v>
      </c>
      <c r="I44" s="11">
        <f>'Model Input back-up'!E45</f>
        <v>8043724.5881587472</v>
      </c>
      <c r="J44" s="14"/>
      <c r="K44" s="14"/>
      <c r="L44" s="14"/>
      <c r="M44" s="14"/>
    </row>
    <row r="45" spans="2:13" outlineLevel="1" x14ac:dyDescent="0.2">
      <c r="B45" s="2">
        <v>37</v>
      </c>
      <c r="C45" s="9">
        <v>5305</v>
      </c>
      <c r="D45" s="123">
        <v>35</v>
      </c>
      <c r="E45" s="9" t="s">
        <v>44</v>
      </c>
      <c r="F45" s="64">
        <v>0</v>
      </c>
      <c r="G45" s="11"/>
      <c r="H45" s="11"/>
      <c r="I45" s="11"/>
      <c r="J45" s="11"/>
      <c r="K45" s="11"/>
      <c r="L45" s="11"/>
      <c r="M45" s="11"/>
    </row>
    <row r="46" spans="2:13" outlineLevel="1" x14ac:dyDescent="0.2">
      <c r="B46" s="2">
        <v>38</v>
      </c>
      <c r="C46" s="9">
        <v>5310</v>
      </c>
      <c r="D46" s="123">
        <v>36</v>
      </c>
      <c r="E46" s="9" t="s">
        <v>45</v>
      </c>
      <c r="F46" s="64">
        <v>261678.97</v>
      </c>
      <c r="G46" s="11"/>
      <c r="H46" s="11"/>
      <c r="I46" s="11"/>
      <c r="J46" s="11"/>
      <c r="K46" s="11"/>
      <c r="L46" s="11"/>
      <c r="M46" s="11"/>
    </row>
    <row r="47" spans="2:13" outlineLevel="1" x14ac:dyDescent="0.2">
      <c r="B47" s="2">
        <v>39</v>
      </c>
      <c r="C47" s="9">
        <v>5315</v>
      </c>
      <c r="D47" s="123">
        <v>37</v>
      </c>
      <c r="E47" s="9" t="s">
        <v>46</v>
      </c>
      <c r="F47" s="64">
        <v>1244845.5900000001</v>
      </c>
      <c r="G47" s="11"/>
      <c r="H47" s="11"/>
      <c r="I47" s="11"/>
      <c r="J47" s="11"/>
      <c r="K47" s="11"/>
      <c r="L47" s="11"/>
      <c r="M47" s="11"/>
    </row>
    <row r="48" spans="2:13" outlineLevel="1" x14ac:dyDescent="0.2">
      <c r="B48" s="2">
        <v>40</v>
      </c>
      <c r="C48" s="9">
        <v>5320</v>
      </c>
      <c r="D48" s="123">
        <v>38</v>
      </c>
      <c r="E48" s="9" t="s">
        <v>47</v>
      </c>
      <c r="F48" s="64">
        <v>238482.63</v>
      </c>
      <c r="G48" s="11"/>
      <c r="H48" s="11"/>
      <c r="I48" s="11"/>
      <c r="J48" s="11"/>
      <c r="K48" s="11"/>
      <c r="L48" s="11"/>
      <c r="M48" s="11"/>
    </row>
    <row r="49" spans="2:15" outlineLevel="1" x14ac:dyDescent="0.2">
      <c r="B49" s="2">
        <v>41</v>
      </c>
      <c r="C49" s="9">
        <v>5325</v>
      </c>
      <c r="D49" s="123">
        <v>39</v>
      </c>
      <c r="E49" s="9" t="s">
        <v>48</v>
      </c>
      <c r="F49" s="64">
        <v>0</v>
      </c>
      <c r="G49" s="11"/>
      <c r="H49" s="11"/>
      <c r="I49" s="11"/>
      <c r="J49" s="11"/>
      <c r="K49" s="11"/>
      <c r="L49" s="11"/>
      <c r="M49" s="11"/>
    </row>
    <row r="50" spans="2:15" outlineLevel="1" x14ac:dyDescent="0.2">
      <c r="B50" s="2">
        <v>42</v>
      </c>
      <c r="C50" s="9">
        <v>5330</v>
      </c>
      <c r="D50" s="123">
        <v>40</v>
      </c>
      <c r="E50" s="9" t="s">
        <v>49</v>
      </c>
      <c r="F50" s="64">
        <v>188249.44</v>
      </c>
      <c r="G50" s="11"/>
      <c r="H50" s="11"/>
      <c r="I50" s="11"/>
      <c r="J50" s="11"/>
      <c r="K50" s="11"/>
      <c r="L50" s="11"/>
      <c r="M50" s="11"/>
    </row>
    <row r="51" spans="2:15" outlineLevel="1" x14ac:dyDescent="0.2">
      <c r="B51" s="2">
        <v>43</v>
      </c>
      <c r="C51" s="9">
        <v>5340</v>
      </c>
      <c r="D51" s="123">
        <v>41</v>
      </c>
      <c r="E51" s="9" t="s">
        <v>50</v>
      </c>
      <c r="F51" s="64">
        <v>669276.68999999994</v>
      </c>
      <c r="G51" s="11"/>
      <c r="H51" s="11"/>
      <c r="I51" s="11"/>
      <c r="J51" s="11"/>
      <c r="K51" s="11"/>
      <c r="L51" s="11"/>
      <c r="M51" s="11"/>
    </row>
    <row r="52" spans="2:15" x14ac:dyDescent="0.2">
      <c r="B52" s="2">
        <v>44</v>
      </c>
      <c r="C52" s="12"/>
      <c r="D52" s="123"/>
      <c r="E52" s="13" t="s">
        <v>51</v>
      </c>
      <c r="F52" s="191">
        <f>SUM(F45:F51)</f>
        <v>2602533.3199999998</v>
      </c>
      <c r="G52" s="11">
        <f>'Model Input back-up'!C46</f>
        <v>2865186.5681337095</v>
      </c>
      <c r="H52" s="11">
        <f>'Model Input back-up'!D46</f>
        <v>3195522.2252876675</v>
      </c>
      <c r="I52" s="11">
        <f>'Model Input back-up'!E46</f>
        <v>3363904.0321541666</v>
      </c>
      <c r="J52" s="14"/>
      <c r="K52" s="14"/>
      <c r="L52" s="14"/>
      <c r="M52" s="14"/>
      <c r="O52" s="17"/>
    </row>
    <row r="53" spans="2:15" outlineLevel="1" x14ac:dyDescent="0.2">
      <c r="B53" s="2">
        <v>45</v>
      </c>
      <c r="C53" s="9">
        <v>5405</v>
      </c>
      <c r="D53" s="123">
        <v>42</v>
      </c>
      <c r="E53" s="9" t="s">
        <v>52</v>
      </c>
      <c r="F53" s="64">
        <v>0</v>
      </c>
      <c r="G53" s="11"/>
      <c r="H53" s="11"/>
      <c r="I53" s="11"/>
      <c r="J53" s="11"/>
      <c r="K53" s="11"/>
      <c r="L53" s="11"/>
      <c r="M53" s="11"/>
    </row>
    <row r="54" spans="2:15" outlineLevel="1" x14ac:dyDescent="0.2">
      <c r="B54" s="2">
        <v>46</v>
      </c>
      <c r="C54" s="9">
        <v>5410</v>
      </c>
      <c r="D54" s="123">
        <v>43</v>
      </c>
      <c r="E54" s="9" t="s">
        <v>53</v>
      </c>
      <c r="F54" s="64">
        <v>0</v>
      </c>
      <c r="G54" s="11"/>
      <c r="H54" s="11"/>
      <c r="I54" s="11"/>
      <c r="J54" s="11"/>
      <c r="K54" s="11"/>
      <c r="L54" s="11"/>
      <c r="M54" s="11"/>
    </row>
    <row r="55" spans="2:15" outlineLevel="1" x14ac:dyDescent="0.2">
      <c r="B55" s="2">
        <v>47</v>
      </c>
      <c r="C55" s="9">
        <v>5420</v>
      </c>
      <c r="D55" s="123">
        <v>44</v>
      </c>
      <c r="E55" s="9" t="s">
        <v>54</v>
      </c>
      <c r="F55" s="64">
        <v>14392</v>
      </c>
      <c r="G55" s="11"/>
      <c r="H55" s="11"/>
      <c r="I55" s="11"/>
      <c r="J55" s="11"/>
      <c r="K55" s="11"/>
      <c r="L55" s="11"/>
      <c r="M55" s="11"/>
    </row>
    <row r="56" spans="2:15" outlineLevel="1" x14ac:dyDescent="0.2">
      <c r="B56" s="2">
        <v>48</v>
      </c>
      <c r="C56" s="9">
        <v>5425</v>
      </c>
      <c r="D56" s="123">
        <v>45</v>
      </c>
      <c r="E56" s="9" t="s">
        <v>55</v>
      </c>
      <c r="F56" s="64">
        <v>0</v>
      </c>
      <c r="G56" s="11"/>
      <c r="H56" s="11"/>
      <c r="I56" s="11"/>
      <c r="J56" s="11"/>
      <c r="K56" s="11"/>
      <c r="L56" s="11"/>
      <c r="M56" s="11"/>
    </row>
    <row r="57" spans="2:15" x14ac:dyDescent="0.2">
      <c r="B57" s="2">
        <v>49</v>
      </c>
      <c r="C57" s="12"/>
      <c r="D57" s="123"/>
      <c r="E57" s="13" t="s">
        <v>56</v>
      </c>
      <c r="F57" s="191">
        <f>SUM(F53:F56)</f>
        <v>14392</v>
      </c>
      <c r="G57" s="11">
        <f>'Model Input back-up'!C47</f>
        <v>23910.94</v>
      </c>
      <c r="H57" s="11">
        <f>'Model Input back-up'!D47</f>
        <v>21000</v>
      </c>
      <c r="I57" s="11">
        <f>'Model Input back-up'!E47</f>
        <v>31300</v>
      </c>
      <c r="J57" s="14"/>
      <c r="K57" s="14"/>
      <c r="L57" s="14"/>
      <c r="M57" s="14"/>
    </row>
    <row r="58" spans="2:15" outlineLevel="1" x14ac:dyDescent="0.2">
      <c r="B58" s="2">
        <v>50</v>
      </c>
      <c r="C58" s="9">
        <v>5605</v>
      </c>
      <c r="D58" s="123">
        <v>47</v>
      </c>
      <c r="E58" s="9" t="s">
        <v>57</v>
      </c>
      <c r="F58" s="64">
        <v>2508624.08</v>
      </c>
      <c r="G58" s="11"/>
      <c r="H58" s="11"/>
      <c r="I58" s="11"/>
      <c r="J58" s="11"/>
      <c r="K58" s="11"/>
      <c r="L58" s="11"/>
      <c r="M58" s="11"/>
    </row>
    <row r="59" spans="2:15" outlineLevel="1" x14ac:dyDescent="0.2">
      <c r="B59" s="2">
        <v>51</v>
      </c>
      <c r="C59" s="9">
        <v>5610</v>
      </c>
      <c r="D59" s="123">
        <v>48</v>
      </c>
      <c r="E59" s="9" t="s">
        <v>58</v>
      </c>
      <c r="F59" s="64">
        <v>94511.64</v>
      </c>
      <c r="G59" s="11"/>
      <c r="H59" s="11"/>
      <c r="I59" s="11"/>
      <c r="J59" s="11"/>
      <c r="K59" s="11"/>
      <c r="L59" s="11"/>
      <c r="M59" s="11"/>
    </row>
    <row r="60" spans="2:15" outlineLevel="1" x14ac:dyDescent="0.2">
      <c r="B60" s="2">
        <v>52</v>
      </c>
      <c r="C60" s="9">
        <v>5615</v>
      </c>
      <c r="D60" s="123">
        <v>49</v>
      </c>
      <c r="E60" s="9" t="s">
        <v>59</v>
      </c>
      <c r="F60" s="64">
        <v>2743634.02</v>
      </c>
      <c r="G60" s="11"/>
      <c r="H60" s="11"/>
      <c r="I60" s="11"/>
      <c r="J60" s="11"/>
      <c r="K60" s="11"/>
      <c r="L60" s="11"/>
      <c r="M60" s="11"/>
    </row>
    <row r="61" spans="2:15" outlineLevel="1" x14ac:dyDescent="0.2">
      <c r="B61" s="2">
        <v>53</v>
      </c>
      <c r="C61" s="9">
        <v>5620</v>
      </c>
      <c r="D61" s="123">
        <v>50</v>
      </c>
      <c r="E61" s="9" t="s">
        <v>60</v>
      </c>
      <c r="F61" s="64">
        <v>670757.61</v>
      </c>
      <c r="G61" s="11"/>
      <c r="H61" s="11"/>
      <c r="I61" s="11"/>
      <c r="J61" s="11"/>
      <c r="K61" s="11"/>
      <c r="L61" s="11"/>
      <c r="M61" s="11"/>
    </row>
    <row r="62" spans="2:15" outlineLevel="1" x14ac:dyDescent="0.2">
      <c r="B62" s="2">
        <v>54</v>
      </c>
      <c r="C62" s="9">
        <v>5625</v>
      </c>
      <c r="D62" s="123">
        <v>51</v>
      </c>
      <c r="E62" s="9" t="s">
        <v>61</v>
      </c>
      <c r="F62" s="64">
        <v>-325515.59539999999</v>
      </c>
      <c r="G62" s="11"/>
      <c r="H62" s="11"/>
      <c r="I62" s="11"/>
      <c r="J62" s="11"/>
      <c r="K62" s="11"/>
      <c r="L62" s="11"/>
      <c r="M62" s="11"/>
    </row>
    <row r="63" spans="2:15" outlineLevel="1" x14ac:dyDescent="0.2">
      <c r="B63" s="2">
        <v>55</v>
      </c>
      <c r="C63" s="9">
        <v>5630</v>
      </c>
      <c r="D63" s="123">
        <v>52</v>
      </c>
      <c r="E63" s="9" t="s">
        <v>62</v>
      </c>
      <c r="F63" s="64">
        <v>727324.37</v>
      </c>
      <c r="G63" s="11"/>
      <c r="H63" s="11"/>
      <c r="I63" s="11"/>
      <c r="J63" s="11"/>
      <c r="K63" s="11"/>
      <c r="L63" s="11"/>
      <c r="M63" s="11"/>
    </row>
    <row r="64" spans="2:15" outlineLevel="1" x14ac:dyDescent="0.2">
      <c r="B64" s="2">
        <v>56</v>
      </c>
      <c r="C64" s="9">
        <v>5640</v>
      </c>
      <c r="D64" s="123">
        <v>53</v>
      </c>
      <c r="E64" s="9" t="s">
        <v>63</v>
      </c>
      <c r="F64" s="64">
        <v>169329.22</v>
      </c>
      <c r="G64" s="11"/>
      <c r="H64" s="11"/>
      <c r="I64" s="11"/>
      <c r="J64" s="11"/>
      <c r="K64" s="11"/>
      <c r="L64" s="11"/>
      <c r="M64" s="11"/>
    </row>
    <row r="65" spans="2:13" outlineLevel="1" x14ac:dyDescent="0.2">
      <c r="B65" s="2">
        <v>57</v>
      </c>
      <c r="C65" s="9">
        <v>5645</v>
      </c>
      <c r="D65" s="123">
        <v>54</v>
      </c>
      <c r="E65" s="9" t="s">
        <v>64</v>
      </c>
      <c r="F65" s="64">
        <v>301666</v>
      </c>
      <c r="G65" s="11"/>
      <c r="H65" s="11"/>
      <c r="I65" s="11"/>
      <c r="J65" s="11"/>
      <c r="K65" s="11"/>
      <c r="L65" s="11"/>
      <c r="M65" s="11"/>
    </row>
    <row r="66" spans="2:13" outlineLevel="1" x14ac:dyDescent="0.2">
      <c r="B66" s="2">
        <v>58</v>
      </c>
      <c r="C66" s="9">
        <v>5646</v>
      </c>
      <c r="D66" s="123">
        <v>55</v>
      </c>
      <c r="E66" s="9" t="s">
        <v>65</v>
      </c>
      <c r="F66" s="64">
        <v>0</v>
      </c>
      <c r="G66" s="11"/>
      <c r="H66" s="11"/>
      <c r="I66" s="11"/>
      <c r="J66" s="11"/>
      <c r="K66" s="11"/>
      <c r="L66" s="11"/>
      <c r="M66" s="11"/>
    </row>
    <row r="67" spans="2:13" outlineLevel="1" x14ac:dyDescent="0.2">
      <c r="B67" s="2">
        <v>59</v>
      </c>
      <c r="C67" s="9">
        <v>5647</v>
      </c>
      <c r="D67" s="123">
        <v>56</v>
      </c>
      <c r="E67" s="9" t="s">
        <v>66</v>
      </c>
      <c r="F67" s="64">
        <v>0</v>
      </c>
      <c r="G67" s="11"/>
      <c r="H67" s="11"/>
      <c r="I67" s="11"/>
      <c r="J67" s="11"/>
      <c r="K67" s="11"/>
      <c r="L67" s="11"/>
      <c r="M67" s="11"/>
    </row>
    <row r="68" spans="2:13" outlineLevel="1" x14ac:dyDescent="0.2">
      <c r="B68" s="2">
        <v>60</v>
      </c>
      <c r="C68" s="9">
        <v>5650</v>
      </c>
      <c r="D68" s="123">
        <v>57</v>
      </c>
      <c r="E68" s="9" t="s">
        <v>67</v>
      </c>
      <c r="F68" s="64">
        <v>0</v>
      </c>
      <c r="G68" s="11"/>
      <c r="H68" s="11"/>
      <c r="I68" s="11"/>
      <c r="J68" s="11"/>
      <c r="K68" s="11"/>
      <c r="L68" s="11"/>
      <c r="M68" s="11"/>
    </row>
    <row r="69" spans="2:13" outlineLevel="1" x14ac:dyDescent="0.2">
      <c r="B69" s="2">
        <v>61</v>
      </c>
      <c r="C69" s="9">
        <v>5655</v>
      </c>
      <c r="D69" s="123">
        <v>58</v>
      </c>
      <c r="E69" s="9" t="s">
        <v>68</v>
      </c>
      <c r="F69" s="64">
        <v>482807.63199999998</v>
      </c>
      <c r="G69" s="11"/>
      <c r="H69" s="11"/>
      <c r="I69" s="11"/>
      <c r="J69" s="11"/>
      <c r="K69" s="11"/>
      <c r="L69" s="11"/>
      <c r="M69" s="11"/>
    </row>
    <row r="70" spans="2:13" outlineLevel="1" x14ac:dyDescent="0.2">
      <c r="B70" s="2">
        <v>62</v>
      </c>
      <c r="C70" s="9">
        <v>5665</v>
      </c>
      <c r="D70" s="123">
        <v>59</v>
      </c>
      <c r="E70" s="9" t="s">
        <v>69</v>
      </c>
      <c r="F70" s="64">
        <v>877641.07</v>
      </c>
      <c r="G70" s="11"/>
      <c r="H70" s="11"/>
      <c r="I70" s="11"/>
      <c r="J70" s="11"/>
      <c r="K70" s="11"/>
      <c r="L70" s="11"/>
      <c r="M70" s="11"/>
    </row>
    <row r="71" spans="2:13" outlineLevel="1" x14ac:dyDescent="0.2">
      <c r="B71" s="2">
        <v>63</v>
      </c>
      <c r="C71" s="9">
        <v>5670</v>
      </c>
      <c r="D71" s="123">
        <v>60</v>
      </c>
      <c r="E71" s="9" t="s">
        <v>70</v>
      </c>
      <c r="F71" s="64">
        <v>0</v>
      </c>
      <c r="G71" s="11"/>
      <c r="H71" s="11"/>
      <c r="I71" s="11"/>
      <c r="J71" s="11"/>
      <c r="K71" s="11"/>
      <c r="L71" s="11"/>
      <c r="M71" s="11"/>
    </row>
    <row r="72" spans="2:13" outlineLevel="1" x14ac:dyDescent="0.2">
      <c r="B72" s="2">
        <v>64</v>
      </c>
      <c r="C72" s="9">
        <v>5672</v>
      </c>
      <c r="D72" s="123">
        <v>61</v>
      </c>
      <c r="E72" s="9" t="s">
        <v>71</v>
      </c>
      <c r="F72" s="64">
        <v>0</v>
      </c>
      <c r="G72" s="11"/>
      <c r="H72" s="11"/>
      <c r="I72" s="11"/>
      <c r="J72" s="11"/>
      <c r="K72" s="11"/>
      <c r="L72" s="11"/>
      <c r="M72" s="11"/>
    </row>
    <row r="73" spans="2:13" outlineLevel="1" x14ac:dyDescent="0.2">
      <c r="B73" s="2">
        <v>65</v>
      </c>
      <c r="C73" s="9">
        <v>5675</v>
      </c>
      <c r="D73" s="123">
        <v>62</v>
      </c>
      <c r="E73" s="9" t="s">
        <v>72</v>
      </c>
      <c r="F73" s="64">
        <v>281794.63</v>
      </c>
      <c r="G73" s="11"/>
      <c r="H73" s="11"/>
      <c r="I73" s="11"/>
      <c r="J73" s="11"/>
      <c r="K73" s="11"/>
      <c r="L73" s="11"/>
      <c r="M73" s="11"/>
    </row>
    <row r="74" spans="2:13" outlineLevel="1" x14ac:dyDescent="0.2">
      <c r="B74" s="2">
        <v>66</v>
      </c>
      <c r="C74" s="9">
        <v>5680</v>
      </c>
      <c r="D74" s="123">
        <v>63</v>
      </c>
      <c r="E74" s="9" t="s">
        <v>73</v>
      </c>
      <c r="F74" s="64">
        <v>0</v>
      </c>
      <c r="G74" s="11"/>
      <c r="H74" s="11"/>
      <c r="I74" s="11"/>
      <c r="J74" s="11"/>
      <c r="K74" s="11"/>
      <c r="L74" s="11"/>
      <c r="M74" s="11"/>
    </row>
    <row r="75" spans="2:13" x14ac:dyDescent="0.2">
      <c r="B75" s="2">
        <v>67</v>
      </c>
      <c r="C75" s="10"/>
      <c r="D75" s="123"/>
      <c r="E75" s="13" t="s">
        <v>74</v>
      </c>
      <c r="F75" s="191">
        <f>SUM(F58:F74)</f>
        <v>8532574.6766000018</v>
      </c>
      <c r="G75" s="14">
        <f>'Model Input back-up'!C48</f>
        <v>9603896.3422353826</v>
      </c>
      <c r="H75" s="14">
        <f>'Model Input back-up'!D48</f>
        <v>10788831.522829423</v>
      </c>
      <c r="I75" s="14">
        <f>'Model Input back-up'!E48</f>
        <v>12741360.136114173</v>
      </c>
      <c r="J75" s="14"/>
      <c r="K75" s="14"/>
      <c r="L75" s="14"/>
      <c r="M75" s="14"/>
    </row>
    <row r="76" spans="2:13" outlineLevel="1" x14ac:dyDescent="0.2">
      <c r="B76" s="2">
        <v>68</v>
      </c>
      <c r="C76" s="9">
        <v>5635</v>
      </c>
      <c r="D76" s="123">
        <v>64</v>
      </c>
      <c r="E76" s="9" t="s">
        <v>75</v>
      </c>
      <c r="F76" s="64">
        <v>29545.759999999998</v>
      </c>
      <c r="G76" s="11"/>
      <c r="H76" s="11"/>
      <c r="I76" s="11"/>
      <c r="J76" s="11"/>
      <c r="K76" s="11"/>
      <c r="L76" s="11"/>
      <c r="M76" s="11"/>
    </row>
    <row r="77" spans="2:13" outlineLevel="1" x14ac:dyDescent="0.2">
      <c r="B77" s="2">
        <v>69</v>
      </c>
      <c r="C77" s="9">
        <v>6210</v>
      </c>
      <c r="D77" s="123">
        <v>65</v>
      </c>
      <c r="E77" s="9" t="s">
        <v>76</v>
      </c>
      <c r="F77" s="64">
        <v>0</v>
      </c>
      <c r="G77" s="11"/>
      <c r="H77" s="11"/>
      <c r="I77" s="11"/>
      <c r="J77" s="11"/>
      <c r="K77" s="11"/>
      <c r="L77" s="11"/>
      <c r="M77" s="11"/>
    </row>
    <row r="78" spans="2:13" x14ac:dyDescent="0.2">
      <c r="B78" s="2">
        <v>70</v>
      </c>
      <c r="D78" s="2"/>
      <c r="E78" s="13" t="s">
        <v>77</v>
      </c>
      <c r="F78" s="191">
        <f>SUM(F76:F77)</f>
        <v>29545.759999999998</v>
      </c>
      <c r="G78" s="14">
        <f>'Model Input back-up'!C49</f>
        <v>0</v>
      </c>
      <c r="H78" s="14">
        <f>'Model Input back-up'!D49</f>
        <v>0</v>
      </c>
      <c r="I78" s="14">
        <f>'Model Input back-up'!E49</f>
        <v>0</v>
      </c>
      <c r="J78" s="14"/>
      <c r="K78" s="14"/>
      <c r="L78" s="14"/>
      <c r="M78" s="14"/>
    </row>
    <row r="79" spans="2:13" outlineLevel="1" x14ac:dyDescent="0.2">
      <c r="B79" s="2">
        <v>71</v>
      </c>
      <c r="C79" s="9">
        <v>5515</v>
      </c>
      <c r="D79" s="123">
        <v>46</v>
      </c>
      <c r="E79" s="9" t="s">
        <v>78</v>
      </c>
      <c r="F79" s="64">
        <v>0</v>
      </c>
      <c r="G79" s="11"/>
      <c r="H79" s="11"/>
      <c r="I79" s="11"/>
      <c r="J79" s="11"/>
      <c r="K79" s="11"/>
      <c r="L79" s="11"/>
      <c r="M79" s="11"/>
    </row>
    <row r="80" spans="2:13" x14ac:dyDescent="0.2">
      <c r="B80" s="2">
        <v>72</v>
      </c>
      <c r="D80" s="12"/>
      <c r="E80" s="13" t="s">
        <v>79</v>
      </c>
      <c r="F80" s="191">
        <f>F79</f>
        <v>0</v>
      </c>
      <c r="G80" s="14">
        <f>'Model Input back-up'!C50</f>
        <v>0</v>
      </c>
      <c r="H80" s="14">
        <f>'Model Input back-up'!D50</f>
        <v>0</v>
      </c>
      <c r="I80" s="14">
        <f>'Model Input back-up'!E50</f>
        <v>0</v>
      </c>
      <c r="J80" s="14"/>
      <c r="K80" s="14"/>
      <c r="L80" s="14"/>
      <c r="M80" s="14"/>
    </row>
    <row r="81" spans="2:13" x14ac:dyDescent="0.2">
      <c r="B81" s="2">
        <v>73</v>
      </c>
      <c r="E81" s="13" t="s">
        <v>80</v>
      </c>
      <c r="F81" s="191">
        <f>F80+F78+F75+F57+F52+F44+F30</f>
        <v>23087139.302600004</v>
      </c>
      <c r="G81" s="191">
        <f t="shared" ref="G81:I81" si="1">G80+G78+G75+G57+G52+G44+G30</f>
        <v>23834654.571102828</v>
      </c>
      <c r="H81" s="191">
        <f t="shared" si="1"/>
        <v>26759971.426580161</v>
      </c>
      <c r="I81" s="191">
        <f t="shared" si="1"/>
        <v>30040101.235283904</v>
      </c>
    </row>
    <row r="82" spans="2:13" x14ac:dyDescent="0.2">
      <c r="B82" s="2">
        <v>74</v>
      </c>
      <c r="E82" s="13"/>
      <c r="F82" s="15"/>
      <c r="G82" s="15"/>
      <c r="H82" s="15"/>
      <c r="I82" s="15"/>
      <c r="J82" s="15"/>
      <c r="K82" s="15"/>
      <c r="L82" s="15"/>
      <c r="M82" s="15"/>
    </row>
    <row r="83" spans="2:13" x14ac:dyDescent="0.2">
      <c r="B83" s="2">
        <v>75</v>
      </c>
      <c r="C83" s="8" t="s">
        <v>81</v>
      </c>
    </row>
    <row r="84" spans="2:13" outlineLevel="1" x14ac:dyDescent="0.2">
      <c r="B84" s="2">
        <v>76</v>
      </c>
      <c r="C84" s="9">
        <f>E84</f>
        <v>5014</v>
      </c>
      <c r="E84" s="9">
        <v>5014</v>
      </c>
      <c r="F84" s="64">
        <v>0</v>
      </c>
      <c r="G84" s="6"/>
      <c r="H84" s="6"/>
      <c r="I84" s="6"/>
      <c r="J84" s="6"/>
      <c r="K84" s="6"/>
      <c r="L84" s="6"/>
      <c r="M84" s="6"/>
    </row>
    <row r="85" spans="2:13" outlineLevel="1" x14ac:dyDescent="0.2">
      <c r="B85" s="2">
        <v>77</v>
      </c>
      <c r="C85" s="9">
        <f>E85</f>
        <v>5015</v>
      </c>
      <c r="E85" s="9">
        <v>5015</v>
      </c>
      <c r="F85" s="64">
        <v>0</v>
      </c>
      <c r="G85" s="6"/>
      <c r="H85" s="6"/>
      <c r="I85" s="6"/>
      <c r="J85" s="6"/>
      <c r="K85" s="6"/>
      <c r="L85" s="6"/>
      <c r="M85" s="6"/>
    </row>
    <row r="86" spans="2:13" outlineLevel="1" x14ac:dyDescent="0.2">
      <c r="B86" s="2">
        <v>78</v>
      </c>
      <c r="C86" s="9">
        <f>E86</f>
        <v>5112</v>
      </c>
      <c r="E86" s="9">
        <v>5112</v>
      </c>
      <c r="F86" s="64">
        <v>0</v>
      </c>
      <c r="G86" s="6"/>
      <c r="H86" s="6"/>
      <c r="I86" s="6"/>
      <c r="J86" s="6"/>
      <c r="K86" s="6"/>
      <c r="L86" s="6"/>
      <c r="M86" s="6"/>
    </row>
    <row r="87" spans="2:13" x14ac:dyDescent="0.2">
      <c r="B87" s="2">
        <v>79</v>
      </c>
      <c r="E87" s="9" t="s">
        <v>82</v>
      </c>
      <c r="F87" s="64">
        <f>SUM(F84:F86)</f>
        <v>0</v>
      </c>
      <c r="G87" s="64">
        <f>SUM(G84:G86)</f>
        <v>0</v>
      </c>
      <c r="H87" s="64">
        <f t="shared" ref="H87:I87" si="2">SUM(H84:H86)</f>
        <v>0</v>
      </c>
      <c r="I87" s="64">
        <f t="shared" si="2"/>
        <v>0</v>
      </c>
      <c r="J87" s="16"/>
      <c r="K87" s="16"/>
      <c r="L87" s="16"/>
      <c r="M87" s="16"/>
    </row>
    <row r="88" spans="2:13" ht="13.5" thickBot="1" x14ac:dyDescent="0.25">
      <c r="B88" s="2">
        <v>80</v>
      </c>
      <c r="E88" s="9" t="s">
        <v>83</v>
      </c>
      <c r="F88" s="64">
        <v>0</v>
      </c>
      <c r="G88" s="64">
        <v>0</v>
      </c>
      <c r="H88" s="64">
        <v>0</v>
      </c>
      <c r="I88" s="64">
        <v>0</v>
      </c>
      <c r="J88" s="16"/>
      <c r="K88" s="16"/>
      <c r="L88" s="16"/>
      <c r="M88" s="16"/>
    </row>
    <row r="89" spans="2:13" ht="13.5" thickBot="1" x14ac:dyDescent="0.25">
      <c r="B89" s="2">
        <v>81</v>
      </c>
      <c r="E89" s="9" t="s">
        <v>84</v>
      </c>
      <c r="F89" s="191">
        <f>F81+F87+F88</f>
        <v>23087139.302600004</v>
      </c>
      <c r="G89" s="191">
        <f t="shared" ref="G89:I89" si="3">G81+G87+G88</f>
        <v>23834654.571102828</v>
      </c>
      <c r="H89" s="191">
        <f t="shared" si="3"/>
        <v>26759971.426580161</v>
      </c>
      <c r="I89" s="191">
        <f t="shared" si="3"/>
        <v>30040101.235283904</v>
      </c>
      <c r="J89" s="107">
        <f>'Model Inputs'!K31</f>
        <v>0</v>
      </c>
      <c r="K89" s="107">
        <f>'Model Inputs'!L31</f>
        <v>0</v>
      </c>
      <c r="L89" s="108">
        <f>'Model Inputs'!M31</f>
        <v>0</v>
      </c>
      <c r="M89" s="108">
        <f>'Model Inputs'!N31</f>
        <v>0</v>
      </c>
    </row>
    <row r="90" spans="2:13" x14ac:dyDescent="0.2">
      <c r="B90" s="2">
        <v>82</v>
      </c>
    </row>
    <row r="91" spans="2:13" ht="13.5" thickBot="1" x14ac:dyDescent="0.25">
      <c r="B91" s="2">
        <v>83</v>
      </c>
      <c r="C91" s="8" t="s">
        <v>85</v>
      </c>
      <c r="D91" s="8"/>
    </row>
    <row r="92" spans="2:13" ht="13.5" thickBot="1" x14ac:dyDescent="0.25">
      <c r="B92" s="2">
        <v>84</v>
      </c>
      <c r="E92" s="9" t="s">
        <v>86</v>
      </c>
      <c r="F92" s="64">
        <v>32206316.489999998</v>
      </c>
      <c r="G92" s="106">
        <f>'Model Inputs'!H9</f>
        <v>25638261.519999996</v>
      </c>
      <c r="H92" s="107">
        <f>'Model Inputs'!I9</f>
        <v>33972897</v>
      </c>
      <c r="I92" s="107">
        <f>'Model Inputs'!J9</f>
        <v>44980146</v>
      </c>
      <c r="J92" s="107">
        <f>'Model Inputs'!K9</f>
        <v>0</v>
      </c>
      <c r="K92" s="107">
        <f>'Model Inputs'!L9</f>
        <v>0</v>
      </c>
      <c r="L92" s="108">
        <f>'Model Inputs'!M9</f>
        <v>0</v>
      </c>
      <c r="M92" s="108">
        <f>'Model Inputs'!N9</f>
        <v>0</v>
      </c>
    </row>
    <row r="93" spans="2:13" ht="13.5" thickBot="1" x14ac:dyDescent="0.25">
      <c r="B93" s="2">
        <v>85</v>
      </c>
      <c r="E93" s="9" t="s">
        <v>87</v>
      </c>
      <c r="F93" s="64">
        <v>0</v>
      </c>
      <c r="G93" s="106">
        <f>'Model Inputs'!H10</f>
        <v>0</v>
      </c>
      <c r="H93" s="107">
        <f>'Model Inputs'!I10</f>
        <v>0</v>
      </c>
      <c r="I93" s="107">
        <f>'Model Inputs'!J10</f>
        <v>0</v>
      </c>
      <c r="J93" s="107">
        <f>'Model Inputs'!K10</f>
        <v>0</v>
      </c>
      <c r="K93" s="107">
        <f>'Model Inputs'!L10</f>
        <v>0</v>
      </c>
      <c r="L93" s="108">
        <f>'Model Inputs'!M10</f>
        <v>0</v>
      </c>
      <c r="M93" s="108">
        <f>'Model Inputs'!N10</f>
        <v>0</v>
      </c>
    </row>
    <row r="94" spans="2:13" x14ac:dyDescent="0.2">
      <c r="B94" s="2">
        <v>86</v>
      </c>
    </row>
    <row r="95" spans="2:13" ht="13.5" thickBot="1" x14ac:dyDescent="0.25">
      <c r="B95" s="2">
        <v>87</v>
      </c>
      <c r="C95" s="8" t="s">
        <v>88</v>
      </c>
      <c r="D95" s="8"/>
    </row>
    <row r="96" spans="2:13" ht="13.5" thickBot="1" x14ac:dyDescent="0.25">
      <c r="B96" s="2">
        <v>88</v>
      </c>
      <c r="E96" t="s">
        <v>89</v>
      </c>
      <c r="F96" s="64">
        <v>69171</v>
      </c>
      <c r="G96" s="106">
        <f>'Model Inputs'!H13</f>
        <v>69561</v>
      </c>
      <c r="H96" s="107">
        <f>'Model Inputs'!I13</f>
        <v>69784.927325205033</v>
      </c>
      <c r="I96" s="107">
        <f>'Model Inputs'!J13</f>
        <v>70112.46373661721</v>
      </c>
      <c r="J96" s="107">
        <f>'Model Inputs'!K13</f>
        <v>0</v>
      </c>
      <c r="K96" s="107">
        <f>'Model Inputs'!L13</f>
        <v>0</v>
      </c>
      <c r="L96" s="108">
        <f>'Model Inputs'!M13</f>
        <v>0</v>
      </c>
      <c r="M96" s="108">
        <f>'Model Inputs'!N13</f>
        <v>0</v>
      </c>
    </row>
    <row r="97" spans="1:13" ht="13.5" thickBot="1" x14ac:dyDescent="0.25">
      <c r="B97" s="2">
        <v>89</v>
      </c>
      <c r="E97" t="s">
        <v>90</v>
      </c>
      <c r="F97" s="64">
        <v>1475693036</v>
      </c>
      <c r="G97" s="106">
        <f>'Model Inputs'!H14</f>
        <v>1502712382</v>
      </c>
      <c r="H97" s="107">
        <f>'Model Inputs'!I14</f>
        <v>1483524037.1417174</v>
      </c>
      <c r="I97" s="107">
        <f>'Model Inputs'!J14</f>
        <v>1480105771.831955</v>
      </c>
      <c r="J97" s="107">
        <f>'Model Inputs'!K14</f>
        <v>0</v>
      </c>
      <c r="K97" s="107">
        <f>'Model Inputs'!L14</f>
        <v>0</v>
      </c>
      <c r="L97" s="108">
        <f>'Model Inputs'!M14</f>
        <v>0</v>
      </c>
      <c r="M97" s="108">
        <f>'Model Inputs'!N14</f>
        <v>0</v>
      </c>
    </row>
    <row r="98" spans="1:13" ht="13.5" thickBot="1" x14ac:dyDescent="0.25">
      <c r="B98" s="2">
        <v>90</v>
      </c>
      <c r="E98" t="s">
        <v>91</v>
      </c>
      <c r="F98" s="64">
        <v>337024</v>
      </c>
      <c r="G98" s="106">
        <f>'Model Inputs'!H15</f>
        <v>340324.8</v>
      </c>
      <c r="H98" s="107">
        <f>'Model Inputs'!I15</f>
        <v>343283.89799999999</v>
      </c>
      <c r="I98" s="107">
        <f>'Model Inputs'!J15</f>
        <v>343283.89799999999</v>
      </c>
      <c r="J98" s="107">
        <f>'Model Inputs'!K15</f>
        <v>0</v>
      </c>
      <c r="K98" s="107">
        <f>'Model Inputs'!L15</f>
        <v>0</v>
      </c>
      <c r="L98" s="108">
        <f>'Model Inputs'!M15</f>
        <v>0</v>
      </c>
      <c r="M98" s="108">
        <f>'Model Inputs'!N15</f>
        <v>0</v>
      </c>
    </row>
    <row r="99" spans="1:13" ht="13.5" thickBot="1" x14ac:dyDescent="0.25">
      <c r="B99" s="2">
        <v>91</v>
      </c>
      <c r="E99" s="9" t="s">
        <v>92</v>
      </c>
      <c r="F99" s="64">
        <v>1516</v>
      </c>
      <c r="G99" s="106">
        <f>'Model Inputs'!H16</f>
        <v>1516</v>
      </c>
      <c r="H99" s="107">
        <f>'Model Inputs'!I16</f>
        <v>1516</v>
      </c>
      <c r="I99" s="107">
        <f>'Model Inputs'!J16</f>
        <v>1516</v>
      </c>
      <c r="J99" s="107">
        <f>'Model Inputs'!K16</f>
        <v>0</v>
      </c>
      <c r="K99" s="107">
        <f>'Model Inputs'!L16</f>
        <v>0</v>
      </c>
      <c r="L99" s="108">
        <f>'Model Inputs'!M16</f>
        <v>0</v>
      </c>
      <c r="M99" s="108">
        <f>'Model Inputs'!N16</f>
        <v>0</v>
      </c>
    </row>
    <row r="100" spans="1:13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</row>
    <row r="101" spans="1:13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</row>
    <row r="102" spans="1:13" ht="13.5" thickBot="1" x14ac:dyDescent="0.25">
      <c r="A102" s="206" t="s">
        <v>93</v>
      </c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6"/>
      <c r="M102" s="6"/>
    </row>
    <row r="103" spans="1:13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</row>
    <row r="104" spans="1:13" x14ac:dyDescent="0.2">
      <c r="F104" s="6"/>
      <c r="G104" s="16"/>
      <c r="H104" s="16"/>
      <c r="I104" s="16"/>
      <c r="J104" s="16"/>
      <c r="K104" s="16"/>
      <c r="L104" s="16"/>
      <c r="M104" s="16"/>
    </row>
    <row r="105" spans="1:13" x14ac:dyDescent="0.2">
      <c r="B105" s="2">
        <v>94</v>
      </c>
      <c r="C105" s="18" t="s">
        <v>94</v>
      </c>
      <c r="D105" s="8"/>
      <c r="E105"/>
    </row>
    <row r="106" spans="1:13" x14ac:dyDescent="0.2">
      <c r="B106" s="2">
        <v>95</v>
      </c>
      <c r="E106"/>
    </row>
    <row r="107" spans="1:13" x14ac:dyDescent="0.2">
      <c r="B107" s="2">
        <v>96</v>
      </c>
      <c r="C107" t="s">
        <v>95</v>
      </c>
      <c r="E107"/>
      <c r="F107" s="15">
        <f>F89</f>
        <v>23087139.302600004</v>
      </c>
      <c r="G107" s="15">
        <f t="shared" ref="G107:J107" si="4">G89</f>
        <v>23834654.571102828</v>
      </c>
      <c r="H107" s="15">
        <f t="shared" si="4"/>
        <v>26759971.426580161</v>
      </c>
      <c r="I107" s="15">
        <f t="shared" si="4"/>
        <v>30040101.235283904</v>
      </c>
      <c r="J107" s="15">
        <f t="shared" si="4"/>
        <v>0</v>
      </c>
      <c r="K107" s="15">
        <f t="shared" ref="K107" si="5">K89</f>
        <v>0</v>
      </c>
    </row>
    <row r="108" spans="1:13" x14ac:dyDescent="0.2">
      <c r="B108" s="2">
        <v>97</v>
      </c>
      <c r="E108"/>
    </row>
    <row r="109" spans="1:13" ht="13.5" thickBot="1" x14ac:dyDescent="0.25">
      <c r="B109" s="2">
        <v>98</v>
      </c>
      <c r="C109" t="s">
        <v>96</v>
      </c>
      <c r="E109"/>
    </row>
    <row r="110" spans="1:13" ht="13.5" thickBot="1" x14ac:dyDescent="0.25">
      <c r="B110" s="2">
        <v>99</v>
      </c>
      <c r="E110" t="s">
        <v>97</v>
      </c>
      <c r="F110" s="65">
        <v>6.6684000000000007E-2</v>
      </c>
      <c r="G110" s="109">
        <f>'Model Inputs'!H22</f>
        <v>6.5000000000000002E-2</v>
      </c>
      <c r="H110" s="110">
        <f>'Model Inputs'!I22</f>
        <v>6.5100000000000005E-2</v>
      </c>
      <c r="I110" s="110">
        <f>'Model Inputs'!J22</f>
        <v>6.2799999999999995E-2</v>
      </c>
      <c r="J110" s="110">
        <f>'Model Inputs'!K22</f>
        <v>0</v>
      </c>
      <c r="K110" s="110">
        <f>'Model Inputs'!L22</f>
        <v>0</v>
      </c>
      <c r="L110" s="111">
        <f>'Model Inputs'!M22</f>
        <v>0</v>
      </c>
      <c r="M110" s="111">
        <f>'Model Inputs'!N22</f>
        <v>0</v>
      </c>
    </row>
    <row r="111" spans="1:13" ht="13.5" thickBot="1" x14ac:dyDescent="0.25">
      <c r="B111" s="2">
        <v>100</v>
      </c>
      <c r="E111" t="s">
        <v>98</v>
      </c>
      <c r="F111" s="19">
        <v>4.5900000000000003E-2</v>
      </c>
      <c r="G111" s="19"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f>K111</f>
        <v>4.5900000000000003E-2</v>
      </c>
      <c r="M111" s="19">
        <f>L111</f>
        <v>4.5900000000000003E-2</v>
      </c>
    </row>
    <row r="112" spans="1:13" ht="13.5" thickBot="1" x14ac:dyDescent="0.25">
      <c r="B112" s="2">
        <v>101</v>
      </c>
      <c r="E112" t="s">
        <v>236</v>
      </c>
      <c r="F112" s="22">
        <v>202.90591339027949</v>
      </c>
      <c r="G112" s="112">
        <f>F112*EXP('Model Inputs'!H21)</f>
        <v>209.03042514446201</v>
      </c>
      <c r="H112" s="113">
        <f>G112*EXP('Model Inputs'!I21)</f>
        <v>213.00365292329084</v>
      </c>
      <c r="I112" s="113">
        <f>H112*EXP('Model Inputs'!J21)</f>
        <v>215.54617528165269</v>
      </c>
      <c r="J112" s="113">
        <f>I112*EXP('Model Inputs'!K21)</f>
        <v>215.54617528165269</v>
      </c>
      <c r="K112" s="113">
        <f>J112*EXP('Model Inputs'!L21)</f>
        <v>215.54617528165269</v>
      </c>
      <c r="L112" s="114">
        <f>K112*EXP('Model Inputs'!M21)</f>
        <v>215.54617528165269</v>
      </c>
      <c r="M112" s="114">
        <f>L112*EXP('Model Inputs'!N21)</f>
        <v>215.54617528165269</v>
      </c>
    </row>
    <row r="113" spans="1:13" ht="13.5" thickBot="1" x14ac:dyDescent="0.25">
      <c r="B113" s="2">
        <v>102</v>
      </c>
      <c r="E113" t="s">
        <v>99</v>
      </c>
      <c r="F113" s="15">
        <v>22.295162686498919</v>
      </c>
      <c r="G113" s="15">
        <f t="shared" ref="G113:M113" si="6">F112*G110+G111*G112</f>
        <v>22.783380884498975</v>
      </c>
      <c r="H113" s="15">
        <f t="shared" si="6"/>
        <v>23.38474834608353</v>
      </c>
      <c r="I113" s="15">
        <f t="shared" si="6"/>
        <v>23.270198849010523</v>
      </c>
      <c r="J113" s="15">
        <f t="shared" si="6"/>
        <v>9.8935694454278593</v>
      </c>
      <c r="K113" s="15">
        <f t="shared" si="6"/>
        <v>9.8935694454278593</v>
      </c>
      <c r="L113" s="15">
        <f t="shared" si="6"/>
        <v>9.8935694454278593</v>
      </c>
      <c r="M113" s="15">
        <f t="shared" si="6"/>
        <v>9.8935694454278593</v>
      </c>
    </row>
    <row r="114" spans="1:13" x14ac:dyDescent="0.2">
      <c r="B114" s="2">
        <v>103</v>
      </c>
      <c r="E114" t="s">
        <v>100</v>
      </c>
      <c r="F114" s="6">
        <v>32206316.489999998</v>
      </c>
      <c r="G114" s="115">
        <f>G92</f>
        <v>25638261.519999996</v>
      </c>
      <c r="H114" s="116">
        <f t="shared" ref="H114:K114" si="7">H92</f>
        <v>33972897</v>
      </c>
      <c r="I114" s="116">
        <f t="shared" si="7"/>
        <v>44980146</v>
      </c>
      <c r="J114" s="116">
        <f t="shared" si="7"/>
        <v>0</v>
      </c>
      <c r="K114" s="116">
        <f t="shared" si="7"/>
        <v>0</v>
      </c>
      <c r="L114" s="117">
        <f t="shared" ref="L114:M114" si="8">L92</f>
        <v>0</v>
      </c>
      <c r="M114" s="117">
        <f t="shared" si="8"/>
        <v>0</v>
      </c>
    </row>
    <row r="115" spans="1:13" ht="13.5" thickBot="1" x14ac:dyDescent="0.25">
      <c r="B115" s="2">
        <v>104</v>
      </c>
      <c r="E115" t="s">
        <v>101</v>
      </c>
      <c r="F115" s="6">
        <v>0</v>
      </c>
      <c r="G115" s="118">
        <f>G93</f>
        <v>0</v>
      </c>
      <c r="H115" s="119">
        <f t="shared" ref="H115:K115" si="9">H93</f>
        <v>0</v>
      </c>
      <c r="I115" s="119">
        <f t="shared" si="9"/>
        <v>0</v>
      </c>
      <c r="J115" s="119">
        <f t="shared" si="9"/>
        <v>0</v>
      </c>
      <c r="K115" s="119">
        <f t="shared" si="9"/>
        <v>0</v>
      </c>
      <c r="L115" s="120">
        <f t="shared" ref="L115:M115" si="10">L93</f>
        <v>0</v>
      </c>
      <c r="M115" s="120">
        <f t="shared" si="10"/>
        <v>0</v>
      </c>
    </row>
    <row r="116" spans="1:13" x14ac:dyDescent="0.2">
      <c r="B116" s="2">
        <v>105</v>
      </c>
      <c r="E116" t="s">
        <v>102</v>
      </c>
      <c r="F116" s="6">
        <v>158725.37153736246</v>
      </c>
      <c r="G116" s="6">
        <f t="shared" ref="G116:J116" si="11">(G114-G115)/G112</f>
        <v>122653.25252188173</v>
      </c>
      <c r="H116" s="6">
        <f t="shared" si="11"/>
        <v>159494.4337045463</v>
      </c>
      <c r="I116" s="6">
        <f t="shared" si="11"/>
        <v>208679.86147851966</v>
      </c>
      <c r="J116" s="6">
        <f t="shared" si="11"/>
        <v>0</v>
      </c>
      <c r="K116" s="6">
        <f t="shared" ref="K116:L116" si="12">(K114-K115)/K112</f>
        <v>0</v>
      </c>
      <c r="L116" s="6">
        <f t="shared" si="12"/>
        <v>0</v>
      </c>
      <c r="M116" s="6">
        <f t="shared" ref="M116" si="13">(M114-M115)/M112</f>
        <v>0</v>
      </c>
    </row>
    <row r="117" spans="1:13" x14ac:dyDescent="0.2">
      <c r="B117" s="2">
        <v>106</v>
      </c>
      <c r="E117" t="s">
        <v>103</v>
      </c>
      <c r="F117" s="17">
        <v>70019.435645544712</v>
      </c>
      <c r="G117" s="17">
        <f t="shared" ref="G117:M117" si="14">G111*F118</f>
        <v>74091.038102979146</v>
      </c>
      <c r="H117" s="17">
        <f t="shared" si="14"/>
        <v>76320.043744806782</v>
      </c>
      <c r="I117" s="17">
        <f t="shared" si="14"/>
        <v>80137.74824395882</v>
      </c>
      <c r="J117" s="17">
        <f t="shared" si="14"/>
        <v>86037.831241425156</v>
      </c>
      <c r="K117" s="17">
        <f t="shared" si="14"/>
        <v>82088.694787443746</v>
      </c>
      <c r="L117" s="17">
        <f t="shared" si="14"/>
        <v>78320.82369670007</v>
      </c>
      <c r="M117" s="17">
        <f t="shared" si="14"/>
        <v>74725.897889021537</v>
      </c>
    </row>
    <row r="118" spans="1:13" x14ac:dyDescent="0.2">
      <c r="B118" s="2">
        <v>107</v>
      </c>
      <c r="E118" t="s">
        <v>104</v>
      </c>
      <c r="F118" s="17">
        <v>1614183.8366662122</v>
      </c>
      <c r="G118" s="17">
        <f t="shared" ref="G118:M118" si="15">F118+G116-G117</f>
        <v>1662746.0510851149</v>
      </c>
      <c r="H118" s="17">
        <f t="shared" si="15"/>
        <v>1745920.4410448545</v>
      </c>
      <c r="I118" s="17">
        <f t="shared" si="15"/>
        <v>1874462.5542794152</v>
      </c>
      <c r="J118" s="17">
        <f t="shared" si="15"/>
        <v>1788424.72303799</v>
      </c>
      <c r="K118" s="17">
        <f t="shared" si="15"/>
        <v>1706336.0282505462</v>
      </c>
      <c r="L118" s="17">
        <f t="shared" si="15"/>
        <v>1628015.204553846</v>
      </c>
      <c r="M118" s="17">
        <f t="shared" si="15"/>
        <v>1553289.3066648245</v>
      </c>
    </row>
    <row r="119" spans="1:13" x14ac:dyDescent="0.2">
      <c r="B119" s="2">
        <v>108</v>
      </c>
      <c r="E119" t="s">
        <v>105</v>
      </c>
      <c r="F119" s="17">
        <v>35988491.244390197</v>
      </c>
      <c r="G119" s="17">
        <f t="shared" ref="G119:J119" si="16">G113*G118</f>
        <v>37882976.596068762</v>
      </c>
      <c r="H119" s="17">
        <f t="shared" si="16"/>
        <v>40827910.146117091</v>
      </c>
      <c r="I119" s="17">
        <f t="shared" si="16"/>
        <v>43619116.373106174</v>
      </c>
      <c r="J119" s="17">
        <f t="shared" si="16"/>
        <v>17693904.19529644</v>
      </c>
      <c r="K119" s="17">
        <f t="shared" ref="K119:L119" si="17">K113*K118</f>
        <v>16881753.992732331</v>
      </c>
      <c r="L119" s="17">
        <f t="shared" si="17"/>
        <v>16106881.484465918</v>
      </c>
      <c r="M119" s="17">
        <f t="shared" ref="M119" si="18">M113*M118</f>
        <v>15367575.624328932</v>
      </c>
    </row>
    <row r="120" spans="1:13" x14ac:dyDescent="0.2">
      <c r="B120" s="2">
        <v>109</v>
      </c>
      <c r="E120"/>
    </row>
    <row r="121" spans="1:13" x14ac:dyDescent="0.2">
      <c r="B121" s="2">
        <v>110</v>
      </c>
      <c r="C121" t="s">
        <v>106</v>
      </c>
      <c r="E121"/>
      <c r="F121" s="17">
        <f>F107+F119</f>
        <v>59075630.546990201</v>
      </c>
      <c r="G121" s="17">
        <f>G107+G119</f>
        <v>61717631.16717159</v>
      </c>
      <c r="H121" s="17">
        <f t="shared" ref="H121:J121" si="19">H107+H119</f>
        <v>67587881.572697252</v>
      </c>
      <c r="I121" s="17">
        <f t="shared" si="19"/>
        <v>73659217.608390078</v>
      </c>
      <c r="J121" s="17">
        <f t="shared" si="19"/>
        <v>17693904.19529644</v>
      </c>
      <c r="K121" s="17">
        <f t="shared" ref="K121:L121" si="20">K107+K119</f>
        <v>16881753.992732331</v>
      </c>
      <c r="L121" s="17">
        <f t="shared" si="20"/>
        <v>16106881.484465918</v>
      </c>
      <c r="M121" s="17">
        <f t="shared" ref="M121" si="21">M107+M119</f>
        <v>15367575.624328932</v>
      </c>
    </row>
    <row r="122" spans="1:13" x14ac:dyDescent="0.2">
      <c r="E122"/>
    </row>
    <row r="123" spans="1:13" ht="13.5" thickBot="1" x14ac:dyDescent="0.25">
      <c r="A123" s="206" t="s">
        <v>107</v>
      </c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6"/>
      <c r="M123" s="6"/>
    </row>
    <row r="124" spans="1:13" ht="13.5" thickTop="1" x14ac:dyDescent="0.2">
      <c r="E124"/>
    </row>
    <row r="125" spans="1:13" x14ac:dyDescent="0.2">
      <c r="B125" s="2">
        <v>111</v>
      </c>
      <c r="C125" s="18" t="s">
        <v>108</v>
      </c>
      <c r="D125" s="8"/>
      <c r="E125"/>
    </row>
    <row r="126" spans="1:13" x14ac:dyDescent="0.2">
      <c r="B126" s="2">
        <v>112</v>
      </c>
      <c r="E126"/>
    </row>
    <row r="127" spans="1:13" x14ac:dyDescent="0.2">
      <c r="B127" s="2">
        <v>113</v>
      </c>
      <c r="E127" s="23" t="s">
        <v>109</v>
      </c>
      <c r="F127" s="3"/>
      <c r="G127" s="3"/>
      <c r="H127" s="3"/>
      <c r="I127" s="3"/>
      <c r="J127" s="3"/>
    </row>
    <row r="128" spans="1:13" x14ac:dyDescent="0.2">
      <c r="B128" s="2">
        <v>114</v>
      </c>
      <c r="E128" t="s">
        <v>89</v>
      </c>
      <c r="F128" s="6">
        <v>69171</v>
      </c>
      <c r="G128" s="6">
        <f>G96</f>
        <v>69561</v>
      </c>
      <c r="H128" s="6">
        <f t="shared" ref="G128:I130" si="22">H96</f>
        <v>69784.927325205033</v>
      </c>
      <c r="I128" s="6">
        <f t="shared" si="22"/>
        <v>70112.46373661721</v>
      </c>
      <c r="J128" s="6"/>
      <c r="K128" s="6"/>
      <c r="L128" s="6"/>
      <c r="M128" s="6"/>
    </row>
    <row r="129" spans="2:13" x14ac:dyDescent="0.2">
      <c r="B129" s="2">
        <v>115</v>
      </c>
      <c r="E129" t="s">
        <v>90</v>
      </c>
      <c r="F129" s="24">
        <v>1475693036</v>
      </c>
      <c r="G129" s="24">
        <f t="shared" si="22"/>
        <v>1502712382</v>
      </c>
      <c r="H129" s="24">
        <f t="shared" si="22"/>
        <v>1483524037.1417174</v>
      </c>
      <c r="I129" s="24">
        <f t="shared" si="22"/>
        <v>1480105771.831955</v>
      </c>
      <c r="J129" s="24"/>
      <c r="K129" s="24"/>
      <c r="L129" s="24"/>
      <c r="M129" s="24"/>
    </row>
    <row r="130" spans="2:13" x14ac:dyDescent="0.2">
      <c r="B130" s="2">
        <v>116</v>
      </c>
      <c r="E130" t="s">
        <v>91</v>
      </c>
      <c r="F130" s="6">
        <v>337024</v>
      </c>
      <c r="G130" s="6">
        <f t="shared" si="22"/>
        <v>340324.8</v>
      </c>
      <c r="H130" s="6">
        <f t="shared" si="22"/>
        <v>343283.89799999999</v>
      </c>
      <c r="I130" s="6">
        <f t="shared" si="22"/>
        <v>343283.89799999999</v>
      </c>
      <c r="J130" s="6"/>
      <c r="K130" s="6"/>
      <c r="L130" s="6"/>
      <c r="M130" s="6"/>
    </row>
    <row r="131" spans="2:13" x14ac:dyDescent="0.2">
      <c r="B131" s="2">
        <v>117</v>
      </c>
      <c r="E131" t="s">
        <v>110</v>
      </c>
      <c r="F131" s="6">
        <v>379690</v>
      </c>
      <c r="G131" s="6">
        <f t="shared" ref="G131:I131" si="23">MAX(F131,G130)</f>
        <v>379690</v>
      </c>
      <c r="H131" s="6">
        <f t="shared" si="23"/>
        <v>379690</v>
      </c>
      <c r="I131" s="6">
        <f t="shared" si="23"/>
        <v>379690</v>
      </c>
      <c r="J131" s="6"/>
      <c r="K131" s="6"/>
      <c r="L131" s="6"/>
      <c r="M131" s="6"/>
    </row>
    <row r="132" spans="2:13" x14ac:dyDescent="0.2">
      <c r="B132" s="2">
        <v>118</v>
      </c>
      <c r="E132"/>
    </row>
    <row r="133" spans="2:13" ht="13.5" thickBot="1" x14ac:dyDescent="0.25">
      <c r="B133" s="2">
        <v>119</v>
      </c>
      <c r="E133" s="23" t="s">
        <v>111</v>
      </c>
      <c r="F133" s="3"/>
    </row>
    <row r="134" spans="2:13" ht="13.5" thickBot="1" x14ac:dyDescent="0.25">
      <c r="B134" s="2">
        <v>120</v>
      </c>
      <c r="E134" t="s">
        <v>112</v>
      </c>
      <c r="F134" s="128">
        <v>4.1405222738299059E-2</v>
      </c>
      <c r="G134" s="109">
        <f>F134*EXP('Model Inputs'!H21)</f>
        <v>4.2654997912951048E-2</v>
      </c>
      <c r="H134" s="110">
        <f>G134*EXP('Model Inputs'!I21)</f>
        <v>4.3465779513268306E-2</v>
      </c>
      <c r="I134" s="110">
        <f>H134*EXP('Model Inputs'!J21)</f>
        <v>4.3984609658758396E-2</v>
      </c>
      <c r="J134" s="121"/>
      <c r="K134" s="121"/>
      <c r="L134" s="122"/>
      <c r="M134" s="122"/>
    </row>
    <row r="135" spans="2:13" ht="13.5" thickBot="1" x14ac:dyDescent="0.25">
      <c r="B135" s="2">
        <v>121</v>
      </c>
      <c r="E135" t="s">
        <v>199</v>
      </c>
      <c r="F135" s="19">
        <v>3.3329106197923807E-2</v>
      </c>
      <c r="G135" s="109">
        <f>F135*EXP('Model Inputs'!H20)</f>
        <v>3.4862683722154265E-2</v>
      </c>
      <c r="H135" s="110">
        <f>G135*EXP('Model Inputs'!I20)</f>
        <v>3.6466825995671977E-2</v>
      </c>
      <c r="I135" s="110">
        <f>H135*EXP('Model Inputs'!J20)</f>
        <v>3.8144779925635725E-2</v>
      </c>
      <c r="J135" s="113"/>
      <c r="K135" s="113"/>
      <c r="L135" s="114"/>
      <c r="M135" s="114"/>
    </row>
    <row r="136" spans="2:13" x14ac:dyDescent="0.2">
      <c r="B136" s="2">
        <v>122</v>
      </c>
      <c r="E136" t="s">
        <v>113</v>
      </c>
      <c r="F136" s="25">
        <v>3.5751941160036382E-2</v>
      </c>
      <c r="G136" s="25">
        <f>LN(G134/F134)*0.3+LN(G135/F135)*0.7</f>
        <v>4.0411390979383635E-2</v>
      </c>
      <c r="H136" s="25">
        <f>LN(H134/G134)*0.3+LN(H135/G135)*0.7</f>
        <v>3.7139013105837379E-2</v>
      </c>
      <c r="I136" s="25">
        <f>LN(I134/H134)*0.3+LN(I135/H135)*0.7</f>
        <v>3.5049915822667338E-2</v>
      </c>
      <c r="J136" s="25"/>
      <c r="K136" s="25"/>
      <c r="L136" s="25"/>
      <c r="M136" s="25"/>
    </row>
    <row r="137" spans="2:13" x14ac:dyDescent="0.2">
      <c r="B137" s="2">
        <v>123</v>
      </c>
      <c r="E137" t="s">
        <v>114</v>
      </c>
      <c r="F137" s="15">
        <v>172.13652489185196</v>
      </c>
      <c r="G137" s="15">
        <f t="shared" ref="G137:I137" si="24">F137*EXP(G136)</f>
        <v>179.23527034784786</v>
      </c>
      <c r="H137" s="15">
        <f t="shared" si="24"/>
        <v>186.01704613805109</v>
      </c>
      <c r="I137" s="15">
        <f t="shared" si="24"/>
        <v>192.65253532304266</v>
      </c>
      <c r="J137" s="15"/>
      <c r="K137" s="15"/>
      <c r="L137" s="15"/>
      <c r="M137" s="15"/>
    </row>
    <row r="138" spans="2:13" x14ac:dyDescent="0.2">
      <c r="B138" s="2">
        <v>124</v>
      </c>
      <c r="F138" s="15"/>
      <c r="G138" s="15"/>
      <c r="H138" s="15"/>
      <c r="I138" s="15"/>
      <c r="J138" s="15"/>
      <c r="K138" s="15"/>
      <c r="L138" s="15"/>
      <c r="M138" s="15"/>
    </row>
    <row r="139" spans="2:13" x14ac:dyDescent="0.2">
      <c r="B139" s="2">
        <v>125</v>
      </c>
      <c r="E139" t="s">
        <v>236</v>
      </c>
      <c r="F139" s="15">
        <v>202.90591339027949</v>
      </c>
      <c r="G139" s="15">
        <f t="shared" ref="G139:I139" si="25">G113</f>
        <v>22.783380884498975</v>
      </c>
      <c r="H139" s="15">
        <f t="shared" si="25"/>
        <v>23.38474834608353</v>
      </c>
      <c r="I139" s="15">
        <f t="shared" si="25"/>
        <v>23.270198849010523</v>
      </c>
      <c r="J139" s="15"/>
      <c r="K139" s="15"/>
      <c r="L139" s="15"/>
      <c r="M139" s="15"/>
    </row>
    <row r="140" spans="2:13" x14ac:dyDescent="0.2">
      <c r="B140" s="2">
        <v>126</v>
      </c>
    </row>
    <row r="141" spans="2:13" x14ac:dyDescent="0.2">
      <c r="B141" s="2">
        <v>127</v>
      </c>
      <c r="E141" s="23" t="s">
        <v>115</v>
      </c>
      <c r="F141" s="3"/>
      <c r="G141" s="3"/>
      <c r="H141" s="3"/>
      <c r="I141" s="3"/>
      <c r="J141" s="3"/>
      <c r="K141" s="3"/>
    </row>
    <row r="142" spans="2:13" x14ac:dyDescent="0.2">
      <c r="B142" s="2">
        <v>128</v>
      </c>
      <c r="E142" t="s">
        <v>116</v>
      </c>
      <c r="F142" s="15">
        <v>1516</v>
      </c>
      <c r="G142" s="26">
        <f>'Model Inputs'!H16</f>
        <v>1516</v>
      </c>
      <c r="H142" s="26">
        <f>'Model Inputs'!I16</f>
        <v>1516</v>
      </c>
      <c r="I142" s="26">
        <f>'Model Inputs'!J16</f>
        <v>1516</v>
      </c>
      <c r="J142" s="26"/>
      <c r="K142" s="26"/>
      <c r="L142" s="26"/>
      <c r="M142" s="26"/>
    </row>
    <row r="143" spans="2:13" x14ac:dyDescent="0.2">
      <c r="B143" s="2">
        <v>129</v>
      </c>
      <c r="E143" t="s">
        <v>237</v>
      </c>
      <c r="F143" s="22">
        <v>1529.4045454545455</v>
      </c>
      <c r="G143" s="22">
        <f>(F143*17+G142)/18</f>
        <v>1528.6598484848485</v>
      </c>
      <c r="H143" s="22">
        <f>(G143*15+H142)/16</f>
        <v>1527.8686079545455</v>
      </c>
      <c r="I143" s="22">
        <f>(H143*16+I142)/17</f>
        <v>1527.1704545454545</v>
      </c>
      <c r="J143" s="22"/>
      <c r="K143" s="22"/>
      <c r="L143" s="22"/>
      <c r="M143" s="22"/>
    </row>
    <row r="144" spans="2:13" x14ac:dyDescent="0.2">
      <c r="B144" s="2">
        <v>130</v>
      </c>
      <c r="E144" t="s">
        <v>117</v>
      </c>
      <c r="F144" s="6">
        <v>66704</v>
      </c>
      <c r="G144" s="6"/>
      <c r="H144" s="6"/>
      <c r="I144" s="6"/>
      <c r="J144" s="6"/>
      <c r="K144" s="6"/>
      <c r="L144" s="6"/>
      <c r="M144" s="6"/>
    </row>
    <row r="145" spans="2:13" x14ac:dyDescent="0.2">
      <c r="B145" s="2">
        <v>131</v>
      </c>
      <c r="E145" t="s">
        <v>118</v>
      </c>
      <c r="F145" s="19">
        <v>3.6984288798272966E-2</v>
      </c>
      <c r="G145" s="19">
        <f>'Model Inputs'!H17</f>
        <v>4.8142120965554591E-2</v>
      </c>
      <c r="H145" s="19">
        <f>'Model Inputs'!I17</f>
        <v>4.6941420505356435E-2</v>
      </c>
      <c r="I145" s="19">
        <f>'Model Inputs'!J17</f>
        <v>4.921081851755682E-2</v>
      </c>
      <c r="J145" s="19"/>
      <c r="K145" s="19"/>
      <c r="L145" s="19"/>
      <c r="M145" s="19"/>
    </row>
    <row r="146" spans="2:13" x14ac:dyDescent="0.2">
      <c r="B146" s="2">
        <v>132</v>
      </c>
    </row>
    <row r="147" spans="2:13" x14ac:dyDescent="0.2">
      <c r="B147" s="2">
        <v>133</v>
      </c>
      <c r="C147" t="s">
        <v>119</v>
      </c>
      <c r="E147"/>
    </row>
    <row r="148" spans="2:13" x14ac:dyDescent="0.2">
      <c r="B148" s="2">
        <v>134</v>
      </c>
      <c r="E148"/>
    </row>
    <row r="149" spans="2:13" outlineLevel="1" x14ac:dyDescent="0.2">
      <c r="B149" s="2">
        <v>135</v>
      </c>
      <c r="C149" s="8" t="s">
        <v>120</v>
      </c>
      <c r="D149" s="8"/>
      <c r="E149"/>
    </row>
    <row r="150" spans="2:13" outlineLevel="1" x14ac:dyDescent="0.2">
      <c r="B150" s="2">
        <v>136</v>
      </c>
      <c r="C150" s="8"/>
      <c r="D150" s="8"/>
      <c r="E150"/>
    </row>
    <row r="151" spans="2:13" outlineLevel="1" x14ac:dyDescent="0.2">
      <c r="B151" s="2">
        <v>137</v>
      </c>
      <c r="E151" t="s">
        <v>122</v>
      </c>
      <c r="F151" s="14">
        <v>1</v>
      </c>
      <c r="G151" s="14">
        <f t="shared" ref="G151:I151" si="26">F151</f>
        <v>1</v>
      </c>
      <c r="H151" s="14">
        <f t="shared" si="26"/>
        <v>1</v>
      </c>
      <c r="I151" s="14">
        <f t="shared" si="26"/>
        <v>1</v>
      </c>
      <c r="J151" s="21"/>
      <c r="K151" s="21"/>
      <c r="L151" s="21"/>
      <c r="M151" s="21"/>
    </row>
    <row r="152" spans="2:13" outlineLevel="1" x14ac:dyDescent="0.2">
      <c r="B152" s="2">
        <v>138</v>
      </c>
      <c r="E152" t="s">
        <v>123</v>
      </c>
      <c r="F152" s="14">
        <v>0.12952023227206591</v>
      </c>
      <c r="G152" s="14">
        <f>G113/G137</f>
        <v>0.12711438345969803</v>
      </c>
      <c r="H152" s="14">
        <f t="shared" ref="H152:I152" si="27">H113/H137</f>
        <v>0.12571293239829603</v>
      </c>
      <c r="I152" s="14">
        <f t="shared" si="27"/>
        <v>0.12078843815883712</v>
      </c>
      <c r="J152" s="27"/>
      <c r="K152" s="27"/>
      <c r="L152" s="27"/>
      <c r="M152" s="27"/>
    </row>
    <row r="153" spans="2:13" outlineLevel="1" x14ac:dyDescent="0.2">
      <c r="B153" s="2">
        <v>139</v>
      </c>
      <c r="E153" t="s">
        <v>124</v>
      </c>
      <c r="F153" s="14">
        <v>69171</v>
      </c>
      <c r="G153" s="14">
        <f t="shared" ref="G153:I153" si="28">G96</f>
        <v>69561</v>
      </c>
      <c r="H153" s="14">
        <f t="shared" si="28"/>
        <v>69784.927325205033</v>
      </c>
      <c r="I153" s="14">
        <f t="shared" si="28"/>
        <v>70112.46373661721</v>
      </c>
      <c r="J153" s="17"/>
      <c r="K153" s="17"/>
      <c r="L153" s="17"/>
      <c r="M153" s="17"/>
    </row>
    <row r="154" spans="2:13" outlineLevel="1" x14ac:dyDescent="0.2">
      <c r="B154" s="2">
        <v>140</v>
      </c>
      <c r="E154" t="s">
        <v>125</v>
      </c>
      <c r="F154" s="14">
        <v>379690</v>
      </c>
      <c r="G154" s="14">
        <f t="shared" ref="G154:I154" si="29">G131</f>
        <v>379690</v>
      </c>
      <c r="H154" s="14">
        <f t="shared" si="29"/>
        <v>379690</v>
      </c>
      <c r="I154" s="14">
        <f t="shared" si="29"/>
        <v>379690</v>
      </c>
      <c r="J154" s="17"/>
      <c r="K154" s="17"/>
      <c r="L154" s="17"/>
      <c r="M154" s="17"/>
    </row>
    <row r="155" spans="2:13" outlineLevel="1" x14ac:dyDescent="0.2">
      <c r="B155" s="2">
        <v>141</v>
      </c>
      <c r="E155" t="s">
        <v>126</v>
      </c>
      <c r="F155" s="14">
        <v>1475693036</v>
      </c>
      <c r="G155" s="14">
        <f t="shared" ref="G155:I155" si="30">G97</f>
        <v>1502712382</v>
      </c>
      <c r="H155" s="14">
        <f t="shared" si="30"/>
        <v>1483524037.1417174</v>
      </c>
      <c r="I155" s="14">
        <f t="shared" si="30"/>
        <v>1480105771.831955</v>
      </c>
      <c r="J155" s="24"/>
      <c r="K155" s="24"/>
      <c r="L155" s="24"/>
      <c r="M155" s="24"/>
    </row>
    <row r="156" spans="2:13" outlineLevel="1" x14ac:dyDescent="0.2">
      <c r="B156" s="2">
        <v>142</v>
      </c>
      <c r="E156" t="s">
        <v>137</v>
      </c>
      <c r="F156" s="14">
        <v>1529.4045454545455</v>
      </c>
      <c r="G156" s="14">
        <f t="shared" ref="G156:I156" si="31">G143</f>
        <v>1528.6598484848485</v>
      </c>
      <c r="H156" s="14">
        <f t="shared" si="31"/>
        <v>1527.8686079545455</v>
      </c>
      <c r="I156" s="14">
        <f t="shared" si="31"/>
        <v>1527.1704545454545</v>
      </c>
      <c r="J156" s="28"/>
      <c r="K156" s="28"/>
      <c r="L156" s="28"/>
      <c r="M156" s="28"/>
    </row>
    <row r="157" spans="2:13" outlineLevel="1" x14ac:dyDescent="0.2">
      <c r="B157" s="2">
        <v>143</v>
      </c>
      <c r="E157" t="s">
        <v>138</v>
      </c>
      <c r="F157" s="128">
        <v>3.6984288798272966E-2</v>
      </c>
      <c r="G157" s="20">
        <f t="shared" ref="G157:I157" si="32">G145</f>
        <v>4.8142120965554591E-2</v>
      </c>
      <c r="H157" s="20">
        <f t="shared" si="32"/>
        <v>4.6941420505356435E-2</v>
      </c>
      <c r="I157" s="20">
        <f t="shared" si="32"/>
        <v>4.921081851755682E-2</v>
      </c>
      <c r="J157" s="20"/>
      <c r="K157" s="20"/>
      <c r="L157" s="20"/>
      <c r="M157" s="20"/>
    </row>
    <row r="158" spans="2:13" outlineLevel="1" x14ac:dyDescent="0.2">
      <c r="B158" s="2">
        <v>144</v>
      </c>
      <c r="E158" t="s">
        <v>139</v>
      </c>
      <c r="F158" s="14">
        <v>17</v>
      </c>
      <c r="G158" s="14">
        <f t="shared" ref="G158:I158" si="33">G5-2006</f>
        <v>18</v>
      </c>
      <c r="H158" s="14">
        <f t="shared" si="33"/>
        <v>19</v>
      </c>
      <c r="I158" s="14">
        <f t="shared" si="33"/>
        <v>20</v>
      </c>
    </row>
    <row r="159" spans="2:13" outlineLevel="1" x14ac:dyDescent="0.2">
      <c r="B159" s="2">
        <v>145</v>
      </c>
      <c r="E159"/>
    </row>
    <row r="160" spans="2:13" outlineLevel="1" x14ac:dyDescent="0.2">
      <c r="B160" s="2">
        <v>146</v>
      </c>
      <c r="D160" s="8"/>
      <c r="E160"/>
    </row>
    <row r="161" spans="2:13" outlineLevel="1" x14ac:dyDescent="0.2">
      <c r="B161" s="2">
        <v>147</v>
      </c>
      <c r="C161" s="8" t="s">
        <v>121</v>
      </c>
      <c r="D161" s="8"/>
      <c r="E161"/>
    </row>
    <row r="162" spans="2:13" outlineLevel="1" x14ac:dyDescent="0.2">
      <c r="B162" s="2">
        <v>148</v>
      </c>
      <c r="D162">
        <v>91</v>
      </c>
      <c r="E162" t="s">
        <v>122</v>
      </c>
      <c r="F162" s="32">
        <v>12.816805233884939</v>
      </c>
      <c r="G162" s="32">
        <f t="shared" ref="G162:I179" si="34">F162</f>
        <v>12.816805233884939</v>
      </c>
      <c r="H162" s="32">
        <f t="shared" si="34"/>
        <v>12.816805233884939</v>
      </c>
      <c r="I162" s="32">
        <f t="shared" si="34"/>
        <v>12.816805233884939</v>
      </c>
      <c r="J162" s="32"/>
      <c r="K162" s="32"/>
      <c r="L162" s="32"/>
      <c r="M162" s="32"/>
    </row>
    <row r="163" spans="2:13" outlineLevel="1" x14ac:dyDescent="0.2">
      <c r="B163" s="2">
        <v>149</v>
      </c>
      <c r="D163">
        <v>92</v>
      </c>
      <c r="E163" t="s">
        <v>123</v>
      </c>
      <c r="F163" s="32">
        <v>0.62645281025512112</v>
      </c>
      <c r="G163" s="32">
        <f t="shared" si="34"/>
        <v>0.62645281025512112</v>
      </c>
      <c r="H163" s="32">
        <f t="shared" si="34"/>
        <v>0.62645281025512112</v>
      </c>
      <c r="I163" s="32">
        <f t="shared" si="34"/>
        <v>0.62645281025512112</v>
      </c>
      <c r="J163" s="32"/>
      <c r="K163" s="32"/>
      <c r="L163" s="32"/>
      <c r="M163" s="32"/>
    </row>
    <row r="164" spans="2:13" outlineLevel="1" x14ac:dyDescent="0.2">
      <c r="B164" s="2">
        <v>150</v>
      </c>
      <c r="D164">
        <v>93</v>
      </c>
      <c r="E164" t="s">
        <v>124</v>
      </c>
      <c r="F164" s="32">
        <v>0.43873386187248575</v>
      </c>
      <c r="G164" s="32">
        <f t="shared" si="34"/>
        <v>0.43873386187248575</v>
      </c>
      <c r="H164" s="32">
        <f t="shared" si="34"/>
        <v>0.43873386187248575</v>
      </c>
      <c r="I164" s="32">
        <f t="shared" si="34"/>
        <v>0.43873386187248575</v>
      </c>
      <c r="J164" s="32"/>
      <c r="K164" s="32"/>
      <c r="L164" s="32"/>
      <c r="M164" s="32"/>
    </row>
    <row r="165" spans="2:13" outlineLevel="1" x14ac:dyDescent="0.2">
      <c r="B165" s="2">
        <v>151</v>
      </c>
      <c r="D165">
        <v>94</v>
      </c>
      <c r="E165" t="s">
        <v>125</v>
      </c>
      <c r="F165" s="32">
        <v>0.16310337583390586</v>
      </c>
      <c r="G165" s="32">
        <f t="shared" si="34"/>
        <v>0.16310337583390586</v>
      </c>
      <c r="H165" s="32">
        <f t="shared" si="34"/>
        <v>0.16310337583390586</v>
      </c>
      <c r="I165" s="32">
        <f t="shared" si="34"/>
        <v>0.16310337583390586</v>
      </c>
      <c r="J165" s="32"/>
      <c r="K165" s="32"/>
      <c r="L165" s="32"/>
      <c r="M165" s="32"/>
    </row>
    <row r="166" spans="2:13" outlineLevel="1" x14ac:dyDescent="0.2">
      <c r="B166" s="2">
        <v>152</v>
      </c>
      <c r="D166">
        <v>95</v>
      </c>
      <c r="E166" t="s">
        <v>126</v>
      </c>
      <c r="F166" s="32">
        <v>0.10907159670629264</v>
      </c>
      <c r="G166" s="32">
        <f t="shared" si="34"/>
        <v>0.10907159670629264</v>
      </c>
      <c r="H166" s="32">
        <f t="shared" si="34"/>
        <v>0.10907159670629264</v>
      </c>
      <c r="I166" s="32">
        <f t="shared" si="34"/>
        <v>0.10907159670629264</v>
      </c>
      <c r="J166" s="32"/>
      <c r="K166" s="32"/>
      <c r="L166" s="32"/>
      <c r="M166" s="32"/>
    </row>
    <row r="167" spans="2:13" outlineLevel="1" x14ac:dyDescent="0.2">
      <c r="B167" s="2">
        <v>153</v>
      </c>
      <c r="D167">
        <v>96</v>
      </c>
      <c r="E167" t="s">
        <v>127</v>
      </c>
      <c r="F167" s="32">
        <v>0.12288769765677032</v>
      </c>
      <c r="G167" s="32">
        <f t="shared" si="34"/>
        <v>0.12288769765677032</v>
      </c>
      <c r="H167" s="32">
        <f t="shared" si="34"/>
        <v>0.12288769765677032</v>
      </c>
      <c r="I167" s="32">
        <f t="shared" si="34"/>
        <v>0.12288769765677032</v>
      </c>
      <c r="J167" s="32"/>
      <c r="K167" s="32"/>
      <c r="L167" s="32"/>
      <c r="M167" s="32"/>
    </row>
    <row r="168" spans="2:13" outlineLevel="1" x14ac:dyDescent="0.2">
      <c r="B168" s="2">
        <v>154</v>
      </c>
      <c r="D168">
        <v>97</v>
      </c>
      <c r="E168" t="s">
        <v>128</v>
      </c>
      <c r="F168" s="32">
        <v>-0.37238802143178218</v>
      </c>
      <c r="G168" s="32">
        <f t="shared" si="34"/>
        <v>-0.37238802143178218</v>
      </c>
      <c r="H168" s="32">
        <f t="shared" si="34"/>
        <v>-0.37238802143178218</v>
      </c>
      <c r="I168" s="32">
        <f t="shared" si="34"/>
        <v>-0.37238802143178218</v>
      </c>
      <c r="J168" s="32"/>
      <c r="K168" s="32"/>
      <c r="L168" s="32"/>
      <c r="M168" s="32"/>
    </row>
    <row r="169" spans="2:13" outlineLevel="1" x14ac:dyDescent="0.2">
      <c r="B169" s="2">
        <v>155</v>
      </c>
      <c r="D169">
        <v>98</v>
      </c>
      <c r="E169" t="s">
        <v>129</v>
      </c>
      <c r="F169" s="32">
        <v>0.18996236641101552</v>
      </c>
      <c r="G169" s="32">
        <f t="shared" si="34"/>
        <v>0.18996236641101552</v>
      </c>
      <c r="H169" s="32">
        <f t="shared" si="34"/>
        <v>0.18996236641101552</v>
      </c>
      <c r="I169" s="32">
        <f t="shared" si="34"/>
        <v>0.18996236641101552</v>
      </c>
      <c r="J169" s="32"/>
      <c r="K169" s="32"/>
      <c r="L169" s="32"/>
      <c r="M169" s="32"/>
    </row>
    <row r="170" spans="2:13" outlineLevel="1" x14ac:dyDescent="0.2">
      <c r="B170" s="2">
        <v>156</v>
      </c>
      <c r="D170">
        <v>99</v>
      </c>
      <c r="E170" t="s">
        <v>130</v>
      </c>
      <c r="F170" s="32">
        <v>0.17188676846649997</v>
      </c>
      <c r="G170" s="32">
        <f t="shared" si="34"/>
        <v>0.17188676846649997</v>
      </c>
      <c r="H170" s="32">
        <f t="shared" si="34"/>
        <v>0.17188676846649997</v>
      </c>
      <c r="I170" s="32">
        <f t="shared" si="34"/>
        <v>0.17188676846649997</v>
      </c>
      <c r="J170" s="32"/>
      <c r="K170" s="32"/>
      <c r="L170" s="32"/>
      <c r="M170" s="32"/>
    </row>
    <row r="171" spans="2:13" outlineLevel="1" x14ac:dyDescent="0.2">
      <c r="B171" s="2">
        <v>157</v>
      </c>
      <c r="D171">
        <v>100</v>
      </c>
      <c r="E171" t="s">
        <v>131</v>
      </c>
      <c r="F171" s="32">
        <v>5.4123928392651788E-2</v>
      </c>
      <c r="G171" s="32">
        <f t="shared" si="34"/>
        <v>5.4123928392651788E-2</v>
      </c>
      <c r="H171" s="32">
        <f t="shared" si="34"/>
        <v>5.4123928392651788E-2</v>
      </c>
      <c r="I171" s="32">
        <f t="shared" si="34"/>
        <v>5.4123928392651788E-2</v>
      </c>
      <c r="J171" s="32"/>
      <c r="K171" s="32"/>
      <c r="L171" s="32"/>
      <c r="M171" s="32"/>
    </row>
    <row r="172" spans="2:13" outlineLevel="1" x14ac:dyDescent="0.2">
      <c r="B172" s="2">
        <v>158</v>
      </c>
      <c r="D172">
        <v>101</v>
      </c>
      <c r="E172" t="s">
        <v>132</v>
      </c>
      <c r="F172" s="32">
        <v>9.421783718003951E-3</v>
      </c>
      <c r="G172" s="32">
        <f t="shared" si="34"/>
        <v>9.421783718003951E-3</v>
      </c>
      <c r="H172" s="32">
        <f t="shared" si="34"/>
        <v>9.421783718003951E-3</v>
      </c>
      <c r="I172" s="32">
        <f t="shared" si="34"/>
        <v>9.421783718003951E-3</v>
      </c>
      <c r="J172" s="32"/>
      <c r="K172" s="32"/>
      <c r="L172" s="32"/>
      <c r="M172" s="32"/>
    </row>
    <row r="173" spans="2:13" outlineLevel="1" x14ac:dyDescent="0.2">
      <c r="B173" s="2">
        <v>159</v>
      </c>
      <c r="D173">
        <v>102</v>
      </c>
      <c r="E173" t="s">
        <v>133</v>
      </c>
      <c r="F173" s="32">
        <v>-2.6035614297739706E-4</v>
      </c>
      <c r="G173" s="32">
        <f t="shared" si="34"/>
        <v>-2.6035614297739706E-4</v>
      </c>
      <c r="H173" s="32">
        <f t="shared" si="34"/>
        <v>-2.6035614297739706E-4</v>
      </c>
      <c r="I173" s="32">
        <f t="shared" si="34"/>
        <v>-2.6035614297739706E-4</v>
      </c>
      <c r="J173" s="32"/>
      <c r="K173" s="32"/>
      <c r="L173" s="32"/>
      <c r="M173" s="32"/>
    </row>
    <row r="174" spans="2:13" outlineLevel="1" x14ac:dyDescent="0.2">
      <c r="B174" s="2">
        <v>160</v>
      </c>
      <c r="D174">
        <v>103</v>
      </c>
      <c r="E174" t="s">
        <v>134</v>
      </c>
      <c r="F174" s="32">
        <v>0.1420445459839475</v>
      </c>
      <c r="G174" s="32">
        <f t="shared" si="34"/>
        <v>0.1420445459839475</v>
      </c>
      <c r="H174" s="32">
        <f t="shared" si="34"/>
        <v>0.1420445459839475</v>
      </c>
      <c r="I174" s="32">
        <f t="shared" si="34"/>
        <v>0.1420445459839475</v>
      </c>
      <c r="J174" s="32"/>
      <c r="K174" s="32"/>
      <c r="L174" s="32"/>
      <c r="M174" s="32"/>
    </row>
    <row r="175" spans="2:13" outlineLevel="1" x14ac:dyDescent="0.2">
      <c r="B175" s="2">
        <v>161</v>
      </c>
      <c r="D175">
        <v>104</v>
      </c>
      <c r="E175" t="s">
        <v>135</v>
      </c>
      <c r="F175" s="32">
        <v>6.003319427512703E-2</v>
      </c>
      <c r="G175" s="32">
        <f t="shared" si="34"/>
        <v>6.003319427512703E-2</v>
      </c>
      <c r="H175" s="32">
        <f t="shared" si="34"/>
        <v>6.003319427512703E-2</v>
      </c>
      <c r="I175" s="32">
        <f t="shared" si="34"/>
        <v>6.003319427512703E-2</v>
      </c>
      <c r="J175" s="32"/>
      <c r="K175" s="32"/>
      <c r="L175" s="32"/>
      <c r="M175" s="32"/>
    </row>
    <row r="176" spans="2:13" outlineLevel="1" x14ac:dyDescent="0.2">
      <c r="B176" s="2">
        <v>162</v>
      </c>
      <c r="D176">
        <v>105</v>
      </c>
      <c r="E176" t="s">
        <v>136</v>
      </c>
      <c r="F176" s="32">
        <v>-0.19832146792901736</v>
      </c>
      <c r="G176" s="32">
        <f t="shared" si="34"/>
        <v>-0.19832146792901736</v>
      </c>
      <c r="H176" s="32">
        <f t="shared" si="34"/>
        <v>-0.19832146792901736</v>
      </c>
      <c r="I176" s="32">
        <f t="shared" si="34"/>
        <v>-0.19832146792901736</v>
      </c>
      <c r="J176" s="32"/>
      <c r="K176" s="32"/>
      <c r="L176" s="32"/>
      <c r="M176" s="32"/>
    </row>
    <row r="177" spans="2:13" outlineLevel="1" x14ac:dyDescent="0.2">
      <c r="B177" s="2">
        <v>163</v>
      </c>
      <c r="D177">
        <v>106</v>
      </c>
      <c r="E177" t="s">
        <v>137</v>
      </c>
      <c r="F177" s="32">
        <v>0.2851490113700737</v>
      </c>
      <c r="G177" s="32">
        <f t="shared" si="34"/>
        <v>0.2851490113700737</v>
      </c>
      <c r="H177" s="32">
        <f t="shared" si="34"/>
        <v>0.2851490113700737</v>
      </c>
      <c r="I177" s="32">
        <f t="shared" si="34"/>
        <v>0.2851490113700737</v>
      </c>
      <c r="J177" s="32"/>
      <c r="K177" s="32"/>
      <c r="L177" s="32"/>
      <c r="M177" s="32"/>
    </row>
    <row r="178" spans="2:13" outlineLevel="1" x14ac:dyDescent="0.2">
      <c r="B178" s="2">
        <v>164</v>
      </c>
      <c r="D178">
        <v>107</v>
      </c>
      <c r="E178" t="s">
        <v>138</v>
      </c>
      <c r="F178" s="32">
        <v>1.6393943148746228E-2</v>
      </c>
      <c r="G178" s="32">
        <f t="shared" si="34"/>
        <v>1.6393943148746228E-2</v>
      </c>
      <c r="H178" s="32">
        <f t="shared" si="34"/>
        <v>1.6393943148746228E-2</v>
      </c>
      <c r="I178" s="32">
        <f t="shared" si="34"/>
        <v>1.6393943148746228E-2</v>
      </c>
      <c r="J178" s="32"/>
      <c r="K178" s="32"/>
      <c r="L178" s="32"/>
      <c r="M178" s="32"/>
    </row>
    <row r="179" spans="2:13" outlineLevel="1" x14ac:dyDescent="0.2">
      <c r="B179" s="2">
        <v>165</v>
      </c>
      <c r="D179">
        <v>108</v>
      </c>
      <c r="E179" t="s">
        <v>139</v>
      </c>
      <c r="F179" s="32">
        <v>1.7086999661839512E-2</v>
      </c>
      <c r="G179" s="32">
        <f t="shared" si="34"/>
        <v>1.7086999661839512E-2</v>
      </c>
      <c r="H179" s="32">
        <f t="shared" si="34"/>
        <v>1.7086999661839512E-2</v>
      </c>
      <c r="I179" s="32">
        <f t="shared" si="34"/>
        <v>1.7086999661839512E-2</v>
      </c>
      <c r="J179" s="32"/>
      <c r="K179" s="32"/>
      <c r="L179" s="32"/>
      <c r="M179" s="32"/>
    </row>
    <row r="180" spans="2:13" outlineLevel="1" x14ac:dyDescent="0.2">
      <c r="B180" s="2">
        <v>166</v>
      </c>
      <c r="E180"/>
    </row>
    <row r="181" spans="2:13" outlineLevel="1" x14ac:dyDescent="0.2">
      <c r="B181" s="2">
        <v>167</v>
      </c>
      <c r="C181" s="8" t="s">
        <v>140</v>
      </c>
      <c r="D181" s="8"/>
      <c r="E181"/>
    </row>
    <row r="182" spans="2:13" outlineLevel="1" x14ac:dyDescent="0.2">
      <c r="B182" s="2">
        <v>168</v>
      </c>
      <c r="E182"/>
    </row>
    <row r="183" spans="2:13" outlineLevel="1" x14ac:dyDescent="0.2">
      <c r="B183" s="2">
        <v>169</v>
      </c>
      <c r="C183" s="33"/>
      <c r="D183" s="33"/>
      <c r="E183" s="29" t="s">
        <v>122</v>
      </c>
      <c r="F183" s="32">
        <v>1</v>
      </c>
      <c r="G183" s="32">
        <f t="shared" ref="G183:I199" si="35">F183</f>
        <v>1</v>
      </c>
      <c r="H183" s="32">
        <f t="shared" si="35"/>
        <v>1</v>
      </c>
      <c r="I183" s="32">
        <f t="shared" si="35"/>
        <v>1</v>
      </c>
      <c r="J183" s="32"/>
      <c r="K183" s="32"/>
      <c r="L183" s="32"/>
      <c r="M183" s="32"/>
    </row>
    <row r="184" spans="2:13" outlineLevel="1" x14ac:dyDescent="0.2">
      <c r="B184" s="2">
        <v>170</v>
      </c>
      <c r="C184" s="33"/>
      <c r="D184" s="33"/>
      <c r="E184" s="29" t="s">
        <v>123</v>
      </c>
      <c r="F184" s="32">
        <v>0.16439999999999999</v>
      </c>
      <c r="G184" s="32">
        <f t="shared" si="35"/>
        <v>0.16439999999999999</v>
      </c>
      <c r="H184" s="32">
        <f t="shared" si="35"/>
        <v>0.16439999999999999</v>
      </c>
      <c r="I184" s="32">
        <f t="shared" si="35"/>
        <v>0.16439999999999999</v>
      </c>
      <c r="J184" s="32"/>
      <c r="K184" s="32"/>
      <c r="L184" s="32"/>
      <c r="M184" s="32"/>
    </row>
    <row r="185" spans="2:13" outlineLevel="1" x14ac:dyDescent="0.2">
      <c r="B185" s="2">
        <v>171</v>
      </c>
      <c r="C185" s="6"/>
      <c r="D185" s="6"/>
      <c r="E185" s="34" t="s">
        <v>124</v>
      </c>
      <c r="F185" s="32">
        <v>63422.311800000003</v>
      </c>
      <c r="G185" s="32">
        <f t="shared" si="35"/>
        <v>63422.311800000003</v>
      </c>
      <c r="H185" s="32">
        <f t="shared" si="35"/>
        <v>63422.311800000003</v>
      </c>
      <c r="I185" s="32">
        <f t="shared" si="35"/>
        <v>63422.311800000003</v>
      </c>
      <c r="J185" s="32"/>
      <c r="K185" s="32"/>
      <c r="L185" s="32"/>
      <c r="M185" s="32"/>
    </row>
    <row r="186" spans="2:13" outlineLevel="1" x14ac:dyDescent="0.2">
      <c r="B186" s="2">
        <v>172</v>
      </c>
      <c r="C186" s="6"/>
      <c r="D186" s="6"/>
      <c r="E186" s="34" t="s">
        <v>125</v>
      </c>
      <c r="F186" s="32">
        <v>345129.01459999999</v>
      </c>
      <c r="G186" s="32">
        <f t="shared" si="35"/>
        <v>345129.01459999999</v>
      </c>
      <c r="H186" s="32">
        <f t="shared" si="35"/>
        <v>345129.01459999999</v>
      </c>
      <c r="I186" s="32">
        <f t="shared" si="35"/>
        <v>345129.01459999999</v>
      </c>
      <c r="J186" s="32"/>
      <c r="K186" s="32"/>
      <c r="L186" s="32"/>
      <c r="M186" s="32"/>
    </row>
    <row r="187" spans="2:13" outlineLevel="1" x14ac:dyDescent="0.2">
      <c r="B187" s="2">
        <v>173</v>
      </c>
      <c r="C187" s="6"/>
      <c r="D187" s="6"/>
      <c r="E187" s="34" t="s">
        <v>141</v>
      </c>
      <c r="F187" s="17">
        <v>1630327994.0632999</v>
      </c>
      <c r="G187" s="17">
        <f t="shared" si="35"/>
        <v>1630327994.0632999</v>
      </c>
      <c r="H187" s="17">
        <f t="shared" si="35"/>
        <v>1630327994.0632999</v>
      </c>
      <c r="I187" s="17">
        <f t="shared" si="35"/>
        <v>1630327994.0632999</v>
      </c>
      <c r="J187" s="17"/>
      <c r="K187" s="17"/>
      <c r="L187" s="17"/>
      <c r="M187" s="17"/>
    </row>
    <row r="188" spans="2:13" outlineLevel="1" x14ac:dyDescent="0.2">
      <c r="B188" s="2">
        <v>174</v>
      </c>
      <c r="C188" s="33"/>
      <c r="D188" s="33"/>
      <c r="E188" s="29" t="s">
        <v>127</v>
      </c>
      <c r="F188" s="32">
        <v>1</v>
      </c>
      <c r="G188" s="32">
        <f t="shared" si="35"/>
        <v>1</v>
      </c>
      <c r="H188" s="32">
        <f t="shared" si="35"/>
        <v>1</v>
      </c>
      <c r="I188" s="32">
        <f t="shared" si="35"/>
        <v>1</v>
      </c>
      <c r="J188" s="32"/>
      <c r="K188" s="32"/>
      <c r="L188" s="32"/>
      <c r="M188" s="32"/>
    </row>
    <row r="189" spans="2:13" outlineLevel="1" x14ac:dyDescent="0.2">
      <c r="B189" s="2">
        <v>175</v>
      </c>
      <c r="C189" s="33"/>
      <c r="D189" s="33"/>
      <c r="E189" s="29" t="s">
        <v>128</v>
      </c>
      <c r="F189" s="32">
        <v>1</v>
      </c>
      <c r="G189" s="32">
        <f t="shared" si="35"/>
        <v>1</v>
      </c>
      <c r="H189" s="32">
        <f t="shared" si="35"/>
        <v>1</v>
      </c>
      <c r="I189" s="32">
        <f t="shared" si="35"/>
        <v>1</v>
      </c>
      <c r="J189" s="32"/>
      <c r="K189" s="32"/>
      <c r="L189" s="32"/>
      <c r="M189" s="32"/>
    </row>
    <row r="190" spans="2:13" outlineLevel="1" x14ac:dyDescent="0.2">
      <c r="B190" s="2">
        <v>176</v>
      </c>
      <c r="C190" s="33"/>
      <c r="D190" s="33"/>
      <c r="E190" s="29" t="s">
        <v>129</v>
      </c>
      <c r="F190" s="32">
        <v>1</v>
      </c>
      <c r="G190" s="32">
        <f t="shared" si="35"/>
        <v>1</v>
      </c>
      <c r="H190" s="32">
        <f t="shared" si="35"/>
        <v>1</v>
      </c>
      <c r="I190" s="32">
        <f t="shared" si="35"/>
        <v>1</v>
      </c>
      <c r="J190" s="32"/>
      <c r="K190" s="32"/>
      <c r="L190" s="32"/>
      <c r="M190" s="32"/>
    </row>
    <row r="191" spans="2:13" outlineLevel="1" x14ac:dyDescent="0.2">
      <c r="B191" s="2">
        <v>177</v>
      </c>
      <c r="C191" s="33"/>
      <c r="D191" s="33"/>
      <c r="E191" s="29" t="s">
        <v>130</v>
      </c>
      <c r="F191" s="32">
        <v>1</v>
      </c>
      <c r="G191" s="32">
        <f t="shared" si="35"/>
        <v>1</v>
      </c>
      <c r="H191" s="32">
        <f t="shared" si="35"/>
        <v>1</v>
      </c>
      <c r="I191" s="32">
        <f t="shared" si="35"/>
        <v>1</v>
      </c>
      <c r="J191" s="32"/>
      <c r="K191" s="32"/>
      <c r="L191" s="32"/>
      <c r="M191" s="32"/>
    </row>
    <row r="192" spans="2:13" outlineLevel="1" x14ac:dyDescent="0.2">
      <c r="B192" s="2">
        <v>178</v>
      </c>
      <c r="C192" s="33"/>
      <c r="D192" s="33"/>
      <c r="E192" s="29" t="s">
        <v>131</v>
      </c>
      <c r="F192" s="32">
        <v>1</v>
      </c>
      <c r="G192" s="32">
        <f t="shared" si="35"/>
        <v>1</v>
      </c>
      <c r="H192" s="32">
        <f t="shared" si="35"/>
        <v>1</v>
      </c>
      <c r="I192" s="32">
        <f t="shared" si="35"/>
        <v>1</v>
      </c>
      <c r="J192" s="32"/>
      <c r="K192" s="32"/>
      <c r="L192" s="32"/>
      <c r="M192" s="32"/>
    </row>
    <row r="193" spans="2:13" outlineLevel="1" x14ac:dyDescent="0.2">
      <c r="B193" s="2">
        <v>179</v>
      </c>
      <c r="C193" s="33"/>
      <c r="D193" s="33"/>
      <c r="E193" s="29" t="s">
        <v>132</v>
      </c>
      <c r="F193" s="32">
        <v>1</v>
      </c>
      <c r="G193" s="32">
        <f t="shared" si="35"/>
        <v>1</v>
      </c>
      <c r="H193" s="32">
        <f t="shared" si="35"/>
        <v>1</v>
      </c>
      <c r="I193" s="32">
        <f t="shared" si="35"/>
        <v>1</v>
      </c>
      <c r="J193" s="32"/>
      <c r="K193" s="32"/>
      <c r="L193" s="32"/>
      <c r="M193" s="32"/>
    </row>
    <row r="194" spans="2:13" outlineLevel="1" x14ac:dyDescent="0.2">
      <c r="B194" s="2">
        <v>180</v>
      </c>
      <c r="C194" s="33"/>
      <c r="D194" s="33"/>
      <c r="E194" s="29" t="s">
        <v>133</v>
      </c>
      <c r="F194" s="32">
        <v>1</v>
      </c>
      <c r="G194" s="32">
        <f t="shared" si="35"/>
        <v>1</v>
      </c>
      <c r="H194" s="32">
        <f t="shared" si="35"/>
        <v>1</v>
      </c>
      <c r="I194" s="32">
        <f t="shared" si="35"/>
        <v>1</v>
      </c>
      <c r="J194" s="32"/>
      <c r="K194" s="32"/>
      <c r="L194" s="32"/>
      <c r="M194" s="32"/>
    </row>
    <row r="195" spans="2:13" outlineLevel="1" x14ac:dyDescent="0.2">
      <c r="B195" s="2">
        <v>181</v>
      </c>
      <c r="C195" s="33"/>
      <c r="D195" s="33"/>
      <c r="E195" s="29" t="s">
        <v>134</v>
      </c>
      <c r="F195" s="32">
        <v>1</v>
      </c>
      <c r="G195" s="32">
        <f t="shared" si="35"/>
        <v>1</v>
      </c>
      <c r="H195" s="32">
        <f t="shared" si="35"/>
        <v>1</v>
      </c>
      <c r="I195" s="32">
        <f t="shared" si="35"/>
        <v>1</v>
      </c>
      <c r="J195" s="32"/>
      <c r="K195" s="32"/>
      <c r="L195" s="32"/>
      <c r="M195" s="32"/>
    </row>
    <row r="196" spans="2:13" outlineLevel="1" x14ac:dyDescent="0.2">
      <c r="B196" s="2">
        <v>182</v>
      </c>
      <c r="C196" s="33"/>
      <c r="D196" s="33"/>
      <c r="E196" s="29" t="s">
        <v>135</v>
      </c>
      <c r="F196" s="32">
        <v>1</v>
      </c>
      <c r="G196" s="32">
        <f t="shared" si="35"/>
        <v>1</v>
      </c>
      <c r="H196" s="32">
        <f t="shared" si="35"/>
        <v>1</v>
      </c>
      <c r="I196" s="32">
        <f t="shared" si="35"/>
        <v>1</v>
      </c>
      <c r="J196" s="32"/>
      <c r="K196" s="32"/>
      <c r="L196" s="32"/>
      <c r="M196" s="32"/>
    </row>
    <row r="197" spans="2:13" outlineLevel="1" x14ac:dyDescent="0.2">
      <c r="B197" s="2">
        <v>183</v>
      </c>
      <c r="C197" s="33"/>
      <c r="D197" s="33"/>
      <c r="E197" s="29" t="s">
        <v>136</v>
      </c>
      <c r="F197" s="32">
        <v>1</v>
      </c>
      <c r="G197" s="32">
        <f t="shared" si="35"/>
        <v>1</v>
      </c>
      <c r="H197" s="32">
        <f t="shared" si="35"/>
        <v>1</v>
      </c>
      <c r="I197" s="32">
        <f t="shared" si="35"/>
        <v>1</v>
      </c>
      <c r="J197" s="32"/>
      <c r="K197" s="32"/>
      <c r="L197" s="32"/>
      <c r="M197" s="32"/>
    </row>
    <row r="198" spans="2:13" outlineLevel="1" x14ac:dyDescent="0.2">
      <c r="B198" s="2">
        <v>184</v>
      </c>
      <c r="C198" s="6"/>
      <c r="D198" s="6"/>
      <c r="E198" s="34" t="s">
        <v>137</v>
      </c>
      <c r="F198" s="17">
        <v>2722.7979999999998</v>
      </c>
      <c r="G198" s="17">
        <f t="shared" si="35"/>
        <v>2722.7979999999998</v>
      </c>
      <c r="H198" s="17">
        <f t="shared" si="35"/>
        <v>2722.7979999999998</v>
      </c>
      <c r="I198" s="17">
        <f t="shared" si="35"/>
        <v>2722.7979999999998</v>
      </c>
      <c r="J198" s="17"/>
      <c r="K198" s="17"/>
      <c r="L198" s="17"/>
      <c r="M198" s="17"/>
    </row>
    <row r="199" spans="2:13" outlineLevel="1" x14ac:dyDescent="0.2">
      <c r="B199" s="2">
        <v>185</v>
      </c>
      <c r="C199" s="35"/>
      <c r="D199" s="35"/>
      <c r="E199" s="36" t="s">
        <v>138</v>
      </c>
      <c r="F199" s="32">
        <v>0.12859999999999999</v>
      </c>
      <c r="G199" s="32">
        <f t="shared" si="35"/>
        <v>0.12859999999999999</v>
      </c>
      <c r="H199" s="32">
        <f t="shared" si="35"/>
        <v>0.12859999999999999</v>
      </c>
      <c r="I199" s="32">
        <f t="shared" si="35"/>
        <v>0.12859999999999999</v>
      </c>
      <c r="J199" s="32"/>
      <c r="K199" s="32"/>
      <c r="L199" s="32"/>
      <c r="M199" s="32"/>
    </row>
    <row r="200" spans="2:13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</row>
    <row r="201" spans="2:13" outlineLevel="1" x14ac:dyDescent="0.2">
      <c r="B201" s="2">
        <v>187</v>
      </c>
      <c r="E201"/>
    </row>
    <row r="202" spans="2:13" outlineLevel="1" x14ac:dyDescent="0.2">
      <c r="B202" s="2">
        <v>188</v>
      </c>
      <c r="E202"/>
    </row>
    <row r="203" spans="2:13" outlineLevel="1" x14ac:dyDescent="0.2">
      <c r="B203" s="2">
        <v>189</v>
      </c>
      <c r="C203" s="8" t="s">
        <v>253</v>
      </c>
      <c r="D203" s="8"/>
      <c r="E203"/>
    </row>
    <row r="204" spans="2:13" outlineLevel="1" x14ac:dyDescent="0.2">
      <c r="B204" s="2">
        <v>190</v>
      </c>
      <c r="E204"/>
    </row>
    <row r="205" spans="2:13" outlineLevel="1" x14ac:dyDescent="0.2">
      <c r="B205" s="2">
        <v>191</v>
      </c>
      <c r="E205" t="s">
        <v>122</v>
      </c>
      <c r="F205" s="30">
        <v>1</v>
      </c>
      <c r="G205" s="30">
        <v>1</v>
      </c>
      <c r="H205" s="30">
        <v>1</v>
      </c>
      <c r="I205" s="30">
        <v>1</v>
      </c>
      <c r="J205" s="30"/>
      <c r="K205" s="30"/>
      <c r="L205" s="30"/>
      <c r="M205" s="30"/>
    </row>
    <row r="206" spans="2:13" outlineLevel="1" x14ac:dyDescent="0.2">
      <c r="B206" s="2">
        <v>192</v>
      </c>
      <c r="E206" t="s">
        <v>123</v>
      </c>
      <c r="F206" s="31">
        <v>-0.23846537992458341</v>
      </c>
      <c r="G206" s="31">
        <f t="shared" ref="G206:I209" si="36">LN(G152/G184)</f>
        <v>-0.25721514434880588</v>
      </c>
      <c r="H206" s="31">
        <f t="shared" si="36"/>
        <v>-0.26830148927663816</v>
      </c>
      <c r="I206" s="31">
        <f t="shared" si="36"/>
        <v>-0.30826191230757016</v>
      </c>
      <c r="J206" s="31"/>
      <c r="K206" s="31"/>
      <c r="L206" s="31"/>
      <c r="M206" s="31"/>
    </row>
    <row r="207" spans="2:13" outlineLevel="1" x14ac:dyDescent="0.2">
      <c r="B207" s="2">
        <v>193</v>
      </c>
      <c r="E207" t="s">
        <v>124</v>
      </c>
      <c r="F207" s="31">
        <v>8.6765978973477362E-2</v>
      </c>
      <c r="G207" s="31">
        <f t="shared" si="36"/>
        <v>9.2388344791844809E-2</v>
      </c>
      <c r="H207" s="31">
        <f t="shared" si="36"/>
        <v>9.5602324880983705E-2</v>
      </c>
      <c r="I207" s="31">
        <f t="shared" si="36"/>
        <v>0.10028485694812919</v>
      </c>
      <c r="J207" s="31"/>
      <c r="K207" s="31"/>
      <c r="L207" s="31"/>
      <c r="M207" s="31"/>
    </row>
    <row r="208" spans="2:13" outlineLevel="1" x14ac:dyDescent="0.2">
      <c r="B208" s="2">
        <v>194</v>
      </c>
      <c r="E208" t="s">
        <v>125</v>
      </c>
      <c r="F208" s="31">
        <v>9.5436827819632281E-2</v>
      </c>
      <c r="G208" s="31">
        <f t="shared" si="36"/>
        <v>9.5436827819632281E-2</v>
      </c>
      <c r="H208" s="31">
        <f t="shared" si="36"/>
        <v>9.5436827819632281E-2</v>
      </c>
      <c r="I208" s="31">
        <f t="shared" si="36"/>
        <v>9.5436827819632281E-2</v>
      </c>
      <c r="J208" s="31"/>
      <c r="K208" s="31"/>
      <c r="L208" s="31"/>
      <c r="M208" s="31"/>
    </row>
    <row r="209" spans="1:13" outlineLevel="1" x14ac:dyDescent="0.2">
      <c r="B209" s="2">
        <v>195</v>
      </c>
      <c r="E209" t="s">
        <v>126</v>
      </c>
      <c r="F209" s="31">
        <v>-9.9653483567905432E-2</v>
      </c>
      <c r="G209" s="31">
        <f t="shared" si="36"/>
        <v>-8.1509488077125339E-2</v>
      </c>
      <c r="H209" s="31">
        <f t="shared" si="36"/>
        <v>-9.4360854316133391E-2</v>
      </c>
      <c r="I209" s="31">
        <f t="shared" si="36"/>
        <v>-9.6667665251315052E-2</v>
      </c>
      <c r="J209" s="31"/>
      <c r="K209" s="31"/>
      <c r="L209" s="31"/>
      <c r="M209" s="31"/>
    </row>
    <row r="210" spans="1:13" outlineLevel="1" x14ac:dyDescent="0.2">
      <c r="B210" s="2">
        <v>196</v>
      </c>
      <c r="E210" t="s">
        <v>127</v>
      </c>
      <c r="F210" s="31">
        <v>2.8432868711287956E-2</v>
      </c>
      <c r="G210" s="31">
        <f t="shared" ref="G210:I213" si="37">G206*G206/2</f>
        <v>3.3079815241188526E-2</v>
      </c>
      <c r="H210" s="31">
        <f t="shared" si="37"/>
        <v>3.5992844574030992E-2</v>
      </c>
      <c r="I210" s="31">
        <f t="shared" si="37"/>
        <v>4.7512703289760039E-2</v>
      </c>
      <c r="J210" s="31"/>
      <c r="K210" s="31"/>
      <c r="L210" s="31"/>
      <c r="M210" s="31"/>
    </row>
    <row r="211" spans="1:13" outlineLevel="1" x14ac:dyDescent="0.2">
      <c r="B211" s="2">
        <v>197</v>
      </c>
      <c r="E211" t="s">
        <v>128</v>
      </c>
      <c r="F211" s="31">
        <v>3.7641675536129577E-3</v>
      </c>
      <c r="G211" s="31">
        <f t="shared" si="37"/>
        <v>4.2678031266883991E-3</v>
      </c>
      <c r="H211" s="31">
        <f t="shared" si="37"/>
        <v>4.5699022613245781E-3</v>
      </c>
      <c r="I211" s="31">
        <f t="shared" si="37"/>
        <v>5.0285262665533681E-3</v>
      </c>
      <c r="J211" s="31"/>
      <c r="K211" s="31"/>
      <c r="L211" s="31"/>
      <c r="M211" s="31"/>
    </row>
    <row r="212" spans="1:13" outlineLevel="1" x14ac:dyDescent="0.2">
      <c r="B212" s="2">
        <v>198</v>
      </c>
      <c r="E212" t="s">
        <v>129</v>
      </c>
      <c r="F212" s="31">
        <v>4.5540940521370688E-3</v>
      </c>
      <c r="G212" s="31">
        <f t="shared" si="37"/>
        <v>4.5540940521370688E-3</v>
      </c>
      <c r="H212" s="31">
        <f t="shared" si="37"/>
        <v>4.5540940521370688E-3</v>
      </c>
      <c r="I212" s="31">
        <f t="shared" si="37"/>
        <v>4.5540940521370688E-3</v>
      </c>
      <c r="J212" s="31"/>
      <c r="K212" s="31"/>
      <c r="L212" s="31"/>
      <c r="M212" s="31"/>
    </row>
    <row r="213" spans="1:13" outlineLevel="1" x14ac:dyDescent="0.2">
      <c r="B213" s="2">
        <v>199</v>
      </c>
      <c r="E213" t="s">
        <v>130</v>
      </c>
      <c r="F213" s="31">
        <v>4.9654083936093987E-3</v>
      </c>
      <c r="G213" s="31">
        <f t="shared" si="37"/>
        <v>3.3218983232975187E-3</v>
      </c>
      <c r="H213" s="31">
        <f t="shared" si="37"/>
        <v>4.4519854136352748E-3</v>
      </c>
      <c r="I213" s="31">
        <f t="shared" si="37"/>
        <v>4.672318752570152E-3</v>
      </c>
      <c r="J213" s="31"/>
      <c r="K213" s="31"/>
      <c r="L213" s="31"/>
      <c r="M213" s="31"/>
    </row>
    <row r="214" spans="1:13" outlineLevel="1" x14ac:dyDescent="0.2">
      <c r="B214" s="2">
        <v>200</v>
      </c>
      <c r="E214" t="s">
        <v>131</v>
      </c>
      <c r="F214" s="31">
        <v>-2.0690682140438694E-2</v>
      </c>
      <c r="G214" s="31">
        <f t="shared" ref="G214:I214" si="38">G206*G207</f>
        <v>-2.376368144178161E-2</v>
      </c>
      <c r="H214" s="31">
        <f t="shared" si="38"/>
        <v>-2.5650246143876926E-2</v>
      </c>
      <c r="I214" s="31">
        <f t="shared" si="38"/>
        <v>-3.0914001778321418E-2</v>
      </c>
      <c r="J214" s="31"/>
      <c r="K214" s="31"/>
      <c r="L214" s="31"/>
      <c r="M214" s="31"/>
    </row>
    <row r="215" spans="1:13" outlineLevel="1" x14ac:dyDescent="0.2">
      <c r="B215" s="2">
        <v>201</v>
      </c>
      <c r="E215" t="s">
        <v>132</v>
      </c>
      <c r="F215" s="31">
        <v>-2.2758379404805663E-2</v>
      </c>
      <c r="G215" s="31">
        <f t="shared" ref="G215:I215" si="39">G206*G208</f>
        <v>-2.4547797443818849E-2</v>
      </c>
      <c r="H215" s="31">
        <f t="shared" si="39"/>
        <v>-2.5605843035845434E-2</v>
      </c>
      <c r="I215" s="31">
        <f t="shared" si="39"/>
        <v>-2.9419539048248157E-2</v>
      </c>
      <c r="J215" s="31"/>
      <c r="K215" s="31"/>
      <c r="L215" s="31"/>
      <c r="M215" s="31"/>
    </row>
    <row r="216" spans="1:13" outlineLevel="1" x14ac:dyDescent="0.2">
      <c r="B216" s="2">
        <v>202</v>
      </c>
      <c r="E216" t="s">
        <v>133</v>
      </c>
      <c r="F216" s="31">
        <v>2.37639058198288E-2</v>
      </c>
      <c r="G216" s="31">
        <f t="shared" ref="G216:I216" si="40">G206*G209</f>
        <v>2.0965474741555065E-2</v>
      </c>
      <c r="H216" s="31">
        <f t="shared" si="40"/>
        <v>2.5317157742434478E-2</v>
      </c>
      <c r="I216" s="31">
        <f t="shared" si="40"/>
        <v>2.9798959348678426E-2</v>
      </c>
      <c r="J216" s="31"/>
      <c r="K216" s="31"/>
      <c r="L216" s="31"/>
      <c r="M216" s="31"/>
    </row>
    <row r="217" spans="1:13" outlineLevel="1" x14ac:dyDescent="0.2">
      <c r="B217" s="2">
        <v>203</v>
      </c>
      <c r="E217" t="s">
        <v>134</v>
      </c>
      <c r="F217" s="31">
        <v>8.2806697958935933E-3</v>
      </c>
      <c r="G217" s="31">
        <f t="shared" ref="G217:I217" si="41">G207*G208</f>
        <v>8.817250554440114E-3</v>
      </c>
      <c r="H217" s="31">
        <f t="shared" si="41"/>
        <v>9.1239826188229886E-3</v>
      </c>
      <c r="I217" s="31">
        <f t="shared" si="41"/>
        <v>9.5708686254750604E-3</v>
      </c>
      <c r="J217" s="31"/>
      <c r="K217" s="31"/>
      <c r="L217" s="31"/>
      <c r="M217" s="31"/>
    </row>
    <row r="218" spans="1:13" outlineLevel="1" x14ac:dyDescent="0.2">
      <c r="B218" s="2">
        <v>204</v>
      </c>
      <c r="E218" t="s">
        <v>135</v>
      </c>
      <c r="F218" s="31">
        <v>-8.6465320598866548E-3</v>
      </c>
      <c r="G218" s="31">
        <f t="shared" ref="G218:I218" si="42">G207*G209</f>
        <v>-7.5305266882762191E-3</v>
      </c>
      <c r="H218" s="31">
        <f t="shared" si="42"/>
        <v>-9.0211170503781586E-3</v>
      </c>
      <c r="I218" s="31">
        <f t="shared" si="42"/>
        <v>-9.69430298123777E-3</v>
      </c>
      <c r="J218" s="31"/>
      <c r="K218" s="31"/>
      <c r="L218" s="31"/>
      <c r="M218" s="31"/>
    </row>
    <row r="219" spans="1:13" outlineLevel="1" x14ac:dyDescent="0.2">
      <c r="B219" s="2">
        <v>205</v>
      </c>
      <c r="E219" t="s">
        <v>136</v>
      </c>
      <c r="F219" s="31">
        <v>-9.5106123528967447E-3</v>
      </c>
      <c r="G219" s="31">
        <f t="shared" ref="G219:I219" si="43">G208*G209</f>
        <v>-7.7790069792829809E-3</v>
      </c>
      <c r="H219" s="31">
        <f t="shared" si="43"/>
        <v>-9.0055006062822272E-3</v>
      </c>
      <c r="I219" s="31">
        <f t="shared" si="43"/>
        <v>-9.2256553243156049E-3</v>
      </c>
      <c r="J219" s="31"/>
      <c r="K219" s="31"/>
      <c r="L219" s="31"/>
      <c r="M219" s="31"/>
    </row>
    <row r="220" spans="1:13" outlineLevel="1" x14ac:dyDescent="0.2">
      <c r="B220" s="2">
        <v>206</v>
      </c>
      <c r="E220" t="s">
        <v>137</v>
      </c>
      <c r="F220" s="31">
        <v>-0.57678155437900869</v>
      </c>
      <c r="G220" s="31">
        <f t="shared" ref="G220:I220" si="44">LN(G156/G198)</f>
        <v>-0.57726859251064089</v>
      </c>
      <c r="H220" s="31">
        <f t="shared" si="44"/>
        <v>-0.57778633056494266</v>
      </c>
      <c r="I220" s="31">
        <f t="shared" si="44"/>
        <v>-0.57824338097049344</v>
      </c>
      <c r="J220" s="31"/>
      <c r="K220" s="31"/>
      <c r="L220" s="31"/>
      <c r="M220" s="31"/>
    </row>
    <row r="221" spans="1:13" outlineLevel="1" x14ac:dyDescent="0.2">
      <c r="B221" s="2">
        <v>207</v>
      </c>
      <c r="E221" t="s">
        <v>138</v>
      </c>
      <c r="F221" s="20">
        <v>0.2875916702820604</v>
      </c>
      <c r="G221" s="20">
        <f t="shared" ref="G221:I221" si="45">G157/G199</f>
        <v>0.37435552850353493</v>
      </c>
      <c r="H221" s="20">
        <f t="shared" si="45"/>
        <v>0.36501882197011226</v>
      </c>
      <c r="I221" s="20">
        <f t="shared" si="45"/>
        <v>0.3826657738534745</v>
      </c>
      <c r="J221" s="20"/>
      <c r="K221" s="20"/>
      <c r="L221" s="20"/>
      <c r="M221" s="20"/>
    </row>
    <row r="222" spans="1:13" s="37" customFormat="1" outlineLevel="1" x14ac:dyDescent="0.2">
      <c r="A222"/>
      <c r="B222" s="2">
        <v>208</v>
      </c>
      <c r="E222" t="s">
        <v>139</v>
      </c>
      <c r="F222" s="31">
        <v>17</v>
      </c>
      <c r="G222" s="31">
        <f t="shared" ref="G222:I222" si="46">G158</f>
        <v>18</v>
      </c>
      <c r="H222" s="31">
        <f t="shared" si="46"/>
        <v>19</v>
      </c>
      <c r="I222" s="31">
        <f t="shared" si="46"/>
        <v>20</v>
      </c>
      <c r="J222" s="31"/>
      <c r="K222" s="31"/>
      <c r="L222" s="31"/>
      <c r="M222" s="31"/>
    </row>
    <row r="223" spans="1:13" outlineLevel="1" x14ac:dyDescent="0.2">
      <c r="B223" s="2">
        <v>209</v>
      </c>
      <c r="E223"/>
    </row>
    <row r="224" spans="1:13" outlineLevel="1" x14ac:dyDescent="0.2">
      <c r="B224" s="2">
        <v>210</v>
      </c>
      <c r="C224" s="8" t="s">
        <v>254</v>
      </c>
      <c r="D224" s="8"/>
      <c r="E224"/>
    </row>
    <row r="225" spans="2:13" outlineLevel="1" x14ac:dyDescent="0.2">
      <c r="B225" s="2">
        <v>211</v>
      </c>
      <c r="E225"/>
    </row>
    <row r="226" spans="2:13" outlineLevel="1" x14ac:dyDescent="0.2">
      <c r="B226" s="2">
        <v>212</v>
      </c>
      <c r="E226" t="s">
        <v>122</v>
      </c>
      <c r="F226" s="33">
        <v>12.816805233884939</v>
      </c>
      <c r="G226" s="33">
        <f t="shared" ref="G226:I241" si="47">G162*G205</f>
        <v>12.816805233884939</v>
      </c>
      <c r="H226" s="33">
        <f t="shared" si="47"/>
        <v>12.816805233884939</v>
      </c>
      <c r="I226" s="33">
        <f t="shared" si="47"/>
        <v>12.816805233884939</v>
      </c>
      <c r="J226" s="33"/>
      <c r="K226" s="33"/>
      <c r="L226" s="33"/>
      <c r="M226" s="33"/>
    </row>
    <row r="227" spans="2:13" outlineLevel="1" x14ac:dyDescent="0.2">
      <c r="B227" s="2">
        <v>213</v>
      </c>
      <c r="E227" t="s">
        <v>123</v>
      </c>
      <c r="F227" s="33">
        <v>-0.14938730740231043</v>
      </c>
      <c r="G227" s="33">
        <f t="shared" si="47"/>
        <v>-0.16113315001748607</v>
      </c>
      <c r="H227" s="33">
        <f t="shared" si="47"/>
        <v>-0.16807822195298422</v>
      </c>
      <c r="I227" s="33">
        <f t="shared" si="47"/>
        <v>-0.19311154125969504</v>
      </c>
      <c r="J227" s="33"/>
      <c r="K227" s="33"/>
      <c r="L227" s="33"/>
      <c r="M227" s="33"/>
    </row>
    <row r="228" spans="2:13" outlineLevel="1" x14ac:dyDescent="0.2">
      <c r="B228" s="2">
        <v>214</v>
      </c>
      <c r="E228" t="s">
        <v>124</v>
      </c>
      <c r="F228" s="33">
        <v>3.8067173034180619E-2</v>
      </c>
      <c r="G228" s="33">
        <f t="shared" si="47"/>
        <v>4.0533895302532832E-2</v>
      </c>
      <c r="H228" s="33">
        <f t="shared" si="47"/>
        <v>4.1943977199022014E-2</v>
      </c>
      <c r="I228" s="33">
        <f t="shared" si="47"/>
        <v>4.3998362576182504E-2</v>
      </c>
      <c r="J228" s="33"/>
      <c r="K228" s="33"/>
      <c r="L228" s="33"/>
      <c r="M228" s="33"/>
    </row>
    <row r="229" spans="2:13" outlineLevel="1" x14ac:dyDescent="0.2">
      <c r="B229" s="2">
        <v>215</v>
      </c>
      <c r="E229" t="s">
        <v>125</v>
      </c>
      <c r="F229" s="33">
        <v>1.5566068796261245E-2</v>
      </c>
      <c r="G229" s="33">
        <f t="shared" si="47"/>
        <v>1.5566068796261245E-2</v>
      </c>
      <c r="H229" s="33">
        <f t="shared" si="47"/>
        <v>1.5566068796261245E-2</v>
      </c>
      <c r="I229" s="33">
        <f t="shared" si="47"/>
        <v>1.5566068796261245E-2</v>
      </c>
      <c r="J229" s="33"/>
      <c r="K229" s="33"/>
      <c r="L229" s="33"/>
      <c r="M229" s="33"/>
    </row>
    <row r="230" spans="2:13" outlineLevel="1" x14ac:dyDescent="0.2">
      <c r="B230" s="2">
        <v>216</v>
      </c>
      <c r="E230" t="s">
        <v>126</v>
      </c>
      <c r="F230" s="33">
        <v>-1.0869364570095743E-2</v>
      </c>
      <c r="G230" s="33">
        <f t="shared" si="47"/>
        <v>-8.8903700112845842E-3</v>
      </c>
      <c r="H230" s="33">
        <f t="shared" si="47"/>
        <v>-1.0292089046830535E-2</v>
      </c>
      <c r="I230" s="33">
        <f t="shared" si="47"/>
        <v>-1.0543696598830334E-2</v>
      </c>
      <c r="J230" s="33"/>
      <c r="K230" s="33"/>
      <c r="L230" s="33"/>
      <c r="M230" s="33"/>
    </row>
    <row r="231" spans="2:13" outlineLevel="1" x14ac:dyDescent="0.2">
      <c r="B231" s="2">
        <v>217</v>
      </c>
      <c r="E231" t="s">
        <v>127</v>
      </c>
      <c r="F231" s="33">
        <v>3.4940497737073993E-3</v>
      </c>
      <c r="G231" s="33">
        <f t="shared" si="47"/>
        <v>4.0651023339009981E-3</v>
      </c>
      <c r="H231" s="33">
        <f t="shared" si="47"/>
        <v>4.4230778018206464E-3</v>
      </c>
      <c r="I231" s="33">
        <f t="shared" si="47"/>
        <v>5.8387267167278687E-3</v>
      </c>
      <c r="J231" s="33"/>
      <c r="K231" s="33"/>
      <c r="L231" s="33"/>
      <c r="M231" s="33"/>
    </row>
    <row r="232" spans="2:13" outlineLevel="1" x14ac:dyDescent="0.2">
      <c r="B232" s="2">
        <v>218</v>
      </c>
      <c r="E232" t="s">
        <v>128</v>
      </c>
      <c r="F232" s="33">
        <v>-1.4017309076276411E-3</v>
      </c>
      <c r="G232" s="33">
        <f t="shared" si="47"/>
        <v>-1.5892787622078664E-3</v>
      </c>
      <c r="H232" s="33">
        <f t="shared" si="47"/>
        <v>-1.7017768612312869E-3</v>
      </c>
      <c r="I232" s="33">
        <f t="shared" si="47"/>
        <v>-1.8725629471195552E-3</v>
      </c>
      <c r="J232" s="33"/>
      <c r="K232" s="33"/>
      <c r="L232" s="33"/>
      <c r="M232" s="33"/>
    </row>
    <row r="233" spans="2:13" outlineLevel="1" x14ac:dyDescent="0.2">
      <c r="B233" s="2">
        <v>219</v>
      </c>
      <c r="E233" t="s">
        <v>129</v>
      </c>
      <c r="F233" s="33">
        <v>8.6510648300228826E-4</v>
      </c>
      <c r="G233" s="33">
        <f t="shared" si="47"/>
        <v>8.6510648300228826E-4</v>
      </c>
      <c r="H233" s="33">
        <f t="shared" si="47"/>
        <v>8.6510648300228826E-4</v>
      </c>
      <c r="I233" s="33">
        <f t="shared" si="47"/>
        <v>8.6510648300228826E-4</v>
      </c>
      <c r="J233" s="33"/>
      <c r="K233" s="33"/>
      <c r="L233" s="33"/>
      <c r="M233" s="33"/>
    </row>
    <row r="234" spans="2:13" outlineLevel="1" x14ac:dyDescent="0.2">
      <c r="B234" s="2">
        <v>220</v>
      </c>
      <c r="E234" t="s">
        <v>130</v>
      </c>
      <c r="F234" s="33">
        <v>8.5348800289395429E-4</v>
      </c>
      <c r="G234" s="33">
        <f t="shared" si="47"/>
        <v>5.7099036796589512E-4</v>
      </c>
      <c r="H234" s="33">
        <f t="shared" si="47"/>
        <v>7.6523738600976158E-4</v>
      </c>
      <c r="I234" s="33">
        <f t="shared" si="47"/>
        <v>8.031097716247117E-4</v>
      </c>
      <c r="J234" s="33"/>
      <c r="K234" s="33"/>
      <c r="L234" s="33"/>
      <c r="M234" s="33"/>
    </row>
    <row r="235" spans="2:13" outlineLevel="1" x14ac:dyDescent="0.2">
      <c r="B235" s="2">
        <v>221</v>
      </c>
      <c r="E235" t="s">
        <v>131</v>
      </c>
      <c r="F235" s="33">
        <v>-1.1198609985642231E-3</v>
      </c>
      <c r="G235" s="33">
        <f t="shared" si="47"/>
        <v>-1.2861837927007761E-3</v>
      </c>
      <c r="H235" s="33">
        <f t="shared" si="47"/>
        <v>-1.3882920855450875E-3</v>
      </c>
      <c r="I235" s="33">
        <f t="shared" si="47"/>
        <v>-1.6731872185801785E-3</v>
      </c>
      <c r="J235" s="33"/>
      <c r="K235" s="33"/>
      <c r="L235" s="33"/>
      <c r="M235" s="33"/>
    </row>
    <row r="236" spans="2:13" outlineLevel="1" x14ac:dyDescent="0.2">
      <c r="B236" s="2">
        <v>222</v>
      </c>
      <c r="E236" t="s">
        <v>132</v>
      </c>
      <c r="F236" s="33">
        <v>-2.1442452852435444E-4</v>
      </c>
      <c r="G236" s="33">
        <f t="shared" si="47"/>
        <v>-2.3128403826903145E-4</v>
      </c>
      <c r="H236" s="33">
        <f t="shared" si="47"/>
        <v>-2.4125271500089336E-4</v>
      </c>
      <c r="I236" s="33">
        <f t="shared" si="47"/>
        <v>-2.7718453399596592E-4</v>
      </c>
      <c r="J236" s="33"/>
      <c r="K236" s="33"/>
      <c r="L236" s="33"/>
      <c r="M236" s="33"/>
    </row>
    <row r="237" spans="2:13" outlineLevel="1" x14ac:dyDescent="0.2">
      <c r="B237" s="2">
        <v>223</v>
      </c>
      <c r="E237" t="s">
        <v>133</v>
      </c>
      <c r="F237" s="33">
        <v>-6.1870788613287452E-6</v>
      </c>
      <c r="G237" s="33">
        <f t="shared" si="47"/>
        <v>-5.4584901394013177E-6</v>
      </c>
      <c r="H237" s="33">
        <f t="shared" si="47"/>
        <v>-6.591477540970586E-6</v>
      </c>
      <c r="I237" s="33">
        <f t="shared" si="47"/>
        <v>-7.758342120762163E-6</v>
      </c>
      <c r="J237" s="33"/>
      <c r="K237" s="33"/>
      <c r="L237" s="33"/>
      <c r="M237" s="33"/>
    </row>
    <row r="238" spans="2:13" outlineLevel="1" x14ac:dyDescent="0.2">
      <c r="B238" s="2">
        <v>224</v>
      </c>
      <c r="E238" t="s">
        <v>134</v>
      </c>
      <c r="F238" s="33">
        <v>1.1762239816006928E-3</v>
      </c>
      <c r="G238" s="33">
        <f t="shared" si="47"/>
        <v>1.2524423518321553E-3</v>
      </c>
      <c r="H238" s="33">
        <f t="shared" si="47"/>
        <v>1.2960119686561398E-3</v>
      </c>
      <c r="I238" s="33">
        <f t="shared" si="47"/>
        <v>1.3594896885776126E-3</v>
      </c>
      <c r="J238" s="33"/>
      <c r="K238" s="33"/>
      <c r="L238" s="33"/>
      <c r="M238" s="33"/>
    </row>
    <row r="239" spans="2:13" outlineLevel="1" x14ac:dyDescent="0.2">
      <c r="B239" s="2">
        <v>225</v>
      </c>
      <c r="E239" t="s">
        <v>135</v>
      </c>
      <c r="F239" s="33">
        <v>-5.1907893895728982E-4</v>
      </c>
      <c r="G239" s="33">
        <f t="shared" si="47"/>
        <v>-4.5208157167131522E-4</v>
      </c>
      <c r="H239" s="33">
        <f t="shared" si="47"/>
        <v>-5.4156647246401295E-4</v>
      </c>
      <c r="I239" s="33">
        <f t="shared" si="47"/>
        <v>-5.8197997423459018E-4</v>
      </c>
      <c r="J239" s="33"/>
      <c r="K239" s="33"/>
      <c r="L239" s="33"/>
      <c r="M239" s="33"/>
    </row>
    <row r="240" spans="2:13" outlineLevel="1" x14ac:dyDescent="0.2">
      <c r="B240" s="2">
        <v>226</v>
      </c>
      <c r="E240" t="s">
        <v>136</v>
      </c>
      <c r="F240" s="33">
        <v>1.8861586027303281E-3</v>
      </c>
      <c r="G240" s="33">
        <f t="shared" si="47"/>
        <v>1.542744083161472E-3</v>
      </c>
      <c r="H240" s="33">
        <f t="shared" si="47"/>
        <v>1.7859840996735472E-3</v>
      </c>
      <c r="I240" s="33">
        <f t="shared" si="47"/>
        <v>1.8296455065254255E-3</v>
      </c>
      <c r="J240" s="33"/>
      <c r="K240" s="33"/>
      <c r="L240" s="33"/>
      <c r="M240" s="33"/>
    </row>
    <row r="241" spans="1:13" outlineLevel="1" x14ac:dyDescent="0.2">
      <c r="B241" s="2">
        <v>227</v>
      </c>
      <c r="E241" t="s">
        <v>137</v>
      </c>
      <c r="F241" s="33">
        <v>-0.16446869000766873</v>
      </c>
      <c r="G241" s="33">
        <f t="shared" si="47"/>
        <v>-0.16460756844940319</v>
      </c>
      <c r="H241" s="33">
        <f t="shared" si="47"/>
        <v>-0.164755200943736</v>
      </c>
      <c r="I241" s="33">
        <f t="shared" si="47"/>
        <v>-0.1648855284150251</v>
      </c>
      <c r="J241" s="33"/>
      <c r="K241" s="33"/>
      <c r="L241" s="33"/>
      <c r="M241" s="33"/>
    </row>
    <row r="242" spans="1:13" outlineLevel="1" x14ac:dyDescent="0.2">
      <c r="B242" s="2">
        <v>228</v>
      </c>
      <c r="E242" t="s">
        <v>138</v>
      </c>
      <c r="F242" s="33">
        <v>4.7147614926570684E-3</v>
      </c>
      <c r="G242" s="33">
        <f t="shared" ref="G242:I243" si="48">G178*G221</f>
        <v>6.1371632517057996E-3</v>
      </c>
      <c r="H242" s="33">
        <f t="shared" si="48"/>
        <v>5.9840978156003415E-3</v>
      </c>
      <c r="I242" s="33">
        <f t="shared" si="48"/>
        <v>6.2734009415248418E-3</v>
      </c>
      <c r="J242" s="33"/>
      <c r="K242" s="33"/>
      <c r="L242" s="33"/>
      <c r="M242" s="33"/>
    </row>
    <row r="243" spans="1:13" outlineLevel="1" x14ac:dyDescent="0.2">
      <c r="B243" s="2">
        <v>229</v>
      </c>
      <c r="E243" t="s">
        <v>139</v>
      </c>
      <c r="F243" s="33">
        <v>0.29047899425127172</v>
      </c>
      <c r="G243" s="33">
        <f t="shared" si="48"/>
        <v>0.30756599391311124</v>
      </c>
      <c r="H243" s="33">
        <f t="shared" si="48"/>
        <v>0.32465299357495075</v>
      </c>
      <c r="I243" s="33">
        <f t="shared" si="48"/>
        <v>0.34173999323679027</v>
      </c>
      <c r="J243" s="33"/>
      <c r="K243" s="33"/>
      <c r="L243" s="33"/>
      <c r="M243" s="33"/>
    </row>
    <row r="244" spans="1:13" outlineLevel="1" x14ac:dyDescent="0.2">
      <c r="B244" s="2">
        <v>230</v>
      </c>
      <c r="E244"/>
    </row>
    <row r="245" spans="1:13" outlineLevel="1" x14ac:dyDescent="0.2">
      <c r="B245" s="2">
        <v>231</v>
      </c>
      <c r="E245" t="s">
        <v>142</v>
      </c>
      <c r="F245" s="27">
        <v>12.845920613870634</v>
      </c>
      <c r="G245" s="186">
        <f t="shared" ref="G245:I245" si="49">SUM(G226:G243)</f>
        <v>12.85670936563525</v>
      </c>
      <c r="H245" s="27">
        <f t="shared" si="49"/>
        <v>12.8670827974546</v>
      </c>
      <c r="I245" s="27">
        <f t="shared" si="49"/>
        <v>12.862125698312557</v>
      </c>
      <c r="J245" s="27"/>
      <c r="K245" s="27"/>
      <c r="L245" s="27"/>
      <c r="M245" s="27"/>
    </row>
    <row r="246" spans="1:13" outlineLevel="1" x14ac:dyDescent="0.2">
      <c r="B246" s="2">
        <v>232</v>
      </c>
      <c r="E246" t="s">
        <v>143</v>
      </c>
      <c r="F246" s="6">
        <f>EXP(F245)</f>
        <v>379238.51521714975</v>
      </c>
      <c r="G246" s="6">
        <f>EXP(G245)</f>
        <v>383352.17614926788</v>
      </c>
      <c r="H246" s="6">
        <f t="shared" ref="H246:I246" si="50">EXP(H245)</f>
        <v>387349.5512144395</v>
      </c>
      <c r="I246" s="6">
        <f t="shared" si="50"/>
        <v>385434.17237004533</v>
      </c>
      <c r="J246" s="6"/>
      <c r="K246" s="6"/>
      <c r="L246" s="6"/>
      <c r="M246" s="6"/>
    </row>
    <row r="247" spans="1:13" outlineLevel="1" x14ac:dyDescent="0.2">
      <c r="B247" s="2">
        <v>233</v>
      </c>
      <c r="E247" t="s">
        <v>144</v>
      </c>
      <c r="F247" s="15">
        <f>F137</f>
        <v>172.13652489185196</v>
      </c>
      <c r="G247" s="15">
        <f t="shared" ref="G247:I247" si="51">G137</f>
        <v>179.23527034784786</v>
      </c>
      <c r="H247" s="15">
        <f t="shared" si="51"/>
        <v>186.01704613805109</v>
      </c>
      <c r="I247" s="15">
        <f t="shared" si="51"/>
        <v>192.65253532304266</v>
      </c>
      <c r="J247" s="15"/>
      <c r="K247" s="15"/>
      <c r="L247" s="15"/>
      <c r="M247" s="15"/>
    </row>
    <row r="248" spans="1:13" x14ac:dyDescent="0.2">
      <c r="B248" s="2">
        <v>234</v>
      </c>
      <c r="E248" s="8" t="s">
        <v>145</v>
      </c>
      <c r="F248" s="6">
        <v>65280800.114625879</v>
      </c>
      <c r="G248" s="6">
        <f>G246*G247</f>
        <v>68710230.930549815</v>
      </c>
      <c r="H248" s="6">
        <f t="shared" ref="H248:I248" si="52">H246*H247</f>
        <v>72053619.339809775</v>
      </c>
      <c r="I248" s="6">
        <f t="shared" si="52"/>
        <v>74254870.507227868</v>
      </c>
      <c r="J248" s="6"/>
      <c r="K248" s="6"/>
      <c r="L248" s="6"/>
      <c r="M248" s="6"/>
    </row>
    <row r="249" spans="1:13" x14ac:dyDescent="0.2">
      <c r="B249" s="2">
        <v>235</v>
      </c>
    </row>
    <row r="250" spans="1:13" x14ac:dyDescent="0.2">
      <c r="B250" s="2">
        <v>236</v>
      </c>
      <c r="E250"/>
    </row>
    <row r="251" spans="1:13" x14ac:dyDescent="0.2">
      <c r="E251"/>
    </row>
    <row r="252" spans="1:13" x14ac:dyDescent="0.2">
      <c r="E252"/>
    </row>
    <row r="253" spans="1:13" ht="13.5" thickBot="1" x14ac:dyDescent="0.25">
      <c r="A253" s="206" t="s">
        <v>146</v>
      </c>
      <c r="B253" s="206"/>
      <c r="C253" s="206"/>
      <c r="D253" s="206"/>
      <c r="E253" s="206"/>
      <c r="F253" s="206"/>
      <c r="G253" s="206"/>
      <c r="H253" s="206"/>
      <c r="I253" s="206"/>
      <c r="J253" s="206"/>
      <c r="K253" s="206"/>
      <c r="L253" s="6"/>
      <c r="M253" s="6"/>
    </row>
    <row r="254" spans="1:13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6"/>
      <c r="M254" s="6"/>
    </row>
    <row r="255" spans="1:13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6"/>
      <c r="M255" s="6"/>
    </row>
    <row r="256" spans="1:13" x14ac:dyDescent="0.2">
      <c r="A256" s="2"/>
      <c r="B256" s="2">
        <v>237</v>
      </c>
      <c r="C256" s="9" t="s">
        <v>94</v>
      </c>
      <c r="D256" s="2"/>
      <c r="F256" s="39">
        <f t="shared" ref="F256" si="53">F121</f>
        <v>59075630.546990201</v>
      </c>
      <c r="G256" s="39">
        <f t="shared" ref="G256:I256" si="54">G121</f>
        <v>61717631.16717159</v>
      </c>
      <c r="H256" s="39">
        <f t="shared" si="54"/>
        <v>67587881.572697252</v>
      </c>
      <c r="I256" s="39">
        <f t="shared" si="54"/>
        <v>73659217.608390078</v>
      </c>
      <c r="J256" s="39"/>
      <c r="K256" s="39"/>
      <c r="L256" s="39"/>
      <c r="M256" s="39"/>
    </row>
    <row r="257" spans="1:13" x14ac:dyDescent="0.2">
      <c r="A257" s="2"/>
      <c r="B257" s="2">
        <v>238</v>
      </c>
      <c r="C257" s="9" t="s">
        <v>108</v>
      </c>
      <c r="D257" s="2"/>
      <c r="F257" s="39">
        <f t="shared" ref="F257" si="55">F248</f>
        <v>65280800.114625879</v>
      </c>
      <c r="G257" s="39">
        <f t="shared" ref="G257:I257" si="56">G248</f>
        <v>68710230.930549815</v>
      </c>
      <c r="H257" s="39">
        <f t="shared" si="56"/>
        <v>72053619.339809775</v>
      </c>
      <c r="I257" s="39">
        <f t="shared" si="56"/>
        <v>74254870.507227868</v>
      </c>
      <c r="J257" s="39"/>
      <c r="K257" s="39"/>
      <c r="L257" s="39"/>
      <c r="M257" s="39"/>
    </row>
    <row r="258" spans="1:13" x14ac:dyDescent="0.2">
      <c r="A258" s="2"/>
      <c r="B258" s="2">
        <v>239</v>
      </c>
      <c r="C258" t="s">
        <v>147</v>
      </c>
      <c r="E258"/>
      <c r="F258" s="17">
        <f t="shared" ref="F258" si="57">F256-F257</f>
        <v>-6205169.5676356778</v>
      </c>
      <c r="G258" s="17">
        <f t="shared" ref="G258:I258" si="58">G256-G257</f>
        <v>-6992599.7633782253</v>
      </c>
      <c r="H258" s="17">
        <f t="shared" si="58"/>
        <v>-4465737.7671125233</v>
      </c>
      <c r="I258" s="17">
        <f t="shared" si="58"/>
        <v>-595652.89883778989</v>
      </c>
      <c r="J258" s="17"/>
      <c r="K258" s="17"/>
      <c r="L258" s="17"/>
      <c r="M258" s="17"/>
    </row>
    <row r="259" spans="1:13" x14ac:dyDescent="0.2">
      <c r="A259" s="2"/>
      <c r="B259" s="2">
        <v>240</v>
      </c>
      <c r="C259" t="s">
        <v>148</v>
      </c>
      <c r="E259"/>
      <c r="F259" s="40">
        <f>F258/F257</f>
        <v>-9.5053515838348868E-2</v>
      </c>
      <c r="G259" s="40">
        <f t="shared" ref="G259:I259" si="59">G258/G257</f>
        <v>-0.10176941146430041</v>
      </c>
      <c r="H259" s="40">
        <f t="shared" si="59"/>
        <v>-6.197797984375774E-2</v>
      </c>
      <c r="I259" s="40">
        <f t="shared" si="59"/>
        <v>-8.0217350696182264E-3</v>
      </c>
      <c r="J259" s="40"/>
      <c r="K259" s="40"/>
      <c r="L259" s="40"/>
      <c r="M259" s="40"/>
    </row>
    <row r="260" spans="1:13" ht="13.5" thickBot="1" x14ac:dyDescent="0.25">
      <c r="B260" s="2">
        <v>241</v>
      </c>
    </row>
    <row r="261" spans="1:13" s="128" customFormat="1" ht="13.5" thickBot="1" x14ac:dyDescent="0.25">
      <c r="A261" s="19"/>
      <c r="B261" s="2">
        <v>242</v>
      </c>
      <c r="C261" s="126" t="s">
        <v>149</v>
      </c>
      <c r="D261" s="127"/>
      <c r="E261" s="127"/>
      <c r="F261" s="41">
        <f>LN(F256/F257)</f>
        <v>-9.9879470553704053E-2</v>
      </c>
      <c r="G261" s="41">
        <f>LN(G256/G257)</f>
        <v>-0.10732846353573672</v>
      </c>
      <c r="H261" s="41">
        <f t="shared" ref="H261:J261" si="60">LN(H256/H257)</f>
        <v>-6.3981854605147354E-2</v>
      </c>
      <c r="I261" s="41">
        <f t="shared" si="60"/>
        <v>-8.0540822897372695E-3</v>
      </c>
      <c r="J261" s="41" t="e">
        <f t="shared" si="60"/>
        <v>#DIV/0!</v>
      </c>
      <c r="K261" s="41" t="e">
        <f t="shared" ref="K261:L261" si="61">LN(K256/K257)</f>
        <v>#DIV/0!</v>
      </c>
      <c r="L261" s="41" t="e">
        <f t="shared" si="61"/>
        <v>#DIV/0!</v>
      </c>
      <c r="M261" s="41" t="e">
        <f t="shared" ref="M261" si="62">LN(M256/M257)</f>
        <v>#DIV/0!</v>
      </c>
    </row>
    <row r="262" spans="1:13" hidden="1" x14ac:dyDescent="0.2">
      <c r="A262" s="8"/>
      <c r="B262" s="2">
        <v>243</v>
      </c>
      <c r="D262" s="21">
        <v>186</v>
      </c>
      <c r="E262"/>
    </row>
    <row r="263" spans="1:13" hidden="1" x14ac:dyDescent="0.2">
      <c r="B263" s="2">
        <v>244</v>
      </c>
      <c r="E263"/>
    </row>
    <row r="264" spans="1:13" hidden="1" x14ac:dyDescent="0.2">
      <c r="B264" s="2">
        <v>245</v>
      </c>
      <c r="E264"/>
    </row>
    <row r="265" spans="1:13" hidden="1" x14ac:dyDescent="0.2">
      <c r="B265" s="2">
        <v>246</v>
      </c>
      <c r="C265" t="s">
        <v>150</v>
      </c>
      <c r="E265"/>
    </row>
    <row r="266" spans="1:13" hidden="1" x14ac:dyDescent="0.2">
      <c r="B266" s="2">
        <v>247</v>
      </c>
      <c r="E266" t="s">
        <v>151</v>
      </c>
      <c r="F266" s="42"/>
      <c r="G266" s="42"/>
      <c r="H266" s="42"/>
      <c r="I266" s="42"/>
      <c r="J266" s="42"/>
      <c r="K266" s="42"/>
      <c r="L266" s="42"/>
      <c r="M266" s="42"/>
    </row>
    <row r="267" spans="1:13" hidden="1" x14ac:dyDescent="0.2">
      <c r="B267" s="2">
        <v>248</v>
      </c>
      <c r="D267">
        <v>193</v>
      </c>
      <c r="E267" t="s">
        <v>152</v>
      </c>
      <c r="F267" s="20"/>
      <c r="G267" s="20"/>
      <c r="H267" s="20"/>
      <c r="I267" s="20"/>
      <c r="J267" s="20"/>
      <c r="K267" s="20"/>
      <c r="L267" s="20"/>
      <c r="M267" s="20"/>
    </row>
    <row r="268" spans="1:13" hidden="1" x14ac:dyDescent="0.2">
      <c r="B268" s="2">
        <v>249</v>
      </c>
      <c r="D268">
        <v>192</v>
      </c>
      <c r="E268" t="s">
        <v>153</v>
      </c>
      <c r="F268" s="20"/>
      <c r="G268" s="20"/>
      <c r="H268" s="20"/>
      <c r="I268" s="20"/>
      <c r="J268" s="20"/>
      <c r="K268" s="20"/>
      <c r="L268" s="20"/>
      <c r="M268" s="20"/>
    </row>
    <row r="269" spans="1:13" ht="13.5" hidden="1" thickBot="1" x14ac:dyDescent="0.25">
      <c r="B269" s="2">
        <v>250</v>
      </c>
      <c r="E269" s="44" t="s">
        <v>154</v>
      </c>
      <c r="F269" s="45"/>
      <c r="G269" s="45"/>
      <c r="H269" s="45"/>
      <c r="I269" s="45"/>
      <c r="J269" s="45"/>
      <c r="K269" s="45"/>
      <c r="L269" s="45"/>
      <c r="M269" s="45"/>
    </row>
    <row r="270" spans="1:13" hidden="1" x14ac:dyDescent="0.2">
      <c r="B270" s="2">
        <v>251</v>
      </c>
      <c r="E270"/>
    </row>
    <row r="271" spans="1:13" hidden="1" x14ac:dyDescent="0.2">
      <c r="B271" s="2">
        <v>252</v>
      </c>
      <c r="D271">
        <v>197</v>
      </c>
      <c r="E271"/>
    </row>
    <row r="272" spans="1:13" hidden="1" x14ac:dyDescent="0.2">
      <c r="A272" s="8"/>
      <c r="B272" s="2">
        <v>253</v>
      </c>
      <c r="C272" s="8"/>
      <c r="D272" s="8"/>
      <c r="E272"/>
    </row>
    <row r="274" spans="5:7" s="47" customFormat="1" x14ac:dyDescent="0.2">
      <c r="E274" s="46"/>
    </row>
    <row r="276" spans="5:7" x14ac:dyDescent="0.2">
      <c r="F276" s="25"/>
    </row>
    <row r="277" spans="5:7" x14ac:dyDescent="0.2">
      <c r="E277" s="2" t="s">
        <v>259</v>
      </c>
      <c r="F277" s="16">
        <f>F256/F96</f>
        <v>854.05199501221898</v>
      </c>
      <c r="G277" s="16">
        <f>G256/G96</f>
        <v>887.24473724028678</v>
      </c>
    </row>
    <row r="278" spans="5:7" x14ac:dyDescent="0.2">
      <c r="E278" s="2" t="s">
        <v>260</v>
      </c>
      <c r="F278" s="16">
        <f>F256/F142</f>
        <v>38968.094028357649</v>
      </c>
      <c r="G278" s="16">
        <f>G256/G142</f>
        <v>40710.838500772814</v>
      </c>
    </row>
  </sheetData>
  <mergeCells count="7">
    <mergeCell ref="A102:K102"/>
    <mergeCell ref="A123:K123"/>
    <mergeCell ref="A253:K253"/>
    <mergeCell ref="A1:J1"/>
    <mergeCell ref="B3:C3"/>
    <mergeCell ref="A7:K7"/>
    <mergeCell ref="H4:I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S29"/>
  <sheetViews>
    <sheetView topLeftCell="A3" workbookViewId="0">
      <selection activeCell="G36" sqref="G3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8" width="13.5703125" customWidth="1"/>
    <col min="9" max="11" width="13.5703125" bestFit="1" customWidth="1"/>
    <col min="12" max="12" width="13.5703125" hidden="1" customWidth="1"/>
    <col min="13" max="13" width="13.7109375" hidden="1" customWidth="1"/>
    <col min="14" max="15" width="9.28515625" bestFit="1" customWidth="1"/>
  </cols>
  <sheetData>
    <row r="2" spans="3:19" ht="23.25" x14ac:dyDescent="0.35">
      <c r="C2" s="207" t="s">
        <v>163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3:19" ht="23.25" customHeight="1" x14ac:dyDescent="0.25">
      <c r="C3" s="203" t="str">
        <f>'Model Inputs'!F5</f>
        <v>Burlington Hydro Inc.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3:19" ht="19.5" x14ac:dyDescent="0.35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6" spans="3:19" x14ac:dyDescent="0.2">
      <c r="F6" s="5">
        <v>2021</v>
      </c>
      <c r="G6" s="5">
        <v>2022</v>
      </c>
      <c r="H6" s="2">
        <f>'Benchmarking Calculations'!F5</f>
        <v>2023</v>
      </c>
      <c r="I6" s="2">
        <f>H6+1</f>
        <v>2024</v>
      </c>
      <c r="J6" s="2">
        <f t="shared" ref="J6:M6" si="0">I6+1</f>
        <v>2025</v>
      </c>
      <c r="K6" s="2">
        <f t="shared" si="0"/>
        <v>2026</v>
      </c>
      <c r="L6" s="2">
        <f t="shared" si="0"/>
        <v>2027</v>
      </c>
      <c r="M6" s="2">
        <f t="shared" si="0"/>
        <v>2028</v>
      </c>
      <c r="N6" s="2"/>
      <c r="O6" s="2"/>
      <c r="P6" s="2"/>
    </row>
    <row r="7" spans="3:19" x14ac:dyDescent="0.2">
      <c r="H7" s="2" t="s">
        <v>180</v>
      </c>
      <c r="I7" s="2" t="s">
        <v>255</v>
      </c>
      <c r="J7" s="2" t="s">
        <v>181</v>
      </c>
      <c r="K7" s="2" t="s">
        <v>182</v>
      </c>
    </row>
    <row r="8" spans="3:19" x14ac:dyDescent="0.2">
      <c r="C8" s="8" t="s">
        <v>158</v>
      </c>
    </row>
    <row r="10" spans="3:19" ht="18.75" customHeight="1" x14ac:dyDescent="0.2">
      <c r="D10" t="s">
        <v>157</v>
      </c>
      <c r="H10" s="54">
        <f>'Benchmarking Calculations'!F121</f>
        <v>59075630.546990201</v>
      </c>
      <c r="I10" s="54">
        <f>'Benchmarking Calculations'!G121</f>
        <v>61717631.16717159</v>
      </c>
      <c r="J10" s="54">
        <f>'Benchmarking Calculations'!H121</f>
        <v>67587881.572697252</v>
      </c>
      <c r="K10" s="53">
        <f>IF(ISNUMBER(K12),'Benchmarking Calculations'!I121,"na")</f>
        <v>73659217.608390078</v>
      </c>
      <c r="L10" s="53" t="str">
        <f>IF(ISNUMBER(L12),'Benchmarking Calculations'!J121,"na")</f>
        <v>na</v>
      </c>
      <c r="M10" s="53" t="str">
        <f>IF(ISNUMBER(M12),'Benchmarking Calculations'!K121,"na")</f>
        <v>na</v>
      </c>
      <c r="N10" s="54"/>
      <c r="O10" s="54"/>
      <c r="P10" s="54"/>
      <c r="Q10" s="54"/>
      <c r="R10" s="16"/>
      <c r="S10" s="16"/>
    </row>
    <row r="11" spans="3:19" ht="18.75" customHeight="1" x14ac:dyDescent="0.2"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16"/>
      <c r="S11" s="16"/>
    </row>
    <row r="12" spans="3:19" ht="18.75" customHeight="1" x14ac:dyDescent="0.2">
      <c r="D12" t="s">
        <v>145</v>
      </c>
      <c r="H12" s="54">
        <f>'Benchmarking Calculations'!F257</f>
        <v>65280800.114625879</v>
      </c>
      <c r="I12" s="54">
        <f>'Benchmarking Calculations'!G257</f>
        <v>68710230.930549815</v>
      </c>
      <c r="J12" s="54">
        <f>'Benchmarking Calculations'!H257</f>
        <v>72053619.339809775</v>
      </c>
      <c r="K12" s="53">
        <f>IF(ISNUMBER('Benchmarking Calculations'!I257),'Benchmarking Calculations'!I257,"na")</f>
        <v>74254870.507227868</v>
      </c>
      <c r="L12" s="53" t="str">
        <f>IF(ISNUMBER('Benchmarking Calculations'!J257),'Benchmarking Calculations'!J257,"na")</f>
        <v>na</v>
      </c>
      <c r="M12" s="53" t="str">
        <f>IF(ISNUMBER('Benchmarking Calculations'!K257),'Benchmarking Calculations'!K257,"na")</f>
        <v>na</v>
      </c>
      <c r="N12" s="54"/>
      <c r="O12" s="54"/>
      <c r="P12" s="54"/>
      <c r="Q12" s="54"/>
      <c r="R12" s="16"/>
      <c r="S12" s="16"/>
    </row>
    <row r="13" spans="3:19" ht="18.75" customHeight="1" x14ac:dyDescent="0.2"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16"/>
      <c r="S13" s="16"/>
    </row>
    <row r="14" spans="3:19" ht="18.75" customHeight="1" x14ac:dyDescent="0.2">
      <c r="D14" t="s">
        <v>155</v>
      </c>
      <c r="H14" s="54">
        <f t="shared" ref="H14:J14" si="1">H10-H12</f>
        <v>-6205169.5676356778</v>
      </c>
      <c r="I14" s="54">
        <f t="shared" si="1"/>
        <v>-6992599.7633782253</v>
      </c>
      <c r="J14" s="54">
        <f t="shared" si="1"/>
        <v>-4465737.7671125233</v>
      </c>
      <c r="K14" s="53">
        <f>IF(ISNUMBER(K12),K10-K12,"na")</f>
        <v>-595652.89883778989</v>
      </c>
      <c r="L14" s="53" t="str">
        <f t="shared" ref="L14:M14" si="2">IF(ISNUMBER(L12),L10-L12,"na")</f>
        <v>na</v>
      </c>
      <c r="M14" s="53" t="str">
        <f t="shared" si="2"/>
        <v>na</v>
      </c>
      <c r="N14" s="54"/>
      <c r="O14" s="54"/>
      <c r="P14" s="54"/>
      <c r="Q14" s="54"/>
      <c r="R14" s="16"/>
      <c r="S14" s="16"/>
    </row>
    <row r="15" spans="3:19" ht="18.75" customHeight="1" x14ac:dyDescent="0.2"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16"/>
      <c r="S15" s="16"/>
    </row>
    <row r="16" spans="3:19" ht="18.75" customHeight="1" x14ac:dyDescent="0.2">
      <c r="D16" s="8" t="s">
        <v>179</v>
      </c>
      <c r="E16" s="8"/>
      <c r="F16" s="81">
        <v>-0.11723967091172523</v>
      </c>
      <c r="G16" s="81">
        <v>-0.13514695948311675</v>
      </c>
      <c r="H16" s="81">
        <f>LN(H10/H12)</f>
        <v>-9.9879470553704053E-2</v>
      </c>
      <c r="I16" s="81">
        <f t="shared" ref="I16:J16" si="3">LN(I10/I12)</f>
        <v>-0.10732846353573672</v>
      </c>
      <c r="J16" s="81">
        <f t="shared" si="3"/>
        <v>-6.3981854605147354E-2</v>
      </c>
      <c r="K16" s="81">
        <f>IF(ISNUMBER(K14),LN(K10/K12),"na")</f>
        <v>-8.0540822897372695E-3</v>
      </c>
      <c r="L16" s="81" t="str">
        <f t="shared" ref="L16:M16" si="4">IF(ISNUMBER(L14),LN(L10/L12),"na")</f>
        <v>na</v>
      </c>
      <c r="M16" s="81" t="str">
        <f t="shared" si="4"/>
        <v>na</v>
      </c>
    </row>
    <row r="17" spans="4:13" ht="18.75" customHeight="1" x14ac:dyDescent="0.2">
      <c r="H17" s="98"/>
      <c r="I17" s="98"/>
      <c r="J17" s="98"/>
      <c r="K17" s="55"/>
      <c r="L17" s="55"/>
      <c r="M17" s="55"/>
    </row>
    <row r="18" spans="4:13" ht="18.75" customHeight="1" x14ac:dyDescent="0.2">
      <c r="D18" t="s">
        <v>176</v>
      </c>
      <c r="H18" s="99">
        <f>AVERAGE(F16:H16)</f>
        <v>-0.11742203364951535</v>
      </c>
      <c r="I18" s="99">
        <f>AVERAGE(G16:I16)</f>
        <v>-0.11411829785751919</v>
      </c>
      <c r="J18" s="99">
        <f>AVERAGE(H16:J16)</f>
        <v>-9.0396596231529361E-2</v>
      </c>
      <c r="K18" s="43">
        <f>IF(ISNUMBER(K16),AVERAGE(I16:K16),"na")</f>
        <v>-5.9788133476873784E-2</v>
      </c>
      <c r="L18" s="43" t="str">
        <f t="shared" ref="L18:M18" si="5">IF(ISNUMBER(L16),AVERAGE(J16:L16),"na")</f>
        <v>na</v>
      </c>
      <c r="M18" s="43" t="str">
        <f t="shared" si="5"/>
        <v>na</v>
      </c>
    </row>
    <row r="19" spans="4:13" ht="18.75" customHeight="1" x14ac:dyDescent="0.2"/>
    <row r="20" spans="4:13" ht="18.75" customHeight="1" x14ac:dyDescent="0.45">
      <c r="D20" t="s">
        <v>156</v>
      </c>
      <c r="H20" s="71"/>
    </row>
    <row r="22" spans="4:13" ht="15" x14ac:dyDescent="0.25">
      <c r="E22" t="s">
        <v>177</v>
      </c>
      <c r="H22" s="82">
        <f>IF(H16&lt;-0.25,1,IF(H16&lt;-0.1,2,IF(H16&lt;0.1,3,IF(H16&lt;0.25,4,5))))</f>
        <v>3</v>
      </c>
      <c r="I22" s="82">
        <f t="shared" ref="I22" si="6">IF(I16&lt;-0.25,1,IF(I16&lt;-0.1,2,IF(I16&lt;0.1,3,IF(I16&lt;0.25,4,5))))</f>
        <v>2</v>
      </c>
      <c r="J22" s="82">
        <f>IF($J$16&lt;-0.25,1,IF($J$16&lt;-0.1,2,IF($J$16&lt;0.1,3,IF($J$16&lt;0.25,4,5))))</f>
        <v>3</v>
      </c>
      <c r="K22" s="82">
        <f>IF(ISNUMBER(K16),IF(K16&lt;-0.25,1,IF(K16&lt;-0.1,2,IF(K16&lt;0.1,3,IF(K16&lt;0.25,4,5)))),"na")</f>
        <v>3</v>
      </c>
      <c r="L22" s="82" t="str">
        <f t="shared" ref="L22:M22" si="7">IF(ISNUMBER(L16),IF(L16&lt;-0.25,1,IF(L16&lt;-0.1,2,IF(L16&lt;0.1,3,IF(L16&lt;0.25,4,5)))),"na")</f>
        <v>na</v>
      </c>
      <c r="M22" s="82" t="str">
        <f t="shared" si="7"/>
        <v>na</v>
      </c>
    </row>
    <row r="24" spans="4:13" ht="15" x14ac:dyDescent="0.25">
      <c r="E24" t="s">
        <v>150</v>
      </c>
      <c r="H24" s="82">
        <f>IF(H$18&lt;-0.25,1,IF(H$18&lt;-0.1,2,IF(H$18&lt;0.1,3,IF(H$18&lt;0.25,4,5))))</f>
        <v>2</v>
      </c>
      <c r="I24" s="82">
        <f>IF(I$18&lt;-0.25,1,IF(I$18&lt;-0.1,2,IF(I$18&lt;0.1,3,IF(I$18&lt;0.25,4,5))))</f>
        <v>2</v>
      </c>
      <c r="J24" s="82">
        <f>IF(J$18&lt;-0.25,1,IF(J$18&lt;-0.1,2,IF(J$18&lt;0.1,3,IF(J$18&lt;0.25,4,5))))</f>
        <v>3</v>
      </c>
      <c r="K24" s="82">
        <f t="shared" ref="K24:M24" si="8">IF(K$18&lt;-0.25,1,IF(K$18&lt;-0.1,2,IF(K$18&lt;0.1,3,IF(K$18&lt;0.25,4,5))))</f>
        <v>3</v>
      </c>
      <c r="L24" s="82">
        <f t="shared" si="8"/>
        <v>5</v>
      </c>
      <c r="M24" s="82">
        <f t="shared" si="8"/>
        <v>5</v>
      </c>
    </row>
    <row r="27" spans="4:13" x14ac:dyDescent="0.2">
      <c r="D27" s="8"/>
    </row>
    <row r="29" spans="4:13" x14ac:dyDescent="0.2">
      <c r="H29" s="74"/>
    </row>
  </sheetData>
  <mergeCells count="2">
    <mergeCell ref="C2:M2"/>
    <mergeCell ref="C3:M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F9"/>
  <sheetViews>
    <sheetView workbookViewId="0">
      <selection activeCell="N11" sqref="N11"/>
    </sheetView>
  </sheetViews>
  <sheetFormatPr defaultColWidth="8.7109375" defaultRowHeight="14.25" x14ac:dyDescent="0.2"/>
  <cols>
    <col min="1" max="1" width="8.7109375" style="143"/>
    <col min="2" max="2" width="52.42578125" style="143" customWidth="1"/>
    <col min="3" max="6" width="12.5703125" style="143" customWidth="1"/>
    <col min="7" max="16384" width="8.7109375" style="143"/>
  </cols>
  <sheetData>
    <row r="2" spans="2:6" ht="45" x14ac:dyDescent="0.2">
      <c r="B2" s="141" t="s">
        <v>214</v>
      </c>
      <c r="C2" s="142" t="s">
        <v>231</v>
      </c>
      <c r="D2" s="142" t="s">
        <v>232</v>
      </c>
      <c r="E2" s="142" t="s">
        <v>233</v>
      </c>
      <c r="F2" s="142" t="s">
        <v>234</v>
      </c>
    </row>
    <row r="3" spans="2:6" x14ac:dyDescent="0.2">
      <c r="B3" s="144" t="s">
        <v>157</v>
      </c>
      <c r="C3" s="145">
        <f>Results!H10</f>
        <v>59075630.546990201</v>
      </c>
      <c r="D3" s="145">
        <f>Results!I10</f>
        <v>61717631.16717159</v>
      </c>
      <c r="E3" s="145">
        <f>Results!J10</f>
        <v>67587881.572697252</v>
      </c>
      <c r="F3" s="145">
        <f>Results!K10</f>
        <v>73659217.608390078</v>
      </c>
    </row>
    <row r="4" spans="2:6" x14ac:dyDescent="0.2">
      <c r="B4" s="144" t="s">
        <v>145</v>
      </c>
      <c r="C4" s="145">
        <f>Results!H12</f>
        <v>65280800.114625879</v>
      </c>
      <c r="D4" s="145">
        <f>Results!I12</f>
        <v>68710230.930549815</v>
      </c>
      <c r="E4" s="145">
        <f>Results!J12</f>
        <v>72053619.339809775</v>
      </c>
      <c r="F4" s="145">
        <f>Results!K12</f>
        <v>74254870.507227868</v>
      </c>
    </row>
    <row r="5" spans="2:6" x14ac:dyDescent="0.2">
      <c r="B5" s="144" t="s">
        <v>215</v>
      </c>
      <c r="C5" s="145">
        <f>C3-C4</f>
        <v>-6205169.5676356778</v>
      </c>
      <c r="D5" s="145">
        <f t="shared" ref="D5:F5" si="0">D3-D4</f>
        <v>-6992599.7633782253</v>
      </c>
      <c r="E5" s="145">
        <f t="shared" si="0"/>
        <v>-4465737.7671125233</v>
      </c>
      <c r="F5" s="145">
        <f t="shared" si="0"/>
        <v>-595652.89883778989</v>
      </c>
    </row>
    <row r="6" spans="2:6" ht="15" x14ac:dyDescent="0.25">
      <c r="B6" s="146" t="s">
        <v>179</v>
      </c>
      <c r="C6" s="148">
        <f>LN(C3/C4)</f>
        <v>-9.9879470553704053E-2</v>
      </c>
      <c r="D6" s="148">
        <f>LN(D3/D4)</f>
        <v>-0.10732846353573672</v>
      </c>
      <c r="E6" s="148">
        <f t="shared" ref="E6:F6" si="1">LN(E3/E4)</f>
        <v>-6.3981854605147354E-2</v>
      </c>
      <c r="F6" s="196">
        <f t="shared" si="1"/>
        <v>-8.0540822897372695E-3</v>
      </c>
    </row>
    <row r="7" spans="2:6" x14ac:dyDescent="0.2">
      <c r="B7" s="144" t="s">
        <v>176</v>
      </c>
      <c r="C7" s="149">
        <f>Results!H18</f>
        <v>-0.11742203364951535</v>
      </c>
      <c r="D7" s="149">
        <f>Results!I18</f>
        <v>-0.11411829785751919</v>
      </c>
      <c r="E7" s="149">
        <f>AVERAGE(C6:E6)</f>
        <v>-9.0396596231529361E-2</v>
      </c>
      <c r="F7" s="149">
        <f>AVERAGE(D6:F6)</f>
        <v>-5.9788133476873784E-2</v>
      </c>
    </row>
    <row r="8" spans="2:6" x14ac:dyDescent="0.2">
      <c r="B8" s="144" t="s">
        <v>216</v>
      </c>
      <c r="C8" s="147">
        <f>IF(C6&lt;-0.25,1,IF(C6&lt;-0.1,2,IF(C6&lt;0.1,3,IF(C6&lt;0.25,4,5))))</f>
        <v>3</v>
      </c>
      <c r="D8" s="147">
        <f t="shared" ref="D8:F9" si="2">IF(D6&lt;-0.25,1,IF(D6&lt;-0.1,2,IF(D6&lt;0.1,3,IF(D6&lt;0.25,4,5))))</f>
        <v>2</v>
      </c>
      <c r="E8" s="150">
        <f t="shared" si="2"/>
        <v>3</v>
      </c>
      <c r="F8" s="150">
        <f t="shared" si="2"/>
        <v>3</v>
      </c>
    </row>
    <row r="9" spans="2:6" x14ac:dyDescent="0.2">
      <c r="B9" s="144" t="s">
        <v>217</v>
      </c>
      <c r="C9" s="147">
        <f>IF(C7&lt;-0.25,1,IF(C7&lt;-0.1,2,IF(C7&lt;0.1,3,IF(C7&lt;0.25,4,5))))</f>
        <v>2</v>
      </c>
      <c r="D9" s="147">
        <f t="shared" si="2"/>
        <v>2</v>
      </c>
      <c r="E9" s="195">
        <f>IF(E7&lt;-0.25,1,IF(E7&lt;-0.1,2,IF(E7&lt;0.1,3,IF(E7&lt;0.25,4,5))))</f>
        <v>3</v>
      </c>
      <c r="F9" s="150">
        <f t="shared" si="2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Model Inputs</vt:lpstr>
      <vt:lpstr>Model Input back-up</vt:lpstr>
      <vt:lpstr>Benchmarking Calculations</vt:lpstr>
      <vt:lpstr>Results</vt:lpstr>
      <vt:lpstr>Table for Application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Chad Ecker</cp:lastModifiedBy>
  <cp:lastPrinted>2018-07-25T01:09:59Z</cp:lastPrinted>
  <dcterms:created xsi:type="dcterms:W3CDTF">2016-07-20T15:58:10Z</dcterms:created>
  <dcterms:modified xsi:type="dcterms:W3CDTF">2025-04-09T18:21:58Z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